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https://d.docs.live.net/68e3d621f8aeccd7/Excel/2024/"/>
    </mc:Choice>
  </mc:AlternateContent>
  <xr:revisionPtr revIDLastSave="2638" documentId="8_{B7C62E68-9696-407E-8DD9-DBBB7CABA0E1}" xr6:coauthVersionLast="47" xr6:coauthVersionMax="47" xr10:uidLastSave="{EAE58774-9D9A-4A3A-9CF5-B85B2DD78BED}"/>
  <bookViews>
    <workbookView xWindow="-108" yWindow="-108" windowWidth="23256" windowHeight="12456" tabRatio="665" xr2:uid="{00000000-000D-0000-FFFF-FFFF00000000}"/>
  </bookViews>
  <sheets>
    <sheet name="STOCKs21" sheetId="1" r:id="rId1"/>
    <sheet name="Delivery" sheetId="4" r:id="rId2"/>
    <sheet name="ST mail List" sheetId="5" r:id="rId3"/>
    <sheet name="NetSpendDown" sheetId="7" r:id="rId4"/>
    <sheet name="BookSales" sheetId="8" r:id="rId5"/>
    <sheet name="Family" sheetId="9" r:id="rId6"/>
    <sheet name="BirthdaysAz" sheetId="10" r:id="rId7"/>
    <sheet name="P20" sheetId="11" r:id="rId8"/>
    <sheet name="Accounts25" sheetId="61" r:id="rId9"/>
    <sheet name="Accounts24" sheetId="12" r:id="rId10"/>
    <sheet name="Insurance" sheetId="22" r:id="rId11"/>
    <sheet name="Sheet62" sheetId="2" r:id="rId12"/>
    <sheet name="Accounts23" sheetId="13" r:id="rId13"/>
    <sheet name="Paypal" sheetId="14" r:id="rId14"/>
    <sheet name="Countries" sheetId="15" r:id="rId15"/>
    <sheet name="Canal" sheetId="16" r:id="rId16"/>
    <sheet name="Accounts22" sheetId="17" r:id="rId17"/>
    <sheet name="Books" sheetId="18" r:id="rId18"/>
    <sheet name="DivHistory" sheetId="19" r:id="rId19"/>
    <sheet name="Profitzloss" sheetId="20" r:id="rId20"/>
    <sheet name="Books 2" sheetId="21" r:id="rId21"/>
    <sheet name="Dates" sheetId="23" r:id="rId22"/>
    <sheet name="Accounts21" sheetId="24" r:id="rId23"/>
    <sheet name="Accounts 22" sheetId="25" r:id="rId24"/>
    <sheet name="WorldCruise" sheetId="26" r:id="rId25"/>
    <sheet name="Bahamas" sheetId="27" r:id="rId26"/>
    <sheet name="social Security" sheetId="28" r:id="rId27"/>
    <sheet name="Acounts20" sheetId="29" r:id="rId28"/>
    <sheet name="Breakers" sheetId="30" r:id="rId29"/>
    <sheet name="Budget" sheetId="31" r:id="rId30"/>
    <sheet name="Rotary" sheetId="32" r:id="rId31"/>
    <sheet name="CitiesCountries" sheetId="33" r:id="rId32"/>
    <sheet name="Accounts19" sheetId="34" r:id="rId33"/>
    <sheet name="P19" sheetId="35" r:id="rId34"/>
    <sheet name="eSales" sheetId="36" r:id="rId35"/>
    <sheet name="Accounts18" sheetId="37" r:id="rId36"/>
    <sheet name="tripcal2019" sheetId="38" r:id="rId37"/>
    <sheet name="Taxes18" sheetId="39" r:id="rId38"/>
    <sheet name="Accounts17" sheetId="40" r:id="rId39"/>
    <sheet name="Taxes17" sheetId="41" r:id="rId40"/>
    <sheet name="Accounts 16" sheetId="42" r:id="rId41"/>
    <sheet name="CreditCardTracking" sheetId="43" r:id="rId42"/>
    <sheet name="DrillSizes" sheetId="44" r:id="rId43"/>
    <sheet name="RodSkills" sheetId="45" r:id="rId44"/>
    <sheet name="P15" sheetId="46" r:id="rId45"/>
    <sheet name="Taxes16" sheetId="47" r:id="rId46"/>
    <sheet name="Taxes15" sheetId="48" r:id="rId47"/>
    <sheet name="Accounts 15" sheetId="49" r:id="rId48"/>
    <sheet name="Taxes13" sheetId="50" r:id="rId49"/>
    <sheet name="Taxes14" sheetId="51" r:id="rId50"/>
    <sheet name="Accounts14" sheetId="52" r:id="rId51"/>
    <sheet name="Accounts13" sheetId="53" r:id="rId52"/>
    <sheet name="Accounts12" sheetId="54" r:id="rId53"/>
    <sheet name="P" sheetId="55" r:id="rId54"/>
    <sheet name="Tools" sheetId="56" r:id="rId55"/>
    <sheet name="Lakewood Accounts" sheetId="57" r:id="rId56"/>
    <sheet name="Prop Calc" sheetId="58" r:id="rId57"/>
    <sheet name="SchedC" sheetId="59" r:id="rId58"/>
    <sheet name="Neighbors" sheetId="60" r:id="rId59"/>
  </sheets>
  <definedNames>
    <definedName name="JBSS">#REF!</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6" i="1" l="1"/>
  <c r="I26" i="1"/>
  <c r="G26" i="1"/>
  <c r="J26" i="1" s="1"/>
  <c r="M27" i="1"/>
  <c r="I27" i="1"/>
  <c r="G27" i="1"/>
  <c r="J27" i="1" s="1"/>
  <c r="M28" i="1"/>
  <c r="I28" i="1"/>
  <c r="G28" i="1"/>
  <c r="J28" i="1" s="1"/>
  <c r="E76" i="7"/>
  <c r="E77" i="7"/>
  <c r="E78" i="7"/>
  <c r="E79" i="7"/>
  <c r="E80" i="7"/>
  <c r="E81" i="7"/>
  <c r="E82" i="7"/>
  <c r="E83" i="7"/>
  <c r="E84" i="7"/>
  <c r="E85" i="7"/>
  <c r="E86" i="7"/>
  <c r="E87" i="7"/>
  <c r="E88" i="7"/>
  <c r="E89" i="7"/>
  <c r="E90" i="7"/>
  <c r="E91" i="7"/>
  <c r="E92" i="7"/>
  <c r="E93" i="7"/>
  <c r="E94" i="7"/>
  <c r="E95" i="7"/>
  <c r="E75" i="7"/>
  <c r="F75" i="7" s="1"/>
  <c r="F76" i="7" s="1"/>
  <c r="F77" i="7" s="1"/>
  <c r="F78" i="7" s="1"/>
  <c r="F79" i="7" s="1"/>
  <c r="F80" i="7" s="1"/>
  <c r="T1" i="1"/>
  <c r="N7" i="1" a="1"/>
  <c r="N7" i="1" s="1"/>
  <c r="N29" i="1"/>
  <c r="J29" i="1"/>
  <c r="I30" i="1"/>
  <c r="G30" i="1"/>
  <c r="J30" i="1" s="1"/>
  <c r="I31" i="1"/>
  <c r="G31" i="1"/>
  <c r="J31" i="1" s="1"/>
  <c r="P28" i="7"/>
  <c r="J33" i="1"/>
  <c r="I33" i="1"/>
  <c r="G33" i="1"/>
  <c r="M33" i="1" s="1"/>
  <c r="P17" i="12"/>
  <c r="N4" i="1" a="1"/>
  <c r="N4" i="1" s="1"/>
  <c r="N5" i="1" a="1"/>
  <c r="N5" i="1" s="1"/>
  <c r="N34" i="1"/>
  <c r="N35" i="1"/>
  <c r="J34" i="1"/>
  <c r="J35" i="1"/>
  <c r="D25" i="7"/>
  <c r="D26" i="7" s="1"/>
  <c r="D27" i="7" s="1"/>
  <c r="D28" i="7" s="1"/>
  <c r="D29" i="7" s="1"/>
  <c r="D30" i="7" s="1"/>
  <c r="D31" i="7" s="1"/>
  <c r="D32" i="7" s="1"/>
  <c r="D33" i="7" s="1"/>
  <c r="E25" i="7"/>
  <c r="E26" i="7" s="1"/>
  <c r="E27" i="7" s="1"/>
  <c r="E28" i="7" s="1"/>
  <c r="E29" i="7" s="1"/>
  <c r="E30" i="7" s="1"/>
  <c r="E31" i="7" s="1"/>
  <c r="E32" i="7" s="1"/>
  <c r="E33" i="7" s="1"/>
  <c r="M5" i="7"/>
  <c r="M6" i="7" s="1"/>
  <c r="M7" i="7" s="1"/>
  <c r="M8" i="7" s="1"/>
  <c r="M9" i="7" s="1"/>
  <c r="M10" i="7" s="1"/>
  <c r="M11" i="7" s="1"/>
  <c r="M12" i="7" s="1"/>
  <c r="M13" i="7" s="1"/>
  <c r="M14" i="7" s="1"/>
  <c r="M15" i="7" s="1"/>
  <c r="M16" i="7" s="1"/>
  <c r="M17" i="7" s="1"/>
  <c r="M18" i="7" s="1"/>
  <c r="M19" i="7" s="1"/>
  <c r="M20" i="7" s="1"/>
  <c r="M21" i="7" s="1"/>
  <c r="M22" i="7" s="1"/>
  <c r="M23" i="7" s="1"/>
  <c r="M24" i="7" s="1"/>
  <c r="M25" i="7" s="1"/>
  <c r="M26" i="7" s="1"/>
  <c r="M27" i="7" s="1"/>
  <c r="M28" i="7" s="1"/>
  <c r="M29" i="7" s="1"/>
  <c r="M30" i="7" s="1"/>
  <c r="M31" i="7" s="1"/>
  <c r="M32" i="7" s="1"/>
  <c r="M33" i="7" s="1"/>
  <c r="L5" i="7"/>
  <c r="K4" i="7"/>
  <c r="N3" i="7"/>
  <c r="G19" i="1" l="1"/>
  <c r="F81" i="7"/>
  <c r="F82" i="7" s="1"/>
  <c r="F83" i="7" s="1"/>
  <c r="F84" i="7" s="1"/>
  <c r="F85" i="7" s="1"/>
  <c r="F86" i="7" s="1"/>
  <c r="F87" i="7" s="1"/>
  <c r="F88" i="7" s="1"/>
  <c r="F89" i="7" s="1"/>
  <c r="F90" i="7" s="1"/>
  <c r="F91" i="7" s="1"/>
  <c r="F92" i="7" s="1"/>
  <c r="F93" i="7" s="1"/>
  <c r="F94" i="7" s="1"/>
  <c r="F95" i="7" s="1"/>
  <c r="M31" i="1"/>
  <c r="L30" i="1"/>
  <c r="L6" i="7"/>
  <c r="L7" i="7" s="1"/>
  <c r="L8" i="7" s="1"/>
  <c r="L9" i="7" s="1"/>
  <c r="L10" i="7" s="1"/>
  <c r="L11" i="7" s="1"/>
  <c r="L12" i="7" s="1"/>
  <c r="L13" i="7" s="1"/>
  <c r="L14" i="7" s="1"/>
  <c r="L15" i="7" s="1"/>
  <c r="L16" i="7" s="1"/>
  <c r="L17" i="7" s="1"/>
  <c r="L18" i="7" s="1"/>
  <c r="L19" i="7" s="1"/>
  <c r="L20" i="7" s="1"/>
  <c r="L21" i="7" s="1"/>
  <c r="L22" i="7" s="1"/>
  <c r="L23" i="7" s="1"/>
  <c r="L24" i="7" s="1"/>
  <c r="L25" i="7" s="1"/>
  <c r="L26" i="7" s="1"/>
  <c r="L27" i="7" s="1"/>
  <c r="L28" i="7" s="1"/>
  <c r="L29" i="7" s="1"/>
  <c r="L30" i="7" s="1"/>
  <c r="L31" i="7" s="1"/>
  <c r="L32" i="7" s="1"/>
  <c r="L33" i="7" s="1"/>
  <c r="N5" i="7"/>
  <c r="N4" i="7"/>
  <c r="K6" i="7" l="1"/>
  <c r="K7" i="7" s="1"/>
  <c r="N6" i="7" l="1"/>
  <c r="K8" i="7"/>
  <c r="N7" i="7"/>
  <c r="K9" i="7" l="1"/>
  <c r="N8" i="7"/>
  <c r="K10" i="7" l="1"/>
  <c r="N9" i="7"/>
  <c r="K11" i="7" l="1"/>
  <c r="N10" i="7"/>
  <c r="N11" i="7" l="1"/>
  <c r="K12" i="7"/>
  <c r="K13" i="7" l="1"/>
  <c r="N12" i="7"/>
  <c r="K14" i="7" l="1"/>
  <c r="N13" i="7"/>
  <c r="N14" i="7" l="1"/>
  <c r="K15" i="7"/>
  <c r="K16" i="7" l="1"/>
  <c r="N15" i="7"/>
  <c r="K17" i="7" l="1"/>
  <c r="N16" i="7"/>
  <c r="K18" i="7" l="1"/>
  <c r="N17" i="7"/>
  <c r="K19" i="7" l="1"/>
  <c r="N18" i="7"/>
  <c r="N19" i="7" l="1"/>
  <c r="K20" i="7"/>
  <c r="K21" i="7" l="1"/>
  <c r="N20" i="7"/>
  <c r="K22" i="7" l="1"/>
  <c r="N21" i="7"/>
  <c r="N22" i="7" l="1"/>
  <c r="K23" i="7"/>
  <c r="K24" i="7" l="1"/>
  <c r="N23" i="7"/>
  <c r="N24" i="7" l="1"/>
  <c r="K25" i="7"/>
  <c r="K26" i="7" l="1"/>
  <c r="N25" i="7"/>
  <c r="K27" i="7" l="1"/>
  <c r="N26" i="7"/>
  <c r="N27" i="7" l="1"/>
  <c r="K28" i="7"/>
  <c r="N28" i="7" l="1"/>
  <c r="K29" i="7"/>
  <c r="N29" i="7" l="1"/>
  <c r="K30" i="7"/>
  <c r="N30" i="7" l="1"/>
  <c r="K31" i="7"/>
  <c r="N31" i="7" l="1"/>
  <c r="K32" i="7"/>
  <c r="K33" i="7" l="1"/>
  <c r="N33" i="7" s="1"/>
  <c r="N32" i="7"/>
  <c r="I36" i="1" l="1"/>
  <c r="G36" i="1"/>
  <c r="G37" i="1"/>
  <c r="M37" i="1" s="1"/>
  <c r="I37" i="1"/>
  <c r="N38" i="1"/>
  <c r="I38" i="1"/>
  <c r="J38" i="1" s="1"/>
  <c r="L32" i="1"/>
  <c r="L18" i="1" s="1"/>
  <c r="M39" i="1"/>
  <c r="J39" i="1"/>
  <c r="I39" i="1"/>
  <c r="N40" i="1"/>
  <c r="N41" i="1"/>
  <c r="J40" i="1"/>
  <c r="J41" i="1"/>
  <c r="I42" i="1"/>
  <c r="G42" i="1"/>
  <c r="W6" i="1"/>
  <c r="F43" i="1"/>
  <c r="G43" i="1" s="1"/>
  <c r="I43" i="1"/>
  <c r="N48" i="1"/>
  <c r="N47" i="1"/>
  <c r="N45" i="1"/>
  <c r="N46" i="1"/>
  <c r="N44" i="1"/>
  <c r="J44" i="1"/>
  <c r="J45" i="1"/>
  <c r="J46" i="1"/>
  <c r="J47" i="1"/>
  <c r="J48" i="1"/>
  <c r="N50" i="1"/>
  <c r="D12" i="8"/>
  <c r="C12" i="8"/>
  <c r="C11" i="8"/>
  <c r="C7" i="8"/>
  <c r="C4" i="8"/>
  <c r="C3" i="8"/>
  <c r="C14" i="8" s="1"/>
  <c r="D3" i="8"/>
  <c r="E10" i="8"/>
  <c r="I51" i="1"/>
  <c r="J51" i="1" s="1"/>
  <c r="I52" i="1"/>
  <c r="J52" i="1" s="1"/>
  <c r="W5" i="1"/>
  <c r="Q69" i="1"/>
  <c r="M54" i="1"/>
  <c r="I53" i="1"/>
  <c r="J53" i="1" s="1"/>
  <c r="J55" i="1"/>
  <c r="I32" i="1"/>
  <c r="I54" i="1"/>
  <c r="J54" i="1" s="1"/>
  <c r="F54" i="1"/>
  <c r="I56" i="1"/>
  <c r="J56" i="1" s="1"/>
  <c r="N3" i="1" a="1"/>
  <c r="N3" i="1" s="1"/>
  <c r="O3" i="1" s="1"/>
  <c r="Q3" i="1"/>
  <c r="P3" i="1"/>
  <c r="E3" i="8"/>
  <c r="G71" i="1"/>
  <c r="G75" i="1"/>
  <c r="G73" i="1"/>
  <c r="G87" i="1"/>
  <c r="R68" i="1"/>
  <c r="G67" i="1"/>
  <c r="R58" i="1"/>
  <c r="G62" i="1"/>
  <c r="N6" i="1" a="1"/>
  <c r="N6" i="1" s="1"/>
  <c r="O6" i="1" s="1"/>
  <c r="J57" i="1"/>
  <c r="G58" i="1"/>
  <c r="I58" i="1"/>
  <c r="J59" i="1"/>
  <c r="Q6" i="1"/>
  <c r="P6" i="1"/>
  <c r="K6" i="1"/>
  <c r="J6" i="1"/>
  <c r="W7" i="1"/>
  <c r="X8" i="1"/>
  <c r="W8" i="1" s="1"/>
  <c r="I60" i="1"/>
  <c r="J60" i="1" s="1"/>
  <c r="L61" i="1"/>
  <c r="M62" i="1"/>
  <c r="I61" i="1"/>
  <c r="J61" i="1"/>
  <c r="O63" i="1"/>
  <c r="O50" i="1" s="1"/>
  <c r="J63" i="1"/>
  <c r="J64" i="1"/>
  <c r="J65" i="1"/>
  <c r="I62" i="1"/>
  <c r="J58" i="1" l="1"/>
  <c r="J36" i="1"/>
  <c r="M36" i="1"/>
  <c r="J37" i="1"/>
  <c r="G18" i="1"/>
  <c r="J43" i="1"/>
  <c r="J42" i="1"/>
  <c r="M42" i="1"/>
  <c r="M43" i="1"/>
  <c r="J32" i="1"/>
  <c r="M58" i="1"/>
  <c r="L60" i="1"/>
  <c r="J62" i="1"/>
  <c r="M18" i="1" l="1"/>
  <c r="Q5" i="1"/>
  <c r="P5" i="1"/>
  <c r="O5" i="1"/>
  <c r="K5" i="1"/>
  <c r="J5" i="1"/>
  <c r="L67" i="1"/>
  <c r="I66" i="1"/>
  <c r="I67" i="1"/>
  <c r="L73" i="1"/>
  <c r="T72" i="1"/>
  <c r="I68" i="1"/>
  <c r="G68" i="1"/>
  <c r="I69" i="1"/>
  <c r="F69" i="1"/>
  <c r="J69" i="1" s="1"/>
  <c r="N15" i="1"/>
  <c r="F70" i="1"/>
  <c r="I70" i="1"/>
  <c r="M71" i="1"/>
  <c r="B43" i="61"/>
  <c r="N42" i="61"/>
  <c r="L40" i="61"/>
  <c r="K40" i="61"/>
  <c r="J40" i="61"/>
  <c r="I40" i="61"/>
  <c r="H40" i="61"/>
  <c r="G40" i="61"/>
  <c r="F40" i="61"/>
  <c r="E40" i="61"/>
  <c r="D40" i="61"/>
  <c r="C40" i="61"/>
  <c r="B40" i="61"/>
  <c r="N39" i="61"/>
  <c r="M38" i="61"/>
  <c r="M40" i="61" s="1"/>
  <c r="N36" i="61"/>
  <c r="N35" i="61"/>
  <c r="N34" i="61"/>
  <c r="N33" i="61"/>
  <c r="N32" i="61"/>
  <c r="N31" i="61"/>
  <c r="N30" i="61"/>
  <c r="N29" i="61"/>
  <c r="Q28" i="61"/>
  <c r="N28" i="61"/>
  <c r="P38" i="61" s="1"/>
  <c r="Q26" i="61"/>
  <c r="Q23" i="61"/>
  <c r="R19" i="61"/>
  <c r="M19" i="61"/>
  <c r="M20" i="61" s="1"/>
  <c r="L19" i="61"/>
  <c r="L20" i="61" s="1"/>
  <c r="N18" i="61"/>
  <c r="P17" i="61"/>
  <c r="N17" i="61"/>
  <c r="M16" i="61"/>
  <c r="L16" i="61"/>
  <c r="K16" i="61"/>
  <c r="K19" i="61" s="1"/>
  <c r="K20" i="61" s="1"/>
  <c r="J16" i="61"/>
  <c r="J19" i="61" s="1"/>
  <c r="J20" i="61" s="1"/>
  <c r="I16" i="61"/>
  <c r="I19" i="61" s="1"/>
  <c r="I20" i="61" s="1"/>
  <c r="H16" i="61"/>
  <c r="H19" i="61" s="1"/>
  <c r="H20" i="61" s="1"/>
  <c r="G16" i="61"/>
  <c r="G19" i="61" s="1"/>
  <c r="G20" i="61" s="1"/>
  <c r="F16" i="61"/>
  <c r="F19" i="61" s="1"/>
  <c r="F20" i="61" s="1"/>
  <c r="E16" i="61"/>
  <c r="E19" i="61" s="1"/>
  <c r="E20" i="61" s="1"/>
  <c r="D16" i="61"/>
  <c r="D19" i="61" s="1"/>
  <c r="D20" i="61" s="1"/>
  <c r="C16" i="61"/>
  <c r="C19" i="61" s="1"/>
  <c r="C20" i="61" s="1"/>
  <c r="B16" i="61"/>
  <c r="B19" i="61" s="1"/>
  <c r="P15" i="61"/>
  <c r="N15" i="61"/>
  <c r="P14" i="61"/>
  <c r="N14" i="61"/>
  <c r="P13" i="61"/>
  <c r="N13" i="61"/>
  <c r="P12" i="61"/>
  <c r="N12" i="61"/>
  <c r="P11" i="61"/>
  <c r="N11" i="61"/>
  <c r="P10" i="61"/>
  <c r="N10" i="61"/>
  <c r="P9" i="61"/>
  <c r="N9" i="61"/>
  <c r="P8" i="61"/>
  <c r="N8" i="61"/>
  <c r="N7" i="61"/>
  <c r="N5" i="61"/>
  <c r="Q28" i="12"/>
  <c r="I71" i="1"/>
  <c r="J71" i="1"/>
  <c r="G72" i="1"/>
  <c r="M72" i="1" s="1"/>
  <c r="I72" i="1"/>
  <c r="J73" i="1"/>
  <c r="M74" i="1"/>
  <c r="M75" i="1"/>
  <c r="G82" i="1"/>
  <c r="G83" i="1"/>
  <c r="G77" i="1"/>
  <c r="G76" i="1"/>
  <c r="R78" i="1"/>
  <c r="R79" i="1" s="1"/>
  <c r="R81" i="1" s="1"/>
  <c r="R83" i="1" s="1"/>
  <c r="F75" i="1"/>
  <c r="F74" i="1"/>
  <c r="I75" i="1"/>
  <c r="I74" i="1"/>
  <c r="J68" i="1" l="1"/>
  <c r="M69" i="1"/>
  <c r="J70" i="1"/>
  <c r="J72" i="1"/>
  <c r="L68" i="1"/>
  <c r="J66" i="1"/>
  <c r="M66" i="1"/>
  <c r="J67" i="1"/>
  <c r="N16" i="61"/>
  <c r="N20" i="61" s="1"/>
  <c r="B20" i="61"/>
  <c r="P20" i="61" s="1"/>
  <c r="N19" i="61"/>
  <c r="P19" i="61"/>
  <c r="P16" i="61"/>
  <c r="N40" i="61"/>
  <c r="J75" i="1"/>
  <c r="J74" i="1"/>
  <c r="M77" i="1" l="1"/>
  <c r="M76" i="1"/>
  <c r="S86" i="1"/>
  <c r="I77" i="1"/>
  <c r="I76" i="1"/>
  <c r="Q108" i="1"/>
  <c r="I78" i="1"/>
  <c r="I79" i="1"/>
  <c r="F78" i="1"/>
  <c r="G78" i="1" s="1"/>
  <c r="F79" i="1"/>
  <c r="G79" i="1" s="1"/>
  <c r="M79" i="1" s="1"/>
  <c r="F81" i="1"/>
  <c r="G81" i="1" s="1"/>
  <c r="J81" i="1" s="1"/>
  <c r="G80" i="1"/>
  <c r="D4" i="8"/>
  <c r="D14" i="8" s="1"/>
  <c r="D7" i="8"/>
  <c r="D11" i="8"/>
  <c r="J84" i="1"/>
  <c r="J87" i="1"/>
  <c r="J88" i="1"/>
  <c r="J89" i="1"/>
  <c r="P77" i="1"/>
  <c r="G50" i="1" l="1"/>
  <c r="M78" i="1"/>
  <c r="J77" i="1"/>
  <c r="J76" i="1"/>
  <c r="J78" i="1"/>
  <c r="J79" i="1"/>
  <c r="M88" i="1" l="1"/>
  <c r="M89" i="1"/>
  <c r="L100" i="1"/>
  <c r="L99" i="1"/>
  <c r="L80" i="1"/>
  <c r="P72" i="1"/>
  <c r="P71" i="1"/>
  <c r="P73" i="1" l="1"/>
  <c r="I80" i="1"/>
  <c r="J80" i="1" s="1"/>
  <c r="M81" i="1"/>
  <c r="M82" i="1"/>
  <c r="I83" i="1"/>
  <c r="J83" i="1" s="1"/>
  <c r="I82" i="1"/>
  <c r="J82" i="1" s="1"/>
  <c r="M83" i="1"/>
  <c r="M84" i="1"/>
  <c r="E14" i="8"/>
  <c r="E7" i="8"/>
  <c r="F3" i="8"/>
  <c r="S93" i="1"/>
  <c r="F4" i="8"/>
  <c r="G90" i="1"/>
  <c r="I96" i="1"/>
  <c r="I94" i="1"/>
  <c r="I93" i="1"/>
  <c r="I90" i="1"/>
  <c r="G93" i="1"/>
  <c r="L93" i="1" s="1"/>
  <c r="G94" i="1"/>
  <c r="L94" i="1" s="1"/>
  <c r="G96" i="1"/>
  <c r="L96" i="1" s="1"/>
  <c r="I91" i="1"/>
  <c r="I92" i="1"/>
  <c r="U100" i="1"/>
  <c r="U105" i="1" s="1"/>
  <c r="Q4" i="1"/>
  <c r="Q2" i="1"/>
  <c r="Q8" i="1"/>
  <c r="Q7" i="1"/>
  <c r="O7" i="1"/>
  <c r="O13" i="1" s="1"/>
  <c r="N20" i="1" s="1"/>
  <c r="N18" i="1" s="1"/>
  <c r="O18" i="1" s="1"/>
  <c r="Q18" i="1" s="1"/>
  <c r="Q81" i="1" s="1"/>
  <c r="Q83" i="1" s="1"/>
  <c r="P7" i="1"/>
  <c r="J7" i="1"/>
  <c r="Q84" i="1" l="1"/>
  <c r="M50" i="1"/>
  <c r="J90" i="1"/>
  <c r="L90" i="1"/>
  <c r="L50" i="1" s="1"/>
  <c r="P50" i="1" s="1"/>
  <c r="G85" i="1"/>
  <c r="J94" i="1"/>
  <c r="J93" i="1"/>
  <c r="E2" i="1" l="1" a="1"/>
  <c r="E2" i="1" s="1"/>
  <c r="N2" i="1" a="1"/>
  <c r="N2" i="1" s="1"/>
  <c r="F7" i="8"/>
  <c r="F14" i="8"/>
  <c r="G3" i="8"/>
  <c r="J96" i="1"/>
  <c r="G97" i="1"/>
  <c r="R19" i="12"/>
  <c r="B10" i="8"/>
  <c r="B12" i="8"/>
  <c r="B2" i="8"/>
  <c r="P9" i="12"/>
  <c r="P10" i="12"/>
  <c r="P11" i="12"/>
  <c r="P12" i="12"/>
  <c r="P13" i="12"/>
  <c r="P14" i="12"/>
  <c r="P15" i="12"/>
  <c r="P16" i="12"/>
  <c r="P8" i="12"/>
  <c r="R107" i="1"/>
  <c r="R23" i="4"/>
  <c r="N15" i="4"/>
  <c r="J99" i="1"/>
  <c r="J100" i="1"/>
  <c r="G104" i="1"/>
  <c r="G102" i="1"/>
  <c r="G101" i="1" s="1"/>
  <c r="G49" i="1" l="1"/>
  <c r="C112" i="1"/>
  <c r="G11" i="8"/>
  <c r="B11" i="8" s="1"/>
  <c r="G7" i="8"/>
  <c r="B7" i="8" s="1"/>
  <c r="G4" i="8"/>
  <c r="B4" i="8" s="1"/>
  <c r="N16" i="4" l="1"/>
  <c r="B40" i="59" l="1"/>
  <c r="D22" i="59"/>
  <c r="D20" i="59"/>
  <c r="C20" i="59"/>
  <c r="C22" i="59" s="1"/>
  <c r="B20" i="59"/>
  <c r="B22" i="59" s="1"/>
  <c r="E24" i="59" s="1"/>
  <c r="F253" i="58"/>
  <c r="C253" i="58"/>
  <c r="F245" i="58"/>
  <c r="C245" i="58"/>
  <c r="J235" i="58"/>
  <c r="F235" i="58"/>
  <c r="C235" i="58"/>
  <c r="F215" i="58"/>
  <c r="C215" i="58"/>
  <c r="Q213" i="58"/>
  <c r="N213" i="58"/>
  <c r="F201" i="58"/>
  <c r="C201" i="58"/>
  <c r="F192" i="58"/>
  <c r="C192" i="58"/>
  <c r="I192" i="58" s="1"/>
  <c r="N179" i="58"/>
  <c r="D176" i="58"/>
  <c r="C176" i="58"/>
  <c r="Q174" i="58"/>
  <c r="Q188" i="58" s="1"/>
  <c r="N174" i="58"/>
  <c r="N188" i="58" s="1"/>
  <c r="F173" i="58"/>
  <c r="R171" i="58"/>
  <c r="R172" i="58" s="1"/>
  <c r="R173" i="58" s="1"/>
  <c r="R174" i="58" s="1"/>
  <c r="R175" i="58" s="1"/>
  <c r="R176" i="58" s="1"/>
  <c r="R177" i="58" s="1"/>
  <c r="R178" i="58" s="1"/>
  <c r="R179" i="58" s="1"/>
  <c r="R180" i="58" s="1"/>
  <c r="R181" i="58" s="1"/>
  <c r="R182" i="58" s="1"/>
  <c r="R183" i="58" s="1"/>
  <c r="R184" i="58" s="1"/>
  <c r="R187" i="58" s="1"/>
  <c r="R170" i="58"/>
  <c r="Q168" i="58"/>
  <c r="N168" i="58"/>
  <c r="F157" i="58"/>
  <c r="C157" i="58"/>
  <c r="F155" i="58"/>
  <c r="F154" i="58"/>
  <c r="F176" i="58" s="1"/>
  <c r="G176" i="58" s="1"/>
  <c r="R146" i="58"/>
  <c r="R147" i="58" s="1"/>
  <c r="R148" i="58" s="1"/>
  <c r="R149" i="58" s="1"/>
  <c r="R150" i="58" s="1"/>
  <c r="R151" i="58" s="1"/>
  <c r="R152" i="58" s="1"/>
  <c r="R153" i="58" s="1"/>
  <c r="R154" i="58" s="1"/>
  <c r="R155" i="58" s="1"/>
  <c r="R156" i="58" s="1"/>
  <c r="R157" i="58" s="1"/>
  <c r="R158" i="58" s="1"/>
  <c r="R159" i="58" s="1"/>
  <c r="R160" i="58" s="1"/>
  <c r="R161" i="58" s="1"/>
  <c r="R162" i="58" s="1"/>
  <c r="R163" i="58" s="1"/>
  <c r="R164" i="58" s="1"/>
  <c r="R165" i="58" s="1"/>
  <c r="R166" i="58" s="1"/>
  <c r="R145" i="58"/>
  <c r="N143" i="58"/>
  <c r="G143" i="58"/>
  <c r="G177" i="58" s="1"/>
  <c r="G178" i="58" s="1"/>
  <c r="G179" i="58" s="1"/>
  <c r="G180" i="58" s="1"/>
  <c r="G181" i="58" s="1"/>
  <c r="G182" i="58" s="1"/>
  <c r="G183" i="58" s="1"/>
  <c r="G185" i="58" s="1"/>
  <c r="G186" i="58" s="1"/>
  <c r="G187" i="58" s="1"/>
  <c r="G188" i="58" s="1"/>
  <c r="G189" i="58" s="1"/>
  <c r="G190" i="58" s="1"/>
  <c r="G191" i="58" s="1"/>
  <c r="F143" i="58"/>
  <c r="D143" i="58"/>
  <c r="C140" i="58"/>
  <c r="Q139" i="58"/>
  <c r="Q143" i="58" s="1"/>
  <c r="Q215" i="58" s="1"/>
  <c r="Q136" i="58"/>
  <c r="C131" i="58"/>
  <c r="C143" i="58" s="1"/>
  <c r="I143" i="58" s="1"/>
  <c r="R126" i="58"/>
  <c r="R127" i="58" s="1"/>
  <c r="R128" i="58" s="1"/>
  <c r="R130" i="58" s="1"/>
  <c r="R131" i="58" s="1"/>
  <c r="R132" i="58" s="1"/>
  <c r="R133" i="58" s="1"/>
  <c r="R134" i="58" s="1"/>
  <c r="R135" i="58" s="1"/>
  <c r="R136" i="58" s="1"/>
  <c r="R137" i="58" s="1"/>
  <c r="R138" i="58" s="1"/>
  <c r="R139" i="58" s="1"/>
  <c r="R140" i="58" s="1"/>
  <c r="R141" i="58" s="1"/>
  <c r="R142" i="58" s="1"/>
  <c r="T125" i="58"/>
  <c r="T126" i="58" s="1"/>
  <c r="T127" i="58" s="1"/>
  <c r="T128" i="58" s="1"/>
  <c r="T130" i="58" s="1"/>
  <c r="T131" i="58" s="1"/>
  <c r="T132" i="58" s="1"/>
  <c r="T133" i="58" s="1"/>
  <c r="T134" i="58" s="1"/>
  <c r="T135" i="58" s="1"/>
  <c r="T136" i="58" s="1"/>
  <c r="T137" i="58" s="1"/>
  <c r="T138" i="58" s="1"/>
  <c r="T139" i="58" s="1"/>
  <c r="T140" i="58" s="1"/>
  <c r="T141" i="58" s="1"/>
  <c r="T142" i="58" s="1"/>
  <c r="R125" i="58"/>
  <c r="G123" i="58"/>
  <c r="F123" i="58"/>
  <c r="C123" i="58"/>
  <c r="I122" i="58"/>
  <c r="I125" i="58" s="1"/>
  <c r="I126" i="58" s="1"/>
  <c r="I127" i="58" s="1"/>
  <c r="I128" i="58" s="1"/>
  <c r="I129" i="58" s="1"/>
  <c r="I130" i="58" s="1"/>
  <c r="I131" i="58" s="1"/>
  <c r="I132" i="58" s="1"/>
  <c r="I133" i="58" s="1"/>
  <c r="I134" i="58" s="1"/>
  <c r="I135" i="58" s="1"/>
  <c r="I136" i="58" s="1"/>
  <c r="I137" i="58" s="1"/>
  <c r="I138" i="58" s="1"/>
  <c r="I139" i="58" s="1"/>
  <c r="I140" i="58" s="1"/>
  <c r="I141" i="58" s="1"/>
  <c r="I142" i="58" s="1"/>
  <c r="I145" i="58" s="1"/>
  <c r="I146" i="58" s="1"/>
  <c r="I147" i="58" s="1"/>
  <c r="I148" i="58" s="1"/>
  <c r="I149" i="58" s="1"/>
  <c r="I150" i="58" s="1"/>
  <c r="I151" i="58" s="1"/>
  <c r="I152" i="58" s="1"/>
  <c r="I153" i="58" s="1"/>
  <c r="I154" i="58" s="1"/>
  <c r="I155" i="58" s="1"/>
  <c r="I156" i="58" s="1"/>
  <c r="I157" i="58" s="1"/>
  <c r="I158" i="58" s="1"/>
  <c r="I159" i="58" s="1"/>
  <c r="I160" i="58" s="1"/>
  <c r="I161" i="58" s="1"/>
  <c r="I162" i="58" s="1"/>
  <c r="I163" i="58" s="1"/>
  <c r="I164" i="58" s="1"/>
  <c r="I165" i="58" s="1"/>
  <c r="I166" i="58" s="1"/>
  <c r="I167" i="58" s="1"/>
  <c r="I168" i="58" s="1"/>
  <c r="I169" i="58" s="1"/>
  <c r="I170" i="58" s="1"/>
  <c r="I171" i="58" s="1"/>
  <c r="I172" i="58" s="1"/>
  <c r="I173" i="58" s="1"/>
  <c r="I174" i="58" s="1"/>
  <c r="I175" i="58" s="1"/>
  <c r="I121" i="58"/>
  <c r="Q119" i="58"/>
  <c r="Q118" i="58"/>
  <c r="R117" i="58"/>
  <c r="Q117" i="58"/>
  <c r="F117" i="58"/>
  <c r="Q116" i="58"/>
  <c r="G116" i="58"/>
  <c r="F116" i="58"/>
  <c r="Q115" i="58"/>
  <c r="G115" i="58"/>
  <c r="F115" i="58"/>
  <c r="Q114" i="58"/>
  <c r="F114" i="58"/>
  <c r="R113" i="58"/>
  <c r="Q113" i="58"/>
  <c r="F113" i="58"/>
  <c r="Q112" i="58"/>
  <c r="G112" i="58"/>
  <c r="F112" i="58"/>
  <c r="Q111" i="58"/>
  <c r="G111" i="58"/>
  <c r="F111" i="58"/>
  <c r="Q110" i="58"/>
  <c r="F110" i="58"/>
  <c r="Q109" i="58"/>
  <c r="F109" i="58"/>
  <c r="Q108" i="58"/>
  <c r="F108" i="58"/>
  <c r="R107" i="58"/>
  <c r="R120" i="58" s="1"/>
  <c r="Q107" i="58"/>
  <c r="G107" i="58"/>
  <c r="F107" i="58"/>
  <c r="Q106" i="58"/>
  <c r="F106" i="58"/>
  <c r="Q105" i="58"/>
  <c r="F105" i="58"/>
  <c r="Q104" i="58"/>
  <c r="F104" i="58"/>
  <c r="Q103" i="58"/>
  <c r="F103" i="58"/>
  <c r="R102" i="58"/>
  <c r="Q102" i="58"/>
  <c r="F102" i="58"/>
  <c r="Q101" i="58"/>
  <c r="F101" i="58"/>
  <c r="Q100" i="58"/>
  <c r="G100" i="58"/>
  <c r="G118" i="58" s="1"/>
  <c r="F100" i="58"/>
  <c r="F118" i="58" s="1"/>
  <c r="Q96" i="58"/>
  <c r="F96" i="58"/>
  <c r="I95" i="58"/>
  <c r="G95" i="58"/>
  <c r="F95" i="58"/>
  <c r="U93" i="58"/>
  <c r="T93" i="58"/>
  <c r="R93" i="58"/>
  <c r="Q93" i="58"/>
  <c r="O93" i="58"/>
  <c r="N92" i="58"/>
  <c r="J92" i="58"/>
  <c r="J95" i="58" s="1"/>
  <c r="I92" i="58"/>
  <c r="G92" i="58"/>
  <c r="F92" i="58"/>
  <c r="D92" i="58"/>
  <c r="X91" i="58"/>
  <c r="U91" i="58"/>
  <c r="R91" i="58"/>
  <c r="O91" i="58"/>
  <c r="O92" i="58" s="1"/>
  <c r="O94" i="58" s="1"/>
  <c r="O95" i="58" s="1"/>
  <c r="C91" i="58"/>
  <c r="U90" i="58"/>
  <c r="R90" i="58"/>
  <c r="O90" i="58"/>
  <c r="J90" i="58"/>
  <c r="G90" i="58"/>
  <c r="D90" i="58"/>
  <c r="T89" i="58"/>
  <c r="U89" i="58" s="1"/>
  <c r="R89" i="58"/>
  <c r="Q89" i="58"/>
  <c r="O89" i="58"/>
  <c r="J89" i="58"/>
  <c r="G89" i="58"/>
  <c r="D89" i="58"/>
  <c r="T88" i="58"/>
  <c r="U88" i="58" s="1"/>
  <c r="U92" i="58" s="1"/>
  <c r="R88" i="58"/>
  <c r="R92" i="58" s="1"/>
  <c r="R94" i="58" s="1"/>
  <c r="Q88" i="58"/>
  <c r="O88" i="58"/>
  <c r="J88" i="58"/>
  <c r="I88" i="58"/>
  <c r="G88" i="58"/>
  <c r="F88" i="58"/>
  <c r="D88" i="58"/>
  <c r="Q87" i="58"/>
  <c r="J87" i="58"/>
  <c r="J91" i="58" s="1"/>
  <c r="I87" i="58"/>
  <c r="G87" i="58"/>
  <c r="F87" i="58"/>
  <c r="D87" i="58"/>
  <c r="Q86" i="58"/>
  <c r="O85" i="58"/>
  <c r="O86" i="58" s="1"/>
  <c r="N95" i="58" s="1"/>
  <c r="J85" i="58"/>
  <c r="F85" i="58"/>
  <c r="O84" i="58"/>
  <c r="D84" i="58"/>
  <c r="D85" i="58" s="1"/>
  <c r="T83" i="58"/>
  <c r="U86" i="58" s="1"/>
  <c r="Q83" i="58"/>
  <c r="D83" i="58"/>
  <c r="C86" i="58" s="1"/>
  <c r="T82" i="58"/>
  <c r="U82" i="58" s="1"/>
  <c r="Q82" i="58"/>
  <c r="O82" i="58"/>
  <c r="I82" i="58"/>
  <c r="F82" i="58"/>
  <c r="T81" i="58"/>
  <c r="Q81" i="58"/>
  <c r="J81" i="58"/>
  <c r="I81" i="58"/>
  <c r="G81" i="58"/>
  <c r="F81" i="58"/>
  <c r="G83" i="58" s="1"/>
  <c r="D81" i="58"/>
  <c r="I80" i="58"/>
  <c r="F80" i="58"/>
  <c r="F67" i="58"/>
  <c r="D65" i="58"/>
  <c r="J64" i="58"/>
  <c r="J65" i="58" s="1"/>
  <c r="J66" i="58" s="1"/>
  <c r="I64" i="58"/>
  <c r="F64" i="58"/>
  <c r="G64" i="58" s="1"/>
  <c r="D64" i="58"/>
  <c r="F63" i="58"/>
  <c r="C63" i="58"/>
  <c r="J62" i="58"/>
  <c r="G62" i="58"/>
  <c r="F62" i="58"/>
  <c r="D62" i="58"/>
  <c r="J61" i="58"/>
  <c r="G61" i="58"/>
  <c r="D61" i="58"/>
  <c r="D63" i="58" s="1"/>
  <c r="J60" i="58"/>
  <c r="I60" i="58"/>
  <c r="G60" i="58"/>
  <c r="F60" i="58"/>
  <c r="D60" i="58"/>
  <c r="I59" i="58"/>
  <c r="J59" i="58" s="1"/>
  <c r="J63" i="58" s="1"/>
  <c r="G59" i="58"/>
  <c r="G63" i="58" s="1"/>
  <c r="F59" i="58"/>
  <c r="D59" i="58"/>
  <c r="F57" i="58"/>
  <c r="D57" i="58"/>
  <c r="C66" i="58" s="1"/>
  <c r="G56" i="58"/>
  <c r="G57" i="58" s="1"/>
  <c r="D56" i="58"/>
  <c r="G55" i="58"/>
  <c r="D55" i="58"/>
  <c r="C58" i="58" s="1"/>
  <c r="F58" i="58" s="1"/>
  <c r="I54" i="58"/>
  <c r="J57" i="58" s="1"/>
  <c r="F54" i="58"/>
  <c r="J53" i="58"/>
  <c r="I53" i="58"/>
  <c r="G53" i="58"/>
  <c r="F53" i="58"/>
  <c r="D53" i="58"/>
  <c r="I52" i="58"/>
  <c r="F52" i="58"/>
  <c r="F41" i="58"/>
  <c r="I38" i="58"/>
  <c r="J38" i="58" s="1"/>
  <c r="J39" i="58" s="1"/>
  <c r="J40" i="58" s="1"/>
  <c r="F38" i="58"/>
  <c r="G38" i="58" s="1"/>
  <c r="D38" i="58"/>
  <c r="C37" i="58"/>
  <c r="J36" i="58"/>
  <c r="G36" i="58"/>
  <c r="D36" i="58"/>
  <c r="J35" i="58"/>
  <c r="G35" i="58"/>
  <c r="D35" i="58"/>
  <c r="D37" i="58" s="1"/>
  <c r="D39" i="58" s="1"/>
  <c r="J34" i="58"/>
  <c r="I34" i="58"/>
  <c r="G34" i="58"/>
  <c r="F34" i="58"/>
  <c r="D34" i="58"/>
  <c r="I33" i="58"/>
  <c r="J33" i="58" s="1"/>
  <c r="J37" i="58" s="1"/>
  <c r="G33" i="58"/>
  <c r="G37" i="58" s="1"/>
  <c r="F33" i="58"/>
  <c r="D33" i="58"/>
  <c r="F32" i="58"/>
  <c r="F31" i="58"/>
  <c r="D31" i="58"/>
  <c r="D30" i="58"/>
  <c r="D29" i="58"/>
  <c r="I28" i="58"/>
  <c r="J31" i="58" s="1"/>
  <c r="F28" i="58"/>
  <c r="M27" i="58"/>
  <c r="O27" i="58" s="1"/>
  <c r="I27" i="58"/>
  <c r="J27" i="58" s="1"/>
  <c r="F27" i="58"/>
  <c r="D27" i="58"/>
  <c r="I26" i="58"/>
  <c r="F26" i="58"/>
  <c r="N23" i="58"/>
  <c r="O22" i="58"/>
  <c r="M22" i="58"/>
  <c r="V21" i="58"/>
  <c r="M21" i="58"/>
  <c r="O21" i="58" s="1"/>
  <c r="K21" i="58"/>
  <c r="O20" i="58"/>
  <c r="M20" i="58"/>
  <c r="V19" i="58"/>
  <c r="M19" i="58"/>
  <c r="O19" i="58" s="1"/>
  <c r="F19" i="58"/>
  <c r="U18" i="58"/>
  <c r="O18" i="58"/>
  <c r="M18" i="58"/>
  <c r="O17" i="58"/>
  <c r="M17" i="58"/>
  <c r="O16" i="58"/>
  <c r="M16" i="58"/>
  <c r="I16" i="58"/>
  <c r="G16" i="58"/>
  <c r="F16" i="58"/>
  <c r="C16" i="58"/>
  <c r="U15" i="58"/>
  <c r="T15" i="58"/>
  <c r="S15" i="58"/>
  <c r="R15" i="58"/>
  <c r="Q15" i="58"/>
  <c r="M15" i="58"/>
  <c r="M23" i="58" s="1"/>
  <c r="O14" i="58"/>
  <c r="M14" i="58"/>
  <c r="G14" i="58"/>
  <c r="I13" i="58"/>
  <c r="G13" i="58"/>
  <c r="U12" i="58"/>
  <c r="T12" i="58"/>
  <c r="S12" i="58"/>
  <c r="R12" i="58"/>
  <c r="Q12" i="58"/>
  <c r="I12" i="58"/>
  <c r="G12" i="58"/>
  <c r="F11" i="58"/>
  <c r="G11" i="58" s="1"/>
  <c r="C11" i="58"/>
  <c r="I11" i="58" s="1"/>
  <c r="J11" i="58" s="1"/>
  <c r="N10" i="58"/>
  <c r="D10" i="58"/>
  <c r="D15" i="58" s="1"/>
  <c r="D17" i="58" s="1"/>
  <c r="C10" i="58"/>
  <c r="F9" i="58"/>
  <c r="F8" i="58"/>
  <c r="AB7" i="58"/>
  <c r="AA7" i="58"/>
  <c r="W7" i="58"/>
  <c r="V7" i="58"/>
  <c r="U7" i="58"/>
  <c r="D7" i="58"/>
  <c r="W6" i="58"/>
  <c r="S6" i="58"/>
  <c r="R6" i="58"/>
  <c r="U6" i="58" s="1"/>
  <c r="V6" i="58" s="1"/>
  <c r="P6" i="58"/>
  <c r="X6" i="58" s="1"/>
  <c r="AA6" i="58" s="1"/>
  <c r="O6" i="58"/>
  <c r="AB6" i="58" s="1"/>
  <c r="D6" i="58"/>
  <c r="D8" i="58" s="1"/>
  <c r="C18" i="58" s="1"/>
  <c r="U5" i="58"/>
  <c r="S5" i="58"/>
  <c r="R5" i="58"/>
  <c r="P5" i="58"/>
  <c r="X5" i="58" s="1"/>
  <c r="AA5" i="58" s="1"/>
  <c r="O5" i="58"/>
  <c r="AB5" i="58" s="1"/>
  <c r="I5" i="58"/>
  <c r="F5" i="58"/>
  <c r="AB4" i="58"/>
  <c r="AA4" i="58"/>
  <c r="X4" i="58"/>
  <c r="U4" i="58"/>
  <c r="V4" i="58" s="1"/>
  <c r="W4" i="58" s="1"/>
  <c r="AD4" i="58" s="1"/>
  <c r="P4" i="58"/>
  <c r="J4" i="58"/>
  <c r="I4" i="58"/>
  <c r="J8" i="58" s="1"/>
  <c r="F4" i="58"/>
  <c r="G7" i="58" s="1"/>
  <c r="G8" i="58" s="1"/>
  <c r="D4" i="58"/>
  <c r="AA3" i="58"/>
  <c r="X3" i="58"/>
  <c r="U3" i="58"/>
  <c r="P3" i="58"/>
  <c r="O3" i="58"/>
  <c r="I3" i="58"/>
  <c r="F3" i="58"/>
  <c r="G4" i="58" s="1"/>
  <c r="M46" i="57"/>
  <c r="L46" i="57"/>
  <c r="E46" i="57"/>
  <c r="N45" i="57"/>
  <c r="M45" i="57"/>
  <c r="L45" i="57"/>
  <c r="K45" i="57"/>
  <c r="I45" i="57"/>
  <c r="E45" i="57"/>
  <c r="D45" i="57"/>
  <c r="C45" i="57"/>
  <c r="G44" i="57"/>
  <c r="L43" i="57"/>
  <c r="J43" i="57"/>
  <c r="J45" i="57" s="1"/>
  <c r="I43" i="57"/>
  <c r="I46" i="57" s="1"/>
  <c r="H43" i="57"/>
  <c r="H45" i="57" s="1"/>
  <c r="G43" i="57"/>
  <c r="F43" i="57"/>
  <c r="F46" i="57" s="1"/>
  <c r="F32" i="57" s="1"/>
  <c r="D43" i="57"/>
  <c r="D46" i="57" s="1"/>
  <c r="D32" i="57" s="1"/>
  <c r="C43" i="57"/>
  <c r="C46" i="57" s="1"/>
  <c r="C32" i="57" s="1"/>
  <c r="O42" i="57"/>
  <c r="O41" i="57"/>
  <c r="O40" i="57"/>
  <c r="O39" i="57"/>
  <c r="O38" i="57"/>
  <c r="G38" i="57"/>
  <c r="O37" i="57"/>
  <c r="O36" i="57"/>
  <c r="O35" i="57"/>
  <c r="H35" i="57"/>
  <c r="O34" i="57"/>
  <c r="N33" i="57"/>
  <c r="N46" i="57" s="1"/>
  <c r="L33" i="57"/>
  <c r="K33" i="57"/>
  <c r="K46" i="57" s="1"/>
  <c r="K32" i="57" s="1"/>
  <c r="G33" i="57"/>
  <c r="M32" i="57"/>
  <c r="L32" i="57"/>
  <c r="E32" i="57"/>
  <c r="N31" i="57"/>
  <c r="M31" i="57"/>
  <c r="L31" i="57"/>
  <c r="K31" i="57"/>
  <c r="J31" i="57"/>
  <c r="I31" i="57"/>
  <c r="I32" i="57" s="1"/>
  <c r="G31" i="57"/>
  <c r="O30" i="57"/>
  <c r="O29" i="57"/>
  <c r="K29" i="57"/>
  <c r="M28" i="57"/>
  <c r="L28" i="57"/>
  <c r="K28" i="57"/>
  <c r="I28" i="57"/>
  <c r="H28" i="57"/>
  <c r="F28" i="57"/>
  <c r="E28" i="57"/>
  <c r="D28" i="57"/>
  <c r="C28" i="57"/>
  <c r="N22" i="57"/>
  <c r="N8" i="57" s="1"/>
  <c r="M22" i="57"/>
  <c r="I22" i="57"/>
  <c r="N21" i="57"/>
  <c r="M21" i="57"/>
  <c r="J21" i="57"/>
  <c r="I21" i="57"/>
  <c r="G21" i="57"/>
  <c r="F21" i="57"/>
  <c r="E20" i="57"/>
  <c r="O20" i="57" s="1"/>
  <c r="K19" i="57"/>
  <c r="K21" i="57" s="1"/>
  <c r="H19" i="57"/>
  <c r="H21" i="57" s="1"/>
  <c r="G19" i="57"/>
  <c r="F19" i="57"/>
  <c r="E19" i="57"/>
  <c r="D19" i="57"/>
  <c r="D21" i="57" s="1"/>
  <c r="C19" i="57"/>
  <c r="O18" i="57"/>
  <c r="L17" i="57"/>
  <c r="L21" i="57" s="1"/>
  <c r="E17" i="57"/>
  <c r="O16" i="57"/>
  <c r="O15" i="57"/>
  <c r="G15" i="57"/>
  <c r="D15" i="57"/>
  <c r="J14" i="57"/>
  <c r="H14" i="57"/>
  <c r="F14" i="57"/>
  <c r="F13" i="57"/>
  <c r="E13" i="57"/>
  <c r="D13" i="57"/>
  <c r="O13" i="57" s="1"/>
  <c r="C13" i="57"/>
  <c r="C22" i="57" s="1"/>
  <c r="O12" i="57"/>
  <c r="L11" i="57"/>
  <c r="K11" i="57"/>
  <c r="J11" i="57"/>
  <c r="J22" i="57" s="1"/>
  <c r="I11" i="57"/>
  <c r="H11" i="57"/>
  <c r="H22" i="57" s="1"/>
  <c r="G11" i="57"/>
  <c r="G22" i="57" s="1"/>
  <c r="F11" i="57"/>
  <c r="F22" i="57" s="1"/>
  <c r="E11" i="57"/>
  <c r="E22" i="57" s="1"/>
  <c r="E8" i="57" s="1"/>
  <c r="D11" i="57"/>
  <c r="O10" i="57"/>
  <c r="O9" i="57"/>
  <c r="K9" i="57"/>
  <c r="K22" i="57" s="1"/>
  <c r="M8" i="57"/>
  <c r="I8" i="57"/>
  <c r="L7" i="57"/>
  <c r="K7" i="57"/>
  <c r="K8" i="57" s="1"/>
  <c r="J7" i="57"/>
  <c r="I7" i="57"/>
  <c r="H7" i="57"/>
  <c r="H8" i="57" s="1"/>
  <c r="G7" i="57"/>
  <c r="G4" i="57" s="1"/>
  <c r="F7" i="57"/>
  <c r="F4" i="57" s="1"/>
  <c r="E7" i="57"/>
  <c r="D7" i="57"/>
  <c r="C7" i="57"/>
  <c r="O6" i="57"/>
  <c r="L5" i="57"/>
  <c r="L4" i="57" s="1"/>
  <c r="J5" i="57"/>
  <c r="O5" i="57" s="1"/>
  <c r="N4" i="57"/>
  <c r="M4" i="57"/>
  <c r="K4" i="57"/>
  <c r="I4" i="57"/>
  <c r="E4" i="57"/>
  <c r="D4" i="57"/>
  <c r="K60" i="56"/>
  <c r="J60" i="56"/>
  <c r="I60" i="56"/>
  <c r="H60" i="56"/>
  <c r="K62" i="56" s="1"/>
  <c r="G176" i="54"/>
  <c r="F176" i="54"/>
  <c r="E176" i="54"/>
  <c r="G177" i="54" s="1"/>
  <c r="H174" i="54"/>
  <c r="H173" i="54"/>
  <c r="H172" i="54"/>
  <c r="H171" i="54"/>
  <c r="H170" i="54"/>
  <c r="H169" i="54"/>
  <c r="H176" i="54" s="1"/>
  <c r="H168" i="54"/>
  <c r="O167" i="54"/>
  <c r="H167" i="54"/>
  <c r="H166" i="54"/>
  <c r="H165" i="54"/>
  <c r="D137" i="54"/>
  <c r="O136" i="54"/>
  <c r="O135" i="54"/>
  <c r="O134" i="54"/>
  <c r="O127" i="54"/>
  <c r="O126" i="54"/>
  <c r="O125" i="54"/>
  <c r="O124" i="54"/>
  <c r="O123" i="54"/>
  <c r="O122" i="54"/>
  <c r="O121" i="54"/>
  <c r="I116" i="54"/>
  <c r="H116" i="54"/>
  <c r="E116" i="54"/>
  <c r="I114" i="54"/>
  <c r="H114" i="54"/>
  <c r="G114" i="54"/>
  <c r="F114" i="54"/>
  <c r="E114" i="54"/>
  <c r="D114" i="54"/>
  <c r="C114" i="54"/>
  <c r="G105" i="54"/>
  <c r="C105" i="54"/>
  <c r="G103" i="54"/>
  <c r="F103" i="54"/>
  <c r="F105" i="54" s="1"/>
  <c r="E103" i="54"/>
  <c r="E105" i="54" s="1"/>
  <c r="C103" i="54"/>
  <c r="I102" i="54"/>
  <c r="I104" i="54" s="1"/>
  <c r="I106" i="54" s="1"/>
  <c r="C99" i="54"/>
  <c r="I98" i="54"/>
  <c r="I99" i="54" s="1"/>
  <c r="I100" i="54" s="1"/>
  <c r="G98" i="54"/>
  <c r="G99" i="54" s="1"/>
  <c r="G100" i="54" s="1"/>
  <c r="C98" i="54"/>
  <c r="I96" i="54"/>
  <c r="I95" i="54"/>
  <c r="H95" i="54"/>
  <c r="G95" i="54"/>
  <c r="F95" i="54"/>
  <c r="E95" i="54"/>
  <c r="D95" i="54"/>
  <c r="C95" i="54"/>
  <c r="C100" i="54" s="1"/>
  <c r="G92" i="54"/>
  <c r="G96" i="54" s="1"/>
  <c r="C92" i="54"/>
  <c r="C96" i="54" s="1"/>
  <c r="I91" i="54"/>
  <c r="I92" i="54" s="1"/>
  <c r="G91" i="54"/>
  <c r="F91" i="54"/>
  <c r="F92" i="54" s="1"/>
  <c r="F96" i="54" s="1"/>
  <c r="C91" i="54"/>
  <c r="I90" i="54"/>
  <c r="I103" i="54" s="1"/>
  <c r="I105" i="54" s="1"/>
  <c r="H90" i="54"/>
  <c r="G90" i="54"/>
  <c r="G116" i="54" s="1"/>
  <c r="F90" i="54"/>
  <c r="F102" i="54" s="1"/>
  <c r="F104" i="54" s="1"/>
  <c r="F106" i="54" s="1"/>
  <c r="E90" i="54"/>
  <c r="E91" i="54" s="1"/>
  <c r="E92" i="54" s="1"/>
  <c r="E96" i="54" s="1"/>
  <c r="D90" i="54"/>
  <c r="C90" i="54"/>
  <c r="C116" i="54" s="1"/>
  <c r="M87" i="54"/>
  <c r="J87" i="54"/>
  <c r="I87" i="54"/>
  <c r="G87" i="54"/>
  <c r="E87" i="54"/>
  <c r="N86" i="54"/>
  <c r="N87" i="54" s="1"/>
  <c r="M86" i="54"/>
  <c r="L86" i="54"/>
  <c r="L87" i="54" s="1"/>
  <c r="K86" i="54"/>
  <c r="K87" i="54" s="1"/>
  <c r="J86" i="54"/>
  <c r="I86" i="54"/>
  <c r="H86" i="54"/>
  <c r="H87" i="54" s="1"/>
  <c r="G86" i="54"/>
  <c r="F86" i="54"/>
  <c r="F87" i="54" s="1"/>
  <c r="E86" i="54"/>
  <c r="D86" i="54"/>
  <c r="D87" i="54" s="1"/>
  <c r="C86" i="54"/>
  <c r="C87" i="54" s="1"/>
  <c r="O85" i="54"/>
  <c r="O84" i="54"/>
  <c r="O77" i="54"/>
  <c r="O76" i="54"/>
  <c r="O75" i="54"/>
  <c r="O86" i="54" s="1"/>
  <c r="O87" i="54" s="1"/>
  <c r="L70" i="54"/>
  <c r="O69" i="54"/>
  <c r="L68" i="54"/>
  <c r="J68" i="54"/>
  <c r="J70" i="54" s="1"/>
  <c r="I68" i="54"/>
  <c r="I70" i="54" s="1"/>
  <c r="H68" i="54"/>
  <c r="H70" i="54" s="1"/>
  <c r="D68" i="54"/>
  <c r="D70" i="54" s="1"/>
  <c r="N67" i="54"/>
  <c r="N68" i="54" s="1"/>
  <c r="N70" i="54" s="1"/>
  <c r="M67" i="54"/>
  <c r="M68" i="54" s="1"/>
  <c r="M70" i="54" s="1"/>
  <c r="L67" i="54"/>
  <c r="K67" i="54"/>
  <c r="K68" i="54" s="1"/>
  <c r="K70" i="54" s="1"/>
  <c r="J67" i="54"/>
  <c r="I67" i="54"/>
  <c r="H67" i="54"/>
  <c r="G67" i="54"/>
  <c r="G68" i="54" s="1"/>
  <c r="G70" i="54" s="1"/>
  <c r="F67" i="54"/>
  <c r="F68" i="54" s="1"/>
  <c r="F70" i="54" s="1"/>
  <c r="E67" i="54"/>
  <c r="E68" i="54" s="1"/>
  <c r="E70" i="54" s="1"/>
  <c r="D67" i="54"/>
  <c r="C67" i="54"/>
  <c r="C68" i="54" s="1"/>
  <c r="C70" i="54" s="1"/>
  <c r="N66" i="54"/>
  <c r="M66" i="54"/>
  <c r="L66" i="54"/>
  <c r="K66" i="54"/>
  <c r="J66" i="54"/>
  <c r="I66" i="54"/>
  <c r="H66" i="54"/>
  <c r="G66" i="54"/>
  <c r="F66" i="54"/>
  <c r="E66" i="54"/>
  <c r="D66" i="54"/>
  <c r="C66" i="54"/>
  <c r="O66" i="54" s="1"/>
  <c r="O65" i="54"/>
  <c r="O64" i="54"/>
  <c r="O63" i="54"/>
  <c r="O67" i="54" s="1"/>
  <c r="O68" i="54" s="1"/>
  <c r="O70" i="54" s="1"/>
  <c r="O60" i="54"/>
  <c r="O59" i="54"/>
  <c r="O58" i="54"/>
  <c r="O57" i="54"/>
  <c r="O55" i="54"/>
  <c r="O54" i="54"/>
  <c r="J50" i="54"/>
  <c r="F50" i="54"/>
  <c r="O49" i="54"/>
  <c r="J48" i="54"/>
  <c r="H48" i="54"/>
  <c r="H50" i="54" s="1"/>
  <c r="G48" i="54"/>
  <c r="G50" i="54" s="1"/>
  <c r="F48" i="54"/>
  <c r="N47" i="54"/>
  <c r="M47" i="54"/>
  <c r="M48" i="54" s="1"/>
  <c r="M50" i="54" s="1"/>
  <c r="L47" i="54"/>
  <c r="L48" i="54" s="1"/>
  <c r="L50" i="54" s="1"/>
  <c r="K47" i="54"/>
  <c r="K48" i="54" s="1"/>
  <c r="K50" i="54" s="1"/>
  <c r="J47" i="54"/>
  <c r="I47" i="54"/>
  <c r="I48" i="54" s="1"/>
  <c r="I50" i="54" s="1"/>
  <c r="H47" i="54"/>
  <c r="G47" i="54"/>
  <c r="F47" i="54"/>
  <c r="E47" i="54"/>
  <c r="E48" i="54" s="1"/>
  <c r="E50" i="54" s="1"/>
  <c r="D47" i="54"/>
  <c r="D48" i="54" s="1"/>
  <c r="D50" i="54" s="1"/>
  <c r="C47" i="54"/>
  <c r="C48" i="54" s="1"/>
  <c r="C50" i="54" s="1"/>
  <c r="N46" i="54"/>
  <c r="M46" i="54"/>
  <c r="L46" i="54"/>
  <c r="K46" i="54"/>
  <c r="J46" i="54"/>
  <c r="I46" i="54"/>
  <c r="H46" i="54"/>
  <c r="G46" i="54"/>
  <c r="F46" i="54"/>
  <c r="E46" i="54"/>
  <c r="D46" i="54"/>
  <c r="O46" i="54" s="1"/>
  <c r="C46" i="54"/>
  <c r="O45" i="54"/>
  <c r="O44" i="54"/>
  <c r="O43" i="54"/>
  <c r="O40" i="54"/>
  <c r="O39" i="54"/>
  <c r="O47" i="54" s="1"/>
  <c r="O38" i="54"/>
  <c r="O37" i="54"/>
  <c r="O35" i="54"/>
  <c r="N34" i="54"/>
  <c r="O34" i="54" s="1"/>
  <c r="O48" i="54" s="1"/>
  <c r="O50" i="54" s="1"/>
  <c r="N29" i="54"/>
  <c r="M29" i="54"/>
  <c r="L29" i="54"/>
  <c r="K29" i="54"/>
  <c r="I29" i="54"/>
  <c r="G29" i="54"/>
  <c r="E29" i="54"/>
  <c r="C29" i="54"/>
  <c r="O28" i="54"/>
  <c r="N28" i="54"/>
  <c r="M28" i="54"/>
  <c r="J28" i="54"/>
  <c r="I28" i="54"/>
  <c r="G28" i="54"/>
  <c r="F28" i="54"/>
  <c r="L27" i="54"/>
  <c r="L28" i="54" s="1"/>
  <c r="K27" i="54"/>
  <c r="K28" i="54" s="1"/>
  <c r="J27" i="54"/>
  <c r="I27" i="54"/>
  <c r="H27" i="54"/>
  <c r="H28" i="54" s="1"/>
  <c r="G27" i="54"/>
  <c r="F27" i="54"/>
  <c r="E27" i="54"/>
  <c r="E28" i="54" s="1"/>
  <c r="D27" i="54"/>
  <c r="D28" i="54" s="1"/>
  <c r="C27" i="54"/>
  <c r="C28" i="54" s="1"/>
  <c r="S25" i="54"/>
  <c r="M25" i="54"/>
  <c r="L25" i="54"/>
  <c r="E25" i="54"/>
  <c r="D25" i="54"/>
  <c r="C25" i="54"/>
  <c r="C8" i="54" s="1"/>
  <c r="S24" i="54"/>
  <c r="N24" i="54"/>
  <c r="M24" i="54"/>
  <c r="L24" i="54"/>
  <c r="K24" i="54"/>
  <c r="H24" i="54"/>
  <c r="E24" i="54"/>
  <c r="D24" i="54"/>
  <c r="C24" i="54"/>
  <c r="S23" i="54"/>
  <c r="Q23" i="54"/>
  <c r="R23" i="54" s="1"/>
  <c r="K23" i="54"/>
  <c r="O23" i="54" s="1"/>
  <c r="S22" i="54"/>
  <c r="Q22" i="54"/>
  <c r="R22" i="54" s="1"/>
  <c r="O22" i="54"/>
  <c r="S21" i="54"/>
  <c r="L21" i="54"/>
  <c r="J21" i="54"/>
  <c r="J25" i="54" s="1"/>
  <c r="I21" i="54"/>
  <c r="H21" i="54"/>
  <c r="G21" i="54"/>
  <c r="F21" i="54"/>
  <c r="F25" i="54" s="1"/>
  <c r="F8" i="54" s="1"/>
  <c r="D21" i="54"/>
  <c r="C21" i="54"/>
  <c r="Q21" i="54" s="1"/>
  <c r="R21" i="54" s="1"/>
  <c r="S20" i="54"/>
  <c r="K20" i="54"/>
  <c r="I20" i="54"/>
  <c r="Q20" i="54" s="1"/>
  <c r="R20" i="54" s="1"/>
  <c r="H20" i="54"/>
  <c r="G20" i="54"/>
  <c r="G24" i="54" s="1"/>
  <c r="S19" i="54"/>
  <c r="Q19" i="54"/>
  <c r="R19" i="54" s="1"/>
  <c r="O19" i="54"/>
  <c r="S18" i="54"/>
  <c r="R18" i="54"/>
  <c r="Q18" i="54"/>
  <c r="O18" i="54"/>
  <c r="S17" i="54"/>
  <c r="Q17" i="54"/>
  <c r="R17" i="54" s="1"/>
  <c r="O17" i="54"/>
  <c r="S16" i="54"/>
  <c r="R16" i="54"/>
  <c r="Q16" i="54"/>
  <c r="O16" i="54"/>
  <c r="S15" i="54"/>
  <c r="Q15" i="54"/>
  <c r="R15" i="54" s="1"/>
  <c r="O15" i="54"/>
  <c r="S14" i="54"/>
  <c r="G14" i="54"/>
  <c r="Q14" i="54" s="1"/>
  <c r="R14" i="54" s="1"/>
  <c r="S13" i="54"/>
  <c r="R13" i="54"/>
  <c r="Q13" i="54"/>
  <c r="O13" i="54"/>
  <c r="O12" i="54"/>
  <c r="S11" i="54"/>
  <c r="H11" i="54"/>
  <c r="Q11" i="54" s="1"/>
  <c r="R11" i="54" s="1"/>
  <c r="S10" i="54"/>
  <c r="Q10" i="54"/>
  <c r="R10" i="54" s="1"/>
  <c r="O10" i="54"/>
  <c r="S9" i="54"/>
  <c r="Q9" i="54"/>
  <c r="R9" i="54" s="1"/>
  <c r="O9" i="54"/>
  <c r="N9" i="54"/>
  <c r="N25" i="54" s="1"/>
  <c r="N8" i="54" s="1"/>
  <c r="L9" i="54"/>
  <c r="K9" i="54"/>
  <c r="K25" i="54" s="1"/>
  <c r="G9" i="54"/>
  <c r="G25" i="54" s="1"/>
  <c r="G8" i="54" s="1"/>
  <c r="S8" i="54"/>
  <c r="L8" i="54"/>
  <c r="E8" i="54"/>
  <c r="D8" i="54"/>
  <c r="S7" i="54"/>
  <c r="Q7" i="54"/>
  <c r="R7" i="54" s="1"/>
  <c r="O7" i="54"/>
  <c r="S6" i="54"/>
  <c r="Q6" i="54"/>
  <c r="N6" i="54"/>
  <c r="N3" i="54" s="1"/>
  <c r="M6" i="54"/>
  <c r="M8" i="54" s="1"/>
  <c r="L6" i="54"/>
  <c r="L3" i="54" s="1"/>
  <c r="K6" i="54"/>
  <c r="K8" i="54" s="1"/>
  <c r="J6" i="54"/>
  <c r="O6" i="54" s="1"/>
  <c r="O5" i="54"/>
  <c r="O29" i="54" s="1"/>
  <c r="S4" i="54"/>
  <c r="Q4" i="54"/>
  <c r="R4" i="54" s="1"/>
  <c r="K4" i="54"/>
  <c r="O4" i="54" s="1"/>
  <c r="S3" i="54"/>
  <c r="M3" i="54"/>
  <c r="J3" i="54"/>
  <c r="I3" i="54"/>
  <c r="H3" i="54"/>
  <c r="G3" i="54"/>
  <c r="F3" i="54"/>
  <c r="E3" i="54"/>
  <c r="D3" i="54"/>
  <c r="C3" i="54"/>
  <c r="Q3" i="54" s="1"/>
  <c r="R3" i="54" s="1"/>
  <c r="S2" i="54"/>
  <c r="G239" i="53"/>
  <c r="G240" i="53" s="1"/>
  <c r="F239" i="53"/>
  <c r="E239" i="53"/>
  <c r="H237" i="53"/>
  <c r="H236" i="53"/>
  <c r="H235" i="53"/>
  <c r="H234" i="53"/>
  <c r="H233" i="53"/>
  <c r="H232" i="53"/>
  <c r="H231" i="53"/>
  <c r="O230" i="53"/>
  <c r="H230" i="53"/>
  <c r="H229" i="53"/>
  <c r="H228" i="53"/>
  <c r="H239" i="53" s="1"/>
  <c r="D200" i="53"/>
  <c r="O199" i="53"/>
  <c r="O198" i="53"/>
  <c r="O197" i="53"/>
  <c r="O190" i="53"/>
  <c r="O189" i="53"/>
  <c r="O188" i="53"/>
  <c r="O187" i="53"/>
  <c r="O186" i="53"/>
  <c r="O185" i="53"/>
  <c r="O184" i="53"/>
  <c r="E179" i="53"/>
  <c r="G177" i="53"/>
  <c r="F177" i="53"/>
  <c r="E177" i="53"/>
  <c r="D177" i="53"/>
  <c r="C177" i="53"/>
  <c r="D165" i="53"/>
  <c r="D167" i="53" s="1"/>
  <c r="K164" i="53"/>
  <c r="K166" i="53" s="1"/>
  <c r="L166" i="53" s="1"/>
  <c r="M166" i="53" s="1"/>
  <c r="E161" i="53"/>
  <c r="E162" i="53" s="1"/>
  <c r="E163" i="53" s="1"/>
  <c r="D161" i="53"/>
  <c r="D162" i="53" s="1"/>
  <c r="D163" i="53" s="1"/>
  <c r="G158" i="53"/>
  <c r="F158" i="53"/>
  <c r="E158" i="53"/>
  <c r="D158" i="53"/>
  <c r="C158" i="53"/>
  <c r="D155" i="53"/>
  <c r="D159" i="53" s="1"/>
  <c r="D154" i="53"/>
  <c r="G153" i="53"/>
  <c r="G165" i="53" s="1"/>
  <c r="G167" i="53" s="1"/>
  <c r="F153" i="53"/>
  <c r="F165" i="53" s="1"/>
  <c r="F167" i="53" s="1"/>
  <c r="E153" i="53"/>
  <c r="E154" i="53" s="1"/>
  <c r="E155" i="53" s="1"/>
  <c r="E159" i="53" s="1"/>
  <c r="D153" i="53"/>
  <c r="D179" i="53" s="1"/>
  <c r="C153" i="53"/>
  <c r="C179" i="53" s="1"/>
  <c r="L150" i="53"/>
  <c r="K150" i="53"/>
  <c r="D150" i="53"/>
  <c r="C150" i="53"/>
  <c r="N149" i="53"/>
  <c r="N150" i="53" s="1"/>
  <c r="M149" i="53"/>
  <c r="M150" i="53" s="1"/>
  <c r="L149" i="53"/>
  <c r="K149" i="53"/>
  <c r="J149" i="53"/>
  <c r="J150" i="53" s="1"/>
  <c r="I149" i="53"/>
  <c r="I150" i="53" s="1"/>
  <c r="H149" i="53"/>
  <c r="H150" i="53" s="1"/>
  <c r="G149" i="53"/>
  <c r="G150" i="53" s="1"/>
  <c r="F149" i="53"/>
  <c r="F150" i="53" s="1"/>
  <c r="E149" i="53"/>
  <c r="E150" i="53" s="1"/>
  <c r="D149" i="53"/>
  <c r="C149" i="53"/>
  <c r="O148" i="53"/>
  <c r="O147" i="53"/>
  <c r="O140" i="53"/>
  <c r="O139" i="53"/>
  <c r="O149" i="53" s="1"/>
  <c r="O150" i="53" s="1"/>
  <c r="O138" i="53"/>
  <c r="O125" i="53"/>
  <c r="I124" i="53"/>
  <c r="I126" i="53" s="1"/>
  <c r="H124" i="53"/>
  <c r="H126" i="53" s="1"/>
  <c r="N123" i="53"/>
  <c r="N124" i="53" s="1"/>
  <c r="N126" i="53" s="1"/>
  <c r="M123" i="53"/>
  <c r="M124" i="53" s="1"/>
  <c r="M126" i="53" s="1"/>
  <c r="L123" i="53"/>
  <c r="L124" i="53" s="1"/>
  <c r="L126" i="53" s="1"/>
  <c r="K123" i="53"/>
  <c r="K124" i="53" s="1"/>
  <c r="K126" i="53" s="1"/>
  <c r="J123" i="53"/>
  <c r="J124" i="53" s="1"/>
  <c r="J126" i="53" s="1"/>
  <c r="I123" i="53"/>
  <c r="H123" i="53"/>
  <c r="G123" i="53"/>
  <c r="G124" i="53" s="1"/>
  <c r="G126" i="53" s="1"/>
  <c r="F123" i="53"/>
  <c r="F124" i="53" s="1"/>
  <c r="F126" i="53" s="1"/>
  <c r="E123" i="53"/>
  <c r="E124" i="53" s="1"/>
  <c r="E126" i="53" s="1"/>
  <c r="D123" i="53"/>
  <c r="D124" i="53" s="1"/>
  <c r="D126" i="53" s="1"/>
  <c r="C123" i="53"/>
  <c r="C124" i="53" s="1"/>
  <c r="C126" i="53" s="1"/>
  <c r="N122" i="53"/>
  <c r="M122" i="53"/>
  <c r="L122" i="53"/>
  <c r="K122" i="53"/>
  <c r="J122" i="53"/>
  <c r="I122" i="53"/>
  <c r="H122" i="53"/>
  <c r="G122" i="53"/>
  <c r="O122" i="53" s="1"/>
  <c r="F122" i="53"/>
  <c r="E122" i="53"/>
  <c r="D122" i="53"/>
  <c r="C122" i="53"/>
  <c r="O121" i="53"/>
  <c r="O120" i="53"/>
  <c r="O119" i="53"/>
  <c r="O116" i="53"/>
  <c r="O115" i="53"/>
  <c r="O114" i="53"/>
  <c r="O123" i="53" s="1"/>
  <c r="O113" i="53"/>
  <c r="O111" i="53"/>
  <c r="O110" i="53"/>
  <c r="O104" i="53"/>
  <c r="N103" i="53"/>
  <c r="N105" i="53" s="1"/>
  <c r="G103" i="53"/>
  <c r="G105" i="53" s="1"/>
  <c r="F103" i="53"/>
  <c r="F105" i="53" s="1"/>
  <c r="N102" i="53"/>
  <c r="M102" i="53"/>
  <c r="M103" i="53" s="1"/>
  <c r="M105" i="53" s="1"/>
  <c r="L102" i="53"/>
  <c r="L103" i="53" s="1"/>
  <c r="L105" i="53" s="1"/>
  <c r="K102" i="53"/>
  <c r="K103" i="53" s="1"/>
  <c r="K105" i="53" s="1"/>
  <c r="H102" i="53"/>
  <c r="H103" i="53" s="1"/>
  <c r="H105" i="53" s="1"/>
  <c r="G102" i="53"/>
  <c r="F102" i="53"/>
  <c r="E102" i="53"/>
  <c r="E103" i="53" s="1"/>
  <c r="E105" i="53" s="1"/>
  <c r="D102" i="53"/>
  <c r="D103" i="53" s="1"/>
  <c r="D105" i="53" s="1"/>
  <c r="C102" i="53"/>
  <c r="C103" i="53" s="1"/>
  <c r="C105" i="53" s="1"/>
  <c r="N101" i="53"/>
  <c r="M101" i="53"/>
  <c r="L101" i="53"/>
  <c r="K101" i="53"/>
  <c r="I101" i="53"/>
  <c r="H101" i="53"/>
  <c r="G101" i="53"/>
  <c r="F101" i="53"/>
  <c r="E101" i="53"/>
  <c r="D101" i="53"/>
  <c r="C101" i="53"/>
  <c r="O100" i="53"/>
  <c r="J99" i="53"/>
  <c r="J101" i="53" s="1"/>
  <c r="I99" i="53"/>
  <c r="I102" i="53" s="1"/>
  <c r="I103" i="53" s="1"/>
  <c r="I105" i="53" s="1"/>
  <c r="O98" i="53"/>
  <c r="O95" i="53"/>
  <c r="O94" i="53"/>
  <c r="O93" i="53"/>
  <c r="O92" i="53"/>
  <c r="O90" i="53"/>
  <c r="O89" i="53"/>
  <c r="I86" i="53"/>
  <c r="H86" i="53"/>
  <c r="G86" i="53"/>
  <c r="O81" i="53"/>
  <c r="I80" i="53"/>
  <c r="I82" i="53" s="1"/>
  <c r="N79" i="53"/>
  <c r="N80" i="53" s="1"/>
  <c r="N82" i="53" s="1"/>
  <c r="M79" i="53"/>
  <c r="M80" i="53" s="1"/>
  <c r="M82" i="53" s="1"/>
  <c r="L79" i="53"/>
  <c r="L80" i="53" s="1"/>
  <c r="L82" i="53" s="1"/>
  <c r="K79" i="53"/>
  <c r="K80" i="53" s="1"/>
  <c r="K82" i="53" s="1"/>
  <c r="I79" i="53"/>
  <c r="G79" i="53"/>
  <c r="G80" i="53" s="1"/>
  <c r="G82" i="53" s="1"/>
  <c r="F79" i="53"/>
  <c r="F80" i="53" s="1"/>
  <c r="F82" i="53" s="1"/>
  <c r="E79" i="53"/>
  <c r="E80" i="53" s="1"/>
  <c r="E82" i="53" s="1"/>
  <c r="C79" i="53"/>
  <c r="C80" i="53" s="1"/>
  <c r="C82" i="53" s="1"/>
  <c r="N78" i="53"/>
  <c r="M78" i="53"/>
  <c r="L78" i="53"/>
  <c r="K78" i="53"/>
  <c r="I78" i="53"/>
  <c r="G78" i="53"/>
  <c r="F78" i="53"/>
  <c r="E78" i="53"/>
  <c r="D78" i="53"/>
  <c r="C78" i="53"/>
  <c r="J77" i="53"/>
  <c r="J79" i="53" s="1"/>
  <c r="J80" i="53" s="1"/>
  <c r="J82" i="53" s="1"/>
  <c r="H77" i="53"/>
  <c r="H79" i="53" s="1"/>
  <c r="H80" i="53" s="1"/>
  <c r="H82" i="53" s="1"/>
  <c r="D77" i="53"/>
  <c r="O77" i="53" s="1"/>
  <c r="C77" i="53"/>
  <c r="O76" i="53"/>
  <c r="O75" i="53"/>
  <c r="Q72" i="53"/>
  <c r="S72" i="53" s="1"/>
  <c r="O72" i="53"/>
  <c r="Q71" i="53"/>
  <c r="S71" i="53" s="1"/>
  <c r="O71" i="53"/>
  <c r="O70" i="53"/>
  <c r="O69" i="53"/>
  <c r="O67" i="53"/>
  <c r="N66" i="53"/>
  <c r="M66" i="53"/>
  <c r="L66" i="53"/>
  <c r="K66" i="53"/>
  <c r="J66" i="53"/>
  <c r="I66" i="53"/>
  <c r="H66" i="53"/>
  <c r="G66" i="53"/>
  <c r="E66" i="53"/>
  <c r="C66" i="53"/>
  <c r="O65" i="53"/>
  <c r="G64" i="53"/>
  <c r="F64" i="53"/>
  <c r="O63" i="53"/>
  <c r="D62" i="53"/>
  <c r="K58" i="53"/>
  <c r="O57" i="53"/>
  <c r="M56" i="53"/>
  <c r="M58" i="53" s="1"/>
  <c r="L56" i="53"/>
  <c r="L58" i="53" s="1"/>
  <c r="I56" i="53"/>
  <c r="I58" i="53" s="1"/>
  <c r="D56" i="53"/>
  <c r="D58" i="53" s="1"/>
  <c r="N55" i="53"/>
  <c r="N56" i="53" s="1"/>
  <c r="N58" i="53" s="1"/>
  <c r="M55" i="53"/>
  <c r="L55" i="53"/>
  <c r="K55" i="53"/>
  <c r="K56" i="53" s="1"/>
  <c r="J55" i="53"/>
  <c r="J56" i="53" s="1"/>
  <c r="J58" i="53" s="1"/>
  <c r="I55" i="53"/>
  <c r="H55" i="53"/>
  <c r="H56" i="53" s="1"/>
  <c r="H58" i="53" s="1"/>
  <c r="G55" i="53"/>
  <c r="G56" i="53" s="1"/>
  <c r="G58" i="53" s="1"/>
  <c r="F55" i="53"/>
  <c r="F56" i="53" s="1"/>
  <c r="F58" i="53" s="1"/>
  <c r="D55" i="53"/>
  <c r="C55" i="53"/>
  <c r="C56" i="53" s="1"/>
  <c r="C58" i="53" s="1"/>
  <c r="N54" i="53"/>
  <c r="M54" i="53"/>
  <c r="L54" i="53"/>
  <c r="K54" i="53"/>
  <c r="J54" i="53"/>
  <c r="I54" i="53"/>
  <c r="H54" i="53"/>
  <c r="G54" i="53"/>
  <c r="F54" i="53"/>
  <c r="D54" i="53"/>
  <c r="C54" i="53"/>
  <c r="O53" i="53"/>
  <c r="E53" i="53"/>
  <c r="E55" i="53" s="1"/>
  <c r="E56" i="53" s="1"/>
  <c r="E58" i="53" s="1"/>
  <c r="O52" i="53"/>
  <c r="O51" i="53"/>
  <c r="O48" i="53"/>
  <c r="O47" i="53"/>
  <c r="O46" i="53"/>
  <c r="O45" i="53"/>
  <c r="O43" i="53"/>
  <c r="E42" i="53"/>
  <c r="D42" i="53"/>
  <c r="O42" i="53" s="1"/>
  <c r="L38" i="53"/>
  <c r="G38" i="53"/>
  <c r="D38" i="53"/>
  <c r="O37" i="53"/>
  <c r="O36" i="53"/>
  <c r="O35" i="53"/>
  <c r="O34" i="53"/>
  <c r="N33" i="53"/>
  <c r="N38" i="53" s="1"/>
  <c r="M33" i="53"/>
  <c r="M38" i="53" s="1"/>
  <c r="L33" i="53"/>
  <c r="K33" i="53"/>
  <c r="K38" i="53" s="1"/>
  <c r="J33" i="53"/>
  <c r="J38" i="53" s="1"/>
  <c r="I33" i="53"/>
  <c r="I38" i="53" s="1"/>
  <c r="H33" i="53"/>
  <c r="H38" i="53" s="1"/>
  <c r="G33" i="53"/>
  <c r="F33" i="53"/>
  <c r="F38" i="53" s="1"/>
  <c r="E33" i="53"/>
  <c r="E38" i="53" s="1"/>
  <c r="D33" i="53"/>
  <c r="C33" i="53"/>
  <c r="C38" i="53" s="1"/>
  <c r="O32" i="53"/>
  <c r="O31" i="53"/>
  <c r="O30" i="53"/>
  <c r="O29" i="53"/>
  <c r="O28" i="53"/>
  <c r="O27" i="53"/>
  <c r="O26" i="53"/>
  <c r="M25" i="53"/>
  <c r="L25" i="53"/>
  <c r="I25" i="53"/>
  <c r="N24" i="53"/>
  <c r="L24" i="53"/>
  <c r="J24" i="53"/>
  <c r="I24" i="53"/>
  <c r="F23" i="53"/>
  <c r="O23" i="53" s="1"/>
  <c r="D23" i="53"/>
  <c r="E22" i="53"/>
  <c r="O22" i="53" s="1"/>
  <c r="N21" i="53"/>
  <c r="M21" i="53"/>
  <c r="M24" i="53" s="1"/>
  <c r="K21" i="53"/>
  <c r="K24" i="53" s="1"/>
  <c r="H21" i="53"/>
  <c r="H24" i="53" s="1"/>
  <c r="G21" i="53"/>
  <c r="G24" i="53" s="1"/>
  <c r="F21" i="53"/>
  <c r="E21" i="53"/>
  <c r="E24" i="53" s="1"/>
  <c r="D21" i="53"/>
  <c r="D24" i="53" s="1"/>
  <c r="C21" i="53"/>
  <c r="O20" i="53"/>
  <c r="O19" i="53"/>
  <c r="O18" i="53"/>
  <c r="N18" i="53"/>
  <c r="L18" i="53"/>
  <c r="O17" i="53"/>
  <c r="E17" i="53"/>
  <c r="D17" i="53"/>
  <c r="G16" i="53"/>
  <c r="D16" i="53"/>
  <c r="O15" i="53"/>
  <c r="H14" i="53"/>
  <c r="F14" i="53"/>
  <c r="O14" i="53" s="1"/>
  <c r="F13" i="53"/>
  <c r="E13" i="53"/>
  <c r="D13" i="53"/>
  <c r="D25" i="53" s="1"/>
  <c r="C13" i="53"/>
  <c r="O12" i="53"/>
  <c r="N11" i="53"/>
  <c r="M11" i="53"/>
  <c r="L11" i="53"/>
  <c r="K11" i="53"/>
  <c r="J11" i="53"/>
  <c r="J25" i="53" s="1"/>
  <c r="J8" i="53" s="1"/>
  <c r="I11" i="53"/>
  <c r="H11" i="53"/>
  <c r="H25" i="53" s="1"/>
  <c r="G11" i="53"/>
  <c r="F11" i="53"/>
  <c r="E11" i="53"/>
  <c r="D11" i="53"/>
  <c r="O10" i="53"/>
  <c r="O9" i="53"/>
  <c r="N9" i="53"/>
  <c r="N25" i="53" s="1"/>
  <c r="K9" i="53"/>
  <c r="K25" i="53" s="1"/>
  <c r="K8" i="53" s="1"/>
  <c r="O7" i="53"/>
  <c r="N6" i="53"/>
  <c r="N8" i="53" s="1"/>
  <c r="M6" i="53"/>
  <c r="M8" i="53" s="1"/>
  <c r="L6" i="53"/>
  <c r="K6" i="53"/>
  <c r="I6" i="53"/>
  <c r="H6" i="53"/>
  <c r="H8" i="53" s="1"/>
  <c r="G6" i="53"/>
  <c r="G3" i="53" s="1"/>
  <c r="F6" i="53"/>
  <c r="E6" i="53"/>
  <c r="D6" i="53"/>
  <c r="C6" i="53"/>
  <c r="O5" i="53"/>
  <c r="L4" i="53"/>
  <c r="L3" i="53" s="1"/>
  <c r="J4" i="53"/>
  <c r="N3" i="53"/>
  <c r="M3" i="53"/>
  <c r="K3" i="53"/>
  <c r="I3" i="53"/>
  <c r="F3" i="53"/>
  <c r="E3" i="53"/>
  <c r="D3" i="53"/>
  <c r="C3" i="53"/>
  <c r="N247" i="52"/>
  <c r="M247" i="52"/>
  <c r="L247" i="52"/>
  <c r="K247" i="52"/>
  <c r="H247" i="52"/>
  <c r="G247" i="52"/>
  <c r="F247" i="52"/>
  <c r="O246" i="52"/>
  <c r="Q245" i="52"/>
  <c r="O245" i="52"/>
  <c r="J244" i="52"/>
  <c r="J247" i="52" s="1"/>
  <c r="I244" i="52"/>
  <c r="I247" i="52" s="1"/>
  <c r="H244" i="52"/>
  <c r="G244" i="52"/>
  <c r="F244" i="52"/>
  <c r="E244" i="52"/>
  <c r="E247" i="52" s="1"/>
  <c r="D244" i="52"/>
  <c r="D247" i="52" s="1"/>
  <c r="C244" i="52"/>
  <c r="Q244" i="52" s="1"/>
  <c r="O243" i="52"/>
  <c r="Q239" i="52"/>
  <c r="O239" i="52"/>
  <c r="Q238" i="52"/>
  <c r="O238" i="52"/>
  <c r="Q237" i="52"/>
  <c r="O237" i="52"/>
  <c r="O247" i="52" s="1"/>
  <c r="N236" i="52"/>
  <c r="N219" i="52" s="1"/>
  <c r="M236" i="52"/>
  <c r="L236" i="52"/>
  <c r="K236" i="52"/>
  <c r="J236" i="52"/>
  <c r="I236" i="52"/>
  <c r="H236" i="52"/>
  <c r="H219" i="52" s="1"/>
  <c r="G236" i="52"/>
  <c r="N235" i="52"/>
  <c r="M235" i="52"/>
  <c r="L235" i="52"/>
  <c r="K235" i="52"/>
  <c r="J235" i="52"/>
  <c r="I235" i="52"/>
  <c r="H235" i="52"/>
  <c r="G235" i="52"/>
  <c r="F235" i="52"/>
  <c r="E235" i="52"/>
  <c r="O234" i="52"/>
  <c r="O233" i="52"/>
  <c r="E232" i="52"/>
  <c r="D232" i="52"/>
  <c r="D235" i="52" s="1"/>
  <c r="C232" i="52"/>
  <c r="C235" i="52" s="1"/>
  <c r="O231" i="52"/>
  <c r="O230" i="52"/>
  <c r="O229" i="52"/>
  <c r="O228" i="52"/>
  <c r="F227" i="52"/>
  <c r="D227" i="52"/>
  <c r="D236" i="52" s="1"/>
  <c r="D219" i="52" s="1"/>
  <c r="O226" i="52"/>
  <c r="F225" i="52"/>
  <c r="F236" i="52" s="1"/>
  <c r="E225" i="52"/>
  <c r="O225" i="52" s="1"/>
  <c r="O224" i="52"/>
  <c r="O223" i="52"/>
  <c r="F222" i="52"/>
  <c r="E222" i="52"/>
  <c r="E236" i="52" s="1"/>
  <c r="E219" i="52" s="1"/>
  <c r="D222" i="52"/>
  <c r="C222" i="52"/>
  <c r="O222" i="52" s="1"/>
  <c r="O221" i="52"/>
  <c r="O220" i="52"/>
  <c r="M219" i="52"/>
  <c r="L219" i="52"/>
  <c r="K219" i="52"/>
  <c r="J219" i="52"/>
  <c r="I219" i="52"/>
  <c r="O218" i="52"/>
  <c r="G217" i="52"/>
  <c r="G214" i="52" s="1"/>
  <c r="F217" i="52"/>
  <c r="F219" i="52" s="1"/>
  <c r="E217" i="52"/>
  <c r="D217" i="52"/>
  <c r="D214" i="52" s="1"/>
  <c r="C217" i="52"/>
  <c r="C214" i="52" s="1"/>
  <c r="O216" i="52"/>
  <c r="O215" i="52"/>
  <c r="N214" i="52"/>
  <c r="M214" i="52"/>
  <c r="L214" i="52"/>
  <c r="K214" i="52"/>
  <c r="J214" i="52"/>
  <c r="I214" i="52"/>
  <c r="H214" i="52"/>
  <c r="F214" i="52"/>
  <c r="E214" i="52"/>
  <c r="R210" i="52"/>
  <c r="J210" i="52"/>
  <c r="C210" i="52"/>
  <c r="R209" i="52"/>
  <c r="N209" i="52"/>
  <c r="M209" i="52"/>
  <c r="L209" i="52"/>
  <c r="K209" i="52"/>
  <c r="J209" i="52"/>
  <c r="I209" i="52"/>
  <c r="H209" i="52"/>
  <c r="G209" i="52"/>
  <c r="E209" i="52"/>
  <c r="C209" i="52"/>
  <c r="O209" i="52" s="1"/>
  <c r="S209" i="52" s="1"/>
  <c r="R208" i="52"/>
  <c r="F208" i="52"/>
  <c r="F209" i="52" s="1"/>
  <c r="D208" i="52"/>
  <c r="O208" i="52" s="1"/>
  <c r="S208" i="52" s="1"/>
  <c r="R207" i="52"/>
  <c r="O207" i="52"/>
  <c r="S207" i="52" s="1"/>
  <c r="S206" i="52"/>
  <c r="R206" i="52"/>
  <c r="O206" i="52"/>
  <c r="S205" i="52"/>
  <c r="R205" i="52"/>
  <c r="O205" i="52"/>
  <c r="G205" i="52"/>
  <c r="R204" i="52"/>
  <c r="O204" i="52"/>
  <c r="S204" i="52" s="1"/>
  <c r="R203" i="52"/>
  <c r="O203" i="52"/>
  <c r="S203" i="52" s="1"/>
  <c r="R202" i="52"/>
  <c r="O202" i="52"/>
  <c r="S202" i="52" s="1"/>
  <c r="R201" i="52"/>
  <c r="M201" i="52"/>
  <c r="M210" i="52" s="1"/>
  <c r="L201" i="52"/>
  <c r="L210" i="52" s="1"/>
  <c r="K201" i="52"/>
  <c r="K210" i="52" s="1"/>
  <c r="J201" i="52"/>
  <c r="I201" i="52"/>
  <c r="I210" i="52" s="1"/>
  <c r="H201" i="52"/>
  <c r="H210" i="52" s="1"/>
  <c r="G201" i="52"/>
  <c r="G210" i="52" s="1"/>
  <c r="F201" i="52"/>
  <c r="F210" i="52" s="1"/>
  <c r="E201" i="52"/>
  <c r="E210" i="52" s="1"/>
  <c r="D201" i="52"/>
  <c r="D210" i="52" s="1"/>
  <c r="R200" i="52"/>
  <c r="O200" i="52"/>
  <c r="S200" i="52" s="1"/>
  <c r="R199" i="52"/>
  <c r="N199" i="52"/>
  <c r="O199" i="52" s="1"/>
  <c r="R198" i="52"/>
  <c r="R197" i="52"/>
  <c r="N197" i="52"/>
  <c r="M197" i="52"/>
  <c r="K197" i="52"/>
  <c r="I197" i="52"/>
  <c r="H197" i="52"/>
  <c r="G197" i="52"/>
  <c r="F197" i="52"/>
  <c r="E197" i="52"/>
  <c r="D197" i="52"/>
  <c r="C197" i="52"/>
  <c r="R196" i="52"/>
  <c r="O196" i="52"/>
  <c r="S196" i="52" s="1"/>
  <c r="S195" i="52"/>
  <c r="R195" i="52"/>
  <c r="O195" i="52"/>
  <c r="L195" i="52"/>
  <c r="L197" i="52" s="1"/>
  <c r="J195" i="52"/>
  <c r="J197" i="52" s="1"/>
  <c r="R194" i="52"/>
  <c r="O194" i="52"/>
  <c r="S194" i="52" s="1"/>
  <c r="S193" i="52"/>
  <c r="R193" i="52"/>
  <c r="S192" i="52"/>
  <c r="S191" i="52"/>
  <c r="S190" i="52"/>
  <c r="R190" i="52"/>
  <c r="R188" i="52"/>
  <c r="N188" i="52"/>
  <c r="M188" i="52"/>
  <c r="L188" i="52"/>
  <c r="K188" i="52"/>
  <c r="J188" i="52"/>
  <c r="H188" i="52"/>
  <c r="R187" i="52"/>
  <c r="N187" i="52"/>
  <c r="M187" i="52"/>
  <c r="L187" i="52"/>
  <c r="K187" i="52"/>
  <c r="J187" i="52"/>
  <c r="H187" i="52"/>
  <c r="G187" i="52"/>
  <c r="F187" i="52"/>
  <c r="E187" i="52"/>
  <c r="C187" i="52"/>
  <c r="R186" i="52"/>
  <c r="I186" i="52"/>
  <c r="I187" i="52" s="1"/>
  <c r="H186" i="52"/>
  <c r="G186" i="52"/>
  <c r="O186" i="52" s="1"/>
  <c r="S186" i="52" s="1"/>
  <c r="D186" i="52"/>
  <c r="D187" i="52" s="1"/>
  <c r="R185" i="52"/>
  <c r="O185" i="52"/>
  <c r="S184" i="52"/>
  <c r="R184" i="52"/>
  <c r="O184" i="52"/>
  <c r="R183" i="52"/>
  <c r="F183" i="52"/>
  <c r="D183" i="52"/>
  <c r="D188" i="52" s="1"/>
  <c r="S182" i="52"/>
  <c r="R182" i="52"/>
  <c r="O182" i="52"/>
  <c r="S181" i="52"/>
  <c r="R181" i="52"/>
  <c r="O181" i="52"/>
  <c r="R180" i="52"/>
  <c r="O180" i="52"/>
  <c r="S180" i="52" s="1"/>
  <c r="R179" i="52"/>
  <c r="I179" i="52"/>
  <c r="H179" i="52"/>
  <c r="G179" i="52"/>
  <c r="G188" i="52" s="1"/>
  <c r="F179" i="52"/>
  <c r="F188" i="52" s="1"/>
  <c r="E179" i="52"/>
  <c r="E188" i="52" s="1"/>
  <c r="C179" i="52"/>
  <c r="O179" i="52" s="1"/>
  <c r="S179" i="52" s="1"/>
  <c r="R178" i="52"/>
  <c r="I178" i="52"/>
  <c r="I188" i="52" s="1"/>
  <c r="R177" i="52"/>
  <c r="O177" i="52"/>
  <c r="R176" i="52"/>
  <c r="R175" i="52"/>
  <c r="J175" i="52"/>
  <c r="J172" i="52" s="1"/>
  <c r="I175" i="52"/>
  <c r="H175" i="52"/>
  <c r="H172" i="52" s="1"/>
  <c r="O172" i="52" s="1"/>
  <c r="S172" i="52" s="1"/>
  <c r="G175" i="52"/>
  <c r="F175" i="52"/>
  <c r="E175" i="52"/>
  <c r="D175" i="52"/>
  <c r="C175" i="52"/>
  <c r="O175" i="52" s="1"/>
  <c r="R174" i="52"/>
  <c r="O174" i="52"/>
  <c r="S174" i="52" s="1"/>
  <c r="R173" i="52"/>
  <c r="O173" i="52"/>
  <c r="S173" i="52" s="1"/>
  <c r="R172" i="52"/>
  <c r="N172" i="52"/>
  <c r="M172" i="52"/>
  <c r="L172" i="52"/>
  <c r="K172" i="52"/>
  <c r="I172" i="52"/>
  <c r="S171" i="52"/>
  <c r="N159" i="52"/>
  <c r="L159" i="52"/>
  <c r="J159" i="52"/>
  <c r="H159" i="52"/>
  <c r="F159" i="52"/>
  <c r="D159" i="52"/>
  <c r="N158" i="52"/>
  <c r="M158" i="52"/>
  <c r="M159" i="52" s="1"/>
  <c r="L158" i="52"/>
  <c r="K158" i="52"/>
  <c r="K159" i="52" s="1"/>
  <c r="J158" i="52"/>
  <c r="I158" i="52"/>
  <c r="I159" i="52" s="1"/>
  <c r="H158" i="52"/>
  <c r="G158" i="52"/>
  <c r="G159" i="52" s="1"/>
  <c r="F158" i="52"/>
  <c r="E158" i="52"/>
  <c r="E159" i="52" s="1"/>
  <c r="D158" i="52"/>
  <c r="C158" i="52"/>
  <c r="C159" i="52" s="1"/>
  <c r="O157" i="52"/>
  <c r="O156" i="52"/>
  <c r="O149" i="52"/>
  <c r="O148" i="52"/>
  <c r="O158" i="52" s="1"/>
  <c r="O159" i="52" s="1"/>
  <c r="O147" i="52"/>
  <c r="N137" i="52"/>
  <c r="M137" i="52"/>
  <c r="L137" i="52"/>
  <c r="K137" i="52"/>
  <c r="J137" i="52"/>
  <c r="I137" i="52"/>
  <c r="H137" i="52"/>
  <c r="G137" i="52"/>
  <c r="F137" i="52"/>
  <c r="E137" i="52"/>
  <c r="D137" i="52"/>
  <c r="C137" i="52"/>
  <c r="O136" i="52"/>
  <c r="O135" i="52"/>
  <c r="O134" i="52"/>
  <c r="O133" i="52"/>
  <c r="O132" i="52"/>
  <c r="O131" i="52"/>
  <c r="O130" i="52"/>
  <c r="O129" i="52"/>
  <c r="O128" i="52"/>
  <c r="Q127" i="52"/>
  <c r="Q137" i="52" s="1"/>
  <c r="Q139" i="52" s="1"/>
  <c r="O127" i="52"/>
  <c r="O126" i="52"/>
  <c r="O137" i="52" s="1"/>
  <c r="O139" i="52" s="1"/>
  <c r="O119" i="52"/>
  <c r="M118" i="52"/>
  <c r="M120" i="52" s="1"/>
  <c r="K118" i="52"/>
  <c r="K120" i="52" s="1"/>
  <c r="I118" i="52"/>
  <c r="I120" i="52" s="1"/>
  <c r="N117" i="52"/>
  <c r="N118" i="52" s="1"/>
  <c r="N120" i="52" s="1"/>
  <c r="M117" i="52"/>
  <c r="L117" i="52"/>
  <c r="L118" i="52" s="1"/>
  <c r="L120" i="52" s="1"/>
  <c r="K117" i="52"/>
  <c r="J117" i="52"/>
  <c r="J118" i="52" s="1"/>
  <c r="J120" i="52" s="1"/>
  <c r="I117" i="52"/>
  <c r="H117" i="52"/>
  <c r="H118" i="52" s="1"/>
  <c r="H120" i="52" s="1"/>
  <c r="F117" i="52"/>
  <c r="F118" i="52" s="1"/>
  <c r="F120" i="52" s="1"/>
  <c r="D117" i="52"/>
  <c r="D118" i="52" s="1"/>
  <c r="D120" i="52" s="1"/>
  <c r="N116" i="52"/>
  <c r="M116" i="52"/>
  <c r="L116" i="52"/>
  <c r="K116" i="52"/>
  <c r="J116" i="52"/>
  <c r="I116" i="52"/>
  <c r="H116" i="52"/>
  <c r="G116" i="52"/>
  <c r="F116" i="52"/>
  <c r="E116" i="52"/>
  <c r="D116" i="52"/>
  <c r="C116" i="52"/>
  <c r="O116" i="52" s="1"/>
  <c r="O115" i="52"/>
  <c r="O114" i="52"/>
  <c r="O113" i="52"/>
  <c r="O112" i="52"/>
  <c r="O111" i="52"/>
  <c r="O110" i="52"/>
  <c r="G109" i="52"/>
  <c r="G117" i="52" s="1"/>
  <c r="G118" i="52" s="1"/>
  <c r="G120" i="52" s="1"/>
  <c r="F109" i="52"/>
  <c r="E109" i="52"/>
  <c r="E117" i="52" s="1"/>
  <c r="E118" i="52" s="1"/>
  <c r="E120" i="52" s="1"/>
  <c r="D109" i="52"/>
  <c r="C109" i="52"/>
  <c r="O109" i="52" s="1"/>
  <c r="Q108" i="52"/>
  <c r="O108" i="52"/>
  <c r="O107" i="52"/>
  <c r="O106" i="52"/>
  <c r="O104" i="52"/>
  <c r="O103" i="52"/>
  <c r="S102" i="52"/>
  <c r="O97" i="52"/>
  <c r="N96" i="52"/>
  <c r="N98" i="52" s="1"/>
  <c r="L96" i="52"/>
  <c r="L98" i="52" s="1"/>
  <c r="J96" i="52"/>
  <c r="J98" i="52" s="1"/>
  <c r="H96" i="52"/>
  <c r="H98" i="52" s="1"/>
  <c r="F96" i="52"/>
  <c r="F98" i="52" s="1"/>
  <c r="D96" i="52"/>
  <c r="D98" i="52" s="1"/>
  <c r="O95" i="52"/>
  <c r="N95" i="52"/>
  <c r="M95" i="52"/>
  <c r="M96" i="52" s="1"/>
  <c r="M98" i="52" s="1"/>
  <c r="L95" i="52"/>
  <c r="K95" i="52"/>
  <c r="K96" i="52" s="1"/>
  <c r="K98" i="52" s="1"/>
  <c r="J95" i="52"/>
  <c r="I95" i="52"/>
  <c r="I96" i="52" s="1"/>
  <c r="I98" i="52" s="1"/>
  <c r="H95" i="52"/>
  <c r="G95" i="52"/>
  <c r="G96" i="52" s="1"/>
  <c r="G98" i="52" s="1"/>
  <c r="F95" i="52"/>
  <c r="E95" i="52"/>
  <c r="E96" i="52" s="1"/>
  <c r="E98" i="52" s="1"/>
  <c r="D95" i="52"/>
  <c r="C95" i="52"/>
  <c r="C96" i="52" s="1"/>
  <c r="C98" i="52" s="1"/>
  <c r="N94" i="52"/>
  <c r="M94" i="52"/>
  <c r="L94" i="52"/>
  <c r="K94" i="52"/>
  <c r="J94" i="52"/>
  <c r="I94" i="52"/>
  <c r="H94" i="52"/>
  <c r="G94" i="52"/>
  <c r="F94" i="52"/>
  <c r="E94" i="52"/>
  <c r="D94" i="52"/>
  <c r="C94" i="52"/>
  <c r="O94" i="52" s="1"/>
  <c r="O93" i="52"/>
  <c r="O92" i="52"/>
  <c r="O91" i="52"/>
  <c r="O88" i="52"/>
  <c r="O87" i="52"/>
  <c r="O86" i="52"/>
  <c r="O85" i="52"/>
  <c r="O83" i="52"/>
  <c r="O82" i="52"/>
  <c r="O96" i="52" s="1"/>
  <c r="K79" i="52"/>
  <c r="G79" i="52"/>
  <c r="C79" i="52"/>
  <c r="N78" i="52"/>
  <c r="N79" i="52" s="1"/>
  <c r="M78" i="52"/>
  <c r="L78" i="52"/>
  <c r="L79" i="52" s="1"/>
  <c r="K78" i="52"/>
  <c r="J78" i="52"/>
  <c r="J79" i="52" s="1"/>
  <c r="I78" i="52"/>
  <c r="I79" i="52" s="1"/>
  <c r="F78" i="52"/>
  <c r="F79" i="52" s="1"/>
  <c r="E78" i="52"/>
  <c r="E79" i="52" s="1"/>
  <c r="D78" i="52"/>
  <c r="D79" i="52" s="1"/>
  <c r="C78" i="52"/>
  <c r="Q78" i="52" s="1"/>
  <c r="O77" i="52"/>
  <c r="N77" i="52"/>
  <c r="M77" i="52"/>
  <c r="M79" i="52" s="1"/>
  <c r="L77" i="52"/>
  <c r="K77" i="52"/>
  <c r="J77" i="52"/>
  <c r="H77" i="52"/>
  <c r="H79" i="52" s="1"/>
  <c r="G77" i="52"/>
  <c r="F77" i="52"/>
  <c r="E77" i="52"/>
  <c r="D77" i="52"/>
  <c r="C77" i="52"/>
  <c r="Q77" i="52" s="1"/>
  <c r="N76" i="52"/>
  <c r="M76" i="52"/>
  <c r="L76" i="52"/>
  <c r="K76" i="52"/>
  <c r="J76" i="52"/>
  <c r="I76" i="52"/>
  <c r="H76" i="52"/>
  <c r="G76" i="52"/>
  <c r="F76" i="52"/>
  <c r="E76" i="52"/>
  <c r="D76" i="52"/>
  <c r="Q76" i="52" s="1"/>
  <c r="C76" i="52"/>
  <c r="O73" i="52"/>
  <c r="N72" i="52"/>
  <c r="N74" i="52" s="1"/>
  <c r="F72" i="52"/>
  <c r="F74" i="52" s="1"/>
  <c r="N71" i="52"/>
  <c r="M71" i="52"/>
  <c r="L71" i="52"/>
  <c r="K71" i="52"/>
  <c r="J71" i="52"/>
  <c r="I71" i="52"/>
  <c r="H71" i="52"/>
  <c r="G71" i="52"/>
  <c r="F71" i="52"/>
  <c r="E71" i="52"/>
  <c r="D71" i="52"/>
  <c r="C71" i="52"/>
  <c r="N70" i="52"/>
  <c r="M70" i="52"/>
  <c r="L70" i="52"/>
  <c r="K70" i="52"/>
  <c r="J70" i="52"/>
  <c r="I70" i="52"/>
  <c r="H70" i="52"/>
  <c r="G70" i="52"/>
  <c r="F70" i="52"/>
  <c r="E70" i="52"/>
  <c r="D70" i="52"/>
  <c r="C70" i="52"/>
  <c r="O70" i="52" s="1"/>
  <c r="O69" i="52"/>
  <c r="O68" i="52"/>
  <c r="O67" i="52"/>
  <c r="O66" i="52"/>
  <c r="O65" i="52"/>
  <c r="Q64" i="52"/>
  <c r="O64" i="52"/>
  <c r="Q63" i="52"/>
  <c r="Q65" i="52" s="1"/>
  <c r="O63" i="52"/>
  <c r="O76" i="52" s="1"/>
  <c r="O62" i="52"/>
  <c r="O71" i="52" s="1"/>
  <c r="O61" i="52"/>
  <c r="O59" i="52"/>
  <c r="N58" i="52"/>
  <c r="M58" i="52"/>
  <c r="M72" i="52" s="1"/>
  <c r="M74" i="52" s="1"/>
  <c r="L58" i="52"/>
  <c r="L72" i="52" s="1"/>
  <c r="L74" i="52" s="1"/>
  <c r="K58" i="52"/>
  <c r="K72" i="52" s="1"/>
  <c r="K74" i="52" s="1"/>
  <c r="J58" i="52"/>
  <c r="J72" i="52" s="1"/>
  <c r="J74" i="52" s="1"/>
  <c r="H58" i="52"/>
  <c r="H72" i="52" s="1"/>
  <c r="H74" i="52" s="1"/>
  <c r="G58" i="52"/>
  <c r="G72" i="52" s="1"/>
  <c r="G74" i="52" s="1"/>
  <c r="F58" i="52"/>
  <c r="E58" i="52"/>
  <c r="E72" i="52" s="1"/>
  <c r="E74" i="52" s="1"/>
  <c r="D58" i="52"/>
  <c r="D72" i="52" s="1"/>
  <c r="D74" i="52" s="1"/>
  <c r="C58" i="52"/>
  <c r="C72" i="52" s="1"/>
  <c r="C74" i="52" s="1"/>
  <c r="O57" i="52"/>
  <c r="O56" i="52"/>
  <c r="O55" i="52"/>
  <c r="O78" i="52" s="1"/>
  <c r="O79" i="52" s="1"/>
  <c r="I54" i="52"/>
  <c r="I58" i="52" s="1"/>
  <c r="I72" i="52" s="1"/>
  <c r="I74" i="52" s="1"/>
  <c r="O48" i="52"/>
  <c r="M47" i="52"/>
  <c r="M49" i="52" s="1"/>
  <c r="K47" i="52"/>
  <c r="K49" i="52" s="1"/>
  <c r="G47" i="52"/>
  <c r="G49" i="52" s="1"/>
  <c r="E47" i="52"/>
  <c r="E49" i="52" s="1"/>
  <c r="C47" i="52"/>
  <c r="C49" i="52" s="1"/>
  <c r="N46" i="52"/>
  <c r="N47" i="52" s="1"/>
  <c r="N49" i="52" s="1"/>
  <c r="M46" i="52"/>
  <c r="L46" i="52"/>
  <c r="L47" i="52" s="1"/>
  <c r="L49" i="52" s="1"/>
  <c r="K46" i="52"/>
  <c r="J46" i="52"/>
  <c r="J47" i="52" s="1"/>
  <c r="J49" i="52" s="1"/>
  <c r="H46" i="52"/>
  <c r="H47" i="52" s="1"/>
  <c r="H49" i="52" s="1"/>
  <c r="G46" i="52"/>
  <c r="F46" i="52"/>
  <c r="F47" i="52" s="1"/>
  <c r="F49" i="52" s="1"/>
  <c r="E46" i="52"/>
  <c r="D46" i="52"/>
  <c r="D47" i="52" s="1"/>
  <c r="D49" i="52" s="1"/>
  <c r="C46" i="52"/>
  <c r="N45" i="52"/>
  <c r="M45" i="52"/>
  <c r="L45" i="52"/>
  <c r="K45" i="52"/>
  <c r="J45" i="52"/>
  <c r="G45" i="52"/>
  <c r="F45" i="52"/>
  <c r="E45" i="52"/>
  <c r="D45" i="52"/>
  <c r="C45" i="52"/>
  <c r="I44" i="52"/>
  <c r="I46" i="52" s="1"/>
  <c r="I47" i="52" s="1"/>
  <c r="I49" i="52" s="1"/>
  <c r="H44" i="52"/>
  <c r="O44" i="52" s="1"/>
  <c r="O43" i="52"/>
  <c r="O42" i="52"/>
  <c r="O41" i="52"/>
  <c r="O40" i="52"/>
  <c r="O39" i="52"/>
  <c r="J38" i="52"/>
  <c r="O38" i="52" s="1"/>
  <c r="O37" i="52"/>
  <c r="O36" i="52"/>
  <c r="O46" i="52" s="1"/>
  <c r="O34" i="52"/>
  <c r="O33" i="52"/>
  <c r="O27" i="52"/>
  <c r="K27" i="52"/>
  <c r="I26" i="52"/>
  <c r="I28" i="52" s="1"/>
  <c r="G26" i="52"/>
  <c r="G28" i="52" s="1"/>
  <c r="E26" i="52"/>
  <c r="E28" i="52" s="1"/>
  <c r="N25" i="52"/>
  <c r="L25" i="52"/>
  <c r="J25" i="52"/>
  <c r="I25" i="52"/>
  <c r="H25" i="52"/>
  <c r="G25" i="52"/>
  <c r="F25" i="52"/>
  <c r="E25" i="52"/>
  <c r="D25" i="52"/>
  <c r="C25" i="52"/>
  <c r="N24" i="52"/>
  <c r="L24" i="52"/>
  <c r="J24" i="52"/>
  <c r="I24" i="52"/>
  <c r="H24" i="52"/>
  <c r="G24" i="52"/>
  <c r="F24" i="52"/>
  <c r="E24" i="52"/>
  <c r="D24" i="52"/>
  <c r="C24" i="52"/>
  <c r="M23" i="52"/>
  <c r="M24" i="52" s="1"/>
  <c r="L23" i="52"/>
  <c r="K23" i="52"/>
  <c r="K24" i="52" s="1"/>
  <c r="O22" i="52"/>
  <c r="L21" i="52"/>
  <c r="O21" i="52" s="1"/>
  <c r="O20" i="52"/>
  <c r="M20" i="52"/>
  <c r="M25" i="52" s="1"/>
  <c r="M26" i="52" s="1"/>
  <c r="M28" i="52" s="1"/>
  <c r="O19" i="52"/>
  <c r="O18" i="52"/>
  <c r="O17" i="52"/>
  <c r="O16" i="52"/>
  <c r="O15" i="52"/>
  <c r="K14" i="52"/>
  <c r="K25" i="52" s="1"/>
  <c r="O12" i="52"/>
  <c r="R11" i="52"/>
  <c r="N11" i="52"/>
  <c r="N26" i="52" s="1"/>
  <c r="N28" i="52" s="1"/>
  <c r="M11" i="52"/>
  <c r="L11" i="52"/>
  <c r="L26" i="52" s="1"/>
  <c r="L28" i="52" s="1"/>
  <c r="K11" i="52"/>
  <c r="J11" i="52"/>
  <c r="J26" i="52" s="1"/>
  <c r="J28" i="52" s="1"/>
  <c r="I11" i="52"/>
  <c r="H11" i="52"/>
  <c r="H26" i="52" s="1"/>
  <c r="H28" i="52" s="1"/>
  <c r="G11" i="52"/>
  <c r="F11" i="52"/>
  <c r="F26" i="52" s="1"/>
  <c r="F28" i="52" s="1"/>
  <c r="E11" i="52"/>
  <c r="D11" i="52"/>
  <c r="D26" i="52" s="1"/>
  <c r="D28" i="52" s="1"/>
  <c r="C11" i="52"/>
  <c r="O11" i="52" s="1"/>
  <c r="O10" i="52"/>
  <c r="O9" i="52"/>
  <c r="O8" i="52"/>
  <c r="O7" i="52"/>
  <c r="O6" i="52"/>
  <c r="O5" i="52"/>
  <c r="O4" i="52"/>
  <c r="E49" i="51"/>
  <c r="E44" i="51"/>
  <c r="E36" i="51"/>
  <c r="N30" i="51"/>
  <c r="M30" i="51"/>
  <c r="L30" i="51"/>
  <c r="B25" i="51"/>
  <c r="F22" i="51"/>
  <c r="D22" i="51"/>
  <c r="G21" i="51"/>
  <c r="F21" i="51"/>
  <c r="E21" i="51"/>
  <c r="D21" i="51"/>
  <c r="I13" i="51"/>
  <c r="I21" i="51" s="1"/>
  <c r="F13" i="51"/>
  <c r="C13" i="51"/>
  <c r="B13" i="51"/>
  <c r="B12" i="51"/>
  <c r="B21" i="51" s="1"/>
  <c r="B22" i="51" s="1"/>
  <c r="F10" i="51"/>
  <c r="C10" i="51"/>
  <c r="C21" i="51" s="1"/>
  <c r="I7" i="51"/>
  <c r="G7" i="51"/>
  <c r="G22" i="51" s="1"/>
  <c r="F7" i="51"/>
  <c r="D7" i="51"/>
  <c r="C7" i="51"/>
  <c r="C22" i="51" s="1"/>
  <c r="B7" i="51"/>
  <c r="E5" i="51"/>
  <c r="E7" i="51" s="1"/>
  <c r="E22" i="51" s="1"/>
  <c r="N183" i="49"/>
  <c r="J183" i="49"/>
  <c r="H183" i="49"/>
  <c r="F183" i="49"/>
  <c r="N182" i="49"/>
  <c r="M182" i="49"/>
  <c r="M183" i="49" s="1"/>
  <c r="L182" i="49"/>
  <c r="L183" i="49" s="1"/>
  <c r="K182" i="49"/>
  <c r="K183" i="49" s="1"/>
  <c r="J182" i="49"/>
  <c r="I182" i="49"/>
  <c r="I183" i="49" s="1"/>
  <c r="H182" i="49"/>
  <c r="G182" i="49"/>
  <c r="G183" i="49" s="1"/>
  <c r="F182" i="49"/>
  <c r="E182" i="49"/>
  <c r="E183" i="49" s="1"/>
  <c r="D182" i="49"/>
  <c r="D183" i="49" s="1"/>
  <c r="C182" i="49"/>
  <c r="C183" i="49" s="1"/>
  <c r="O181" i="49"/>
  <c r="O180" i="49"/>
  <c r="O173" i="49"/>
  <c r="O172" i="49"/>
  <c r="O182" i="49" s="1"/>
  <c r="O183" i="49" s="1"/>
  <c r="O171" i="49"/>
  <c r="O163" i="49"/>
  <c r="M161" i="49"/>
  <c r="L161" i="49"/>
  <c r="K161" i="49"/>
  <c r="J161" i="49"/>
  <c r="I161" i="49"/>
  <c r="H161" i="49"/>
  <c r="G161" i="49"/>
  <c r="F161" i="49"/>
  <c r="E161" i="49"/>
  <c r="D161" i="49"/>
  <c r="C161" i="49"/>
  <c r="O160" i="49"/>
  <c r="N159" i="49"/>
  <c r="N161" i="49" s="1"/>
  <c r="O158" i="49"/>
  <c r="O157" i="49"/>
  <c r="O156" i="49"/>
  <c r="O154" i="49"/>
  <c r="O153" i="49"/>
  <c r="O152" i="49"/>
  <c r="O151" i="49"/>
  <c r="O150" i="49"/>
  <c r="Q149" i="49"/>
  <c r="Q161" i="49" s="1"/>
  <c r="Q163" i="49" s="1"/>
  <c r="O149" i="49"/>
  <c r="O148" i="49"/>
  <c r="O161" i="49" s="1"/>
  <c r="N141" i="49"/>
  <c r="L141" i="49"/>
  <c r="H141" i="49"/>
  <c r="F141" i="49"/>
  <c r="D141" i="49"/>
  <c r="N140" i="49"/>
  <c r="M140" i="49"/>
  <c r="M141" i="49" s="1"/>
  <c r="L140" i="49"/>
  <c r="K140" i="49"/>
  <c r="K141" i="49" s="1"/>
  <c r="J140" i="49"/>
  <c r="J141" i="49" s="1"/>
  <c r="I140" i="49"/>
  <c r="I141" i="49" s="1"/>
  <c r="H140" i="49"/>
  <c r="G140" i="49"/>
  <c r="G141" i="49" s="1"/>
  <c r="F140" i="49"/>
  <c r="E140" i="49"/>
  <c r="E141" i="49" s="1"/>
  <c r="D140" i="49"/>
  <c r="C140" i="49"/>
  <c r="C141" i="49" s="1"/>
  <c r="N139" i="49"/>
  <c r="M139" i="49"/>
  <c r="L139" i="49"/>
  <c r="K139" i="49"/>
  <c r="J139" i="49"/>
  <c r="I139" i="49"/>
  <c r="H139" i="49"/>
  <c r="G139" i="49"/>
  <c r="F139" i="49"/>
  <c r="E139" i="49"/>
  <c r="D139" i="49"/>
  <c r="C139" i="49"/>
  <c r="O139" i="49" s="1"/>
  <c r="O138" i="49"/>
  <c r="O137" i="49"/>
  <c r="O136" i="49"/>
  <c r="O135" i="49"/>
  <c r="O134" i="49"/>
  <c r="O133" i="49"/>
  <c r="O132" i="49"/>
  <c r="O140" i="49" s="1"/>
  <c r="O131" i="49"/>
  <c r="O129" i="49"/>
  <c r="O128" i="49"/>
  <c r="O141" i="49" s="1"/>
  <c r="Q141" i="49" s="1"/>
  <c r="O122" i="49"/>
  <c r="N121" i="49"/>
  <c r="N123" i="49" s="1"/>
  <c r="F121" i="49"/>
  <c r="F123" i="49" s="1"/>
  <c r="D121" i="49"/>
  <c r="D123" i="49" s="1"/>
  <c r="N120" i="49"/>
  <c r="M120" i="49"/>
  <c r="M121" i="49" s="1"/>
  <c r="M123" i="49" s="1"/>
  <c r="K120" i="49"/>
  <c r="K121" i="49" s="1"/>
  <c r="K123" i="49" s="1"/>
  <c r="I120" i="49"/>
  <c r="I121" i="49" s="1"/>
  <c r="I123" i="49" s="1"/>
  <c r="H120" i="49"/>
  <c r="G120" i="49"/>
  <c r="F120" i="49"/>
  <c r="E120" i="49"/>
  <c r="E121" i="49" s="1"/>
  <c r="E123" i="49" s="1"/>
  <c r="D120" i="49"/>
  <c r="C120" i="49"/>
  <c r="C121" i="49" s="1"/>
  <c r="C123" i="49" s="1"/>
  <c r="N119" i="49"/>
  <c r="K119" i="49"/>
  <c r="J119" i="49"/>
  <c r="I119" i="49"/>
  <c r="H119" i="49"/>
  <c r="G119" i="49"/>
  <c r="F119" i="49"/>
  <c r="E119" i="49"/>
  <c r="D119" i="49"/>
  <c r="C119" i="49"/>
  <c r="M118" i="49"/>
  <c r="M119" i="49" s="1"/>
  <c r="L118" i="49"/>
  <c r="O118" i="49" s="1"/>
  <c r="O117" i="49"/>
  <c r="O116" i="49"/>
  <c r="O115" i="49"/>
  <c r="O114" i="49"/>
  <c r="O113" i="49"/>
  <c r="L112" i="49"/>
  <c r="L120" i="49" s="1"/>
  <c r="L121" i="49" s="1"/>
  <c r="L123" i="49" s="1"/>
  <c r="K112" i="49"/>
  <c r="J112" i="49"/>
  <c r="J120" i="49" s="1"/>
  <c r="J121" i="49" s="1"/>
  <c r="J123" i="49" s="1"/>
  <c r="I112" i="49"/>
  <c r="O112" i="49" s="1"/>
  <c r="Q111" i="49"/>
  <c r="O111" i="49"/>
  <c r="O110" i="49"/>
  <c r="O109" i="49"/>
  <c r="O108" i="49"/>
  <c r="O106" i="49"/>
  <c r="O105" i="49"/>
  <c r="H105" i="49"/>
  <c r="H121" i="49" s="1"/>
  <c r="H123" i="49" s="1"/>
  <c r="G105" i="49"/>
  <c r="G121" i="49" s="1"/>
  <c r="G123" i="49" s="1"/>
  <c r="S104" i="49"/>
  <c r="O99" i="49"/>
  <c r="N98" i="49"/>
  <c r="N100" i="49" s="1"/>
  <c r="L98" i="49"/>
  <c r="L100" i="49" s="1"/>
  <c r="J98" i="49"/>
  <c r="J100" i="49" s="1"/>
  <c r="F98" i="49"/>
  <c r="F100" i="49" s="1"/>
  <c r="D98" i="49"/>
  <c r="D100" i="49" s="1"/>
  <c r="N97" i="49"/>
  <c r="M97" i="49"/>
  <c r="M98" i="49" s="1"/>
  <c r="M100" i="49" s="1"/>
  <c r="L97" i="49"/>
  <c r="K97" i="49"/>
  <c r="K98" i="49" s="1"/>
  <c r="K100" i="49" s="1"/>
  <c r="J97" i="49"/>
  <c r="I97" i="49"/>
  <c r="I98" i="49" s="1"/>
  <c r="I100" i="49" s="1"/>
  <c r="H97" i="49"/>
  <c r="H98" i="49" s="1"/>
  <c r="H100" i="49" s="1"/>
  <c r="G97" i="49"/>
  <c r="G98" i="49" s="1"/>
  <c r="G100" i="49" s="1"/>
  <c r="F97" i="49"/>
  <c r="E97" i="49"/>
  <c r="E98" i="49" s="1"/>
  <c r="E100" i="49" s="1"/>
  <c r="D97" i="49"/>
  <c r="C97" i="49"/>
  <c r="C98" i="49" s="1"/>
  <c r="C100" i="49" s="1"/>
  <c r="N96" i="49"/>
  <c r="M96" i="49"/>
  <c r="L96" i="49"/>
  <c r="K96" i="49"/>
  <c r="J96" i="49"/>
  <c r="I96" i="49"/>
  <c r="H96" i="49"/>
  <c r="G96" i="49"/>
  <c r="F96" i="49"/>
  <c r="E96" i="49"/>
  <c r="D96" i="49"/>
  <c r="C96" i="49"/>
  <c r="O96" i="49" s="1"/>
  <c r="O95" i="49"/>
  <c r="O94" i="49"/>
  <c r="O93" i="49"/>
  <c r="O90" i="49"/>
  <c r="O89" i="49"/>
  <c r="O97" i="49" s="1"/>
  <c r="D4" i="49" s="1"/>
  <c r="O88" i="49"/>
  <c r="O87" i="49"/>
  <c r="O85" i="49"/>
  <c r="O84" i="49"/>
  <c r="E81" i="49"/>
  <c r="C81" i="49"/>
  <c r="N80" i="49"/>
  <c r="N81" i="49" s="1"/>
  <c r="M80" i="49"/>
  <c r="L80" i="49"/>
  <c r="L81" i="49" s="1"/>
  <c r="K80" i="49"/>
  <c r="K81" i="49" s="1"/>
  <c r="J80" i="49"/>
  <c r="J81" i="49" s="1"/>
  <c r="I80" i="49"/>
  <c r="I81" i="49" s="1"/>
  <c r="F80" i="49"/>
  <c r="F81" i="49" s="1"/>
  <c r="E80" i="49"/>
  <c r="D80" i="49"/>
  <c r="D81" i="49" s="1"/>
  <c r="C80" i="49"/>
  <c r="Q80" i="49" s="1"/>
  <c r="O79" i="49"/>
  <c r="N79" i="49"/>
  <c r="M79" i="49"/>
  <c r="M81" i="49" s="1"/>
  <c r="L79" i="49"/>
  <c r="K79" i="49"/>
  <c r="J79" i="49"/>
  <c r="H79" i="49"/>
  <c r="H81" i="49" s="1"/>
  <c r="G79" i="49"/>
  <c r="G81" i="49" s="1"/>
  <c r="F79" i="49"/>
  <c r="E79" i="49"/>
  <c r="D79" i="49"/>
  <c r="C79" i="49"/>
  <c r="Q79" i="49" s="1"/>
  <c r="N78" i="49"/>
  <c r="M78" i="49"/>
  <c r="L78" i="49"/>
  <c r="K78" i="49"/>
  <c r="J78" i="49"/>
  <c r="I78" i="49"/>
  <c r="H78" i="49"/>
  <c r="G78" i="49"/>
  <c r="F78" i="49"/>
  <c r="E78" i="49"/>
  <c r="D78" i="49"/>
  <c r="C78" i="49"/>
  <c r="Q78" i="49" s="1"/>
  <c r="O75" i="49"/>
  <c r="N74" i="49"/>
  <c r="N76" i="49" s="1"/>
  <c r="H74" i="49"/>
  <c r="H76" i="49" s="1"/>
  <c r="F74" i="49"/>
  <c r="F76" i="49" s="1"/>
  <c r="N73" i="49"/>
  <c r="M73" i="49"/>
  <c r="K73" i="49"/>
  <c r="J73" i="49"/>
  <c r="I73" i="49"/>
  <c r="H73" i="49"/>
  <c r="G73" i="49"/>
  <c r="F73" i="49"/>
  <c r="E73" i="49"/>
  <c r="D73" i="49"/>
  <c r="C73" i="49"/>
  <c r="N72" i="49"/>
  <c r="M72" i="49"/>
  <c r="L72" i="49"/>
  <c r="K72" i="49"/>
  <c r="J72" i="49"/>
  <c r="I72" i="49"/>
  <c r="H72" i="49"/>
  <c r="G72" i="49"/>
  <c r="F72" i="49"/>
  <c r="E72" i="49"/>
  <c r="D72" i="49"/>
  <c r="C72" i="49"/>
  <c r="O72" i="49" s="1"/>
  <c r="O71" i="49"/>
  <c r="L71" i="49"/>
  <c r="L73" i="49" s="1"/>
  <c r="O70" i="49"/>
  <c r="O69" i="49"/>
  <c r="Q66" i="49"/>
  <c r="O66" i="49"/>
  <c r="Q65" i="49"/>
  <c r="Q67" i="49" s="1"/>
  <c r="O65" i="49"/>
  <c r="O78" i="49" s="1"/>
  <c r="O64" i="49"/>
  <c r="O73" i="49" s="1"/>
  <c r="D3" i="49" s="1"/>
  <c r="O63" i="49"/>
  <c r="O61" i="49"/>
  <c r="N60" i="49"/>
  <c r="M60" i="49"/>
  <c r="M74" i="49" s="1"/>
  <c r="M76" i="49" s="1"/>
  <c r="L60" i="49"/>
  <c r="L74" i="49" s="1"/>
  <c r="L76" i="49" s="1"/>
  <c r="K60" i="49"/>
  <c r="K74" i="49" s="1"/>
  <c r="K76" i="49" s="1"/>
  <c r="J60" i="49"/>
  <c r="J74" i="49" s="1"/>
  <c r="J76" i="49" s="1"/>
  <c r="I60" i="49"/>
  <c r="I74" i="49" s="1"/>
  <c r="I76" i="49" s="1"/>
  <c r="H60" i="49"/>
  <c r="G60" i="49"/>
  <c r="G74" i="49" s="1"/>
  <c r="G76" i="49" s="1"/>
  <c r="F60" i="49"/>
  <c r="E60" i="49"/>
  <c r="E74" i="49" s="1"/>
  <c r="E76" i="49" s="1"/>
  <c r="D60" i="49"/>
  <c r="D74" i="49" s="1"/>
  <c r="D76" i="49" s="1"/>
  <c r="C60" i="49"/>
  <c r="C74" i="49" s="1"/>
  <c r="C76" i="49" s="1"/>
  <c r="O59" i="49"/>
  <c r="O58" i="49"/>
  <c r="O57" i="49"/>
  <c r="O80" i="49" s="1"/>
  <c r="O56" i="49"/>
  <c r="O60" i="49" s="1"/>
  <c r="O50" i="49"/>
  <c r="K49" i="49"/>
  <c r="K51" i="49" s="1"/>
  <c r="I49" i="49"/>
  <c r="I51" i="49" s="1"/>
  <c r="C49" i="49"/>
  <c r="C51" i="49" s="1"/>
  <c r="N48" i="49"/>
  <c r="N49" i="49" s="1"/>
  <c r="N51" i="49" s="1"/>
  <c r="M48" i="49"/>
  <c r="M49" i="49" s="1"/>
  <c r="M51" i="49" s="1"/>
  <c r="L48" i="49"/>
  <c r="L49" i="49" s="1"/>
  <c r="L51" i="49" s="1"/>
  <c r="K48" i="49"/>
  <c r="J48" i="49"/>
  <c r="J49" i="49" s="1"/>
  <c r="J51" i="49" s="1"/>
  <c r="I48" i="49"/>
  <c r="H48" i="49"/>
  <c r="H49" i="49" s="1"/>
  <c r="H51" i="49" s="1"/>
  <c r="G48" i="49"/>
  <c r="G49" i="49" s="1"/>
  <c r="G51" i="49" s="1"/>
  <c r="F48" i="49"/>
  <c r="F49" i="49" s="1"/>
  <c r="F51" i="49" s="1"/>
  <c r="E48" i="49"/>
  <c r="E49" i="49" s="1"/>
  <c r="E51" i="49" s="1"/>
  <c r="D48" i="49"/>
  <c r="D49" i="49" s="1"/>
  <c r="D51" i="49" s="1"/>
  <c r="C48" i="49"/>
  <c r="N47" i="49"/>
  <c r="M47" i="49"/>
  <c r="L47" i="49"/>
  <c r="K47" i="49"/>
  <c r="J47" i="49"/>
  <c r="I47" i="49"/>
  <c r="H47" i="49"/>
  <c r="G47" i="49"/>
  <c r="F47" i="49"/>
  <c r="E47" i="49"/>
  <c r="D47" i="49"/>
  <c r="C47" i="49"/>
  <c r="O47" i="49" s="1"/>
  <c r="O46" i="49"/>
  <c r="O45" i="49"/>
  <c r="O44" i="49"/>
  <c r="O41" i="49"/>
  <c r="O40" i="49"/>
  <c r="O39" i="49"/>
  <c r="O38" i="49"/>
  <c r="O48" i="49" s="1"/>
  <c r="D2" i="49" s="1"/>
  <c r="O36" i="49"/>
  <c r="O35" i="49"/>
  <c r="O49" i="49" s="1"/>
  <c r="K29" i="49"/>
  <c r="O29" i="49" s="1"/>
  <c r="J28" i="49"/>
  <c r="J30" i="49" s="1"/>
  <c r="H28" i="49"/>
  <c r="H30" i="49" s="1"/>
  <c r="N27" i="49"/>
  <c r="N28" i="49" s="1"/>
  <c r="N30" i="49" s="1"/>
  <c r="L27" i="49"/>
  <c r="L28" i="49" s="1"/>
  <c r="L30" i="49" s="1"/>
  <c r="K27" i="49"/>
  <c r="K28" i="49" s="1"/>
  <c r="K30" i="49" s="1"/>
  <c r="J27" i="49"/>
  <c r="I27" i="49"/>
  <c r="I28" i="49" s="1"/>
  <c r="I30" i="49" s="1"/>
  <c r="H27" i="49"/>
  <c r="G27" i="49"/>
  <c r="G28" i="49" s="1"/>
  <c r="G30" i="49" s="1"/>
  <c r="F27" i="49"/>
  <c r="F28" i="49" s="1"/>
  <c r="F30" i="49" s="1"/>
  <c r="E27" i="49"/>
  <c r="E28" i="49" s="1"/>
  <c r="E30" i="49" s="1"/>
  <c r="D27" i="49"/>
  <c r="D28" i="49" s="1"/>
  <c r="D30" i="49" s="1"/>
  <c r="C27" i="49"/>
  <c r="C28" i="49" s="1"/>
  <c r="C30" i="49" s="1"/>
  <c r="N26" i="49"/>
  <c r="M26" i="49"/>
  <c r="L26" i="49"/>
  <c r="K26" i="49"/>
  <c r="J26" i="49"/>
  <c r="I26" i="49"/>
  <c r="H26" i="49"/>
  <c r="G26" i="49"/>
  <c r="F26" i="49"/>
  <c r="E26" i="49"/>
  <c r="D26" i="49"/>
  <c r="C26" i="49"/>
  <c r="O26" i="49" s="1"/>
  <c r="O25" i="49"/>
  <c r="M24" i="49"/>
  <c r="M27" i="49" s="1"/>
  <c r="M28" i="49" s="1"/>
  <c r="M30" i="49" s="1"/>
  <c r="O23" i="49"/>
  <c r="O22" i="49"/>
  <c r="O21" i="49"/>
  <c r="O20" i="49"/>
  <c r="O19" i="49"/>
  <c r="O18" i="49"/>
  <c r="O17" i="49"/>
  <c r="O27" i="49" s="1"/>
  <c r="D7" i="49" s="1"/>
  <c r="O16" i="49"/>
  <c r="O15" i="49"/>
  <c r="O13" i="49"/>
  <c r="O12" i="49"/>
  <c r="O28" i="49" s="1"/>
  <c r="C7" i="49"/>
  <c r="C5" i="49"/>
  <c r="C4" i="49"/>
  <c r="C2" i="49"/>
  <c r="E90" i="48"/>
  <c r="D90" i="48"/>
  <c r="G56" i="48"/>
  <c r="H56" i="48" s="1"/>
  <c r="H62" i="48" s="1"/>
  <c r="C51" i="48"/>
  <c r="B45" i="48"/>
  <c r="N38" i="48"/>
  <c r="P36" i="48"/>
  <c r="O36" i="48"/>
  <c r="G36" i="48"/>
  <c r="F36" i="48"/>
  <c r="C36" i="48"/>
  <c r="K21" i="48"/>
  <c r="G21" i="48"/>
  <c r="E21" i="48"/>
  <c r="D21" i="48"/>
  <c r="C21" i="48"/>
  <c r="B21" i="48"/>
  <c r="K11" i="48"/>
  <c r="F10" i="48"/>
  <c r="F21" i="48" s="1"/>
  <c r="I9" i="48"/>
  <c r="K7" i="48"/>
  <c r="K22" i="48" s="1"/>
  <c r="G7" i="48"/>
  <c r="G22" i="48" s="1"/>
  <c r="F7" i="48"/>
  <c r="F5" i="48"/>
  <c r="E5" i="48"/>
  <c r="E7" i="48" s="1"/>
  <c r="E22" i="48" s="1"/>
  <c r="D5" i="48"/>
  <c r="D7" i="48" s="1"/>
  <c r="D22" i="48" s="1"/>
  <c r="C5" i="48"/>
  <c r="C7" i="48" s="1"/>
  <c r="B5" i="48"/>
  <c r="B7" i="48" s="1"/>
  <c r="B22" i="48" s="1"/>
  <c r="N2" i="48"/>
  <c r="D104" i="47"/>
  <c r="G70" i="47"/>
  <c r="I70" i="47" s="1"/>
  <c r="I67" i="47"/>
  <c r="I84" i="47" s="1"/>
  <c r="B59" i="47"/>
  <c r="G50" i="47"/>
  <c r="F50" i="47"/>
  <c r="C50" i="47"/>
  <c r="P39" i="47"/>
  <c r="Q37" i="47"/>
  <c r="Q19" i="47"/>
  <c r="F18" i="47"/>
  <c r="F17" i="47"/>
  <c r="F15" i="47"/>
  <c r="F14" i="47"/>
  <c r="F12" i="47"/>
  <c r="F11" i="47"/>
  <c r="F10" i="47"/>
  <c r="E9" i="47"/>
  <c r="F5" i="47"/>
  <c r="E5" i="47"/>
  <c r="P2" i="47"/>
  <c r="G116" i="46"/>
  <c r="G115" i="46"/>
  <c r="L216" i="42"/>
  <c r="H216" i="42"/>
  <c r="D216" i="42"/>
  <c r="N215" i="42"/>
  <c r="N216" i="42" s="1"/>
  <c r="M215" i="42"/>
  <c r="M216" i="42" s="1"/>
  <c r="L215" i="42"/>
  <c r="K215" i="42"/>
  <c r="K216" i="42" s="1"/>
  <c r="J215" i="42"/>
  <c r="J216" i="42" s="1"/>
  <c r="I215" i="42"/>
  <c r="I216" i="42" s="1"/>
  <c r="H215" i="42"/>
  <c r="G215" i="42"/>
  <c r="G216" i="42" s="1"/>
  <c r="F215" i="42"/>
  <c r="F216" i="42" s="1"/>
  <c r="E215" i="42"/>
  <c r="E216" i="42" s="1"/>
  <c r="D215" i="42"/>
  <c r="C215" i="42"/>
  <c r="C216" i="42" s="1"/>
  <c r="O214" i="42"/>
  <c r="O213" i="42"/>
  <c r="O206" i="42"/>
  <c r="O205" i="42"/>
  <c r="O204" i="42"/>
  <c r="O215" i="42" s="1"/>
  <c r="O216" i="42" s="1"/>
  <c r="O196" i="42"/>
  <c r="M194" i="42"/>
  <c r="L194" i="42"/>
  <c r="K194" i="42"/>
  <c r="J194" i="42"/>
  <c r="I194" i="42"/>
  <c r="H194" i="42"/>
  <c r="G194" i="42"/>
  <c r="F194" i="42"/>
  <c r="E194" i="42"/>
  <c r="D194" i="42"/>
  <c r="C194" i="42"/>
  <c r="O193" i="42"/>
  <c r="N192" i="42"/>
  <c r="O191" i="42"/>
  <c r="O190" i="42"/>
  <c r="O189" i="42"/>
  <c r="N188" i="42"/>
  <c r="N194" i="42" s="1"/>
  <c r="O187" i="42"/>
  <c r="O186" i="42"/>
  <c r="O185" i="42"/>
  <c r="O184" i="42"/>
  <c r="O183" i="42"/>
  <c r="E183" i="42"/>
  <c r="O182" i="42"/>
  <c r="Q175" i="42"/>
  <c r="N175" i="42"/>
  <c r="N176" i="42" s="1"/>
  <c r="L175" i="42"/>
  <c r="L176" i="42" s="1"/>
  <c r="G175" i="42"/>
  <c r="G176" i="42" s="1"/>
  <c r="F175" i="42"/>
  <c r="F176" i="42" s="1"/>
  <c r="D175" i="42"/>
  <c r="D176" i="42" s="1"/>
  <c r="O174" i="42"/>
  <c r="O173" i="42"/>
  <c r="N172" i="42"/>
  <c r="M172" i="42"/>
  <c r="M175" i="42" s="1"/>
  <c r="M176" i="42" s="1"/>
  <c r="L172" i="42"/>
  <c r="K172" i="42"/>
  <c r="K175" i="42" s="1"/>
  <c r="K176" i="42" s="1"/>
  <c r="J172" i="42"/>
  <c r="J175" i="42" s="1"/>
  <c r="J176" i="42" s="1"/>
  <c r="I172" i="42"/>
  <c r="I175" i="42" s="1"/>
  <c r="I176" i="42" s="1"/>
  <c r="H172" i="42"/>
  <c r="H175" i="42" s="1"/>
  <c r="H176" i="42" s="1"/>
  <c r="G172" i="42"/>
  <c r="F172" i="42"/>
  <c r="E172" i="42"/>
  <c r="E175" i="42" s="1"/>
  <c r="E176" i="42" s="1"/>
  <c r="D172" i="42"/>
  <c r="C172" i="42"/>
  <c r="C175" i="42" s="1"/>
  <c r="C176" i="42" s="1"/>
  <c r="O171" i="42"/>
  <c r="O170" i="42"/>
  <c r="O169" i="42"/>
  <c r="O168" i="42"/>
  <c r="O167" i="42"/>
  <c r="O166" i="42"/>
  <c r="O165" i="42"/>
  <c r="O164" i="42"/>
  <c r="O163" i="42"/>
  <c r="O162" i="42"/>
  <c r="O161" i="42"/>
  <c r="O159" i="42"/>
  <c r="O158" i="42"/>
  <c r="Q152" i="42"/>
  <c r="L152" i="42"/>
  <c r="L153" i="42" s="1"/>
  <c r="G152" i="42"/>
  <c r="G153" i="42" s="1"/>
  <c r="D152" i="42"/>
  <c r="D153" i="42" s="1"/>
  <c r="O151" i="42"/>
  <c r="O150" i="42"/>
  <c r="N149" i="42"/>
  <c r="N152" i="42" s="1"/>
  <c r="N153" i="42" s="1"/>
  <c r="M149" i="42"/>
  <c r="M152" i="42" s="1"/>
  <c r="M153" i="42" s="1"/>
  <c r="L149" i="42"/>
  <c r="K149" i="42"/>
  <c r="K152" i="42" s="1"/>
  <c r="K153" i="42" s="1"/>
  <c r="J149" i="42"/>
  <c r="J152" i="42" s="1"/>
  <c r="J153" i="42" s="1"/>
  <c r="I149" i="42"/>
  <c r="I152" i="42" s="1"/>
  <c r="I153" i="42" s="1"/>
  <c r="H149" i="42"/>
  <c r="H152" i="42" s="1"/>
  <c r="H153" i="42" s="1"/>
  <c r="G149" i="42"/>
  <c r="F149" i="42"/>
  <c r="F152" i="42" s="1"/>
  <c r="F153" i="42" s="1"/>
  <c r="E149" i="42"/>
  <c r="E152" i="42" s="1"/>
  <c r="E153" i="42" s="1"/>
  <c r="D149" i="42"/>
  <c r="C149" i="42"/>
  <c r="C152" i="42" s="1"/>
  <c r="C153" i="42" s="1"/>
  <c r="O148" i="42"/>
  <c r="O147" i="42"/>
  <c r="O146" i="42"/>
  <c r="O145" i="42"/>
  <c r="O144" i="42"/>
  <c r="O143" i="42"/>
  <c r="O142" i="42"/>
  <c r="O141" i="42"/>
  <c r="O140" i="42"/>
  <c r="O139" i="42"/>
  <c r="O138" i="42"/>
  <c r="C138" i="42"/>
  <c r="O136" i="42"/>
  <c r="O135" i="42"/>
  <c r="O128" i="42"/>
  <c r="N126" i="42"/>
  <c r="K126" i="42"/>
  <c r="C126" i="42"/>
  <c r="O125" i="42"/>
  <c r="O124" i="42"/>
  <c r="N123" i="42"/>
  <c r="M123" i="42"/>
  <c r="L123" i="42"/>
  <c r="L126" i="42" s="1"/>
  <c r="K123" i="42"/>
  <c r="J123" i="42"/>
  <c r="I123" i="42"/>
  <c r="H123" i="42"/>
  <c r="G123" i="42"/>
  <c r="F123" i="42"/>
  <c r="E123" i="42"/>
  <c r="D123" i="42"/>
  <c r="D126" i="42" s="1"/>
  <c r="C123" i="42"/>
  <c r="M122" i="42"/>
  <c r="M126" i="42" s="1"/>
  <c r="F122" i="42"/>
  <c r="O122" i="42" s="1"/>
  <c r="O121" i="42"/>
  <c r="O120" i="42"/>
  <c r="O119" i="42"/>
  <c r="O118" i="42"/>
  <c r="J117" i="42"/>
  <c r="J126" i="42" s="1"/>
  <c r="I117" i="42"/>
  <c r="I126" i="42" s="1"/>
  <c r="O116" i="42"/>
  <c r="O115" i="42"/>
  <c r="Q114" i="42"/>
  <c r="Q126" i="42" s="1"/>
  <c r="O114" i="42"/>
  <c r="O113" i="42"/>
  <c r="O112" i="42"/>
  <c r="C112" i="42"/>
  <c r="O110" i="42"/>
  <c r="N109" i="42"/>
  <c r="N127" i="42" s="1"/>
  <c r="N129" i="42" s="1"/>
  <c r="M109" i="42"/>
  <c r="L109" i="42"/>
  <c r="L127" i="42" s="1"/>
  <c r="L129" i="42" s="1"/>
  <c r="K109" i="42"/>
  <c r="K127" i="42" s="1"/>
  <c r="K129" i="42" s="1"/>
  <c r="J109" i="42"/>
  <c r="J127" i="42" s="1"/>
  <c r="J129" i="42" s="1"/>
  <c r="I109" i="42"/>
  <c r="H109" i="42"/>
  <c r="H117" i="42" s="1"/>
  <c r="H126" i="42" s="1"/>
  <c r="G109" i="42"/>
  <c r="G117" i="42" s="1"/>
  <c r="G126" i="42" s="1"/>
  <c r="F109" i="42"/>
  <c r="E109" i="42"/>
  <c r="D109" i="42"/>
  <c r="D127" i="42" s="1"/>
  <c r="D129" i="42" s="1"/>
  <c r="C109" i="42"/>
  <c r="C127" i="42" s="1"/>
  <c r="O102" i="42"/>
  <c r="Q100" i="42"/>
  <c r="N100" i="42"/>
  <c r="N101" i="42" s="1"/>
  <c r="N103" i="42" s="1"/>
  <c r="J100" i="42"/>
  <c r="J101" i="42" s="1"/>
  <c r="J103" i="42" s="1"/>
  <c r="G100" i="42"/>
  <c r="G101" i="42" s="1"/>
  <c r="G103" i="42" s="1"/>
  <c r="F100" i="42"/>
  <c r="F101" i="42" s="1"/>
  <c r="F103" i="42" s="1"/>
  <c r="O99" i="42"/>
  <c r="O98" i="42"/>
  <c r="N97" i="42"/>
  <c r="M97" i="42"/>
  <c r="M100" i="42" s="1"/>
  <c r="M101" i="42" s="1"/>
  <c r="M103" i="42" s="1"/>
  <c r="L97" i="42"/>
  <c r="L100" i="42" s="1"/>
  <c r="L101" i="42" s="1"/>
  <c r="L103" i="42" s="1"/>
  <c r="K97" i="42"/>
  <c r="K100" i="42" s="1"/>
  <c r="K101" i="42" s="1"/>
  <c r="K103" i="42" s="1"/>
  <c r="J97" i="42"/>
  <c r="I97" i="42"/>
  <c r="I100" i="42" s="1"/>
  <c r="I101" i="42" s="1"/>
  <c r="I103" i="42" s="1"/>
  <c r="H97" i="42"/>
  <c r="H100" i="42" s="1"/>
  <c r="H101" i="42" s="1"/>
  <c r="H103" i="42" s="1"/>
  <c r="G97" i="42"/>
  <c r="F97" i="42"/>
  <c r="E97" i="42"/>
  <c r="E100" i="42" s="1"/>
  <c r="E101" i="42" s="1"/>
  <c r="E103" i="42" s="1"/>
  <c r="D97" i="42"/>
  <c r="D100" i="42" s="1"/>
  <c r="D101" i="42" s="1"/>
  <c r="D103" i="42" s="1"/>
  <c r="C97" i="42"/>
  <c r="O97" i="42" s="1"/>
  <c r="O96" i="42"/>
  <c r="O95" i="42"/>
  <c r="O94" i="42"/>
  <c r="O93" i="42"/>
  <c r="O92" i="42"/>
  <c r="O91" i="42"/>
  <c r="O90" i="42"/>
  <c r="O89" i="42"/>
  <c r="O88" i="42"/>
  <c r="O87" i="42"/>
  <c r="O86" i="42"/>
  <c r="O100" i="42" s="1"/>
  <c r="C86" i="42"/>
  <c r="C100" i="42" s="1"/>
  <c r="C101" i="42" s="1"/>
  <c r="C103" i="42" s="1"/>
  <c r="O84" i="42"/>
  <c r="O83" i="42"/>
  <c r="Q101" i="42" s="1"/>
  <c r="O79" i="42"/>
  <c r="N79" i="42"/>
  <c r="N80" i="42" s="1"/>
  <c r="M79" i="42"/>
  <c r="M80" i="42" s="1"/>
  <c r="L79" i="42"/>
  <c r="L80" i="42" s="1"/>
  <c r="K79" i="42"/>
  <c r="J79" i="42"/>
  <c r="J80" i="42" s="1"/>
  <c r="I79" i="42"/>
  <c r="I80" i="42" s="1"/>
  <c r="F79" i="42"/>
  <c r="F80" i="42" s="1"/>
  <c r="E79" i="42"/>
  <c r="E80" i="42" s="1"/>
  <c r="D79" i="42"/>
  <c r="D80" i="42" s="1"/>
  <c r="C79" i="42"/>
  <c r="C80" i="42" s="1"/>
  <c r="O78" i="42"/>
  <c r="O80" i="42" s="1"/>
  <c r="N78" i="42"/>
  <c r="M78" i="42"/>
  <c r="L78" i="42"/>
  <c r="K78" i="42"/>
  <c r="K80" i="42" s="1"/>
  <c r="J78" i="42"/>
  <c r="H78" i="42"/>
  <c r="G78" i="42"/>
  <c r="G80" i="42" s="1"/>
  <c r="F78" i="42"/>
  <c r="E78" i="42"/>
  <c r="D78" i="42"/>
  <c r="C78" i="42"/>
  <c r="O77" i="42"/>
  <c r="N77" i="42"/>
  <c r="M77" i="42"/>
  <c r="L77" i="42"/>
  <c r="K77" i="42"/>
  <c r="J77" i="42"/>
  <c r="I77" i="42"/>
  <c r="H77" i="42"/>
  <c r="H80" i="42" s="1"/>
  <c r="G77" i="42"/>
  <c r="F77" i="42"/>
  <c r="E77" i="42"/>
  <c r="D77" i="42"/>
  <c r="C77" i="42"/>
  <c r="O74" i="42"/>
  <c r="Q72" i="42"/>
  <c r="J72" i="42"/>
  <c r="J73" i="42" s="1"/>
  <c r="J75" i="42" s="1"/>
  <c r="N71" i="42"/>
  <c r="M71" i="42"/>
  <c r="L71" i="42"/>
  <c r="K71" i="42"/>
  <c r="J71" i="42"/>
  <c r="I71" i="42"/>
  <c r="H71" i="42"/>
  <c r="G71" i="42"/>
  <c r="O71" i="42" s="1"/>
  <c r="F71" i="42"/>
  <c r="E71" i="42"/>
  <c r="D71" i="42"/>
  <c r="C71" i="42"/>
  <c r="O70" i="42"/>
  <c r="O69" i="42"/>
  <c r="N68" i="42"/>
  <c r="N72" i="42" s="1"/>
  <c r="M68" i="42"/>
  <c r="M72" i="42" s="1"/>
  <c r="L68" i="42"/>
  <c r="L72" i="42" s="1"/>
  <c r="K68" i="42"/>
  <c r="K72" i="42" s="1"/>
  <c r="J68" i="42"/>
  <c r="I68" i="42"/>
  <c r="H68" i="42"/>
  <c r="G68" i="42"/>
  <c r="F68" i="42"/>
  <c r="E68" i="42"/>
  <c r="E72" i="42" s="1"/>
  <c r="D68" i="42"/>
  <c r="D72" i="42" s="1"/>
  <c r="C68" i="42"/>
  <c r="O68" i="42" s="1"/>
  <c r="O67" i="42"/>
  <c r="O66" i="42"/>
  <c r="O65" i="42"/>
  <c r="O64" i="42"/>
  <c r="O63" i="42"/>
  <c r="J62" i="42"/>
  <c r="G62" i="42"/>
  <c r="G72" i="42" s="1"/>
  <c r="O61" i="42"/>
  <c r="O60" i="42"/>
  <c r="O59" i="42"/>
  <c r="O58" i="42"/>
  <c r="C57" i="42"/>
  <c r="O57" i="42" s="1"/>
  <c r="N55" i="42"/>
  <c r="N73" i="42" s="1"/>
  <c r="N75" i="42" s="1"/>
  <c r="M55" i="42"/>
  <c r="M73" i="42" s="1"/>
  <c r="M75" i="42" s="1"/>
  <c r="L55" i="42"/>
  <c r="L73" i="42" s="1"/>
  <c r="L75" i="42" s="1"/>
  <c r="K55" i="42"/>
  <c r="K73" i="42" s="1"/>
  <c r="K75" i="42" s="1"/>
  <c r="J55" i="42"/>
  <c r="I55" i="42"/>
  <c r="H55" i="42"/>
  <c r="G55" i="42"/>
  <c r="G73" i="42" s="1"/>
  <c r="G75" i="42" s="1"/>
  <c r="F55" i="42"/>
  <c r="E55" i="42"/>
  <c r="E73" i="42" s="1"/>
  <c r="E75" i="42" s="1"/>
  <c r="D55" i="42"/>
  <c r="D73" i="42" s="1"/>
  <c r="D75" i="42" s="1"/>
  <c r="C55" i="42"/>
  <c r="Q54" i="42"/>
  <c r="O54" i="42"/>
  <c r="Q53" i="42"/>
  <c r="Q55" i="42" s="1"/>
  <c r="Q73" i="42" s="1"/>
  <c r="O53" i="42"/>
  <c r="O55" i="42" s="1"/>
  <c r="O47" i="42"/>
  <c r="K45" i="42"/>
  <c r="K46" i="42" s="1"/>
  <c r="K48" i="42" s="1"/>
  <c r="J45" i="42"/>
  <c r="J46" i="42" s="1"/>
  <c r="J48" i="42" s="1"/>
  <c r="I45" i="42"/>
  <c r="I46" i="42" s="1"/>
  <c r="I48" i="42" s="1"/>
  <c r="C45" i="42"/>
  <c r="C46" i="42" s="1"/>
  <c r="C48" i="42" s="1"/>
  <c r="N44" i="42"/>
  <c r="M44" i="42"/>
  <c r="L44" i="42"/>
  <c r="K44" i="42"/>
  <c r="J44" i="42"/>
  <c r="I44" i="42"/>
  <c r="H44" i="42"/>
  <c r="G44" i="42"/>
  <c r="O44" i="42" s="1"/>
  <c r="F44" i="42"/>
  <c r="E44" i="42"/>
  <c r="D44" i="42"/>
  <c r="C44" i="42"/>
  <c r="O43" i="42"/>
  <c r="O42" i="42"/>
  <c r="N41" i="42"/>
  <c r="N45" i="42" s="1"/>
  <c r="N46" i="42" s="1"/>
  <c r="N48" i="42" s="1"/>
  <c r="M41" i="42"/>
  <c r="M45" i="42" s="1"/>
  <c r="M46" i="42" s="1"/>
  <c r="M48" i="42" s="1"/>
  <c r="L41" i="42"/>
  <c r="L45" i="42" s="1"/>
  <c r="L46" i="42" s="1"/>
  <c r="L48" i="42" s="1"/>
  <c r="K41" i="42"/>
  <c r="J41" i="42"/>
  <c r="I41" i="42"/>
  <c r="H41" i="42"/>
  <c r="H45" i="42" s="1"/>
  <c r="H46" i="42" s="1"/>
  <c r="H48" i="42" s="1"/>
  <c r="G41" i="42"/>
  <c r="G45" i="42" s="1"/>
  <c r="G46" i="42" s="1"/>
  <c r="G48" i="42" s="1"/>
  <c r="F41" i="42"/>
  <c r="F45" i="42" s="1"/>
  <c r="F46" i="42" s="1"/>
  <c r="F48" i="42" s="1"/>
  <c r="E41" i="42"/>
  <c r="E45" i="42" s="1"/>
  <c r="E46" i="42" s="1"/>
  <c r="E48" i="42" s="1"/>
  <c r="D41" i="42"/>
  <c r="D45" i="42" s="1"/>
  <c r="D46" i="42" s="1"/>
  <c r="D48" i="42" s="1"/>
  <c r="C41" i="42"/>
  <c r="Q40" i="42"/>
  <c r="Q45" i="42" s="1"/>
  <c r="O40" i="42"/>
  <c r="O39" i="42"/>
  <c r="O38" i="42"/>
  <c r="O37" i="42"/>
  <c r="O36" i="42"/>
  <c r="O35" i="42"/>
  <c r="O34" i="42"/>
  <c r="O33" i="42"/>
  <c r="O32" i="42"/>
  <c r="O31" i="42"/>
  <c r="O30" i="42"/>
  <c r="C30" i="42"/>
  <c r="O28" i="42"/>
  <c r="Q27" i="42"/>
  <c r="Q46" i="42" s="1"/>
  <c r="O27" i="42"/>
  <c r="O21" i="42"/>
  <c r="K21" i="42"/>
  <c r="K20" i="42"/>
  <c r="K22" i="42" s="1"/>
  <c r="J20" i="42"/>
  <c r="J22" i="42" s="1"/>
  <c r="I20" i="42"/>
  <c r="I22" i="42" s="1"/>
  <c r="C20" i="42"/>
  <c r="C22" i="42" s="1"/>
  <c r="N19" i="42"/>
  <c r="N20" i="42" s="1"/>
  <c r="N22" i="42" s="1"/>
  <c r="M19" i="42"/>
  <c r="M20" i="42" s="1"/>
  <c r="M22" i="42" s="1"/>
  <c r="L19" i="42"/>
  <c r="L20" i="42" s="1"/>
  <c r="L22" i="42" s="1"/>
  <c r="K19" i="42"/>
  <c r="J19" i="42"/>
  <c r="I19" i="42"/>
  <c r="H19" i="42"/>
  <c r="H20" i="42" s="1"/>
  <c r="H22" i="42" s="1"/>
  <c r="G19" i="42"/>
  <c r="G20" i="42" s="1"/>
  <c r="G22" i="42" s="1"/>
  <c r="F19" i="42"/>
  <c r="F20" i="42" s="1"/>
  <c r="F22" i="42" s="1"/>
  <c r="E19" i="42"/>
  <c r="E20" i="42" s="1"/>
  <c r="E22" i="42" s="1"/>
  <c r="D19" i="42"/>
  <c r="D20" i="42" s="1"/>
  <c r="D22" i="42" s="1"/>
  <c r="C19" i="42"/>
  <c r="N18" i="42"/>
  <c r="M18" i="42"/>
  <c r="L18" i="42"/>
  <c r="K18" i="42"/>
  <c r="J18" i="42"/>
  <c r="I18" i="42"/>
  <c r="H18" i="42"/>
  <c r="G18" i="42"/>
  <c r="F18" i="42"/>
  <c r="E18" i="42"/>
  <c r="D18" i="42"/>
  <c r="C18" i="42"/>
  <c r="O18" i="42" s="1"/>
  <c r="O17" i="42"/>
  <c r="O15" i="42"/>
  <c r="O14" i="42"/>
  <c r="O13" i="42"/>
  <c r="O12" i="42"/>
  <c r="Q11" i="42"/>
  <c r="O11" i="42"/>
  <c r="O19" i="42" s="1"/>
  <c r="Q10" i="42"/>
  <c r="O10" i="42"/>
  <c r="Q9" i="42"/>
  <c r="O9" i="42"/>
  <c r="O8" i="42"/>
  <c r="O7" i="42"/>
  <c r="O5" i="42"/>
  <c r="O4" i="42"/>
  <c r="O20" i="42" s="1"/>
  <c r="O22" i="42" s="1"/>
  <c r="D108" i="41"/>
  <c r="I74" i="41"/>
  <c r="G74" i="41"/>
  <c r="I71" i="41"/>
  <c r="I88" i="41" s="1"/>
  <c r="B63" i="41"/>
  <c r="G54" i="41"/>
  <c r="F54" i="41"/>
  <c r="C54" i="41"/>
  <c r="P43" i="41"/>
  <c r="G43" i="41"/>
  <c r="G42" i="41"/>
  <c r="Q41" i="41"/>
  <c r="G41" i="41"/>
  <c r="G40" i="41"/>
  <c r="G39" i="41"/>
  <c r="G38" i="41"/>
  <c r="G37" i="41"/>
  <c r="G36" i="41"/>
  <c r="E36" i="41"/>
  <c r="E35" i="41"/>
  <c r="G35" i="41" s="1"/>
  <c r="G34" i="41"/>
  <c r="G33" i="41"/>
  <c r="G44" i="41" s="1"/>
  <c r="H26" i="41"/>
  <c r="G26" i="41"/>
  <c r="F25" i="41"/>
  <c r="E25" i="41"/>
  <c r="F24" i="41"/>
  <c r="E24" i="41"/>
  <c r="F23" i="41"/>
  <c r="F26" i="41" s="1"/>
  <c r="E23" i="41"/>
  <c r="E26" i="41" s="1"/>
  <c r="I26" i="41" s="1"/>
  <c r="Q19" i="41"/>
  <c r="F18" i="41"/>
  <c r="E18" i="41"/>
  <c r="C18" i="41"/>
  <c r="H17" i="41"/>
  <c r="G17" i="41"/>
  <c r="F17" i="41"/>
  <c r="E17" i="41"/>
  <c r="D17" i="41"/>
  <c r="C17" i="41"/>
  <c r="B17" i="41"/>
  <c r="J13" i="41"/>
  <c r="J10" i="41"/>
  <c r="J5" i="41"/>
  <c r="H5" i="41"/>
  <c r="G5" i="41"/>
  <c r="C5" i="41"/>
  <c r="B5" i="41"/>
  <c r="P2" i="41"/>
  <c r="N262" i="40"/>
  <c r="H262" i="40"/>
  <c r="G262" i="40"/>
  <c r="F262" i="40"/>
  <c r="N261" i="40"/>
  <c r="M261" i="40"/>
  <c r="M262" i="40" s="1"/>
  <c r="L261" i="40"/>
  <c r="L262" i="40" s="1"/>
  <c r="K261" i="40"/>
  <c r="K262" i="40" s="1"/>
  <c r="J261" i="40"/>
  <c r="J262" i="40" s="1"/>
  <c r="I261" i="40"/>
  <c r="I262" i="40" s="1"/>
  <c r="H261" i="40"/>
  <c r="G261" i="40"/>
  <c r="F261" i="40"/>
  <c r="E261" i="40"/>
  <c r="E262" i="40" s="1"/>
  <c r="D261" i="40"/>
  <c r="D262" i="40" s="1"/>
  <c r="C261" i="40"/>
  <c r="C262" i="40" s="1"/>
  <c r="O260" i="40"/>
  <c r="O259" i="40"/>
  <c r="O252" i="40"/>
  <c r="O251" i="40"/>
  <c r="O250" i="40"/>
  <c r="O261" i="40" s="1"/>
  <c r="O262" i="40" s="1"/>
  <c r="N241" i="40"/>
  <c r="M241" i="40"/>
  <c r="G241" i="40"/>
  <c r="F241" i="40"/>
  <c r="E241" i="40"/>
  <c r="N240" i="40"/>
  <c r="M240" i="40"/>
  <c r="L240" i="40"/>
  <c r="L241" i="40" s="1"/>
  <c r="K240" i="40"/>
  <c r="K241" i="40" s="1"/>
  <c r="J240" i="40"/>
  <c r="J241" i="40" s="1"/>
  <c r="I240" i="40"/>
  <c r="I241" i="40" s="1"/>
  <c r="H240" i="40"/>
  <c r="H241" i="40" s="1"/>
  <c r="G240" i="40"/>
  <c r="F240" i="40"/>
  <c r="E240" i="40"/>
  <c r="D240" i="40"/>
  <c r="D241" i="40" s="1"/>
  <c r="C240" i="40"/>
  <c r="C241" i="40" s="1"/>
  <c r="O239" i="40"/>
  <c r="O238" i="40"/>
  <c r="O231" i="40"/>
  <c r="Q230" i="40"/>
  <c r="O230" i="40"/>
  <c r="O229" i="40"/>
  <c r="O240" i="40" s="1"/>
  <c r="O241" i="40" s="1"/>
  <c r="O224" i="40"/>
  <c r="N222" i="40"/>
  <c r="M222" i="40"/>
  <c r="L222" i="40"/>
  <c r="K222" i="40"/>
  <c r="J222" i="40"/>
  <c r="I222" i="40"/>
  <c r="H222" i="40"/>
  <c r="G222" i="40"/>
  <c r="F222" i="40"/>
  <c r="D222" i="40"/>
  <c r="C222" i="40"/>
  <c r="O221" i="40"/>
  <c r="N220" i="40"/>
  <c r="O219" i="40"/>
  <c r="O218" i="40"/>
  <c r="O217" i="40"/>
  <c r="N216" i="40"/>
  <c r="O216" i="40" s="1"/>
  <c r="O215" i="40"/>
  <c r="O214" i="40"/>
  <c r="O213" i="40"/>
  <c r="O212" i="40"/>
  <c r="E211" i="40"/>
  <c r="E222" i="40" s="1"/>
  <c r="O210" i="40"/>
  <c r="K204" i="40"/>
  <c r="J204" i="40"/>
  <c r="I204" i="40"/>
  <c r="C204" i="40"/>
  <c r="N203" i="40"/>
  <c r="N204" i="40" s="1"/>
  <c r="M203" i="40"/>
  <c r="M204" i="40" s="1"/>
  <c r="L203" i="40"/>
  <c r="L204" i="40" s="1"/>
  <c r="K203" i="40"/>
  <c r="J203" i="40"/>
  <c r="I203" i="40"/>
  <c r="H203" i="40"/>
  <c r="H204" i="40" s="1"/>
  <c r="G203" i="40"/>
  <c r="G204" i="40" s="1"/>
  <c r="F203" i="40"/>
  <c r="F204" i="40" s="1"/>
  <c r="E203" i="40"/>
  <c r="E204" i="40" s="1"/>
  <c r="D203" i="40"/>
  <c r="D204" i="40" s="1"/>
  <c r="C203" i="40"/>
  <c r="N202" i="40"/>
  <c r="M202" i="40"/>
  <c r="L202" i="40"/>
  <c r="K202" i="40"/>
  <c r="J202" i="40"/>
  <c r="I202" i="40"/>
  <c r="H202" i="40"/>
  <c r="G202" i="40"/>
  <c r="F202" i="40"/>
  <c r="E202" i="40"/>
  <c r="D202" i="40"/>
  <c r="C202" i="40"/>
  <c r="O202" i="40" s="1"/>
  <c r="O201" i="40"/>
  <c r="O200" i="40"/>
  <c r="O199" i="40"/>
  <c r="O198" i="40"/>
  <c r="O197" i="40"/>
  <c r="O196" i="40"/>
  <c r="O195" i="40"/>
  <c r="O203" i="40" s="1"/>
  <c r="O194" i="40"/>
  <c r="O192" i="40"/>
  <c r="K187" i="40"/>
  <c r="J187" i="40"/>
  <c r="I187" i="40"/>
  <c r="C187" i="40"/>
  <c r="N186" i="40"/>
  <c r="N187" i="40" s="1"/>
  <c r="M186" i="40"/>
  <c r="M187" i="40" s="1"/>
  <c r="L186" i="40"/>
  <c r="L187" i="40" s="1"/>
  <c r="K186" i="40"/>
  <c r="J186" i="40"/>
  <c r="I186" i="40"/>
  <c r="H186" i="40"/>
  <c r="H187" i="40" s="1"/>
  <c r="G186" i="40"/>
  <c r="G187" i="40" s="1"/>
  <c r="F186" i="40"/>
  <c r="F187" i="40" s="1"/>
  <c r="E186" i="40"/>
  <c r="E187" i="40" s="1"/>
  <c r="D186" i="40"/>
  <c r="D187" i="40" s="1"/>
  <c r="C186" i="40"/>
  <c r="N185" i="40"/>
  <c r="M185" i="40"/>
  <c r="L185" i="40"/>
  <c r="K185" i="40"/>
  <c r="J185" i="40"/>
  <c r="I185" i="40"/>
  <c r="H185" i="40"/>
  <c r="G185" i="40"/>
  <c r="F185" i="40"/>
  <c r="E185" i="40"/>
  <c r="D185" i="40"/>
  <c r="C185" i="40"/>
  <c r="O185" i="40" s="1"/>
  <c r="O184" i="40"/>
  <c r="O183" i="40"/>
  <c r="O182" i="40"/>
  <c r="O181" i="40"/>
  <c r="Q180" i="40"/>
  <c r="O180" i="40"/>
  <c r="Q179" i="40"/>
  <c r="O179" i="40"/>
  <c r="O186" i="40" s="1"/>
  <c r="O178" i="40"/>
  <c r="O177" i="40"/>
  <c r="O175" i="40"/>
  <c r="L170" i="40"/>
  <c r="K170" i="40"/>
  <c r="D170" i="40"/>
  <c r="C170" i="40"/>
  <c r="N169" i="40"/>
  <c r="N170" i="40" s="1"/>
  <c r="L169" i="40"/>
  <c r="K169" i="40"/>
  <c r="J169" i="40"/>
  <c r="J170" i="40" s="1"/>
  <c r="I169" i="40"/>
  <c r="I170" i="40" s="1"/>
  <c r="H169" i="40"/>
  <c r="H170" i="40" s="1"/>
  <c r="D169" i="40"/>
  <c r="C169" i="40"/>
  <c r="N168" i="40"/>
  <c r="M168" i="40"/>
  <c r="L168" i="40"/>
  <c r="K168" i="40"/>
  <c r="J168" i="40"/>
  <c r="I168" i="40"/>
  <c r="H168" i="40"/>
  <c r="G168" i="40"/>
  <c r="O168" i="40" s="1"/>
  <c r="F168" i="40"/>
  <c r="E168" i="40"/>
  <c r="D168" i="40"/>
  <c r="C168" i="40"/>
  <c r="O167" i="40"/>
  <c r="O166" i="40"/>
  <c r="O165" i="40"/>
  <c r="O164" i="40"/>
  <c r="O163" i="40"/>
  <c r="J162" i="40"/>
  <c r="I162" i="40"/>
  <c r="H162" i="40"/>
  <c r="G162" i="40"/>
  <c r="G169" i="40" s="1"/>
  <c r="G170" i="40" s="1"/>
  <c r="F162" i="40"/>
  <c r="E162" i="40"/>
  <c r="Q162" i="40" s="1"/>
  <c r="Q164" i="40" s="1"/>
  <c r="O161" i="40"/>
  <c r="M161" i="40"/>
  <c r="M169" i="40" s="1"/>
  <c r="M170" i="40" s="1"/>
  <c r="F161" i="40"/>
  <c r="Q161" i="40" s="1"/>
  <c r="O160" i="40"/>
  <c r="O158" i="40"/>
  <c r="N153" i="40"/>
  <c r="H153" i="40"/>
  <c r="G153" i="40"/>
  <c r="F153" i="40"/>
  <c r="N152" i="40"/>
  <c r="M152" i="40"/>
  <c r="M153" i="40" s="1"/>
  <c r="L152" i="40"/>
  <c r="L153" i="40" s="1"/>
  <c r="K152" i="40"/>
  <c r="K153" i="40" s="1"/>
  <c r="J152" i="40"/>
  <c r="J153" i="40" s="1"/>
  <c r="I152" i="40"/>
  <c r="I153" i="40" s="1"/>
  <c r="H152" i="40"/>
  <c r="G152" i="40"/>
  <c r="F152" i="40"/>
  <c r="E152" i="40"/>
  <c r="E153" i="40" s="1"/>
  <c r="D152" i="40"/>
  <c r="D153" i="40" s="1"/>
  <c r="C152" i="40"/>
  <c r="C153" i="40" s="1"/>
  <c r="N151" i="40"/>
  <c r="M151" i="40"/>
  <c r="L151" i="40"/>
  <c r="K151" i="40"/>
  <c r="J151" i="40"/>
  <c r="I151" i="40"/>
  <c r="H151" i="40"/>
  <c r="G151" i="40"/>
  <c r="F151" i="40"/>
  <c r="E151" i="40"/>
  <c r="D151" i="40"/>
  <c r="C151" i="40"/>
  <c r="O151" i="40" s="1"/>
  <c r="O150" i="40"/>
  <c r="O149" i="40"/>
  <c r="O148" i="40"/>
  <c r="O147" i="40"/>
  <c r="O146" i="40"/>
  <c r="O145" i="40"/>
  <c r="O144" i="40"/>
  <c r="O152" i="40" s="1"/>
  <c r="O143" i="40"/>
  <c r="O141" i="40"/>
  <c r="O153" i="40" s="1"/>
  <c r="O134" i="40"/>
  <c r="N133" i="40"/>
  <c r="N135" i="40" s="1"/>
  <c r="M133" i="40"/>
  <c r="M135" i="40" s="1"/>
  <c r="L133" i="40"/>
  <c r="L135" i="40" s="1"/>
  <c r="F133" i="40"/>
  <c r="F135" i="40" s="1"/>
  <c r="E133" i="40"/>
  <c r="E135" i="40" s="1"/>
  <c r="D133" i="40"/>
  <c r="D135" i="40" s="1"/>
  <c r="N132" i="40"/>
  <c r="M132" i="40"/>
  <c r="L132" i="40"/>
  <c r="K132" i="40"/>
  <c r="K133" i="40" s="1"/>
  <c r="K135" i="40" s="1"/>
  <c r="J132" i="40"/>
  <c r="J133" i="40" s="1"/>
  <c r="J135" i="40" s="1"/>
  <c r="I132" i="40"/>
  <c r="I133" i="40" s="1"/>
  <c r="I135" i="40" s="1"/>
  <c r="H132" i="40"/>
  <c r="H133" i="40" s="1"/>
  <c r="H135" i="40" s="1"/>
  <c r="G132" i="40"/>
  <c r="G133" i="40" s="1"/>
  <c r="G135" i="40" s="1"/>
  <c r="F132" i="40"/>
  <c r="E132" i="40"/>
  <c r="D132" i="40"/>
  <c r="C132" i="40"/>
  <c r="C133" i="40" s="1"/>
  <c r="C135" i="40" s="1"/>
  <c r="N131" i="40"/>
  <c r="M131" i="40"/>
  <c r="L131" i="40"/>
  <c r="K131" i="40"/>
  <c r="J131" i="40"/>
  <c r="I131" i="40"/>
  <c r="H131" i="40"/>
  <c r="G131" i="40"/>
  <c r="F131" i="40"/>
  <c r="O131" i="40" s="1"/>
  <c r="E131" i="40"/>
  <c r="D131" i="40"/>
  <c r="C131" i="40"/>
  <c r="O130" i="40"/>
  <c r="O129" i="40"/>
  <c r="O128" i="40"/>
  <c r="O127" i="40"/>
  <c r="O126" i="40"/>
  <c r="O125" i="40"/>
  <c r="O124" i="40"/>
  <c r="Q123" i="40"/>
  <c r="O123" i="40"/>
  <c r="O122" i="40"/>
  <c r="O121" i="40"/>
  <c r="O120" i="40"/>
  <c r="O132" i="40" s="1"/>
  <c r="O118" i="40"/>
  <c r="J112" i="40"/>
  <c r="O111" i="40"/>
  <c r="N110" i="40"/>
  <c r="N112" i="40" s="1"/>
  <c r="J110" i="40"/>
  <c r="H110" i="40"/>
  <c r="H112" i="40" s="1"/>
  <c r="G110" i="40"/>
  <c r="G112" i="40" s="1"/>
  <c r="F110" i="40"/>
  <c r="F112" i="40" s="1"/>
  <c r="N109" i="40"/>
  <c r="M109" i="40"/>
  <c r="M110" i="40" s="1"/>
  <c r="M112" i="40" s="1"/>
  <c r="L109" i="40"/>
  <c r="L110" i="40" s="1"/>
  <c r="L112" i="40" s="1"/>
  <c r="K109" i="40"/>
  <c r="K110" i="40" s="1"/>
  <c r="K112" i="40" s="1"/>
  <c r="J109" i="40"/>
  <c r="I109" i="40"/>
  <c r="I110" i="40" s="1"/>
  <c r="I112" i="40" s="1"/>
  <c r="H109" i="40"/>
  <c r="G109" i="40"/>
  <c r="F109" i="40"/>
  <c r="E109" i="40"/>
  <c r="E110" i="40" s="1"/>
  <c r="E112" i="40" s="1"/>
  <c r="D109" i="40"/>
  <c r="D110" i="40" s="1"/>
  <c r="D112" i="40" s="1"/>
  <c r="C109" i="40"/>
  <c r="C110" i="40" s="1"/>
  <c r="C112" i="40" s="1"/>
  <c r="N108" i="40"/>
  <c r="M108" i="40"/>
  <c r="L108" i="40"/>
  <c r="K108" i="40"/>
  <c r="J108" i="40"/>
  <c r="I108" i="40"/>
  <c r="H108" i="40"/>
  <c r="G108" i="40"/>
  <c r="F108" i="40"/>
  <c r="E108" i="40"/>
  <c r="D108" i="40"/>
  <c r="C108" i="40"/>
  <c r="O108" i="40" s="1"/>
  <c r="O107" i="40"/>
  <c r="O106" i="40"/>
  <c r="O105" i="40"/>
  <c r="O102" i="40"/>
  <c r="O101" i="40"/>
  <c r="O100" i="40"/>
  <c r="O109" i="40" s="1"/>
  <c r="O110" i="40" s="1"/>
  <c r="O112" i="40" s="1"/>
  <c r="O99" i="40"/>
  <c r="O97" i="40"/>
  <c r="G93" i="40"/>
  <c r="E93" i="40"/>
  <c r="N92" i="40"/>
  <c r="M92" i="40"/>
  <c r="L92" i="40"/>
  <c r="L93" i="40" s="1"/>
  <c r="K92" i="40"/>
  <c r="K93" i="40" s="1"/>
  <c r="J92" i="40"/>
  <c r="J93" i="40" s="1"/>
  <c r="I92" i="40"/>
  <c r="F92" i="40"/>
  <c r="E92" i="40"/>
  <c r="D92" i="40"/>
  <c r="D93" i="40" s="1"/>
  <c r="C92" i="40"/>
  <c r="C93" i="40" s="1"/>
  <c r="O91" i="40"/>
  <c r="N91" i="40"/>
  <c r="N93" i="40" s="1"/>
  <c r="M91" i="40"/>
  <c r="M93" i="40" s="1"/>
  <c r="L91" i="40"/>
  <c r="K91" i="40"/>
  <c r="J91" i="40"/>
  <c r="H91" i="40"/>
  <c r="H93" i="40" s="1"/>
  <c r="G91" i="40"/>
  <c r="F91" i="40"/>
  <c r="F93" i="40" s="1"/>
  <c r="E91" i="40"/>
  <c r="D91" i="40"/>
  <c r="C91" i="40"/>
  <c r="N90" i="40"/>
  <c r="M90" i="40"/>
  <c r="L90" i="40"/>
  <c r="K90" i="40"/>
  <c r="J90" i="40"/>
  <c r="I90" i="40"/>
  <c r="I93" i="40" s="1"/>
  <c r="H90" i="40"/>
  <c r="G90" i="40"/>
  <c r="F90" i="40"/>
  <c r="E90" i="40"/>
  <c r="D90" i="40"/>
  <c r="C90" i="40"/>
  <c r="O87" i="40"/>
  <c r="M86" i="40"/>
  <c r="M88" i="40" s="1"/>
  <c r="L86" i="40"/>
  <c r="L88" i="40" s="1"/>
  <c r="E86" i="40"/>
  <c r="E88" i="40" s="1"/>
  <c r="D86" i="40"/>
  <c r="D88" i="40" s="1"/>
  <c r="N85" i="40"/>
  <c r="M85" i="40"/>
  <c r="L85" i="40"/>
  <c r="K85" i="40"/>
  <c r="J85" i="40"/>
  <c r="I85" i="40"/>
  <c r="H85" i="40"/>
  <c r="G85" i="40"/>
  <c r="F85" i="40"/>
  <c r="E85" i="40"/>
  <c r="D85" i="40"/>
  <c r="N84" i="40"/>
  <c r="M84" i="40"/>
  <c r="L84" i="40"/>
  <c r="K84" i="40"/>
  <c r="J84" i="40"/>
  <c r="I84" i="40"/>
  <c r="H84" i="40"/>
  <c r="G84" i="40"/>
  <c r="F84" i="40"/>
  <c r="O84" i="40" s="1"/>
  <c r="E84" i="40"/>
  <c r="D84" i="40"/>
  <c r="C84" i="40"/>
  <c r="O83" i="40"/>
  <c r="O82" i="40"/>
  <c r="O81" i="40"/>
  <c r="Q79" i="40"/>
  <c r="C79" i="40"/>
  <c r="C85" i="40" s="1"/>
  <c r="Q78" i="40"/>
  <c r="O78" i="40"/>
  <c r="Q77" i="40"/>
  <c r="O77" i="40"/>
  <c r="O90" i="40" s="1"/>
  <c r="O76" i="40"/>
  <c r="O85" i="40" s="1"/>
  <c r="O75" i="40"/>
  <c r="N73" i="40"/>
  <c r="N86" i="40" s="1"/>
  <c r="N88" i="40" s="1"/>
  <c r="M73" i="40"/>
  <c r="L73" i="40"/>
  <c r="K73" i="40"/>
  <c r="K86" i="40" s="1"/>
  <c r="K88" i="40" s="1"/>
  <c r="J73" i="40"/>
  <c r="J86" i="40" s="1"/>
  <c r="J88" i="40" s="1"/>
  <c r="I73" i="40"/>
  <c r="I86" i="40" s="1"/>
  <c r="I88" i="40" s="1"/>
  <c r="H73" i="40"/>
  <c r="H86" i="40" s="1"/>
  <c r="H88" i="40" s="1"/>
  <c r="G73" i="40"/>
  <c r="G86" i="40" s="1"/>
  <c r="G88" i="40" s="1"/>
  <c r="F73" i="40"/>
  <c r="F86" i="40" s="1"/>
  <c r="F88" i="40" s="1"/>
  <c r="E73" i="40"/>
  <c r="D73" i="40"/>
  <c r="C73" i="40"/>
  <c r="C86" i="40" s="1"/>
  <c r="C88" i="40" s="1"/>
  <c r="O72" i="40"/>
  <c r="O71" i="40"/>
  <c r="O70" i="40"/>
  <c r="O92" i="40" s="1"/>
  <c r="O69" i="40"/>
  <c r="O73" i="40" s="1"/>
  <c r="O86" i="40" s="1"/>
  <c r="O88" i="40" s="1"/>
  <c r="I64" i="40"/>
  <c r="G64" i="40"/>
  <c r="O63" i="40"/>
  <c r="N62" i="40"/>
  <c r="N64" i="40" s="1"/>
  <c r="M62" i="40"/>
  <c r="M64" i="40" s="1"/>
  <c r="I62" i="40"/>
  <c r="G62" i="40"/>
  <c r="F62" i="40"/>
  <c r="F64" i="40" s="1"/>
  <c r="E62" i="40"/>
  <c r="E64" i="40" s="1"/>
  <c r="N61" i="40"/>
  <c r="M61" i="40"/>
  <c r="L61" i="40"/>
  <c r="L62" i="40" s="1"/>
  <c r="L64" i="40" s="1"/>
  <c r="K61" i="40"/>
  <c r="K62" i="40" s="1"/>
  <c r="K64" i="40" s="1"/>
  <c r="J61" i="40"/>
  <c r="J62" i="40" s="1"/>
  <c r="J64" i="40" s="1"/>
  <c r="I61" i="40"/>
  <c r="H61" i="40"/>
  <c r="H62" i="40" s="1"/>
  <c r="H64" i="40" s="1"/>
  <c r="G61" i="40"/>
  <c r="F61" i="40"/>
  <c r="E61" i="40"/>
  <c r="D61" i="40"/>
  <c r="D62" i="40" s="1"/>
  <c r="D64" i="40" s="1"/>
  <c r="C61" i="40"/>
  <c r="C62" i="40" s="1"/>
  <c r="C64" i="40" s="1"/>
  <c r="N60" i="40"/>
  <c r="M60" i="40"/>
  <c r="L60" i="40"/>
  <c r="K60" i="40"/>
  <c r="J60" i="40"/>
  <c r="I60" i="40"/>
  <c r="H60" i="40"/>
  <c r="G60" i="40"/>
  <c r="O60" i="40" s="1"/>
  <c r="F60" i="40"/>
  <c r="E60" i="40"/>
  <c r="D60" i="40"/>
  <c r="C60" i="40"/>
  <c r="O59" i="40"/>
  <c r="O58" i="40"/>
  <c r="O57" i="40"/>
  <c r="O54" i="40"/>
  <c r="O53" i="40"/>
  <c r="O52" i="40"/>
  <c r="O51" i="40"/>
  <c r="O49" i="40"/>
  <c r="N41" i="40"/>
  <c r="M41" i="40"/>
  <c r="L41" i="40"/>
  <c r="F41" i="40"/>
  <c r="E41" i="40"/>
  <c r="D41" i="40"/>
  <c r="N40" i="40"/>
  <c r="M40" i="40"/>
  <c r="L40" i="40"/>
  <c r="K40" i="40"/>
  <c r="K41" i="40" s="1"/>
  <c r="J40" i="40"/>
  <c r="J41" i="40" s="1"/>
  <c r="I40" i="40"/>
  <c r="I41" i="40" s="1"/>
  <c r="H40" i="40"/>
  <c r="H41" i="40" s="1"/>
  <c r="G40" i="40"/>
  <c r="G41" i="40" s="1"/>
  <c r="F40" i="40"/>
  <c r="E40" i="40"/>
  <c r="D40" i="40"/>
  <c r="C40" i="40"/>
  <c r="C41" i="40" s="1"/>
  <c r="N39" i="40"/>
  <c r="M39" i="40"/>
  <c r="L39" i="40"/>
  <c r="K39" i="40"/>
  <c r="J39" i="40"/>
  <c r="I39" i="40"/>
  <c r="H39" i="40"/>
  <c r="G39" i="40"/>
  <c r="O39" i="40" s="1"/>
  <c r="F39" i="40"/>
  <c r="E39" i="40"/>
  <c r="D39" i="40"/>
  <c r="C39" i="40"/>
  <c r="O38" i="40"/>
  <c r="O37" i="40"/>
  <c r="O36" i="40"/>
  <c r="O33" i="40"/>
  <c r="O32" i="40"/>
  <c r="O31" i="40"/>
  <c r="O30" i="40"/>
  <c r="O28" i="40"/>
  <c r="L23" i="40"/>
  <c r="K23" i="40"/>
  <c r="K22" i="40"/>
  <c r="O22" i="40" s="1"/>
  <c r="L21" i="40"/>
  <c r="K21" i="40"/>
  <c r="J21" i="40"/>
  <c r="J23" i="40" s="1"/>
  <c r="D21" i="40"/>
  <c r="D23" i="40" s="1"/>
  <c r="C21" i="40"/>
  <c r="C23" i="40" s="1"/>
  <c r="N20" i="40"/>
  <c r="N21" i="40" s="1"/>
  <c r="N23" i="40" s="1"/>
  <c r="M20" i="40"/>
  <c r="M21" i="40" s="1"/>
  <c r="M23" i="40" s="1"/>
  <c r="L20" i="40"/>
  <c r="K20" i="40"/>
  <c r="J20" i="40"/>
  <c r="I20" i="40"/>
  <c r="I21" i="40" s="1"/>
  <c r="I23" i="40" s="1"/>
  <c r="H20" i="40"/>
  <c r="H21" i="40" s="1"/>
  <c r="H23" i="40" s="1"/>
  <c r="G20" i="40"/>
  <c r="G21" i="40" s="1"/>
  <c r="G23" i="40" s="1"/>
  <c r="F20" i="40"/>
  <c r="F21" i="40" s="1"/>
  <c r="F23" i="40" s="1"/>
  <c r="E20" i="40"/>
  <c r="E21" i="40" s="1"/>
  <c r="E23" i="40" s="1"/>
  <c r="D20" i="40"/>
  <c r="C20" i="40"/>
  <c r="N19" i="40"/>
  <c r="M19" i="40"/>
  <c r="L19" i="40"/>
  <c r="K19" i="40"/>
  <c r="J19" i="40"/>
  <c r="I19" i="40"/>
  <c r="H19" i="40"/>
  <c r="G19" i="40"/>
  <c r="F19" i="40"/>
  <c r="E19" i="40"/>
  <c r="D19" i="40"/>
  <c r="C19" i="40"/>
  <c r="O18" i="40"/>
  <c r="O16" i="40"/>
  <c r="O15" i="40"/>
  <c r="O14" i="40"/>
  <c r="O11" i="40"/>
  <c r="Q10" i="40"/>
  <c r="O10" i="40"/>
  <c r="Q9" i="40"/>
  <c r="O9" i="40"/>
  <c r="Q8" i="40"/>
  <c r="O8" i="40"/>
  <c r="O7" i="40"/>
  <c r="O6" i="40"/>
  <c r="O20" i="40" s="1"/>
  <c r="O4" i="40"/>
  <c r="D108" i="39"/>
  <c r="J74" i="39"/>
  <c r="L74" i="39" s="1"/>
  <c r="L71" i="39"/>
  <c r="L88" i="39" s="1"/>
  <c r="B63" i="39"/>
  <c r="J54" i="39"/>
  <c r="I54" i="39"/>
  <c r="C54" i="39"/>
  <c r="S43" i="39"/>
  <c r="H43" i="39"/>
  <c r="G43" i="39"/>
  <c r="L42" i="39"/>
  <c r="H42" i="39"/>
  <c r="G42" i="39"/>
  <c r="T41" i="39"/>
  <c r="H41" i="39"/>
  <c r="G41" i="39"/>
  <c r="H40" i="39"/>
  <c r="G40" i="39"/>
  <c r="G39" i="39"/>
  <c r="H38" i="39"/>
  <c r="G38" i="39"/>
  <c r="H37" i="39"/>
  <c r="G37" i="39"/>
  <c r="G36" i="39"/>
  <c r="E36" i="39"/>
  <c r="H36" i="39" s="1"/>
  <c r="G35" i="39"/>
  <c r="E35" i="39"/>
  <c r="H35" i="39" s="1"/>
  <c r="H34" i="39"/>
  <c r="G34" i="39"/>
  <c r="H33" i="39"/>
  <c r="G33" i="39"/>
  <c r="G44" i="39" s="1"/>
  <c r="K26" i="39"/>
  <c r="J26" i="39"/>
  <c r="K25" i="39"/>
  <c r="K27" i="39" s="1"/>
  <c r="O24" i="39"/>
  <c r="I24" i="39"/>
  <c r="H24" i="39"/>
  <c r="I23" i="39"/>
  <c r="I25" i="39" s="1"/>
  <c r="H23" i="39"/>
  <c r="H25" i="39" s="1"/>
  <c r="T19" i="39"/>
  <c r="I18" i="39"/>
  <c r="H18" i="39"/>
  <c r="D18" i="39"/>
  <c r="K17" i="39"/>
  <c r="J17" i="39"/>
  <c r="I17" i="39"/>
  <c r="H17" i="39"/>
  <c r="G17" i="39"/>
  <c r="D17" i="39"/>
  <c r="C17" i="39"/>
  <c r="B17" i="39"/>
  <c r="M13" i="39"/>
  <c r="M10" i="39"/>
  <c r="E10" i="39"/>
  <c r="M5" i="39"/>
  <c r="K5" i="39"/>
  <c r="J5" i="39"/>
  <c r="G5" i="39"/>
  <c r="B5" i="39"/>
  <c r="S2" i="39"/>
  <c r="N128" i="38"/>
  <c r="P121" i="38"/>
  <c r="N121" i="38"/>
  <c r="AK120" i="38"/>
  <c r="AK119" i="38"/>
  <c r="N118" i="38"/>
  <c r="AK118" i="38" s="1"/>
  <c r="AK116" i="38"/>
  <c r="AK115" i="38"/>
  <c r="L179" i="37"/>
  <c r="O169" i="37"/>
  <c r="I169" i="37"/>
  <c r="H169" i="37"/>
  <c r="G169" i="37"/>
  <c r="N168" i="37"/>
  <c r="N169" i="37" s="1"/>
  <c r="M168" i="37"/>
  <c r="M169" i="37" s="1"/>
  <c r="L168" i="37"/>
  <c r="L169" i="37" s="1"/>
  <c r="K168" i="37"/>
  <c r="K169" i="37" s="1"/>
  <c r="J168" i="37"/>
  <c r="J169" i="37" s="1"/>
  <c r="I168" i="37"/>
  <c r="H168" i="37"/>
  <c r="G168" i="37"/>
  <c r="F168" i="37"/>
  <c r="F169" i="37" s="1"/>
  <c r="E168" i="37"/>
  <c r="E169" i="37" s="1"/>
  <c r="D168" i="37"/>
  <c r="D169" i="37" s="1"/>
  <c r="C168" i="37"/>
  <c r="C169" i="37" s="1"/>
  <c r="O167" i="37"/>
  <c r="O166" i="37"/>
  <c r="O159" i="37"/>
  <c r="O158" i="37"/>
  <c r="O157" i="37"/>
  <c r="O168" i="37" s="1"/>
  <c r="N148" i="37"/>
  <c r="H148" i="37"/>
  <c r="G148" i="37"/>
  <c r="F148" i="37"/>
  <c r="N147" i="37"/>
  <c r="M147" i="37"/>
  <c r="M148" i="37" s="1"/>
  <c r="L147" i="37"/>
  <c r="L148" i="37" s="1"/>
  <c r="K147" i="37"/>
  <c r="K148" i="37" s="1"/>
  <c r="J147" i="37"/>
  <c r="J148" i="37" s="1"/>
  <c r="I147" i="37"/>
  <c r="I148" i="37" s="1"/>
  <c r="H147" i="37"/>
  <c r="G147" i="37"/>
  <c r="F147" i="37"/>
  <c r="E147" i="37"/>
  <c r="E148" i="37" s="1"/>
  <c r="D147" i="37"/>
  <c r="D148" i="37" s="1"/>
  <c r="C147" i="37"/>
  <c r="C148" i="37" s="1"/>
  <c r="O146" i="37"/>
  <c r="O145" i="37"/>
  <c r="O138" i="37"/>
  <c r="Q137" i="37"/>
  <c r="O137" i="37"/>
  <c r="O136" i="37"/>
  <c r="O147" i="37" s="1"/>
  <c r="O148" i="37" s="1"/>
  <c r="O131" i="37"/>
  <c r="M129" i="37"/>
  <c r="L129" i="37"/>
  <c r="K129" i="37"/>
  <c r="J129" i="37"/>
  <c r="I129" i="37"/>
  <c r="H129" i="37"/>
  <c r="G129" i="37"/>
  <c r="F129" i="37"/>
  <c r="E129" i="37"/>
  <c r="D129" i="37"/>
  <c r="C129" i="37"/>
  <c r="O128" i="37"/>
  <c r="N127" i="37"/>
  <c r="O125" i="37"/>
  <c r="O124" i="37"/>
  <c r="O123" i="37"/>
  <c r="N122" i="37"/>
  <c r="N129" i="37" s="1"/>
  <c r="O121" i="37"/>
  <c r="O120" i="37"/>
  <c r="O119" i="37"/>
  <c r="O118" i="37"/>
  <c r="O117" i="37"/>
  <c r="K111" i="37"/>
  <c r="J111" i="37"/>
  <c r="I111" i="37"/>
  <c r="C111" i="37"/>
  <c r="N110" i="37"/>
  <c r="N111" i="37" s="1"/>
  <c r="M110" i="37"/>
  <c r="M111" i="37" s="1"/>
  <c r="L110" i="37"/>
  <c r="L111" i="37" s="1"/>
  <c r="K110" i="37"/>
  <c r="J110" i="37"/>
  <c r="I110" i="37"/>
  <c r="H110" i="37"/>
  <c r="H111" i="37" s="1"/>
  <c r="G110" i="37"/>
  <c r="G111" i="37" s="1"/>
  <c r="F110" i="37"/>
  <c r="F111" i="37" s="1"/>
  <c r="E110" i="37"/>
  <c r="E111" i="37" s="1"/>
  <c r="D110" i="37"/>
  <c r="D111" i="37" s="1"/>
  <c r="C110" i="37"/>
  <c r="N109" i="37"/>
  <c r="M109" i="37"/>
  <c r="L109" i="37"/>
  <c r="K109" i="37"/>
  <c r="J109" i="37"/>
  <c r="I109" i="37"/>
  <c r="H109" i="37"/>
  <c r="G109" i="37"/>
  <c r="F109" i="37"/>
  <c r="E109" i="37"/>
  <c r="D109" i="37"/>
  <c r="C109" i="37"/>
  <c r="O108" i="37"/>
  <c r="O107" i="37"/>
  <c r="O106" i="37"/>
  <c r="O105" i="37"/>
  <c r="O104" i="37"/>
  <c r="O103" i="37"/>
  <c r="O102" i="37"/>
  <c r="O110" i="37" s="1"/>
  <c r="O101" i="37"/>
  <c r="O99" i="37"/>
  <c r="O92" i="37"/>
  <c r="M91" i="37"/>
  <c r="M93" i="37" s="1"/>
  <c r="I91" i="37"/>
  <c r="I93" i="37" s="1"/>
  <c r="F91" i="37"/>
  <c r="F93" i="37" s="1"/>
  <c r="E91" i="37"/>
  <c r="E93" i="37" s="1"/>
  <c r="N90" i="37"/>
  <c r="N91" i="37" s="1"/>
  <c r="N93" i="37" s="1"/>
  <c r="M90" i="37"/>
  <c r="L90" i="37"/>
  <c r="L91" i="37" s="1"/>
  <c r="L93" i="37" s="1"/>
  <c r="K90" i="37"/>
  <c r="K91" i="37" s="1"/>
  <c r="K93" i="37" s="1"/>
  <c r="J90" i="37"/>
  <c r="J91" i="37" s="1"/>
  <c r="J93" i="37" s="1"/>
  <c r="I90" i="37"/>
  <c r="H90" i="37"/>
  <c r="H91" i="37" s="1"/>
  <c r="H93" i="37" s="1"/>
  <c r="G90" i="37"/>
  <c r="G91" i="37" s="1"/>
  <c r="G93" i="37" s="1"/>
  <c r="F90" i="37"/>
  <c r="E90" i="37"/>
  <c r="D90" i="37"/>
  <c r="D91" i="37" s="1"/>
  <c r="D93" i="37" s="1"/>
  <c r="C90" i="37"/>
  <c r="C91" i="37" s="1"/>
  <c r="C93" i="37" s="1"/>
  <c r="N89" i="37"/>
  <c r="M89" i="37"/>
  <c r="L89" i="37"/>
  <c r="K89" i="37"/>
  <c r="J89" i="37"/>
  <c r="I89" i="37"/>
  <c r="H89" i="37"/>
  <c r="G89" i="37"/>
  <c r="O89" i="37" s="1"/>
  <c r="F89" i="37"/>
  <c r="E89" i="37"/>
  <c r="D89" i="37"/>
  <c r="C89" i="37"/>
  <c r="O88" i="37"/>
  <c r="O87" i="37"/>
  <c r="O86" i="37"/>
  <c r="O83" i="37"/>
  <c r="O90" i="37" s="1"/>
  <c r="O91" i="37" s="1"/>
  <c r="O93" i="37" s="1"/>
  <c r="O82" i="37"/>
  <c r="O81" i="37"/>
  <c r="O80" i="37"/>
  <c r="O78" i="37"/>
  <c r="F74" i="37"/>
  <c r="E74" i="37"/>
  <c r="N73" i="37"/>
  <c r="N74" i="37" s="1"/>
  <c r="M73" i="37"/>
  <c r="L73" i="37"/>
  <c r="K73" i="37"/>
  <c r="K74" i="37" s="1"/>
  <c r="J73" i="37"/>
  <c r="J74" i="37" s="1"/>
  <c r="I73" i="37"/>
  <c r="I74" i="37" s="1"/>
  <c r="F73" i="37"/>
  <c r="E73" i="37"/>
  <c r="D73" i="37"/>
  <c r="C73" i="37"/>
  <c r="C74" i="37" s="1"/>
  <c r="N72" i="37"/>
  <c r="M72" i="37"/>
  <c r="M74" i="37" s="1"/>
  <c r="L72" i="37"/>
  <c r="L74" i="37" s="1"/>
  <c r="K72" i="37"/>
  <c r="J72" i="37"/>
  <c r="H72" i="37"/>
  <c r="H74" i="37" s="1"/>
  <c r="G72" i="37"/>
  <c r="G74" i="37" s="1"/>
  <c r="F72" i="37"/>
  <c r="E72" i="37"/>
  <c r="D72" i="37"/>
  <c r="D74" i="37" s="1"/>
  <c r="C72" i="37"/>
  <c r="N71" i="37"/>
  <c r="M71" i="37"/>
  <c r="L71" i="37"/>
  <c r="K71" i="37"/>
  <c r="J71" i="37"/>
  <c r="I71" i="37"/>
  <c r="H71" i="37"/>
  <c r="G71" i="37"/>
  <c r="F71" i="37"/>
  <c r="E71" i="37"/>
  <c r="D71" i="37"/>
  <c r="C71" i="37"/>
  <c r="G69" i="37"/>
  <c r="O68" i="37"/>
  <c r="K67" i="37"/>
  <c r="K69" i="37" s="1"/>
  <c r="G67" i="37"/>
  <c r="C67" i="37"/>
  <c r="C69" i="37" s="1"/>
  <c r="N66" i="37"/>
  <c r="M66" i="37"/>
  <c r="L66" i="37"/>
  <c r="K66" i="37"/>
  <c r="J66" i="37"/>
  <c r="I66" i="37"/>
  <c r="H66" i="37"/>
  <c r="H67" i="37" s="1"/>
  <c r="H69" i="37" s="1"/>
  <c r="G66" i="37"/>
  <c r="F66" i="37"/>
  <c r="E66" i="37"/>
  <c r="D66" i="37"/>
  <c r="C66" i="37"/>
  <c r="N65" i="37"/>
  <c r="M65" i="37"/>
  <c r="L65" i="37"/>
  <c r="K65" i="37"/>
  <c r="J65" i="37"/>
  <c r="I65" i="37"/>
  <c r="H65" i="37"/>
  <c r="G65" i="37"/>
  <c r="F65" i="37"/>
  <c r="E65" i="37"/>
  <c r="O65" i="37" s="1"/>
  <c r="D65" i="37"/>
  <c r="C65" i="37"/>
  <c r="O64" i="37"/>
  <c r="O63" i="37"/>
  <c r="O62" i="37"/>
  <c r="Q59" i="37"/>
  <c r="Q60" i="37" s="1"/>
  <c r="O59" i="37"/>
  <c r="O72" i="37" s="1"/>
  <c r="Q58" i="37"/>
  <c r="O58" i="37"/>
  <c r="O71" i="37" s="1"/>
  <c r="O57" i="37"/>
  <c r="O66" i="37" s="1"/>
  <c r="O56" i="37"/>
  <c r="N54" i="37"/>
  <c r="N67" i="37" s="1"/>
  <c r="N69" i="37" s="1"/>
  <c r="M54" i="37"/>
  <c r="M67" i="37" s="1"/>
  <c r="M69" i="37" s="1"/>
  <c r="L54" i="37"/>
  <c r="L67" i="37" s="1"/>
  <c r="L69" i="37" s="1"/>
  <c r="K54" i="37"/>
  <c r="J54" i="37"/>
  <c r="J67" i="37" s="1"/>
  <c r="J69" i="37" s="1"/>
  <c r="I54" i="37"/>
  <c r="I67" i="37" s="1"/>
  <c r="I69" i="37" s="1"/>
  <c r="H54" i="37"/>
  <c r="G54" i="37"/>
  <c r="F54" i="37"/>
  <c r="F67" i="37" s="1"/>
  <c r="F69" i="37" s="1"/>
  <c r="E54" i="37"/>
  <c r="E67" i="37" s="1"/>
  <c r="E69" i="37" s="1"/>
  <c r="D54" i="37"/>
  <c r="D67" i="37" s="1"/>
  <c r="D69" i="37" s="1"/>
  <c r="C54" i="37"/>
  <c r="O53" i="37"/>
  <c r="O52" i="37"/>
  <c r="O51" i="37"/>
  <c r="O73" i="37" s="1"/>
  <c r="O50" i="37"/>
  <c r="O54" i="37" s="1"/>
  <c r="N45" i="37"/>
  <c r="F45" i="37"/>
  <c r="E45" i="37"/>
  <c r="N44" i="37"/>
  <c r="K44" i="37"/>
  <c r="K45" i="37" s="1"/>
  <c r="J44" i="37"/>
  <c r="J45" i="37" s="1"/>
  <c r="F44" i="37"/>
  <c r="E44" i="37"/>
  <c r="D44" i="37"/>
  <c r="D45" i="37" s="1"/>
  <c r="C44" i="37"/>
  <c r="C45" i="37" s="1"/>
  <c r="F43" i="37"/>
  <c r="E43" i="37"/>
  <c r="D43" i="37"/>
  <c r="C43" i="37"/>
  <c r="O42" i="37"/>
  <c r="Q40" i="37"/>
  <c r="O40" i="37"/>
  <c r="O44" i="37" s="1"/>
  <c r="O45" i="37" s="1"/>
  <c r="N39" i="37"/>
  <c r="N43" i="37" s="1"/>
  <c r="M39" i="37"/>
  <c r="M43" i="37" s="1"/>
  <c r="L39" i="37"/>
  <c r="L43" i="37" s="1"/>
  <c r="K39" i="37"/>
  <c r="K43" i="37" s="1"/>
  <c r="J39" i="37"/>
  <c r="J43" i="37" s="1"/>
  <c r="I39" i="37"/>
  <c r="I44" i="37" s="1"/>
  <c r="I45" i="37" s="1"/>
  <c r="H39" i="37"/>
  <c r="H44" i="37" s="1"/>
  <c r="H45" i="37" s="1"/>
  <c r="G39" i="37"/>
  <c r="G44" i="37" s="1"/>
  <c r="G45" i="37" s="1"/>
  <c r="O30" i="37"/>
  <c r="O28" i="37"/>
  <c r="O22" i="37"/>
  <c r="K22" i="37"/>
  <c r="M21" i="37"/>
  <c r="M23" i="37" s="1"/>
  <c r="J21" i="37"/>
  <c r="J23" i="37" s="1"/>
  <c r="I21" i="37"/>
  <c r="I23" i="37" s="1"/>
  <c r="E21" i="37"/>
  <c r="E23" i="37" s="1"/>
  <c r="N20" i="37"/>
  <c r="N21" i="37" s="1"/>
  <c r="N23" i="37" s="1"/>
  <c r="M20" i="37"/>
  <c r="L20" i="37"/>
  <c r="L21" i="37" s="1"/>
  <c r="L23" i="37" s="1"/>
  <c r="K20" i="37"/>
  <c r="K21" i="37" s="1"/>
  <c r="K23" i="37" s="1"/>
  <c r="J20" i="37"/>
  <c r="I20" i="37"/>
  <c r="H20" i="37"/>
  <c r="H21" i="37" s="1"/>
  <c r="H23" i="37" s="1"/>
  <c r="G20" i="37"/>
  <c r="G21" i="37" s="1"/>
  <c r="G23" i="37" s="1"/>
  <c r="F20" i="37"/>
  <c r="F21" i="37" s="1"/>
  <c r="F23" i="37" s="1"/>
  <c r="E20" i="37"/>
  <c r="D20" i="37"/>
  <c r="D21" i="37" s="1"/>
  <c r="D23" i="37" s="1"/>
  <c r="C20" i="37"/>
  <c r="C21" i="37" s="1"/>
  <c r="C23" i="37" s="1"/>
  <c r="N19" i="37"/>
  <c r="M19" i="37"/>
  <c r="L19" i="37"/>
  <c r="K19" i="37"/>
  <c r="J19" i="37"/>
  <c r="I19" i="37"/>
  <c r="H19" i="37"/>
  <c r="G19" i="37"/>
  <c r="F19" i="37"/>
  <c r="E19" i="37"/>
  <c r="D19" i="37"/>
  <c r="C19" i="37"/>
  <c r="O19" i="37" s="1"/>
  <c r="O18" i="37"/>
  <c r="O16" i="37"/>
  <c r="O15" i="37"/>
  <c r="O14" i="37"/>
  <c r="O11" i="37"/>
  <c r="Q10" i="37"/>
  <c r="O10" i="37"/>
  <c r="O20" i="37" s="1"/>
  <c r="Q9" i="37"/>
  <c r="O9" i="37"/>
  <c r="Q8" i="37"/>
  <c r="O8" i="37"/>
  <c r="O7" i="37"/>
  <c r="O6" i="37"/>
  <c r="O4" i="37"/>
  <c r="O21" i="37" s="1"/>
  <c r="O23" i="37" s="1"/>
  <c r="AG31" i="36"/>
  <c r="CX25" i="36"/>
  <c r="CV25" i="36"/>
  <c r="CT25" i="36"/>
  <c r="CR25" i="36"/>
  <c r="CP25" i="36"/>
  <c r="J25" i="36"/>
  <c r="CN24" i="36"/>
  <c r="CL24" i="36"/>
  <c r="CJ24" i="36"/>
  <c r="CH24" i="36"/>
  <c r="CF24" i="36"/>
  <c r="CD24" i="36"/>
  <c r="CB24" i="36"/>
  <c r="BZ24" i="36"/>
  <c r="BX24" i="36"/>
  <c r="BV24" i="36"/>
  <c r="BT24" i="36"/>
  <c r="BR24" i="36"/>
  <c r="BP24" i="36"/>
  <c r="BN24" i="36"/>
  <c r="BL24" i="36"/>
  <c r="BJ24" i="36"/>
  <c r="BH24" i="36"/>
  <c r="BF24" i="36"/>
  <c r="BD24" i="36"/>
  <c r="BB24" i="36"/>
  <c r="AZ24" i="36"/>
  <c r="AX24" i="36"/>
  <c r="AV24" i="36"/>
  <c r="AT24" i="36"/>
  <c r="AR24" i="36"/>
  <c r="AP24" i="36"/>
  <c r="AN24" i="36"/>
  <c r="AL24" i="36"/>
  <c r="AJ24" i="36"/>
  <c r="AH24" i="36"/>
  <c r="AF24" i="36"/>
  <c r="AD24" i="36"/>
  <c r="AB24" i="36"/>
  <c r="Z24" i="36"/>
  <c r="X24" i="36"/>
  <c r="V24" i="36"/>
  <c r="T24" i="36"/>
  <c r="R24" i="36"/>
  <c r="P24" i="36"/>
  <c r="N24" i="36"/>
  <c r="L24" i="36"/>
  <c r="BQ22" i="36"/>
  <c r="BO22" i="36"/>
  <c r="BM22" i="36"/>
  <c r="BK22" i="36"/>
  <c r="BI22" i="36"/>
  <c r="BG22" i="36"/>
  <c r="BE22" i="36"/>
  <c r="BC22" i="36"/>
  <c r="BA22" i="36"/>
  <c r="AY22" i="36"/>
  <c r="AW22" i="36"/>
  <c r="AU22" i="36"/>
  <c r="AS22" i="36"/>
  <c r="AQ22" i="36"/>
  <c r="AO22" i="36"/>
  <c r="AM22" i="36"/>
  <c r="AK22" i="36"/>
  <c r="AI22" i="36"/>
  <c r="AG22" i="36"/>
  <c r="AE22" i="36"/>
  <c r="AC22" i="36"/>
  <c r="AA22" i="36"/>
  <c r="Y22" i="36"/>
  <c r="W22" i="36"/>
  <c r="U22" i="36"/>
  <c r="S22" i="36"/>
  <c r="Q22" i="36"/>
  <c r="O22" i="36"/>
  <c r="M22" i="36"/>
  <c r="I22" i="36"/>
  <c r="G22" i="36"/>
  <c r="E22" i="36"/>
  <c r="C22" i="36"/>
  <c r="E16" i="36"/>
  <c r="C16" i="36"/>
  <c r="CG15" i="36"/>
  <c r="CE15" i="36"/>
  <c r="CC15" i="36"/>
  <c r="CA15" i="36"/>
  <c r="BY15" i="36"/>
  <c r="BW15" i="36"/>
  <c r="BU15" i="36"/>
  <c r="BS15" i="36"/>
  <c r="BQ15" i="36"/>
  <c r="BO15" i="36"/>
  <c r="BM15" i="36"/>
  <c r="BK15" i="36"/>
  <c r="BI15" i="36"/>
  <c r="BG15" i="36"/>
  <c r="BE15" i="36"/>
  <c r="BC15" i="36"/>
  <c r="BA15" i="36"/>
  <c r="AY15" i="36"/>
  <c r="AW15" i="36"/>
  <c r="AU15" i="36"/>
  <c r="AS15" i="36"/>
  <c r="AQ15" i="36"/>
  <c r="AO15" i="36"/>
  <c r="AM15" i="36"/>
  <c r="AK15" i="36"/>
  <c r="AI15" i="36"/>
  <c r="AG15" i="36"/>
  <c r="AE15" i="36"/>
  <c r="AC15" i="36"/>
  <c r="AA15" i="36"/>
  <c r="Y15" i="36"/>
  <c r="W15" i="36"/>
  <c r="U15" i="36"/>
  <c r="S15" i="36"/>
  <c r="Q15" i="36"/>
  <c r="O15" i="36"/>
  <c r="M15" i="36"/>
  <c r="I15" i="36"/>
  <c r="G15" i="36"/>
  <c r="E15" i="36"/>
  <c r="C15" i="36"/>
  <c r="CM14" i="36"/>
  <c r="CK14" i="36"/>
  <c r="CI14" i="36"/>
  <c r="CG14" i="36"/>
  <c r="CE14" i="36"/>
  <c r="CC14" i="36"/>
  <c r="CA14" i="36"/>
  <c r="BY14" i="36"/>
  <c r="BW14" i="36"/>
  <c r="BU14" i="36"/>
  <c r="BS14" i="36"/>
  <c r="BQ14" i="36"/>
  <c r="BO14" i="36"/>
  <c r="BM14" i="36"/>
  <c r="BK14" i="36"/>
  <c r="BI14" i="36"/>
  <c r="BG14" i="36"/>
  <c r="BE14" i="36"/>
  <c r="BC14" i="36"/>
  <c r="BA14" i="36"/>
  <c r="AY14" i="36"/>
  <c r="AW14" i="36"/>
  <c r="AU14" i="36"/>
  <c r="AS14" i="36"/>
  <c r="AQ14" i="36"/>
  <c r="AO14" i="36"/>
  <c r="AM14" i="36"/>
  <c r="AK14" i="36"/>
  <c r="AI14" i="36"/>
  <c r="AG14" i="36"/>
  <c r="AE14" i="36"/>
  <c r="AC14" i="36"/>
  <c r="AA14" i="36"/>
  <c r="Y14" i="36"/>
  <c r="W14" i="36"/>
  <c r="U14" i="36"/>
  <c r="S14" i="36"/>
  <c r="Q14" i="36"/>
  <c r="O14" i="36"/>
  <c r="M14" i="36"/>
  <c r="I14" i="36"/>
  <c r="G14" i="36"/>
  <c r="E14" i="36"/>
  <c r="C14" i="36"/>
  <c r="CM13" i="36"/>
  <c r="CK13" i="36"/>
  <c r="CI13" i="36"/>
  <c r="CG13" i="36"/>
  <c r="CE13" i="36"/>
  <c r="CC13" i="36"/>
  <c r="CA13" i="36"/>
  <c r="BY13" i="36"/>
  <c r="BW13" i="36"/>
  <c r="BU13" i="36"/>
  <c r="BS13" i="36"/>
  <c r="BQ13" i="36"/>
  <c r="BO13" i="36"/>
  <c r="BM13" i="36"/>
  <c r="BK13" i="36"/>
  <c r="BI13" i="36"/>
  <c r="BG13" i="36"/>
  <c r="BE13" i="36"/>
  <c r="BC13" i="36"/>
  <c r="BA13" i="36"/>
  <c r="AY13" i="36"/>
  <c r="AW13" i="36"/>
  <c r="AU13" i="36"/>
  <c r="AS13" i="36"/>
  <c r="AQ13" i="36"/>
  <c r="AO13" i="36"/>
  <c r="AM13" i="36"/>
  <c r="AK13" i="36"/>
  <c r="AI13" i="36"/>
  <c r="AG13" i="36"/>
  <c r="AE13" i="36"/>
  <c r="AC13" i="36"/>
  <c r="AA13" i="36"/>
  <c r="Y13" i="36"/>
  <c r="W13" i="36"/>
  <c r="U13" i="36"/>
  <c r="S13" i="36"/>
  <c r="Q13" i="36"/>
  <c r="O13" i="36"/>
  <c r="M13" i="36"/>
  <c r="I13" i="36"/>
  <c r="G13" i="36"/>
  <c r="E13" i="36"/>
  <c r="C13" i="36"/>
  <c r="CM12" i="36"/>
  <c r="CK12" i="36"/>
  <c r="CI12" i="36"/>
  <c r="CG12" i="36"/>
  <c r="CE12" i="36"/>
  <c r="CC12" i="36"/>
  <c r="CA12" i="36"/>
  <c r="BY12" i="36"/>
  <c r="BW12" i="36"/>
  <c r="BU12" i="36"/>
  <c r="BS12" i="36"/>
  <c r="BQ12" i="36"/>
  <c r="BO12" i="36"/>
  <c r="BM12" i="36"/>
  <c r="BK12" i="36"/>
  <c r="BI12" i="36"/>
  <c r="BG12" i="36"/>
  <c r="BE12" i="36"/>
  <c r="BC12" i="36"/>
  <c r="BA12" i="36"/>
  <c r="AY12" i="36"/>
  <c r="AW12" i="36"/>
  <c r="AU12" i="36"/>
  <c r="AS12" i="36"/>
  <c r="AQ12" i="36"/>
  <c r="AO12" i="36"/>
  <c r="AM12" i="36"/>
  <c r="AK12" i="36"/>
  <c r="AI12" i="36"/>
  <c r="AG12" i="36"/>
  <c r="AE12" i="36"/>
  <c r="AC12" i="36"/>
  <c r="AA12" i="36"/>
  <c r="Y12" i="36"/>
  <c r="W12" i="36"/>
  <c r="U12" i="36"/>
  <c r="S12" i="36"/>
  <c r="Q12" i="36"/>
  <c r="O12" i="36"/>
  <c r="M12" i="36"/>
  <c r="I12" i="36"/>
  <c r="G12" i="36"/>
  <c r="E12" i="36"/>
  <c r="C12" i="36"/>
  <c r="CM11" i="36"/>
  <c r="CK11" i="36"/>
  <c r="CI11" i="36"/>
  <c r="CG11" i="36"/>
  <c r="CE11" i="36"/>
  <c r="CC11" i="36"/>
  <c r="CA11" i="36"/>
  <c r="BY11" i="36"/>
  <c r="BW11" i="36"/>
  <c r="BU11" i="36"/>
  <c r="BS11" i="36"/>
  <c r="BQ11" i="36"/>
  <c r="BO11" i="36"/>
  <c r="BM11" i="36"/>
  <c r="BK11" i="36"/>
  <c r="BI11" i="36"/>
  <c r="BG11" i="36"/>
  <c r="BE11" i="36"/>
  <c r="BC11" i="36"/>
  <c r="BA11" i="36"/>
  <c r="AY11" i="36"/>
  <c r="AW11" i="36"/>
  <c r="AU11" i="36"/>
  <c r="AS11" i="36"/>
  <c r="AQ11" i="36"/>
  <c r="AO11" i="36"/>
  <c r="AM11" i="36"/>
  <c r="AK11" i="36"/>
  <c r="AI11" i="36"/>
  <c r="AG11" i="36"/>
  <c r="AE11" i="36"/>
  <c r="AC11" i="36"/>
  <c r="AA11" i="36"/>
  <c r="Y11" i="36"/>
  <c r="W11" i="36"/>
  <c r="U11" i="36"/>
  <c r="S11" i="36"/>
  <c r="Q11" i="36"/>
  <c r="O11" i="36"/>
  <c r="M11" i="36"/>
  <c r="I11" i="36"/>
  <c r="G11" i="36"/>
  <c r="E11" i="36"/>
  <c r="C11" i="36"/>
  <c r="CO10" i="36"/>
  <c r="CM10" i="36"/>
  <c r="CK10" i="36"/>
  <c r="CI10" i="36"/>
  <c r="CG10" i="36"/>
  <c r="CE10" i="36"/>
  <c r="CC10" i="36"/>
  <c r="CA10" i="36"/>
  <c r="BY10" i="36"/>
  <c r="BW10" i="36"/>
  <c r="BU10" i="36"/>
  <c r="BS10" i="36"/>
  <c r="BQ10" i="36"/>
  <c r="BO10" i="36"/>
  <c r="BM10" i="36"/>
  <c r="BK10" i="36"/>
  <c r="BI10" i="36"/>
  <c r="BG10" i="36"/>
  <c r="BE10" i="36"/>
  <c r="BC10" i="36"/>
  <c r="BA10" i="36"/>
  <c r="AY10" i="36"/>
  <c r="AW10" i="36"/>
  <c r="AU10" i="36"/>
  <c r="AS10" i="36"/>
  <c r="AQ10" i="36"/>
  <c r="AO10" i="36"/>
  <c r="AM10" i="36"/>
  <c r="AK10" i="36"/>
  <c r="AI10" i="36"/>
  <c r="AG10" i="36"/>
  <c r="AE10" i="36"/>
  <c r="AC10" i="36"/>
  <c r="AA10" i="36"/>
  <c r="Y10" i="36"/>
  <c r="W10" i="36"/>
  <c r="U10" i="36"/>
  <c r="S10" i="36"/>
  <c r="Q10" i="36"/>
  <c r="O10" i="36"/>
  <c r="M10" i="36"/>
  <c r="I10" i="36"/>
  <c r="G10" i="36"/>
  <c r="E10" i="36"/>
  <c r="C10" i="36"/>
  <c r="I9" i="36"/>
  <c r="G9" i="36"/>
  <c r="E9" i="36"/>
  <c r="C9" i="36"/>
  <c r="CM8" i="36"/>
  <c r="CK8" i="36"/>
  <c r="CI8" i="36"/>
  <c r="CG8" i="36"/>
  <c r="CE8" i="36"/>
  <c r="CC8" i="36"/>
  <c r="CA8" i="36"/>
  <c r="BY8" i="36"/>
  <c r="BW8" i="36"/>
  <c r="BU8" i="36"/>
  <c r="BS8" i="36"/>
  <c r="BQ8" i="36"/>
  <c r="BO8" i="36"/>
  <c r="BM8" i="36"/>
  <c r="BK8" i="36"/>
  <c r="BI8" i="36"/>
  <c r="BG8" i="36"/>
  <c r="BE8" i="36"/>
  <c r="BC8" i="36"/>
  <c r="BA8" i="36"/>
  <c r="AY8" i="36"/>
  <c r="AW8" i="36"/>
  <c r="AU8" i="36"/>
  <c r="AS8" i="36"/>
  <c r="AQ8" i="36"/>
  <c r="AO8" i="36"/>
  <c r="AM8" i="36"/>
  <c r="AK8" i="36"/>
  <c r="AI8" i="36"/>
  <c r="AG8" i="36"/>
  <c r="AE8" i="36"/>
  <c r="AC8" i="36"/>
  <c r="AA8" i="36"/>
  <c r="Y8" i="36"/>
  <c r="W8" i="36"/>
  <c r="U8" i="36"/>
  <c r="S8" i="36"/>
  <c r="Q8" i="36"/>
  <c r="O8" i="36"/>
  <c r="M8" i="36"/>
  <c r="I8" i="36"/>
  <c r="G8" i="36"/>
  <c r="E8" i="36"/>
  <c r="C8" i="36"/>
  <c r="CO7" i="36"/>
  <c r="CM7" i="36"/>
  <c r="CK7" i="36"/>
  <c r="CI7" i="36"/>
  <c r="CG7" i="36"/>
  <c r="CE7" i="36"/>
  <c r="CC7" i="36"/>
  <c r="CA7" i="36"/>
  <c r="BY7" i="36"/>
  <c r="BW7" i="36"/>
  <c r="BU7" i="36"/>
  <c r="BS7" i="36"/>
  <c r="BQ7" i="36"/>
  <c r="BO7" i="36"/>
  <c r="BM7" i="36"/>
  <c r="BK7" i="36"/>
  <c r="BI7" i="36"/>
  <c r="BG7" i="36"/>
  <c r="BE7" i="36"/>
  <c r="BC7" i="36"/>
  <c r="BA7" i="36"/>
  <c r="AY7" i="36"/>
  <c r="AW7" i="36"/>
  <c r="AU7" i="36"/>
  <c r="AS7" i="36"/>
  <c r="AQ7" i="36"/>
  <c r="AO7" i="36"/>
  <c r="AM7" i="36"/>
  <c r="AK7" i="36"/>
  <c r="AI7" i="36"/>
  <c r="AG7" i="36"/>
  <c r="AE7" i="36"/>
  <c r="AC7" i="36"/>
  <c r="AA7" i="36"/>
  <c r="Y7" i="36"/>
  <c r="W7" i="36"/>
  <c r="U7" i="36"/>
  <c r="S7" i="36"/>
  <c r="Q7" i="36"/>
  <c r="O7" i="36"/>
  <c r="M7" i="36"/>
  <c r="I7" i="36"/>
  <c r="G7" i="36"/>
  <c r="E7" i="36"/>
  <c r="C7" i="36"/>
  <c r="E5" i="36"/>
  <c r="C5" i="36"/>
  <c r="CO4" i="36"/>
  <c r="CM4" i="36"/>
  <c r="CK4" i="36"/>
  <c r="CI4" i="36"/>
  <c r="CG4" i="36"/>
  <c r="CE4" i="36"/>
  <c r="CC4" i="36"/>
  <c r="CA4" i="36"/>
  <c r="BY4" i="36"/>
  <c r="BW4" i="36"/>
  <c r="BU4" i="36"/>
  <c r="BS4" i="36"/>
  <c r="BQ4" i="36"/>
  <c r="BO4" i="36"/>
  <c r="BM4" i="36"/>
  <c r="BK4" i="36"/>
  <c r="BI4" i="36"/>
  <c r="BG4" i="36"/>
  <c r="BE4" i="36"/>
  <c r="BC4" i="36"/>
  <c r="BA4" i="36"/>
  <c r="AY4" i="36"/>
  <c r="AW4" i="36"/>
  <c r="AU4" i="36"/>
  <c r="AS4" i="36"/>
  <c r="AQ4" i="36"/>
  <c r="AO4" i="36"/>
  <c r="AM4" i="36"/>
  <c r="AK4" i="36"/>
  <c r="AI4" i="36"/>
  <c r="AG4" i="36"/>
  <c r="AE4" i="36"/>
  <c r="AC4" i="36"/>
  <c r="AA4" i="36"/>
  <c r="Y4" i="36"/>
  <c r="W4" i="36"/>
  <c r="U4" i="36"/>
  <c r="S4" i="36"/>
  <c r="Q4" i="36"/>
  <c r="O4" i="36"/>
  <c r="M4" i="36"/>
  <c r="I4" i="36"/>
  <c r="G4" i="36"/>
  <c r="E4" i="36"/>
  <c r="C4" i="36"/>
  <c r="CO2" i="36"/>
  <c r="CN25" i="36" s="1"/>
  <c r="CM2" i="36"/>
  <c r="CL25" i="36" s="1"/>
  <c r="CK2" i="36"/>
  <c r="CJ25" i="36" s="1"/>
  <c r="CI2" i="36"/>
  <c r="CH25" i="36" s="1"/>
  <c r="CG2" i="36"/>
  <c r="CF25" i="36" s="1"/>
  <c r="CE2" i="36"/>
  <c r="CD25" i="36" s="1"/>
  <c r="CC2" i="36"/>
  <c r="CB25" i="36" s="1"/>
  <c r="CA2" i="36"/>
  <c r="BZ25" i="36" s="1"/>
  <c r="BY2" i="36"/>
  <c r="BX25" i="36" s="1"/>
  <c r="BW2" i="36"/>
  <c r="BV25" i="36" s="1"/>
  <c r="BU2" i="36"/>
  <c r="BT25" i="36" s="1"/>
  <c r="BS2" i="36"/>
  <c r="BR25" i="36" s="1"/>
  <c r="BQ2" i="36"/>
  <c r="BP25" i="36" s="1"/>
  <c r="BO2" i="36"/>
  <c r="BN25" i="36" s="1"/>
  <c r="BM2" i="36"/>
  <c r="BL25" i="36" s="1"/>
  <c r="BK2" i="36"/>
  <c r="BJ25" i="36" s="1"/>
  <c r="BI2" i="36"/>
  <c r="BH25" i="36" s="1"/>
  <c r="BG2" i="36"/>
  <c r="BF25" i="36" s="1"/>
  <c r="BE2" i="36"/>
  <c r="BD25" i="36" s="1"/>
  <c r="BC2" i="36"/>
  <c r="BB25" i="36" s="1"/>
  <c r="BA2" i="36"/>
  <c r="AZ25" i="36" s="1"/>
  <c r="AY2" i="36"/>
  <c r="AX25" i="36" s="1"/>
  <c r="AW2" i="36"/>
  <c r="AV25" i="36" s="1"/>
  <c r="AU2" i="36"/>
  <c r="AT25" i="36" s="1"/>
  <c r="AS2" i="36"/>
  <c r="AR25" i="36" s="1"/>
  <c r="AQ2" i="36"/>
  <c r="AP25" i="36" s="1"/>
  <c r="AO2" i="36"/>
  <c r="AN25" i="36" s="1"/>
  <c r="AM2" i="36"/>
  <c r="AL25" i="36" s="1"/>
  <c r="AK2" i="36"/>
  <c r="AJ25" i="36" s="1"/>
  <c r="AI2" i="36"/>
  <c r="AH25" i="36" s="1"/>
  <c r="AG2" i="36"/>
  <c r="AF25" i="36" s="1"/>
  <c r="AE2" i="36"/>
  <c r="AD25" i="36" s="1"/>
  <c r="AC2" i="36"/>
  <c r="AB25" i="36" s="1"/>
  <c r="AA2" i="36"/>
  <c r="Z25" i="36" s="1"/>
  <c r="Y2" i="36"/>
  <c r="X25" i="36" s="1"/>
  <c r="W2" i="36"/>
  <c r="V25" i="36" s="1"/>
  <c r="U2" i="36"/>
  <c r="T25" i="36" s="1"/>
  <c r="S2" i="36"/>
  <c r="R25" i="36" s="1"/>
  <c r="Q2" i="36"/>
  <c r="P25" i="36" s="1"/>
  <c r="O2" i="36"/>
  <c r="N25" i="36" s="1"/>
  <c r="M2" i="36"/>
  <c r="L25" i="36" s="1"/>
  <c r="I2" i="36"/>
  <c r="H25" i="36" s="1"/>
  <c r="G2" i="36"/>
  <c r="F25" i="36" s="1"/>
  <c r="E2" i="36"/>
  <c r="D25" i="36" s="1"/>
  <c r="C2" i="36"/>
  <c r="B25" i="36" s="1"/>
  <c r="H48" i="35"/>
  <c r="L79" i="34"/>
  <c r="O65" i="34"/>
  <c r="M63" i="34"/>
  <c r="L63" i="34"/>
  <c r="K63" i="34"/>
  <c r="J63" i="34"/>
  <c r="I63" i="34"/>
  <c r="H63" i="34"/>
  <c r="G63" i="34"/>
  <c r="F63" i="34"/>
  <c r="E63" i="34"/>
  <c r="D63" i="34"/>
  <c r="C63" i="34"/>
  <c r="O62" i="34"/>
  <c r="N61" i="34"/>
  <c r="N63" i="34" s="1"/>
  <c r="O59" i="34"/>
  <c r="O58" i="34"/>
  <c r="O57" i="34"/>
  <c r="O56" i="34"/>
  <c r="O55" i="34"/>
  <c r="O54" i="34"/>
  <c r="O53" i="34"/>
  <c r="O52" i="34"/>
  <c r="Q61" i="34" s="1"/>
  <c r="O51" i="34"/>
  <c r="O63" i="34" s="1"/>
  <c r="M42" i="34"/>
  <c r="M43" i="34" s="1"/>
  <c r="I42" i="34"/>
  <c r="I43" i="34" s="1"/>
  <c r="H42" i="34"/>
  <c r="H43" i="34" s="1"/>
  <c r="E42" i="34"/>
  <c r="E43" i="34" s="1"/>
  <c r="Q41" i="34"/>
  <c r="O41" i="34"/>
  <c r="Q40" i="34"/>
  <c r="O40" i="34"/>
  <c r="N39" i="34"/>
  <c r="N42" i="34" s="1"/>
  <c r="N43" i="34" s="1"/>
  <c r="M39" i="34"/>
  <c r="L39" i="34"/>
  <c r="L42" i="34" s="1"/>
  <c r="L43" i="34" s="1"/>
  <c r="K39" i="34"/>
  <c r="K42" i="34" s="1"/>
  <c r="K43" i="34" s="1"/>
  <c r="J39" i="34"/>
  <c r="J42" i="34" s="1"/>
  <c r="J43" i="34" s="1"/>
  <c r="I39" i="34"/>
  <c r="H39" i="34"/>
  <c r="G39" i="34"/>
  <c r="G42" i="34" s="1"/>
  <c r="G43" i="34" s="1"/>
  <c r="F39" i="34"/>
  <c r="F42" i="34" s="1"/>
  <c r="F43" i="34" s="1"/>
  <c r="E39" i="34"/>
  <c r="D39" i="34"/>
  <c r="D42" i="34" s="1"/>
  <c r="D43" i="34" s="1"/>
  <c r="C39" i="34"/>
  <c r="Q39" i="34" s="1"/>
  <c r="Q38" i="34"/>
  <c r="O38" i="34"/>
  <c r="Q37" i="34"/>
  <c r="O37" i="34"/>
  <c r="Q36" i="34"/>
  <c r="O36" i="34"/>
  <c r="Q35" i="34"/>
  <c r="O35" i="34"/>
  <c r="Q34" i="34"/>
  <c r="O34" i="34"/>
  <c r="Q33" i="34"/>
  <c r="O33" i="34"/>
  <c r="Q32" i="34"/>
  <c r="O32" i="34"/>
  <c r="Q31" i="34"/>
  <c r="O31" i="34"/>
  <c r="O30" i="34"/>
  <c r="L30" i="34"/>
  <c r="O28" i="34"/>
  <c r="J23" i="34"/>
  <c r="O22" i="34"/>
  <c r="K22" i="34"/>
  <c r="M21" i="34"/>
  <c r="M23" i="34" s="1"/>
  <c r="J21" i="34"/>
  <c r="I21" i="34"/>
  <c r="I23" i="34" s="1"/>
  <c r="E21" i="34"/>
  <c r="E23" i="34" s="1"/>
  <c r="N20" i="34"/>
  <c r="N21" i="34" s="1"/>
  <c r="N23" i="34" s="1"/>
  <c r="M20" i="34"/>
  <c r="L20" i="34"/>
  <c r="L21" i="34" s="1"/>
  <c r="L23" i="34" s="1"/>
  <c r="K20" i="34"/>
  <c r="K21" i="34" s="1"/>
  <c r="K23" i="34" s="1"/>
  <c r="J20" i="34"/>
  <c r="I20" i="34"/>
  <c r="H20" i="34"/>
  <c r="H21" i="34" s="1"/>
  <c r="H23" i="34" s="1"/>
  <c r="G20" i="34"/>
  <c r="G21" i="34" s="1"/>
  <c r="G23" i="34" s="1"/>
  <c r="F20" i="34"/>
  <c r="F21" i="34" s="1"/>
  <c r="F23" i="34" s="1"/>
  <c r="E20" i="34"/>
  <c r="D20" i="34"/>
  <c r="D21" i="34" s="1"/>
  <c r="D23" i="34" s="1"/>
  <c r="C20" i="34"/>
  <c r="C21" i="34" s="1"/>
  <c r="C23" i="34" s="1"/>
  <c r="N19" i="34"/>
  <c r="M19" i="34"/>
  <c r="L19" i="34"/>
  <c r="K19" i="34"/>
  <c r="J19" i="34"/>
  <c r="I19" i="34"/>
  <c r="H19" i="34"/>
  <c r="G19" i="34"/>
  <c r="F19" i="34"/>
  <c r="E19" i="34"/>
  <c r="D19" i="34"/>
  <c r="C19" i="34"/>
  <c r="O19" i="34" s="1"/>
  <c r="O18" i="34"/>
  <c r="O16" i="34"/>
  <c r="O15" i="34"/>
  <c r="O14" i="34"/>
  <c r="O11" i="34"/>
  <c r="Q10" i="34"/>
  <c r="O10" i="34"/>
  <c r="Q9" i="34"/>
  <c r="O9" i="34"/>
  <c r="Q8" i="34"/>
  <c r="O8" i="34"/>
  <c r="O7" i="34"/>
  <c r="O20" i="34" s="1"/>
  <c r="O6" i="34"/>
  <c r="O4" i="34"/>
  <c r="O21" i="34" s="1"/>
  <c r="O23" i="34" s="1"/>
  <c r="D67" i="32"/>
  <c r="D58" i="32"/>
  <c r="N44" i="32"/>
  <c r="N43" i="32"/>
  <c r="N42" i="32"/>
  <c r="N41" i="32"/>
  <c r="O40" i="32"/>
  <c r="N40" i="32"/>
  <c r="O39" i="32"/>
  <c r="N38" i="32" s="1"/>
  <c r="N39" i="32"/>
  <c r="K38" i="32"/>
  <c r="K39" i="32" s="1"/>
  <c r="O37" i="32"/>
  <c r="N37" i="32"/>
  <c r="K37" i="32"/>
  <c r="N36" i="32"/>
  <c r="N143" i="31"/>
  <c r="J142" i="31"/>
  <c r="P134" i="31"/>
  <c r="O134" i="31"/>
  <c r="D133" i="31"/>
  <c r="D134" i="31" s="1"/>
  <c r="D132" i="31"/>
  <c r="O131" i="31"/>
  <c r="P129" i="31"/>
  <c r="B124" i="31"/>
  <c r="B129" i="31" s="1"/>
  <c r="B130" i="31" s="1"/>
  <c r="P122" i="31"/>
  <c r="O122" i="31"/>
  <c r="D122" i="31"/>
  <c r="P120" i="31"/>
  <c r="M117" i="31"/>
  <c r="M116" i="31"/>
  <c r="M115" i="31"/>
  <c r="M114" i="31"/>
  <c r="M113" i="31"/>
  <c r="U112" i="31"/>
  <c r="U113" i="31" s="1"/>
  <c r="U114" i="31" s="1"/>
  <c r="T112" i="31"/>
  <c r="T113" i="31" s="1"/>
  <c r="T114" i="31" s="1"/>
  <c r="S112" i="31"/>
  <c r="S113" i="31" s="1"/>
  <c r="S114" i="31" s="1"/>
  <c r="M112" i="31"/>
  <c r="M111" i="31"/>
  <c r="U110" i="31"/>
  <c r="T110" i="31"/>
  <c r="S110" i="31"/>
  <c r="M110" i="31"/>
  <c r="P109" i="31"/>
  <c r="O109" i="31"/>
  <c r="N109" i="31"/>
  <c r="C109" i="31"/>
  <c r="N108" i="31"/>
  <c r="N107" i="31"/>
  <c r="D107" i="31"/>
  <c r="P106" i="31"/>
  <c r="N106" i="31"/>
  <c r="D106" i="31"/>
  <c r="N105" i="31"/>
  <c r="D105" i="31"/>
  <c r="D109" i="31" s="1"/>
  <c r="N104" i="31"/>
  <c r="N103" i="31"/>
  <c r="N102" i="31"/>
  <c r="N101" i="31"/>
  <c r="N100" i="31"/>
  <c r="R99" i="31"/>
  <c r="N99" i="31"/>
  <c r="N98" i="31"/>
  <c r="B98" i="31"/>
  <c r="F95" i="31"/>
  <c r="G94" i="31"/>
  <c r="D93" i="31"/>
  <c r="B93" i="31"/>
  <c r="B95" i="31" s="1"/>
  <c r="F92" i="31"/>
  <c r="D92" i="31"/>
  <c r="C92" i="31"/>
  <c r="B92" i="31"/>
  <c r="G92" i="31" s="1"/>
  <c r="F91" i="31"/>
  <c r="D91" i="31"/>
  <c r="G91" i="31" s="1"/>
  <c r="C91" i="31"/>
  <c r="F90" i="31"/>
  <c r="D90" i="31"/>
  <c r="G90" i="31" s="1"/>
  <c r="C90" i="31"/>
  <c r="D89" i="31"/>
  <c r="G89" i="31" s="1"/>
  <c r="C89" i="31"/>
  <c r="F88" i="31"/>
  <c r="G88" i="31" s="1"/>
  <c r="C88" i="31"/>
  <c r="G87" i="31"/>
  <c r="C87" i="31"/>
  <c r="R86" i="31"/>
  <c r="G86" i="31"/>
  <c r="C86" i="31"/>
  <c r="G85" i="31"/>
  <c r="C85" i="31"/>
  <c r="R84" i="31"/>
  <c r="G84" i="31"/>
  <c r="E84" i="31"/>
  <c r="D84" i="31"/>
  <c r="C84" i="31"/>
  <c r="G83" i="31"/>
  <c r="E83" i="31"/>
  <c r="E95" i="31" s="1"/>
  <c r="D83" i="31"/>
  <c r="D95" i="31" s="1"/>
  <c r="C83" i="31"/>
  <c r="C98" i="31" s="1"/>
  <c r="R82" i="31"/>
  <c r="B82" i="31"/>
  <c r="X81" i="31"/>
  <c r="W81" i="31"/>
  <c r="R81" i="31"/>
  <c r="E81" i="31"/>
  <c r="G81" i="31" s="1"/>
  <c r="D81" i="31"/>
  <c r="C81" i="31"/>
  <c r="X80" i="31"/>
  <c r="W80" i="31"/>
  <c r="E80" i="31"/>
  <c r="D80" i="31"/>
  <c r="G80" i="31" s="1"/>
  <c r="C80" i="31"/>
  <c r="X79" i="31"/>
  <c r="W79" i="31"/>
  <c r="E79" i="31"/>
  <c r="G79" i="31" s="1"/>
  <c r="D79" i="31"/>
  <c r="C79" i="31"/>
  <c r="X78" i="31"/>
  <c r="W78" i="31"/>
  <c r="E78" i="31"/>
  <c r="D78" i="31"/>
  <c r="G78" i="31" s="1"/>
  <c r="C78" i="31"/>
  <c r="X77" i="31"/>
  <c r="W77" i="31"/>
  <c r="E77" i="31"/>
  <c r="G77" i="31" s="1"/>
  <c r="D77" i="31"/>
  <c r="C77" i="31"/>
  <c r="X76" i="31"/>
  <c r="W76" i="31"/>
  <c r="E76" i="31"/>
  <c r="D76" i="31"/>
  <c r="G76" i="31" s="1"/>
  <c r="C76" i="31"/>
  <c r="X75" i="31"/>
  <c r="W75" i="31"/>
  <c r="K75" i="31"/>
  <c r="G75" i="31"/>
  <c r="E75" i="31"/>
  <c r="D75" i="31"/>
  <c r="C75" i="31"/>
  <c r="X74" i="31"/>
  <c r="W74" i="31"/>
  <c r="K74" i="31"/>
  <c r="E74" i="31"/>
  <c r="G74" i="31" s="1"/>
  <c r="D74" i="31"/>
  <c r="C74" i="31"/>
  <c r="X73" i="31"/>
  <c r="W73" i="31"/>
  <c r="K73" i="31"/>
  <c r="E73" i="31"/>
  <c r="D73" i="31"/>
  <c r="G73" i="31" s="1"/>
  <c r="C73" i="31"/>
  <c r="X72" i="31"/>
  <c r="W72" i="31"/>
  <c r="M72" i="31"/>
  <c r="E72" i="31"/>
  <c r="D72" i="31"/>
  <c r="G72" i="31" s="1"/>
  <c r="C72" i="31"/>
  <c r="X71" i="31"/>
  <c r="X82" i="31" s="1"/>
  <c r="W71" i="31"/>
  <c r="K71" i="31"/>
  <c r="E71" i="31"/>
  <c r="D71" i="31"/>
  <c r="G71" i="31" s="1"/>
  <c r="C71" i="31"/>
  <c r="X70" i="31"/>
  <c r="W70" i="31"/>
  <c r="K70" i="31"/>
  <c r="G70" i="31"/>
  <c r="E70" i="31"/>
  <c r="D70" i="31"/>
  <c r="C70" i="31"/>
  <c r="W69" i="31"/>
  <c r="K69" i="31"/>
  <c r="G69" i="31"/>
  <c r="F69" i="31"/>
  <c r="X69" i="31" s="1"/>
  <c r="E69" i="31"/>
  <c r="B69" i="31"/>
  <c r="W68" i="31"/>
  <c r="K68" i="31"/>
  <c r="F68" i="31"/>
  <c r="X68" i="31" s="1"/>
  <c r="E68" i="31"/>
  <c r="B68" i="31"/>
  <c r="X67" i="31"/>
  <c r="W67" i="31"/>
  <c r="K67" i="31"/>
  <c r="D67" i="31"/>
  <c r="G67" i="31" s="1"/>
  <c r="C67" i="31"/>
  <c r="X66" i="31"/>
  <c r="W66" i="31"/>
  <c r="K66" i="31"/>
  <c r="D66" i="31"/>
  <c r="G66" i="31" s="1"/>
  <c r="C66" i="31"/>
  <c r="X65" i="31"/>
  <c r="W65" i="31"/>
  <c r="N65" i="31"/>
  <c r="K65" i="31"/>
  <c r="G65" i="31"/>
  <c r="D65" i="31"/>
  <c r="C65" i="31"/>
  <c r="X64" i="31"/>
  <c r="W64" i="31"/>
  <c r="Q64" i="31"/>
  <c r="K64" i="31"/>
  <c r="D64" i="31"/>
  <c r="G64" i="31" s="1"/>
  <c r="C64" i="31"/>
  <c r="X63" i="31"/>
  <c r="W63" i="31"/>
  <c r="N63" i="31"/>
  <c r="K63" i="31"/>
  <c r="D63" i="31"/>
  <c r="G63" i="31" s="1"/>
  <c r="C63" i="31"/>
  <c r="X62" i="31"/>
  <c r="W62" i="31"/>
  <c r="K62" i="31"/>
  <c r="G62" i="31"/>
  <c r="D62" i="31"/>
  <c r="C62" i="31"/>
  <c r="X61" i="31"/>
  <c r="W61" i="31"/>
  <c r="K61" i="31"/>
  <c r="D61" i="31"/>
  <c r="G61" i="31" s="1"/>
  <c r="C61" i="31"/>
  <c r="X60" i="31"/>
  <c r="W60" i="31"/>
  <c r="K60" i="31"/>
  <c r="K72" i="31" s="1"/>
  <c r="G60" i="31"/>
  <c r="D60" i="31"/>
  <c r="C60" i="31"/>
  <c r="X59" i="31"/>
  <c r="W59" i="31"/>
  <c r="G59" i="31"/>
  <c r="D59" i="31"/>
  <c r="C59" i="31"/>
  <c r="X58" i="31"/>
  <c r="W58" i="31"/>
  <c r="L58" i="31"/>
  <c r="J58" i="31"/>
  <c r="D58" i="31"/>
  <c r="G58" i="31" s="1"/>
  <c r="C58" i="31"/>
  <c r="X57" i="31"/>
  <c r="W57" i="31"/>
  <c r="K57" i="31"/>
  <c r="N57" i="31" s="1"/>
  <c r="D57" i="31"/>
  <c r="G57" i="31" s="1"/>
  <c r="C57" i="31"/>
  <c r="X56" i="31"/>
  <c r="W56" i="31"/>
  <c r="K56" i="31"/>
  <c r="N56" i="31" s="1"/>
  <c r="D56" i="31"/>
  <c r="D68" i="31" s="1"/>
  <c r="C56" i="31"/>
  <c r="C68" i="31" s="1"/>
  <c r="T55" i="31"/>
  <c r="T56" i="31" s="1"/>
  <c r="T57" i="31" s="1"/>
  <c r="T58" i="31" s="1"/>
  <c r="T59" i="31" s="1"/>
  <c r="T60" i="31" s="1"/>
  <c r="T61" i="31" s="1"/>
  <c r="T62" i="31" s="1"/>
  <c r="T63" i="31" s="1"/>
  <c r="S55" i="31"/>
  <c r="U55" i="31" s="1"/>
  <c r="M55" i="31"/>
  <c r="N55" i="31" s="1"/>
  <c r="B55" i="31"/>
  <c r="U54" i="31"/>
  <c r="N54" i="31"/>
  <c r="M54" i="31"/>
  <c r="D54" i="31"/>
  <c r="C54" i="31"/>
  <c r="G54" i="31" s="1"/>
  <c r="N53" i="31"/>
  <c r="G53" i="31"/>
  <c r="E53" i="31"/>
  <c r="C53" i="31"/>
  <c r="M52" i="31"/>
  <c r="N52" i="31" s="1"/>
  <c r="E52" i="31"/>
  <c r="G52" i="31" s="1"/>
  <c r="C52" i="31"/>
  <c r="N51" i="31"/>
  <c r="M51" i="31"/>
  <c r="M58" i="31" s="1"/>
  <c r="G51" i="31"/>
  <c r="C51" i="31"/>
  <c r="N50" i="31"/>
  <c r="C50" i="31"/>
  <c r="G50" i="31" s="1"/>
  <c r="N49" i="31"/>
  <c r="G49" i="31"/>
  <c r="C49" i="31"/>
  <c r="N48" i="31"/>
  <c r="C48" i="31"/>
  <c r="G48" i="31" s="1"/>
  <c r="V47" i="31"/>
  <c r="U47" i="31"/>
  <c r="T47" i="31"/>
  <c r="Q47" i="31"/>
  <c r="N47" i="31"/>
  <c r="C47" i="31"/>
  <c r="G47" i="31" s="1"/>
  <c r="W46" i="31"/>
  <c r="X46" i="31" s="1"/>
  <c r="V46" i="31"/>
  <c r="N46" i="31"/>
  <c r="C46" i="31"/>
  <c r="G46" i="31" s="1"/>
  <c r="W45" i="31"/>
  <c r="X45" i="31" s="1"/>
  <c r="V45" i="31"/>
  <c r="L45" i="31"/>
  <c r="J45" i="31"/>
  <c r="C45" i="31"/>
  <c r="G45" i="31" s="1"/>
  <c r="W44" i="31"/>
  <c r="W47" i="31" s="1"/>
  <c r="V44" i="31"/>
  <c r="M44" i="31"/>
  <c r="J44" i="31"/>
  <c r="G44" i="31"/>
  <c r="C44" i="31"/>
  <c r="N43" i="31"/>
  <c r="M43" i="31"/>
  <c r="G43" i="31"/>
  <c r="C43" i="31"/>
  <c r="N42" i="31"/>
  <c r="M42" i="31"/>
  <c r="E42" i="31"/>
  <c r="G42" i="31" s="1"/>
  <c r="N41" i="31"/>
  <c r="G41" i="31"/>
  <c r="E41" i="31"/>
  <c r="W40" i="31"/>
  <c r="V40" i="31"/>
  <c r="U40" i="31"/>
  <c r="T40" i="31"/>
  <c r="S40" i="31"/>
  <c r="R40" i="31"/>
  <c r="N40" i="31"/>
  <c r="K40" i="31"/>
  <c r="C40" i="31"/>
  <c r="B40" i="31"/>
  <c r="D40" i="31" s="1"/>
  <c r="G40" i="31" s="1"/>
  <c r="N39" i="31"/>
  <c r="M39" i="31"/>
  <c r="M45" i="31" s="1"/>
  <c r="K39" i="31"/>
  <c r="K45" i="31" s="1"/>
  <c r="N45" i="31" s="1"/>
  <c r="G39" i="31"/>
  <c r="C39" i="31"/>
  <c r="N38" i="31"/>
  <c r="G38" i="31"/>
  <c r="F38" i="31"/>
  <c r="D38" i="31"/>
  <c r="C38" i="31"/>
  <c r="N37" i="31"/>
  <c r="G37" i="31"/>
  <c r="C37" i="31"/>
  <c r="N36" i="31"/>
  <c r="G36" i="31"/>
  <c r="E36" i="31"/>
  <c r="D36" i="31"/>
  <c r="B36" i="31"/>
  <c r="C36" i="31" s="1"/>
  <c r="N35" i="31"/>
  <c r="B35" i="31"/>
  <c r="C35" i="31" s="1"/>
  <c r="N34" i="31"/>
  <c r="G34" i="31"/>
  <c r="E34" i="31"/>
  <c r="C34" i="31"/>
  <c r="B34" i="31"/>
  <c r="N33" i="31"/>
  <c r="E33" i="31"/>
  <c r="G33" i="31" s="1"/>
  <c r="C33" i="31"/>
  <c r="G32" i="31"/>
  <c r="E32" i="31"/>
  <c r="G31" i="31"/>
  <c r="E31" i="31"/>
  <c r="B25" i="31"/>
  <c r="B24" i="31"/>
  <c r="G17" i="31"/>
  <c r="G16" i="31"/>
  <c r="G14" i="31"/>
  <c r="G13" i="31"/>
  <c r="G12" i="31"/>
  <c r="C54" i="29"/>
  <c r="O42" i="29"/>
  <c r="N40" i="29"/>
  <c r="M40" i="29"/>
  <c r="L40" i="29"/>
  <c r="K40" i="29"/>
  <c r="J40" i="29"/>
  <c r="I40" i="29"/>
  <c r="H40" i="29"/>
  <c r="G40" i="29"/>
  <c r="F40" i="29"/>
  <c r="E40" i="29"/>
  <c r="D40" i="29"/>
  <c r="C40" i="29"/>
  <c r="O39" i="29"/>
  <c r="N38" i="29"/>
  <c r="O36" i="29"/>
  <c r="O35" i="29"/>
  <c r="O34" i="29"/>
  <c r="O33" i="29"/>
  <c r="O32" i="29"/>
  <c r="O31" i="29"/>
  <c r="O30" i="29"/>
  <c r="O29" i="29"/>
  <c r="Q38" i="29" s="1"/>
  <c r="O28" i="29"/>
  <c r="O40" i="29" s="1"/>
  <c r="G20" i="29"/>
  <c r="M19" i="29"/>
  <c r="M20" i="29" s="1"/>
  <c r="K19" i="29"/>
  <c r="K20" i="29" s="1"/>
  <c r="I19" i="29"/>
  <c r="I20" i="29" s="1"/>
  <c r="G19" i="29"/>
  <c r="E19" i="29"/>
  <c r="E20" i="29" s="1"/>
  <c r="C19" i="29"/>
  <c r="C20" i="29" s="1"/>
  <c r="O18" i="29"/>
  <c r="Q17" i="29"/>
  <c r="O17" i="29"/>
  <c r="N16" i="29"/>
  <c r="N19" i="29" s="1"/>
  <c r="N20" i="29" s="1"/>
  <c r="M16" i="29"/>
  <c r="L16" i="29"/>
  <c r="L19" i="29" s="1"/>
  <c r="L20" i="29" s="1"/>
  <c r="K16" i="29"/>
  <c r="J16" i="29"/>
  <c r="J19" i="29" s="1"/>
  <c r="J20" i="29" s="1"/>
  <c r="I16" i="29"/>
  <c r="H16" i="29"/>
  <c r="H19" i="29" s="1"/>
  <c r="H20" i="29" s="1"/>
  <c r="G16" i="29"/>
  <c r="F16" i="29"/>
  <c r="F19" i="29" s="1"/>
  <c r="F20" i="29" s="1"/>
  <c r="E16" i="29"/>
  <c r="D16" i="29"/>
  <c r="D19" i="29" s="1"/>
  <c r="D20" i="29" s="1"/>
  <c r="C16" i="29"/>
  <c r="O16" i="29" s="1"/>
  <c r="Q15" i="29"/>
  <c r="O15" i="29"/>
  <c r="Q14" i="29"/>
  <c r="O14" i="29"/>
  <c r="Q13" i="29"/>
  <c r="O13" i="29"/>
  <c r="Q12" i="29"/>
  <c r="O12" i="29"/>
  <c r="Q11" i="29"/>
  <c r="O11" i="29"/>
  <c r="Q10" i="29"/>
  <c r="O10" i="29"/>
  <c r="Q9" i="29"/>
  <c r="O9" i="29"/>
  <c r="Q8" i="29"/>
  <c r="O8" i="29"/>
  <c r="O7" i="29"/>
  <c r="O20" i="29" s="1"/>
  <c r="O5" i="29"/>
  <c r="E28" i="28"/>
  <c r="E29" i="28" s="1"/>
  <c r="E30" i="28" s="1"/>
  <c r="E31" i="28" s="1"/>
  <c r="E32" i="28" s="1"/>
  <c r="E33" i="28" s="1"/>
  <c r="E34" i="28" s="1"/>
  <c r="E35" i="28" s="1"/>
  <c r="E36" i="28" s="1"/>
  <c r="E37" i="28" s="1"/>
  <c r="E38" i="28" s="1"/>
  <c r="E39" i="28" s="1"/>
  <c r="E40" i="28" s="1"/>
  <c r="E41" i="28" s="1"/>
  <c r="E42" i="28" s="1"/>
  <c r="E43" i="28" s="1"/>
  <c r="E44" i="28" s="1"/>
  <c r="E45" i="28" s="1"/>
  <c r="E46" i="28" s="1"/>
  <c r="E47" i="28" s="1"/>
  <c r="E48" i="28" s="1"/>
  <c r="E49" i="28" s="1"/>
  <c r="E50" i="28" s="1"/>
  <c r="E51" i="28" s="1"/>
  <c r="E52" i="28" s="1"/>
  <c r="E53" i="28" s="1"/>
  <c r="E54" i="28" s="1"/>
  <c r="E55" i="28" s="1"/>
  <c r="E56" i="28" s="1"/>
  <c r="E57" i="28" s="1"/>
  <c r="E58" i="28" s="1"/>
  <c r="E59" i="28" s="1"/>
  <c r="E60" i="28" s="1"/>
  <c r="E61" i="28" s="1"/>
  <c r="E62" i="28" s="1"/>
  <c r="E63" i="28" s="1"/>
  <c r="E64" i="28" s="1"/>
  <c r="E65" i="28" s="1"/>
  <c r="E66" i="28" s="1"/>
  <c r="E67" i="28" s="1"/>
  <c r="E68" i="28" s="1"/>
  <c r="E69" i="28" s="1"/>
  <c r="E70" i="28" s="1"/>
  <c r="E71" i="28" s="1"/>
  <c r="E72" i="28" s="1"/>
  <c r="E73" i="28" s="1"/>
  <c r="E74" i="28" s="1"/>
  <c r="E75" i="28" s="1"/>
  <c r="E76" i="28" s="1"/>
  <c r="E77" i="28" s="1"/>
  <c r="E78" i="28" s="1"/>
  <c r="E79" i="28" s="1"/>
  <c r="E80" i="28" s="1"/>
  <c r="E81" i="28" s="1"/>
  <c r="E82" i="28" s="1"/>
  <c r="E83" i="28" s="1"/>
  <c r="E84" i="28" s="1"/>
  <c r="E85" i="28" s="1"/>
  <c r="E86" i="28" s="1"/>
  <c r="E87" i="28" s="1"/>
  <c r="E88" i="28" s="1"/>
  <c r="E89" i="28" s="1"/>
  <c r="E90" i="28" s="1"/>
  <c r="E91" i="28" s="1"/>
  <c r="E92" i="28" s="1"/>
  <c r="E93" i="28" s="1"/>
  <c r="E94" i="28" s="1"/>
  <c r="E95" i="28" s="1"/>
  <c r="E96" i="28" s="1"/>
  <c r="E97" i="28" s="1"/>
  <c r="E98" i="28" s="1"/>
  <c r="E99" i="28" s="1"/>
  <c r="E100" i="28" s="1"/>
  <c r="E101" i="28" s="1"/>
  <c r="E102" i="28" s="1"/>
  <c r="E103" i="28" s="1"/>
  <c r="E104" i="28" s="1"/>
  <c r="E105" i="28" s="1"/>
  <c r="E106" i="28" s="1"/>
  <c r="E107" i="28" s="1"/>
  <c r="E108" i="28" s="1"/>
  <c r="E109" i="28" s="1"/>
  <c r="E110" i="28" s="1"/>
  <c r="E111" i="28" s="1"/>
  <c r="E112" i="28" s="1"/>
  <c r="E113" i="28" s="1"/>
  <c r="E114" i="28" s="1"/>
  <c r="E115" i="28" s="1"/>
  <c r="E116" i="28" s="1"/>
  <c r="E117" i="28" s="1"/>
  <c r="E118" i="28" s="1"/>
  <c r="E119" i="28" s="1"/>
  <c r="E120" i="28" s="1"/>
  <c r="E121" i="28" s="1"/>
  <c r="E122" i="28" s="1"/>
  <c r="G8" i="28"/>
  <c r="G9" i="28" s="1"/>
  <c r="G10" i="28" s="1"/>
  <c r="G11" i="28" s="1"/>
  <c r="G12" i="28" s="1"/>
  <c r="G13" i="28" s="1"/>
  <c r="G14" i="28" s="1"/>
  <c r="G15" i="28" s="1"/>
  <c r="G16" i="28" s="1"/>
  <c r="G17" i="28" s="1"/>
  <c r="G18" i="28" s="1"/>
  <c r="G19" i="28" s="1"/>
  <c r="G20" i="28" s="1"/>
  <c r="G21" i="28" s="1"/>
  <c r="G22" i="28" s="1"/>
  <c r="G23" i="28" s="1"/>
  <c r="G24" i="28" s="1"/>
  <c r="G25" i="28" s="1"/>
  <c r="G26" i="28" s="1"/>
  <c r="G27" i="28" s="1"/>
  <c r="G28" i="28" s="1"/>
  <c r="G29" i="28" s="1"/>
  <c r="G30" i="28" s="1"/>
  <c r="G31" i="28" s="1"/>
  <c r="G32" i="28" s="1"/>
  <c r="G33" i="28" s="1"/>
  <c r="G34" i="28" s="1"/>
  <c r="G35" i="28" s="1"/>
  <c r="G36" i="28" s="1"/>
  <c r="G37" i="28" s="1"/>
  <c r="G38" i="28" s="1"/>
  <c r="G39" i="28" s="1"/>
  <c r="G40" i="28" s="1"/>
  <c r="G41" i="28" s="1"/>
  <c r="G42" i="28" s="1"/>
  <c r="G43" i="28" s="1"/>
  <c r="G44" i="28" s="1"/>
  <c r="G45" i="28" s="1"/>
  <c r="G46" i="28" s="1"/>
  <c r="G47" i="28" s="1"/>
  <c r="G48" i="28" s="1"/>
  <c r="G49" i="28" s="1"/>
  <c r="G50" i="28" s="1"/>
  <c r="G51" i="28" s="1"/>
  <c r="G52" i="28" s="1"/>
  <c r="G53" i="28" s="1"/>
  <c r="G54" i="28" s="1"/>
  <c r="G55" i="28" s="1"/>
  <c r="G56" i="28" s="1"/>
  <c r="G57" i="28" s="1"/>
  <c r="G58" i="28" s="1"/>
  <c r="G59" i="28" s="1"/>
  <c r="G60" i="28" s="1"/>
  <c r="G61" i="28" s="1"/>
  <c r="G62" i="28" s="1"/>
  <c r="G63" i="28" s="1"/>
  <c r="G64" i="28" s="1"/>
  <c r="G65" i="28" s="1"/>
  <c r="G66" i="28" s="1"/>
  <c r="G67" i="28" s="1"/>
  <c r="G68" i="28" s="1"/>
  <c r="G69" i="28" s="1"/>
  <c r="G70" i="28" s="1"/>
  <c r="G71" i="28" s="1"/>
  <c r="G72" i="28" s="1"/>
  <c r="G73" i="28" s="1"/>
  <c r="G74" i="28" s="1"/>
  <c r="G75" i="28" s="1"/>
  <c r="G76" i="28" s="1"/>
  <c r="G77" i="28" s="1"/>
  <c r="G78" i="28" s="1"/>
  <c r="G79" i="28" s="1"/>
  <c r="G80" i="28" s="1"/>
  <c r="G81" i="28" s="1"/>
  <c r="G82" i="28" s="1"/>
  <c r="G83" i="28" s="1"/>
  <c r="G84" i="28" s="1"/>
  <c r="G85" i="28" s="1"/>
  <c r="G86" i="28" s="1"/>
  <c r="G87" i="28" s="1"/>
  <c r="G88" i="28" s="1"/>
  <c r="G89" i="28" s="1"/>
  <c r="G90" i="28" s="1"/>
  <c r="G91" i="28" s="1"/>
  <c r="G92" i="28" s="1"/>
  <c r="G93" i="28" s="1"/>
  <c r="G94" i="28" s="1"/>
  <c r="G95" i="28" s="1"/>
  <c r="G96" i="28" s="1"/>
  <c r="G97" i="28" s="1"/>
  <c r="G98" i="28" s="1"/>
  <c r="G99" i="28" s="1"/>
  <c r="G100" i="28" s="1"/>
  <c r="G101" i="28" s="1"/>
  <c r="G102" i="28" s="1"/>
  <c r="G103" i="28" s="1"/>
  <c r="G104" i="28" s="1"/>
  <c r="G105" i="28" s="1"/>
  <c r="G106" i="28" s="1"/>
  <c r="G107" i="28" s="1"/>
  <c r="G108" i="28" s="1"/>
  <c r="G109" i="28" s="1"/>
  <c r="G110" i="28" s="1"/>
  <c r="G111" i="28" s="1"/>
  <c r="G112" i="28" s="1"/>
  <c r="G113" i="28" s="1"/>
  <c r="G114" i="28" s="1"/>
  <c r="G115" i="28" s="1"/>
  <c r="G116" i="28" s="1"/>
  <c r="G117" i="28" s="1"/>
  <c r="G118" i="28" s="1"/>
  <c r="G119" i="28" s="1"/>
  <c r="G120" i="28" s="1"/>
  <c r="G121" i="28" s="1"/>
  <c r="G122" i="28" s="1"/>
  <c r="B2" i="28"/>
  <c r="B3" i="28" s="1"/>
  <c r="B4" i="28" s="1"/>
  <c r="B5" i="28" s="1"/>
  <c r="B6" i="28" s="1"/>
  <c r="B7" i="28" s="1"/>
  <c r="B8" i="28" s="1"/>
  <c r="B9" i="28" s="1"/>
  <c r="B10" i="28" s="1"/>
  <c r="B11" i="28" s="1"/>
  <c r="B12" i="28" s="1"/>
  <c r="B13" i="28" s="1"/>
  <c r="B14" i="28" s="1"/>
  <c r="B15" i="28" s="1"/>
  <c r="B16" i="28" s="1"/>
  <c r="B17" i="28" s="1"/>
  <c r="B18" i="28" s="1"/>
  <c r="B19" i="28" s="1"/>
  <c r="B20" i="28" s="1"/>
  <c r="B21" i="28" s="1"/>
  <c r="B22" i="28" s="1"/>
  <c r="B23" i="28" s="1"/>
  <c r="B24" i="28" s="1"/>
  <c r="B25" i="28" s="1"/>
  <c r="B26" i="28" s="1"/>
  <c r="B27" i="28" s="1"/>
  <c r="B28" i="28" s="1"/>
  <c r="B29" i="28" s="1"/>
  <c r="B30" i="28" s="1"/>
  <c r="B31" i="28" s="1"/>
  <c r="B32" i="28" s="1"/>
  <c r="B33" i="28" s="1"/>
  <c r="B34" i="28" s="1"/>
  <c r="B35" i="28" s="1"/>
  <c r="B36" i="28" s="1"/>
  <c r="B37" i="28" s="1"/>
  <c r="B38" i="28" s="1"/>
  <c r="B39" i="28" s="1"/>
  <c r="B40" i="28" s="1"/>
  <c r="B41" i="28" s="1"/>
  <c r="B42" i="28" s="1"/>
  <c r="B43" i="28" s="1"/>
  <c r="B44" i="28" s="1"/>
  <c r="B45" i="28" s="1"/>
  <c r="B46" i="28" s="1"/>
  <c r="B47" i="28" s="1"/>
  <c r="B48" i="28" s="1"/>
  <c r="B49" i="28" s="1"/>
  <c r="B50" i="28" s="1"/>
  <c r="B51" i="28" s="1"/>
  <c r="B52" i="28" s="1"/>
  <c r="B53" i="28" s="1"/>
  <c r="B54" i="28" s="1"/>
  <c r="B55" i="28" s="1"/>
  <c r="B56" i="28" s="1"/>
  <c r="B57" i="28" s="1"/>
  <c r="B58" i="28" s="1"/>
  <c r="B59" i="28" s="1"/>
  <c r="B60" i="28" s="1"/>
  <c r="B61" i="28" s="1"/>
  <c r="B62" i="28" s="1"/>
  <c r="B63" i="28" s="1"/>
  <c r="B64" i="28" s="1"/>
  <c r="B65" i="28" s="1"/>
  <c r="B66" i="28" s="1"/>
  <c r="B67" i="28" s="1"/>
  <c r="B68" i="28" s="1"/>
  <c r="B69" i="28" s="1"/>
  <c r="B70" i="28" s="1"/>
  <c r="B71" i="28" s="1"/>
  <c r="B72" i="28" s="1"/>
  <c r="B73" i="28" s="1"/>
  <c r="B74" i="28" s="1"/>
  <c r="B75" i="28" s="1"/>
  <c r="B76" i="28" s="1"/>
  <c r="B77" i="28" s="1"/>
  <c r="B78" i="28" s="1"/>
  <c r="B79" i="28" s="1"/>
  <c r="B80" i="28" s="1"/>
  <c r="B81" i="28" s="1"/>
  <c r="B82" i="28" s="1"/>
  <c r="B83" i="28" s="1"/>
  <c r="B84" i="28" s="1"/>
  <c r="B85" i="28" s="1"/>
  <c r="B86" i="28" s="1"/>
  <c r="B87" i="28" s="1"/>
  <c r="B88" i="28" s="1"/>
  <c r="B89" i="28" s="1"/>
  <c r="B90" i="28" s="1"/>
  <c r="B91" i="28" s="1"/>
  <c r="B92" i="28" s="1"/>
  <c r="B93" i="28" s="1"/>
  <c r="B94" i="28" s="1"/>
  <c r="B95" i="28" s="1"/>
  <c r="B96" i="28" s="1"/>
  <c r="B97" i="28" s="1"/>
  <c r="B98" i="28" s="1"/>
  <c r="B99" i="28" s="1"/>
  <c r="B100" i="28" s="1"/>
  <c r="B101" i="28" s="1"/>
  <c r="B102" i="28" s="1"/>
  <c r="B103" i="28" s="1"/>
  <c r="B104" i="28" s="1"/>
  <c r="B105" i="28" s="1"/>
  <c r="B106" i="28" s="1"/>
  <c r="B107" i="28" s="1"/>
  <c r="B108" i="28" s="1"/>
  <c r="B109" i="28" s="1"/>
  <c r="B110" i="28" s="1"/>
  <c r="B111" i="28" s="1"/>
  <c r="B112" i="28" s="1"/>
  <c r="B113" i="28" s="1"/>
  <c r="B114" i="28" s="1"/>
  <c r="B115" i="28" s="1"/>
  <c r="B116" i="28" s="1"/>
  <c r="B117" i="28" s="1"/>
  <c r="B118" i="28" s="1"/>
  <c r="B119" i="28" s="1"/>
  <c r="B120" i="28" s="1"/>
  <c r="B121" i="28" s="1"/>
  <c r="B122" i="28" s="1"/>
  <c r="F148" i="26"/>
  <c r="E148" i="26"/>
  <c r="I47" i="26"/>
  <c r="R40" i="26"/>
  <c r="K40" i="26"/>
  <c r="K37" i="26"/>
  <c r="K36" i="26"/>
  <c r="O29" i="26"/>
  <c r="F1" i="26"/>
  <c r="E1" i="26"/>
  <c r="C54" i="25"/>
  <c r="O42" i="25"/>
  <c r="N40" i="25"/>
  <c r="M40" i="25"/>
  <c r="L40" i="25"/>
  <c r="K40" i="25"/>
  <c r="J40" i="25"/>
  <c r="I40" i="25"/>
  <c r="H40" i="25"/>
  <c r="G40" i="25"/>
  <c r="F40" i="25"/>
  <c r="E40" i="25"/>
  <c r="D40" i="25"/>
  <c r="C40" i="25"/>
  <c r="O39" i="25"/>
  <c r="N38" i="25"/>
  <c r="O36" i="25"/>
  <c r="O35" i="25"/>
  <c r="O34" i="25"/>
  <c r="O33" i="25"/>
  <c r="O32" i="25"/>
  <c r="O31" i="25"/>
  <c r="O30" i="25"/>
  <c r="O29" i="25"/>
  <c r="O28" i="25"/>
  <c r="Q38" i="25" s="1"/>
  <c r="R23" i="25"/>
  <c r="I20" i="25"/>
  <c r="K19" i="25"/>
  <c r="K20" i="25" s="1"/>
  <c r="I19" i="25"/>
  <c r="G19" i="25"/>
  <c r="G20" i="25" s="1"/>
  <c r="C19" i="25"/>
  <c r="C20" i="25" s="1"/>
  <c r="O18" i="25"/>
  <c r="Q17" i="25"/>
  <c r="O17" i="25"/>
  <c r="N16" i="25"/>
  <c r="N19" i="25" s="1"/>
  <c r="N20" i="25" s="1"/>
  <c r="M16" i="25"/>
  <c r="M19" i="25" s="1"/>
  <c r="M20" i="25" s="1"/>
  <c r="L16" i="25"/>
  <c r="L19" i="25" s="1"/>
  <c r="L20" i="25" s="1"/>
  <c r="K16" i="25"/>
  <c r="J16" i="25"/>
  <c r="J19" i="25" s="1"/>
  <c r="J20" i="25" s="1"/>
  <c r="I16" i="25"/>
  <c r="H16" i="25"/>
  <c r="H19" i="25" s="1"/>
  <c r="H20" i="25" s="1"/>
  <c r="G16" i="25"/>
  <c r="F16" i="25"/>
  <c r="F19" i="25" s="1"/>
  <c r="F20" i="25" s="1"/>
  <c r="E16" i="25"/>
  <c r="E19" i="25" s="1"/>
  <c r="E20" i="25" s="1"/>
  <c r="D16" i="25"/>
  <c r="O16" i="25" s="1"/>
  <c r="C16" i="25"/>
  <c r="Q15" i="25"/>
  <c r="O15" i="25"/>
  <c r="Q14" i="25"/>
  <c r="O14" i="25"/>
  <c r="Q13" i="25"/>
  <c r="O13" i="25"/>
  <c r="Q12" i="25"/>
  <c r="O12" i="25"/>
  <c r="Q11" i="25"/>
  <c r="O11" i="25"/>
  <c r="Q10" i="25"/>
  <c r="O10" i="25"/>
  <c r="Q9" i="25"/>
  <c r="O9" i="25"/>
  <c r="Q8" i="25"/>
  <c r="O8" i="25"/>
  <c r="O7" i="25"/>
  <c r="O5" i="25"/>
  <c r="C54" i="24"/>
  <c r="O42" i="24"/>
  <c r="N40" i="24"/>
  <c r="M40" i="24"/>
  <c r="L40" i="24"/>
  <c r="K40" i="24"/>
  <c r="J40" i="24"/>
  <c r="I40" i="24"/>
  <c r="H40" i="24"/>
  <c r="G40" i="24"/>
  <c r="F40" i="24"/>
  <c r="E40" i="24"/>
  <c r="D40" i="24"/>
  <c r="C40" i="24"/>
  <c r="O39" i="24"/>
  <c r="N38" i="24"/>
  <c r="O36" i="24"/>
  <c r="O35" i="24"/>
  <c r="O34" i="24"/>
  <c r="O33" i="24"/>
  <c r="O32" i="24"/>
  <c r="O31" i="24"/>
  <c r="O30" i="24"/>
  <c r="Q38" i="24" s="1"/>
  <c r="O29" i="24"/>
  <c r="O28" i="24"/>
  <c r="O40" i="24" s="1"/>
  <c r="R23" i="24"/>
  <c r="L20" i="24"/>
  <c r="H20" i="24"/>
  <c r="D20" i="24"/>
  <c r="N19" i="24"/>
  <c r="N20" i="24" s="1"/>
  <c r="L19" i="24"/>
  <c r="J19" i="24"/>
  <c r="J20" i="24" s="1"/>
  <c r="H19" i="24"/>
  <c r="F19" i="24"/>
  <c r="F20" i="24" s="1"/>
  <c r="D19" i="24"/>
  <c r="O18" i="24"/>
  <c r="Q17" i="24"/>
  <c r="O17" i="24"/>
  <c r="N16" i="24"/>
  <c r="M16" i="24"/>
  <c r="M19" i="24" s="1"/>
  <c r="M20" i="24" s="1"/>
  <c r="L16" i="24"/>
  <c r="K16" i="24"/>
  <c r="K19" i="24" s="1"/>
  <c r="K20" i="24" s="1"/>
  <c r="J16" i="24"/>
  <c r="I16" i="24"/>
  <c r="I19" i="24" s="1"/>
  <c r="I20" i="24" s="1"/>
  <c r="H16" i="24"/>
  <c r="G16" i="24"/>
  <c r="G19" i="24" s="1"/>
  <c r="G20" i="24" s="1"/>
  <c r="F16" i="24"/>
  <c r="E16" i="24"/>
  <c r="Q16" i="24" s="1"/>
  <c r="D16" i="24"/>
  <c r="C16" i="24"/>
  <c r="C19" i="24" s="1"/>
  <c r="Q15" i="24"/>
  <c r="O15" i="24"/>
  <c r="Q14" i="24"/>
  <c r="O14" i="24"/>
  <c r="Q13" i="24"/>
  <c r="O13" i="24"/>
  <c r="Q12" i="24"/>
  <c r="O12" i="24"/>
  <c r="Q11" i="24"/>
  <c r="O11" i="24"/>
  <c r="Q10" i="24"/>
  <c r="O10" i="24"/>
  <c r="Q9" i="24"/>
  <c r="O9" i="24"/>
  <c r="Q8" i="24"/>
  <c r="O8" i="24"/>
  <c r="O7" i="24"/>
  <c r="O5" i="24"/>
  <c r="G9" i="23"/>
  <c r="G43" i="22"/>
  <c r="I12" i="22"/>
  <c r="H9" i="22"/>
  <c r="D7" i="22"/>
  <c r="D6" i="22"/>
  <c r="C54" i="17"/>
  <c r="O42" i="17"/>
  <c r="N40" i="17"/>
  <c r="M40" i="17"/>
  <c r="L40" i="17"/>
  <c r="K40" i="17"/>
  <c r="J40" i="17"/>
  <c r="I40" i="17"/>
  <c r="H40" i="17"/>
  <c r="G40" i="17"/>
  <c r="F40" i="17"/>
  <c r="E40" i="17"/>
  <c r="D40" i="17"/>
  <c r="C40" i="17"/>
  <c r="O39" i="17"/>
  <c r="N38" i="17"/>
  <c r="O36" i="17"/>
  <c r="O35" i="17"/>
  <c r="O34" i="17"/>
  <c r="O33" i="17"/>
  <c r="O32" i="17"/>
  <c r="O31" i="17"/>
  <c r="O30" i="17"/>
  <c r="O29" i="17"/>
  <c r="O28" i="17"/>
  <c r="Q38" i="17" s="1"/>
  <c r="R26" i="17"/>
  <c r="R23" i="17"/>
  <c r="N20" i="17"/>
  <c r="F20" i="17"/>
  <c r="N19" i="17"/>
  <c r="L19" i="17"/>
  <c r="L20" i="17" s="1"/>
  <c r="H19" i="17"/>
  <c r="H20" i="17" s="1"/>
  <c r="F19" i="17"/>
  <c r="D19" i="17"/>
  <c r="D20" i="17" s="1"/>
  <c r="O18" i="17"/>
  <c r="Q17" i="17"/>
  <c r="O17" i="17"/>
  <c r="N16" i="17"/>
  <c r="M16" i="17"/>
  <c r="M19" i="17" s="1"/>
  <c r="M20" i="17" s="1"/>
  <c r="L16" i="17"/>
  <c r="K16" i="17"/>
  <c r="K19" i="17" s="1"/>
  <c r="K20" i="17" s="1"/>
  <c r="J16" i="17"/>
  <c r="J19" i="17" s="1"/>
  <c r="J20" i="17" s="1"/>
  <c r="I16" i="17"/>
  <c r="I19" i="17" s="1"/>
  <c r="I20" i="17" s="1"/>
  <c r="H16" i="17"/>
  <c r="G16" i="17"/>
  <c r="G19" i="17" s="1"/>
  <c r="G20" i="17" s="1"/>
  <c r="F16" i="17"/>
  <c r="E16" i="17"/>
  <c r="O16" i="17" s="1"/>
  <c r="D16" i="17"/>
  <c r="Q16" i="17" s="1"/>
  <c r="C16" i="17"/>
  <c r="C19" i="17" s="1"/>
  <c r="Q15" i="17"/>
  <c r="O15" i="17"/>
  <c r="Q14" i="17"/>
  <c r="O14" i="17"/>
  <c r="Q13" i="17"/>
  <c r="O13" i="17"/>
  <c r="Q12" i="17"/>
  <c r="O12" i="17"/>
  <c r="Q11" i="17"/>
  <c r="O11" i="17"/>
  <c r="Q10" i="17"/>
  <c r="O10" i="17"/>
  <c r="Q9" i="17"/>
  <c r="O9" i="17"/>
  <c r="Q8" i="17"/>
  <c r="O8" i="17"/>
  <c r="O7" i="17"/>
  <c r="O20" i="17" s="1"/>
  <c r="O5" i="17"/>
  <c r="M59" i="16"/>
  <c r="M60" i="16" s="1"/>
  <c r="F47" i="16"/>
  <c r="G30" i="16"/>
  <c r="H27" i="16"/>
  <c r="M26" i="16"/>
  <c r="M27" i="16" s="1"/>
  <c r="M28" i="16" s="1"/>
  <c r="K26" i="16"/>
  <c r="H22" i="16"/>
  <c r="H23" i="16" s="1"/>
  <c r="H25" i="16" s="1"/>
  <c r="H26" i="16" s="1"/>
  <c r="M19" i="16"/>
  <c r="M18" i="16"/>
  <c r="M17" i="16"/>
  <c r="M20" i="16" s="1"/>
  <c r="M21" i="16" s="1"/>
  <c r="M16" i="16"/>
  <c r="O7" i="16"/>
  <c r="C2" i="16"/>
  <c r="G203" i="15"/>
  <c r="H200" i="15"/>
  <c r="G200" i="15"/>
  <c r="F200" i="15"/>
  <c r="C54" i="13"/>
  <c r="C43" i="13"/>
  <c r="O42" i="13"/>
  <c r="N40" i="13"/>
  <c r="M40" i="13"/>
  <c r="L40" i="13"/>
  <c r="K40" i="13"/>
  <c r="J40" i="13"/>
  <c r="I40" i="13"/>
  <c r="H40" i="13"/>
  <c r="G40" i="13"/>
  <c r="F40" i="13"/>
  <c r="E40" i="13"/>
  <c r="D40" i="13"/>
  <c r="C40" i="13"/>
  <c r="O39" i="13"/>
  <c r="N38" i="13"/>
  <c r="O36" i="13"/>
  <c r="O35" i="13"/>
  <c r="O34" i="13"/>
  <c r="O33" i="13"/>
  <c r="O32" i="13"/>
  <c r="O31" i="13"/>
  <c r="O30" i="13"/>
  <c r="O29" i="13"/>
  <c r="O28" i="13"/>
  <c r="Q38" i="13" s="1"/>
  <c r="R26" i="13"/>
  <c r="R23" i="13"/>
  <c r="N19" i="13"/>
  <c r="N20" i="13" s="1"/>
  <c r="L19" i="13"/>
  <c r="L20" i="13" s="1"/>
  <c r="H19" i="13"/>
  <c r="H20" i="13" s="1"/>
  <c r="F19" i="13"/>
  <c r="F20" i="13" s="1"/>
  <c r="D19" i="13"/>
  <c r="D20" i="13" s="1"/>
  <c r="O18" i="13"/>
  <c r="Q17" i="13"/>
  <c r="O17" i="13"/>
  <c r="N16" i="13"/>
  <c r="M16" i="13"/>
  <c r="M19" i="13" s="1"/>
  <c r="M20" i="13" s="1"/>
  <c r="L16" i="13"/>
  <c r="K16" i="13"/>
  <c r="K19" i="13" s="1"/>
  <c r="K20" i="13" s="1"/>
  <c r="J16" i="13"/>
  <c r="J19" i="13" s="1"/>
  <c r="J20" i="13" s="1"/>
  <c r="I16" i="13"/>
  <c r="I19" i="13" s="1"/>
  <c r="I20" i="13" s="1"/>
  <c r="H16" i="13"/>
  <c r="G16" i="13"/>
  <c r="G19" i="13" s="1"/>
  <c r="G20" i="13" s="1"/>
  <c r="F16" i="13"/>
  <c r="E16" i="13"/>
  <c r="Q16" i="13" s="1"/>
  <c r="D16" i="13"/>
  <c r="C16" i="13"/>
  <c r="C19" i="13" s="1"/>
  <c r="Q15" i="13"/>
  <c r="O15" i="13"/>
  <c r="Q14" i="13"/>
  <c r="O14" i="13"/>
  <c r="Q13" i="13"/>
  <c r="O13" i="13"/>
  <c r="Q12" i="13"/>
  <c r="O12" i="13"/>
  <c r="Q11" i="13"/>
  <c r="O11" i="13"/>
  <c r="Q10" i="13"/>
  <c r="O10" i="13"/>
  <c r="Q9" i="13"/>
  <c r="O9" i="13"/>
  <c r="Q8" i="13"/>
  <c r="O8" i="13"/>
  <c r="O7" i="13"/>
  <c r="O5" i="13"/>
  <c r="B43" i="12"/>
  <c r="N42" i="12"/>
  <c r="L40" i="12"/>
  <c r="K40" i="12"/>
  <c r="J40" i="12"/>
  <c r="I40" i="12"/>
  <c r="H40" i="12"/>
  <c r="G40" i="12"/>
  <c r="F40" i="12"/>
  <c r="E40" i="12"/>
  <c r="D40" i="12"/>
  <c r="C40" i="12"/>
  <c r="B40" i="12"/>
  <c r="N39" i="12"/>
  <c r="M38" i="12"/>
  <c r="M40" i="12" s="1"/>
  <c r="N36" i="12"/>
  <c r="N35" i="12"/>
  <c r="N34" i="12"/>
  <c r="N33" i="12"/>
  <c r="N32" i="12"/>
  <c r="N31" i="12"/>
  <c r="N30" i="12"/>
  <c r="N29" i="12"/>
  <c r="P38" i="12" s="1"/>
  <c r="N28" i="12"/>
  <c r="N40" i="12" s="1"/>
  <c r="Q26" i="12"/>
  <c r="Q23" i="12"/>
  <c r="C19" i="12"/>
  <c r="C20" i="12" s="1"/>
  <c r="N18" i="12"/>
  <c r="N17" i="12"/>
  <c r="M16" i="12"/>
  <c r="M19" i="12" s="1"/>
  <c r="M20" i="12" s="1"/>
  <c r="L16" i="12"/>
  <c r="L19" i="12" s="1"/>
  <c r="L20" i="12" s="1"/>
  <c r="K16" i="12"/>
  <c r="K19" i="12" s="1"/>
  <c r="J16" i="12"/>
  <c r="J19" i="12" s="1"/>
  <c r="J20" i="12" s="1"/>
  <c r="I16" i="12"/>
  <c r="I19" i="12" s="1"/>
  <c r="I20" i="12" s="1"/>
  <c r="H16" i="12"/>
  <c r="H19" i="12" s="1"/>
  <c r="H20" i="12" s="1"/>
  <c r="G16" i="12"/>
  <c r="G19" i="12" s="1"/>
  <c r="G20" i="12" s="1"/>
  <c r="F16" i="12"/>
  <c r="F19" i="12" s="1"/>
  <c r="F20" i="12" s="1"/>
  <c r="E16" i="12"/>
  <c r="E19" i="12" s="1"/>
  <c r="E20" i="12" s="1"/>
  <c r="D16" i="12"/>
  <c r="D19" i="12" s="1"/>
  <c r="D20" i="12" s="1"/>
  <c r="C16" i="12"/>
  <c r="B16" i="12"/>
  <c r="N15" i="12"/>
  <c r="N14" i="12"/>
  <c r="N13" i="12"/>
  <c r="N12" i="12"/>
  <c r="N11" i="12"/>
  <c r="N10" i="12"/>
  <c r="N9" i="12"/>
  <c r="N8" i="12"/>
  <c r="N7" i="12"/>
  <c r="N5" i="12"/>
  <c r="E106" i="11"/>
  <c r="K82" i="9"/>
  <c r="H82" i="9"/>
  <c r="G82" i="9"/>
  <c r="L80" i="9"/>
  <c r="F79" i="9"/>
  <c r="M77" i="9"/>
  <c r="H77" i="9"/>
  <c r="H79" i="9" s="1"/>
  <c r="F77" i="9"/>
  <c r="E76" i="9"/>
  <c r="C76" i="9"/>
  <c r="E75" i="9"/>
  <c r="C75" i="9"/>
  <c r="L74" i="9"/>
  <c r="K74" i="9"/>
  <c r="J74" i="9"/>
  <c r="I74" i="9"/>
  <c r="E73" i="9"/>
  <c r="C73" i="9"/>
  <c r="E70" i="9"/>
  <c r="C70" i="9"/>
  <c r="E69" i="9"/>
  <c r="C69" i="9"/>
  <c r="E67" i="9"/>
  <c r="C67" i="9"/>
  <c r="E66" i="9"/>
  <c r="C66" i="9"/>
  <c r="E65" i="9"/>
  <c r="C65" i="9"/>
  <c r="C64" i="9"/>
  <c r="E63" i="9"/>
  <c r="C63" i="9"/>
  <c r="E62" i="9"/>
  <c r="C62" i="9"/>
  <c r="E61" i="9"/>
  <c r="C61" i="9"/>
  <c r="E60" i="9"/>
  <c r="C60" i="9"/>
  <c r="C59" i="9"/>
  <c r="E58" i="9"/>
  <c r="C58" i="9"/>
  <c r="E57" i="9"/>
  <c r="C57" i="9"/>
  <c r="E56" i="9"/>
  <c r="C56" i="9"/>
  <c r="C55" i="9"/>
  <c r="E54" i="9"/>
  <c r="C54" i="9"/>
  <c r="E53" i="9"/>
  <c r="C53" i="9"/>
  <c r="E52" i="9"/>
  <c r="C52" i="9"/>
  <c r="E51" i="9"/>
  <c r="C51" i="9"/>
  <c r="E50" i="9"/>
  <c r="C50" i="9"/>
  <c r="E49" i="9"/>
  <c r="C49" i="9"/>
  <c r="C48" i="9"/>
  <c r="E47" i="9"/>
  <c r="C47" i="9"/>
  <c r="E46" i="9"/>
  <c r="C46" i="9"/>
  <c r="E45" i="9"/>
  <c r="C45" i="9"/>
  <c r="E44" i="9"/>
  <c r="C44" i="9"/>
  <c r="C43" i="9"/>
  <c r="E42" i="9"/>
  <c r="C42" i="9"/>
  <c r="E41" i="9"/>
  <c r="C41" i="9"/>
  <c r="C40" i="9"/>
  <c r="E39" i="9"/>
  <c r="C39" i="9"/>
  <c r="E37" i="9"/>
  <c r="C37" i="9"/>
  <c r="E36" i="9"/>
  <c r="C36" i="9"/>
  <c r="E35" i="9"/>
  <c r="C35" i="9"/>
  <c r="E34" i="9"/>
  <c r="C34" i="9"/>
  <c r="C33" i="9"/>
  <c r="E32" i="9"/>
  <c r="C32" i="9"/>
  <c r="E31" i="9"/>
  <c r="C31" i="9"/>
  <c r="C30" i="9"/>
  <c r="E29" i="9"/>
  <c r="C29" i="9"/>
  <c r="E28" i="9"/>
  <c r="C28" i="9"/>
  <c r="E27" i="9"/>
  <c r="C27" i="9"/>
  <c r="E26" i="9"/>
  <c r="C26" i="9"/>
  <c r="E25" i="9"/>
  <c r="C25" i="9"/>
  <c r="E24" i="9"/>
  <c r="C24" i="9"/>
  <c r="E23" i="9"/>
  <c r="C23" i="9"/>
  <c r="C22" i="9"/>
  <c r="E21" i="9"/>
  <c r="C21" i="9"/>
  <c r="C20" i="9"/>
  <c r="E19" i="9"/>
  <c r="C19" i="9"/>
  <c r="C18" i="9"/>
  <c r="E17" i="9"/>
  <c r="C17" i="9"/>
  <c r="E16" i="9"/>
  <c r="C16" i="9"/>
  <c r="E15" i="9"/>
  <c r="C15" i="9"/>
  <c r="E14" i="9"/>
  <c r="C14" i="9"/>
  <c r="C13" i="9"/>
  <c r="E12" i="9"/>
  <c r="C12" i="9"/>
  <c r="C10" i="9"/>
  <c r="E9" i="9"/>
  <c r="C9" i="9"/>
  <c r="C8" i="9"/>
  <c r="E7" i="9"/>
  <c r="C7" i="9"/>
  <c r="C6" i="9"/>
  <c r="P5" i="9"/>
  <c r="E5" i="9"/>
  <c r="C5" i="9"/>
  <c r="E4" i="9"/>
  <c r="C4" i="9"/>
  <c r="N3" i="9"/>
  <c r="E3" i="9"/>
  <c r="C3" i="9"/>
  <c r="R2" i="9"/>
  <c r="Q2" i="9"/>
  <c r="P2" i="9"/>
  <c r="O2" i="9"/>
  <c r="N2" i="9"/>
  <c r="E2" i="9"/>
  <c r="C2" i="9"/>
  <c r="E1" i="9"/>
  <c r="C1" i="9"/>
  <c r="BN178" i="8"/>
  <c r="BN183" i="8" s="1"/>
  <c r="BM178" i="8"/>
  <c r="BM183" i="8" s="1"/>
  <c r="BL178" i="8"/>
  <c r="BL183" i="8" s="1"/>
  <c r="BQ176" i="8"/>
  <c r="BQ175" i="8"/>
  <c r="BQ167" i="8"/>
  <c r="BO167" i="8"/>
  <c r="BN167" i="8"/>
  <c r="BN170" i="8" s="1"/>
  <c r="BM167" i="8"/>
  <c r="BR165" i="8"/>
  <c r="BQ165" i="8"/>
  <c r="BO165" i="8"/>
  <c r="BM165" i="8"/>
  <c r="BM170" i="8" s="1"/>
  <c r="BR163" i="8"/>
  <c r="BQ163" i="8"/>
  <c r="BP163" i="8"/>
  <c r="BO163" i="8"/>
  <c r="BL163" i="8"/>
  <c r="BL170" i="8" s="1"/>
  <c r="BR162" i="8"/>
  <c r="BQ162" i="8"/>
  <c r="BP162" i="8"/>
  <c r="BO162" i="8"/>
  <c r="BM24" i="8"/>
  <c r="CK23" i="8"/>
  <c r="BM23" i="8"/>
  <c r="BM22" i="8"/>
  <c r="CK21" i="8"/>
  <c r="BM21" i="8"/>
  <c r="CJ20" i="8"/>
  <c r="CI20" i="8"/>
  <c r="CH20" i="8"/>
  <c r="CG20" i="8"/>
  <c r="CF20" i="8"/>
  <c r="CE20" i="8"/>
  <c r="CD20" i="8"/>
  <c r="CC20" i="8"/>
  <c r="CB20" i="8"/>
  <c r="CA20" i="8"/>
  <c r="BZ20" i="8"/>
  <c r="BY20" i="8"/>
  <c r="BX20" i="8"/>
  <c r="A20" i="8"/>
  <c r="R18" i="8"/>
  <c r="V16" i="8"/>
  <c r="V17" i="8" s="1"/>
  <c r="AN14" i="8"/>
  <c r="AM14" i="8"/>
  <c r="AL14" i="8"/>
  <c r="AK14" i="8"/>
  <c r="AJ14" i="8"/>
  <c r="AI14" i="8"/>
  <c r="AH14" i="8"/>
  <c r="AG14" i="8"/>
  <c r="AF14" i="8"/>
  <c r="AE14" i="8"/>
  <c r="AD14" i="8"/>
  <c r="AC14" i="8"/>
  <c r="AB14" i="8"/>
  <c r="AA14" i="8"/>
  <c r="Z14" i="8"/>
  <c r="Y14" i="8"/>
  <c r="U14" i="8"/>
  <c r="S14" i="8"/>
  <c r="R14" i="8"/>
  <c r="BD11" i="8"/>
  <c r="AX11" i="8"/>
  <c r="BY10" i="8"/>
  <c r="BL10" i="8"/>
  <c r="BK10" i="8"/>
  <c r="BJ10" i="8"/>
  <c r="BI10" i="8"/>
  <c r="BH10" i="8"/>
  <c r="BG10" i="8"/>
  <c r="BC10" i="8"/>
  <c r="BB10" i="8"/>
  <c r="AY10" i="8"/>
  <c r="AX10" i="8"/>
  <c r="AW10" i="8"/>
  <c r="X3" i="8"/>
  <c r="X14" i="8" s="1"/>
  <c r="W3" i="8"/>
  <c r="W14" i="8" s="1"/>
  <c r="V3" i="8"/>
  <c r="V14" i="8" s="1"/>
  <c r="T3" i="8"/>
  <c r="T14" i="8" s="1"/>
  <c r="Q3" i="8"/>
  <c r="Q14" i="8" s="1"/>
  <c r="P3" i="8"/>
  <c r="P14" i="8" s="1"/>
  <c r="O3" i="8"/>
  <c r="N3" i="8"/>
  <c r="N14" i="8" s="1"/>
  <c r="M3" i="8"/>
  <c r="M14" i="8" s="1"/>
  <c r="L3" i="8"/>
  <c r="L14" i="8" s="1"/>
  <c r="K3" i="8"/>
  <c r="K14" i="8" s="1"/>
  <c r="J3" i="8"/>
  <c r="J14" i="8" s="1"/>
  <c r="I3" i="8"/>
  <c r="I14" i="8" s="1"/>
  <c r="H3" i="8"/>
  <c r="G14" i="8"/>
  <c r="CS2" i="8"/>
  <c r="CT2" i="8" s="1"/>
  <c r="CQ2" i="8"/>
  <c r="CO2" i="8"/>
  <c r="G33" i="7"/>
  <c r="G32" i="7"/>
  <c r="G31" i="7"/>
  <c r="G30" i="7"/>
  <c r="G29" i="7"/>
  <c r="G28" i="7"/>
  <c r="G27" i="7"/>
  <c r="G26" i="7"/>
  <c r="G25" i="7"/>
  <c r="E6" i="7"/>
  <c r="E7" i="7" s="1"/>
  <c r="E8" i="7" s="1"/>
  <c r="E9" i="7" s="1"/>
  <c r="E10" i="7" s="1"/>
  <c r="E11" i="7" s="1"/>
  <c r="E12" i="7" s="1"/>
  <c r="E13" i="7" s="1"/>
  <c r="E14" i="7" s="1"/>
  <c r="E15" i="7" s="1"/>
  <c r="E16" i="7" s="1"/>
  <c r="E17" i="7" s="1"/>
  <c r="E18" i="7" s="1"/>
  <c r="E19" i="7" s="1"/>
  <c r="E20" i="7" s="1"/>
  <c r="E21" i="7" s="1"/>
  <c r="E22" i="7" s="1"/>
  <c r="E23" i="7" s="1"/>
  <c r="E24" i="7" s="1"/>
  <c r="E5" i="7"/>
  <c r="D4" i="7"/>
  <c r="D5" i="7" s="1"/>
  <c r="G3" i="7"/>
  <c r="M32" i="5"/>
  <c r="M31" i="5"/>
  <c r="M30" i="5"/>
  <c r="M29" i="5"/>
  <c r="M28" i="5"/>
  <c r="M27" i="5"/>
  <c r="M26" i="5"/>
  <c r="M25" i="5"/>
  <c r="M24" i="5"/>
  <c r="K5" i="5"/>
  <c r="K6" i="5" s="1"/>
  <c r="K7" i="5" s="1"/>
  <c r="K8" i="5" s="1"/>
  <c r="K9" i="5" s="1"/>
  <c r="K10" i="5" s="1"/>
  <c r="K11" i="5" s="1"/>
  <c r="K12" i="5" s="1"/>
  <c r="K13" i="5" s="1"/>
  <c r="K14" i="5" s="1"/>
  <c r="K15" i="5" s="1"/>
  <c r="K16" i="5" s="1"/>
  <c r="K17" i="5" s="1"/>
  <c r="K18" i="5" s="1"/>
  <c r="K19" i="5" s="1"/>
  <c r="K20" i="5" s="1"/>
  <c r="K21" i="5" s="1"/>
  <c r="K22" i="5" s="1"/>
  <c r="K23" i="5" s="1"/>
  <c r="M4" i="5"/>
  <c r="K4" i="5"/>
  <c r="J4" i="5"/>
  <c r="J5" i="5" s="1"/>
  <c r="M3" i="5"/>
  <c r="O615" i="4"/>
  <c r="O614" i="4"/>
  <c r="F613" i="4"/>
  <c r="N612" i="4"/>
  <c r="L571" i="4"/>
  <c r="G564" i="4"/>
  <c r="L544" i="4"/>
  <c r="L543" i="4"/>
  <c r="L542" i="4"/>
  <c r="L541" i="4"/>
  <c r="K501" i="4"/>
  <c r="G433" i="4"/>
  <c r="P329" i="4"/>
  <c r="P331" i="4" s="1"/>
  <c r="O329" i="4"/>
  <c r="O331" i="4" s="1"/>
  <c r="N329" i="4"/>
  <c r="N331" i="4" s="1"/>
  <c r="P253" i="4"/>
  <c r="P309" i="4" s="1"/>
  <c r="O253" i="4"/>
  <c r="O309" i="4" s="1"/>
  <c r="N309" i="4" s="1"/>
  <c r="G209" i="4"/>
  <c r="G206" i="4"/>
  <c r="G205" i="4"/>
  <c r="G204" i="4"/>
  <c r="G199" i="4"/>
  <c r="N192" i="4"/>
  <c r="G192" i="4"/>
  <c r="J187" i="4"/>
  <c r="J186" i="4"/>
  <c r="F186" i="4"/>
  <c r="J185" i="4"/>
  <c r="R128" i="4"/>
  <c r="N119" i="4"/>
  <c r="M98" i="4"/>
  <c r="M99" i="4" s="1"/>
  <c r="M76" i="4"/>
  <c r="M75" i="4"/>
  <c r="M72" i="4"/>
  <c r="J239" i="2"/>
  <c r="I239" i="2"/>
  <c r="I238" i="2"/>
  <c r="K237" i="2"/>
  <c r="K236" i="2"/>
  <c r="I236" i="2"/>
  <c r="K235" i="2"/>
  <c r="I235" i="2"/>
  <c r="L234" i="2"/>
  <c r="J234" i="2"/>
  <c r="L233" i="2"/>
  <c r="J233" i="2"/>
  <c r="L232" i="2"/>
  <c r="J232" i="2"/>
  <c r="L231" i="2"/>
  <c r="J231" i="2"/>
  <c r="L230" i="2"/>
  <c r="J230" i="2"/>
  <c r="L229" i="2"/>
  <c r="J229" i="2"/>
  <c r="L228" i="2"/>
  <c r="J228" i="2"/>
  <c r="L227" i="2"/>
  <c r="J227" i="2"/>
  <c r="L226" i="2"/>
  <c r="J226" i="2"/>
  <c r="L225" i="2"/>
  <c r="J225" i="2"/>
  <c r="J220" i="2"/>
  <c r="I220" i="2"/>
  <c r="S219" i="2"/>
  <c r="Q219" i="2"/>
  <c r="I219" i="2"/>
  <c r="O218" i="2"/>
  <c r="O217" i="2"/>
  <c r="I217" i="2"/>
  <c r="I237" i="2" s="1"/>
  <c r="O216" i="2"/>
  <c r="I216" i="2"/>
  <c r="R215" i="2"/>
  <c r="Q215" i="2"/>
  <c r="P215" i="2"/>
  <c r="L215" i="2"/>
  <c r="K215" i="2"/>
  <c r="J215" i="2"/>
  <c r="R214" i="2"/>
  <c r="Q214" i="2"/>
  <c r="P214" i="2"/>
  <c r="L214" i="2"/>
  <c r="K214" i="2"/>
  <c r="J214" i="2"/>
  <c r="R213" i="2"/>
  <c r="Q213" i="2"/>
  <c r="P213" i="2"/>
  <c r="L213" i="2"/>
  <c r="K213" i="2"/>
  <c r="J213" i="2"/>
  <c r="R212" i="2"/>
  <c r="Q212" i="2"/>
  <c r="P212" i="2"/>
  <c r="L212" i="2"/>
  <c r="K212" i="2"/>
  <c r="J212" i="2"/>
  <c r="R211" i="2"/>
  <c r="Q211" i="2"/>
  <c r="P211" i="2"/>
  <c r="L211" i="2"/>
  <c r="K211" i="2"/>
  <c r="J211" i="2"/>
  <c r="R210" i="2"/>
  <c r="Q210" i="2"/>
  <c r="P210" i="2"/>
  <c r="L210" i="2"/>
  <c r="K210" i="2"/>
  <c r="J210" i="2"/>
  <c r="R209" i="2"/>
  <c r="Q209" i="2"/>
  <c r="P209" i="2"/>
  <c r="L209" i="2"/>
  <c r="K209" i="2"/>
  <c r="J209" i="2"/>
  <c r="R208" i="2"/>
  <c r="Q208" i="2"/>
  <c r="P208" i="2"/>
  <c r="L208" i="2"/>
  <c r="K208" i="2"/>
  <c r="J208" i="2"/>
  <c r="R207" i="2"/>
  <c r="Q207" i="2"/>
  <c r="P207" i="2"/>
  <c r="L207" i="2"/>
  <c r="K207" i="2"/>
  <c r="J207" i="2"/>
  <c r="R206" i="2"/>
  <c r="S206" i="2" s="1"/>
  <c r="Q206" i="2"/>
  <c r="P206" i="2"/>
  <c r="L206" i="2"/>
  <c r="M206" i="2" s="1"/>
  <c r="M207" i="2" s="1"/>
  <c r="M208" i="2" s="1"/>
  <c r="M209" i="2" s="1"/>
  <c r="M210" i="2" s="1"/>
  <c r="M211" i="2" s="1"/>
  <c r="M212" i="2" s="1"/>
  <c r="M213" i="2" s="1"/>
  <c r="M214" i="2" s="1"/>
  <c r="M215" i="2" s="1"/>
  <c r="K206" i="2"/>
  <c r="J206" i="2"/>
  <c r="L199" i="2"/>
  <c r="M199" i="2" s="1"/>
  <c r="K199" i="2"/>
  <c r="J199" i="2"/>
  <c r="J198" i="2"/>
  <c r="K198" i="2" s="1"/>
  <c r="L198" i="2" s="1"/>
  <c r="M198" i="2" s="1"/>
  <c r="K194" i="2"/>
  <c r="K193" i="2"/>
  <c r="K192" i="2"/>
  <c r="B174" i="2"/>
  <c r="D172" i="2"/>
  <c r="G134" i="2"/>
  <c r="L126" i="2"/>
  <c r="K126" i="2"/>
  <c r="J126" i="2"/>
  <c r="I126" i="2"/>
  <c r="H126" i="2"/>
  <c r="L125" i="2"/>
  <c r="K125" i="2"/>
  <c r="J125" i="2"/>
  <c r="I125" i="2"/>
  <c r="H125" i="2"/>
  <c r="L124" i="2"/>
  <c r="K124" i="2"/>
  <c r="J124" i="2"/>
  <c r="I124" i="2"/>
  <c r="H124" i="2"/>
  <c r="L123" i="2"/>
  <c r="K123" i="2"/>
  <c r="J123" i="2"/>
  <c r="I123" i="2"/>
  <c r="H123" i="2"/>
  <c r="L122" i="2"/>
  <c r="K122" i="2"/>
  <c r="J122" i="2"/>
  <c r="I122" i="2"/>
  <c r="H122" i="2"/>
  <c r="L121" i="2"/>
  <c r="K121" i="2"/>
  <c r="J121" i="2"/>
  <c r="I121" i="2"/>
  <c r="H121" i="2"/>
  <c r="L120" i="2"/>
  <c r="K120" i="2"/>
  <c r="J120" i="2"/>
  <c r="I120" i="2"/>
  <c r="H120" i="2"/>
  <c r="L119" i="2"/>
  <c r="K119" i="2"/>
  <c r="J119" i="2"/>
  <c r="I119" i="2"/>
  <c r="H119" i="2"/>
  <c r="L118" i="2"/>
  <c r="K118" i="2"/>
  <c r="J118" i="2"/>
  <c r="I118" i="2"/>
  <c r="H118" i="2"/>
  <c r="L117" i="2"/>
  <c r="K117" i="2"/>
  <c r="J117" i="2"/>
  <c r="I117" i="2"/>
  <c r="H117" i="2"/>
  <c r="L116" i="2"/>
  <c r="K116" i="2"/>
  <c r="J116" i="2"/>
  <c r="I116" i="2"/>
  <c r="H116" i="2"/>
  <c r="L115" i="2"/>
  <c r="K115" i="2"/>
  <c r="J115" i="2"/>
  <c r="I115" i="2"/>
  <c r="H115" i="2"/>
  <c r="L114" i="2"/>
  <c r="K114" i="2"/>
  <c r="J114" i="2"/>
  <c r="I114" i="2"/>
  <c r="H114" i="2"/>
  <c r="L113" i="2"/>
  <c r="K113" i="2"/>
  <c r="J113" i="2"/>
  <c r="I113" i="2"/>
  <c r="H113" i="2"/>
  <c r="L112" i="2"/>
  <c r="K112" i="2"/>
  <c r="J112" i="2"/>
  <c r="I112" i="2"/>
  <c r="H112" i="2"/>
  <c r="L111" i="2"/>
  <c r="K111" i="2"/>
  <c r="J111" i="2"/>
  <c r="I111" i="2"/>
  <c r="H111" i="2"/>
  <c r="L110" i="2"/>
  <c r="K110" i="2"/>
  <c r="J110" i="2"/>
  <c r="I110" i="2"/>
  <c r="H110" i="2"/>
  <c r="L109" i="2"/>
  <c r="K109" i="2"/>
  <c r="J109" i="2"/>
  <c r="I109" i="2"/>
  <c r="H109" i="2"/>
  <c r="L108" i="2"/>
  <c r="K108" i="2"/>
  <c r="J108" i="2"/>
  <c r="I108" i="2"/>
  <c r="H108" i="2"/>
  <c r="L107" i="2"/>
  <c r="K107" i="2"/>
  <c r="J107" i="2"/>
  <c r="I107" i="2"/>
  <c r="H107" i="2"/>
  <c r="L106" i="2"/>
  <c r="K106" i="2"/>
  <c r="J106" i="2"/>
  <c r="I106" i="2"/>
  <c r="H106" i="2"/>
  <c r="L105" i="2"/>
  <c r="K105" i="2"/>
  <c r="J105" i="2"/>
  <c r="I105" i="2"/>
  <c r="H105" i="2"/>
  <c r="L104" i="2"/>
  <c r="K104" i="2"/>
  <c r="J104" i="2"/>
  <c r="I104" i="2"/>
  <c r="H104" i="2"/>
  <c r="L103" i="2"/>
  <c r="K103" i="2"/>
  <c r="J103" i="2"/>
  <c r="I103" i="2"/>
  <c r="H103" i="2"/>
  <c r="L102" i="2"/>
  <c r="K102" i="2"/>
  <c r="J102" i="2"/>
  <c r="I102" i="2"/>
  <c r="H102" i="2"/>
  <c r="L101" i="2"/>
  <c r="K101" i="2"/>
  <c r="J101" i="2"/>
  <c r="I101" i="2"/>
  <c r="H101" i="2"/>
  <c r="L100" i="2"/>
  <c r="K100" i="2"/>
  <c r="J100" i="2"/>
  <c r="I100" i="2"/>
  <c r="H100" i="2"/>
  <c r="L99" i="2"/>
  <c r="K99" i="2"/>
  <c r="J99" i="2"/>
  <c r="I99" i="2"/>
  <c r="H99" i="2"/>
  <c r="L98" i="2"/>
  <c r="K98" i="2"/>
  <c r="J98" i="2"/>
  <c r="I98" i="2"/>
  <c r="H98" i="2"/>
  <c r="L97" i="2"/>
  <c r="K97" i="2"/>
  <c r="J97" i="2"/>
  <c r="I97" i="2"/>
  <c r="H97" i="2"/>
  <c r="L96" i="2"/>
  <c r="K96" i="2"/>
  <c r="J96" i="2"/>
  <c r="I96" i="2"/>
  <c r="H96" i="2"/>
  <c r="L95" i="2"/>
  <c r="K95" i="2"/>
  <c r="J95" i="2"/>
  <c r="I95" i="2"/>
  <c r="H95" i="2"/>
  <c r="L94" i="2"/>
  <c r="K94" i="2"/>
  <c r="J94" i="2"/>
  <c r="I94" i="2"/>
  <c r="H94" i="2"/>
  <c r="L93" i="2"/>
  <c r="K93" i="2"/>
  <c r="J93" i="2"/>
  <c r="I93" i="2"/>
  <c r="H93" i="2"/>
  <c r="L92" i="2"/>
  <c r="K92" i="2"/>
  <c r="J92" i="2"/>
  <c r="I92" i="2"/>
  <c r="H92" i="2"/>
  <c r="L91" i="2"/>
  <c r="K91" i="2"/>
  <c r="J91" i="2"/>
  <c r="I91" i="2"/>
  <c r="H91" i="2"/>
  <c r="L90" i="2"/>
  <c r="K90" i="2"/>
  <c r="J90" i="2"/>
  <c r="I90" i="2"/>
  <c r="H90" i="2"/>
  <c r="L89" i="2"/>
  <c r="K89" i="2"/>
  <c r="J89" i="2"/>
  <c r="I89" i="2"/>
  <c r="H89" i="2"/>
  <c r="L88" i="2"/>
  <c r="K88" i="2"/>
  <c r="J88" i="2"/>
  <c r="I88" i="2"/>
  <c r="H88" i="2"/>
  <c r="L87" i="2"/>
  <c r="K87" i="2"/>
  <c r="J87" i="2"/>
  <c r="I87" i="2"/>
  <c r="H87" i="2"/>
  <c r="L86" i="2"/>
  <c r="K86" i="2"/>
  <c r="J86" i="2"/>
  <c r="I86" i="2"/>
  <c r="H86" i="2"/>
  <c r="L85" i="2"/>
  <c r="K85" i="2"/>
  <c r="J85" i="2"/>
  <c r="I85" i="2"/>
  <c r="H85" i="2"/>
  <c r="L84" i="2"/>
  <c r="K84" i="2"/>
  <c r="J84" i="2"/>
  <c r="I84" i="2"/>
  <c r="H84" i="2"/>
  <c r="L83" i="2"/>
  <c r="K83" i="2"/>
  <c r="J83" i="2"/>
  <c r="I83" i="2"/>
  <c r="H83" i="2"/>
  <c r="L82" i="2"/>
  <c r="K82" i="2"/>
  <c r="J82" i="2"/>
  <c r="I82" i="2"/>
  <c r="H82" i="2"/>
  <c r="L81" i="2"/>
  <c r="K81" i="2"/>
  <c r="J81" i="2"/>
  <c r="I81" i="2"/>
  <c r="H81" i="2"/>
  <c r="L80" i="2"/>
  <c r="K80" i="2"/>
  <c r="J80" i="2"/>
  <c r="I80" i="2"/>
  <c r="H80" i="2"/>
  <c r="L79" i="2"/>
  <c r="K79" i="2"/>
  <c r="J79" i="2"/>
  <c r="I79" i="2"/>
  <c r="H79" i="2"/>
  <c r="L78" i="2"/>
  <c r="K78" i="2"/>
  <c r="J78" i="2"/>
  <c r="I78" i="2"/>
  <c r="H78" i="2"/>
  <c r="L77" i="2"/>
  <c r="K77" i="2"/>
  <c r="J77" i="2"/>
  <c r="I77" i="2"/>
  <c r="H77" i="2"/>
  <c r="L76" i="2"/>
  <c r="K76" i="2"/>
  <c r="J76" i="2"/>
  <c r="I76" i="2"/>
  <c r="H76" i="2"/>
  <c r="L75" i="2"/>
  <c r="K75" i="2"/>
  <c r="J75" i="2"/>
  <c r="I75" i="2"/>
  <c r="H75" i="2"/>
  <c r="L74" i="2"/>
  <c r="K74" i="2"/>
  <c r="J74" i="2"/>
  <c r="I74" i="2"/>
  <c r="H74" i="2"/>
  <c r="L73" i="2"/>
  <c r="K73" i="2"/>
  <c r="J73" i="2"/>
  <c r="I73" i="2"/>
  <c r="H73" i="2"/>
  <c r="L72" i="2"/>
  <c r="K72" i="2"/>
  <c r="J72" i="2"/>
  <c r="I72" i="2"/>
  <c r="H72" i="2"/>
  <c r="L71" i="2"/>
  <c r="K71" i="2"/>
  <c r="J71" i="2"/>
  <c r="I71" i="2"/>
  <c r="H71" i="2"/>
  <c r="L70" i="2"/>
  <c r="K70" i="2"/>
  <c r="J70" i="2"/>
  <c r="I70" i="2"/>
  <c r="H70" i="2"/>
  <c r="L69" i="2"/>
  <c r="K69" i="2"/>
  <c r="J69" i="2"/>
  <c r="I69" i="2"/>
  <c r="H69" i="2"/>
  <c r="L68" i="2"/>
  <c r="K68" i="2"/>
  <c r="J68" i="2"/>
  <c r="I68" i="2"/>
  <c r="H68" i="2"/>
  <c r="L67" i="2"/>
  <c r="K67" i="2"/>
  <c r="J67" i="2"/>
  <c r="I67" i="2"/>
  <c r="H67" i="2"/>
  <c r="L66" i="2"/>
  <c r="K66" i="2"/>
  <c r="J66" i="2"/>
  <c r="I66" i="2"/>
  <c r="H66" i="2"/>
  <c r="L65" i="2"/>
  <c r="K65" i="2"/>
  <c r="J65" i="2"/>
  <c r="I65" i="2"/>
  <c r="H65" i="2"/>
  <c r="L64" i="2"/>
  <c r="K64" i="2"/>
  <c r="J64" i="2"/>
  <c r="I64" i="2"/>
  <c r="H64" i="2"/>
  <c r="L63" i="2"/>
  <c r="K63" i="2"/>
  <c r="J63" i="2"/>
  <c r="I63" i="2"/>
  <c r="H63" i="2"/>
  <c r="L62" i="2"/>
  <c r="K62" i="2"/>
  <c r="J62" i="2"/>
  <c r="I62" i="2"/>
  <c r="H62" i="2"/>
  <c r="L61" i="2"/>
  <c r="K61" i="2"/>
  <c r="J61" i="2"/>
  <c r="I61" i="2"/>
  <c r="H61" i="2"/>
  <c r="L60" i="2"/>
  <c r="K60" i="2"/>
  <c r="J60" i="2"/>
  <c r="I60" i="2"/>
  <c r="H60" i="2"/>
  <c r="L59" i="2"/>
  <c r="K59" i="2"/>
  <c r="J59" i="2"/>
  <c r="I59" i="2"/>
  <c r="H59" i="2"/>
  <c r="L58" i="2"/>
  <c r="K58" i="2"/>
  <c r="J58" i="2"/>
  <c r="I58" i="2"/>
  <c r="H58" i="2"/>
  <c r="L57" i="2"/>
  <c r="K57" i="2"/>
  <c r="J57" i="2"/>
  <c r="I57" i="2"/>
  <c r="H57" i="2"/>
  <c r="L56" i="2"/>
  <c r="K56" i="2"/>
  <c r="J56" i="2"/>
  <c r="I56" i="2"/>
  <c r="H56" i="2"/>
  <c r="L55" i="2"/>
  <c r="K55" i="2"/>
  <c r="J55" i="2"/>
  <c r="I55" i="2"/>
  <c r="H55" i="2"/>
  <c r="L54" i="2"/>
  <c r="K54" i="2"/>
  <c r="J54" i="2"/>
  <c r="I54" i="2"/>
  <c r="H54" i="2"/>
  <c r="L53" i="2"/>
  <c r="K53" i="2"/>
  <c r="J53" i="2"/>
  <c r="I53" i="2"/>
  <c r="H53" i="2"/>
  <c r="L52" i="2"/>
  <c r="K52" i="2"/>
  <c r="J52" i="2"/>
  <c r="I52" i="2"/>
  <c r="H52" i="2"/>
  <c r="L51" i="2"/>
  <c r="K51" i="2"/>
  <c r="J51" i="2"/>
  <c r="I51" i="2"/>
  <c r="H51" i="2"/>
  <c r="L50" i="2"/>
  <c r="K50" i="2"/>
  <c r="J50" i="2"/>
  <c r="I50" i="2"/>
  <c r="H50" i="2"/>
  <c r="L49" i="2"/>
  <c r="K49" i="2"/>
  <c r="J49" i="2"/>
  <c r="I49" i="2"/>
  <c r="H49" i="2"/>
  <c r="L48" i="2"/>
  <c r="K48" i="2"/>
  <c r="J48" i="2"/>
  <c r="I48" i="2"/>
  <c r="H48" i="2"/>
  <c r="L47" i="2"/>
  <c r="K47" i="2"/>
  <c r="J47" i="2"/>
  <c r="I47" i="2"/>
  <c r="H47" i="2"/>
  <c r="L46" i="2"/>
  <c r="K46" i="2"/>
  <c r="J46" i="2"/>
  <c r="I46" i="2"/>
  <c r="H46" i="2"/>
  <c r="L45" i="2"/>
  <c r="K45" i="2"/>
  <c r="J45" i="2"/>
  <c r="I45" i="2"/>
  <c r="H45" i="2"/>
  <c r="L44" i="2"/>
  <c r="K44" i="2"/>
  <c r="J44" i="2"/>
  <c r="I44" i="2"/>
  <c r="H44" i="2"/>
  <c r="L43" i="2"/>
  <c r="K43" i="2"/>
  <c r="J43" i="2"/>
  <c r="I43" i="2"/>
  <c r="H43" i="2"/>
  <c r="L42" i="2"/>
  <c r="K42" i="2"/>
  <c r="J42" i="2"/>
  <c r="I42" i="2"/>
  <c r="H42" i="2"/>
  <c r="L41" i="2"/>
  <c r="K41" i="2"/>
  <c r="J41" i="2"/>
  <c r="I41" i="2"/>
  <c r="H41" i="2"/>
  <c r="L40" i="2"/>
  <c r="K40" i="2"/>
  <c r="J40" i="2"/>
  <c r="I40" i="2"/>
  <c r="H40" i="2"/>
  <c r="L39" i="2"/>
  <c r="K39" i="2"/>
  <c r="J39" i="2"/>
  <c r="H39" i="2"/>
  <c r="L38" i="2"/>
  <c r="K38" i="2"/>
  <c r="H38" i="2"/>
  <c r="L37" i="2"/>
  <c r="H37" i="2"/>
  <c r="H36" i="2"/>
  <c r="D30" i="2"/>
  <c r="D29" i="2"/>
  <c r="D28" i="2"/>
  <c r="D27" i="2"/>
  <c r="D26" i="2"/>
  <c r="L694" i="1"/>
  <c r="G677" i="1"/>
  <c r="H677" i="1" s="1"/>
  <c r="J677" i="1" s="1"/>
  <c r="L677" i="1" s="1"/>
  <c r="E677" i="1"/>
  <c r="G676" i="1"/>
  <c r="H676" i="1" s="1"/>
  <c r="J676" i="1" s="1"/>
  <c r="L676" i="1" s="1"/>
  <c r="E676" i="1"/>
  <c r="G675" i="1"/>
  <c r="H675" i="1" s="1"/>
  <c r="J675" i="1" s="1"/>
  <c r="L675" i="1" s="1"/>
  <c r="E675" i="1"/>
  <c r="G674" i="1"/>
  <c r="H674" i="1" s="1"/>
  <c r="J674" i="1" s="1"/>
  <c r="L674" i="1" s="1"/>
  <c r="E674" i="1"/>
  <c r="G673" i="1"/>
  <c r="H673" i="1" s="1"/>
  <c r="J673" i="1" s="1"/>
  <c r="L673" i="1" s="1"/>
  <c r="E673" i="1"/>
  <c r="G672" i="1"/>
  <c r="H672" i="1" s="1"/>
  <c r="J672" i="1" s="1"/>
  <c r="L672" i="1" s="1"/>
  <c r="E672" i="1"/>
  <c r="G671" i="1"/>
  <c r="H671" i="1" s="1"/>
  <c r="J671" i="1" s="1"/>
  <c r="L671" i="1" s="1"/>
  <c r="E671" i="1"/>
  <c r="G670" i="1"/>
  <c r="H670" i="1" s="1"/>
  <c r="J670" i="1" s="1"/>
  <c r="L670" i="1" s="1"/>
  <c r="E670" i="1"/>
  <c r="H669" i="1"/>
  <c r="J669" i="1" s="1"/>
  <c r="L669" i="1" s="1"/>
  <c r="G669" i="1"/>
  <c r="E669" i="1"/>
  <c r="G668" i="1"/>
  <c r="H668" i="1" s="1"/>
  <c r="J668" i="1" s="1"/>
  <c r="L668" i="1" s="1"/>
  <c r="E668" i="1"/>
  <c r="G667" i="1"/>
  <c r="H667" i="1" s="1"/>
  <c r="J667" i="1" s="1"/>
  <c r="L667" i="1" s="1"/>
  <c r="E667" i="1"/>
  <c r="B661" i="1"/>
  <c r="I660" i="1"/>
  <c r="G660" i="1"/>
  <c r="I659" i="1"/>
  <c r="G659" i="1"/>
  <c r="G658" i="1"/>
  <c r="D658" i="1"/>
  <c r="I658" i="1" s="1"/>
  <c r="E657" i="1"/>
  <c r="I656" i="1"/>
  <c r="G656" i="1"/>
  <c r="G655" i="1"/>
  <c r="D655" i="1"/>
  <c r="I655" i="1" s="1"/>
  <c r="E653" i="1"/>
  <c r="I652" i="1"/>
  <c r="G652" i="1" s="1"/>
  <c r="G651" i="1"/>
  <c r="E650" i="1"/>
  <c r="E649" i="1"/>
  <c r="G649" i="1" s="1"/>
  <c r="G648" i="1"/>
  <c r="F646" i="1"/>
  <c r="F645" i="1"/>
  <c r="G644" i="1"/>
  <c r="G643" i="1"/>
  <c r="G642" i="1"/>
  <c r="K641" i="1"/>
  <c r="G641" i="1"/>
  <c r="G639" i="1"/>
  <c r="G638" i="1"/>
  <c r="I637" i="1"/>
  <c r="G637" i="1"/>
  <c r="G636" i="1"/>
  <c r="V635" i="1"/>
  <c r="I635" i="1"/>
  <c r="G635" i="1"/>
  <c r="G634" i="1"/>
  <c r="W633" i="1"/>
  <c r="G633" i="1"/>
  <c r="W632" i="1"/>
  <c r="P628" i="1"/>
  <c r="I628" i="1"/>
  <c r="G628" i="1"/>
  <c r="L625" i="1" s="1"/>
  <c r="I627" i="1"/>
  <c r="E627" i="1"/>
  <c r="X623" i="1"/>
  <c r="X624" i="1" s="1"/>
  <c r="X625" i="1" s="1"/>
  <c r="M620" i="1"/>
  <c r="G617" i="1"/>
  <c r="U616" i="1"/>
  <c r="S616" i="1"/>
  <c r="T616" i="1" s="1"/>
  <c r="K612" i="1"/>
  <c r="G609" i="1"/>
  <c r="T607" i="1"/>
  <c r="P604" i="1"/>
  <c r="P599" i="1"/>
  <c r="W597" i="1"/>
  <c r="X597" i="1" s="1"/>
  <c r="P595" i="1"/>
  <c r="AA594" i="1"/>
  <c r="G594" i="1"/>
  <c r="L590" i="1" s="1"/>
  <c r="AA593" i="1"/>
  <c r="Z593" i="1"/>
  <c r="Y593" i="1"/>
  <c r="AA592" i="1"/>
  <c r="Z592" i="1"/>
  <c r="Y592" i="1"/>
  <c r="AA591" i="1"/>
  <c r="Z591" i="1"/>
  <c r="Y591" i="1"/>
  <c r="E590" i="1"/>
  <c r="I590" i="1" s="1"/>
  <c r="P588" i="1"/>
  <c r="P587" i="1"/>
  <c r="P586" i="1"/>
  <c r="P585" i="1"/>
  <c r="L585" i="1"/>
  <c r="P583" i="1"/>
  <c r="P582" i="1"/>
  <c r="I582" i="1"/>
  <c r="I581" i="1"/>
  <c r="G581" i="1" s="1"/>
  <c r="R323" i="1" s="1"/>
  <c r="E580" i="1"/>
  <c r="I578" i="1"/>
  <c r="G573" i="1"/>
  <c r="U572" i="1"/>
  <c r="U574" i="1" s="1"/>
  <c r="S571" i="1" s="1"/>
  <c r="S572" i="1"/>
  <c r="G570" i="1"/>
  <c r="M541" i="1" s="1"/>
  <c r="E554" i="1"/>
  <c r="G544" i="1"/>
  <c r="I540" i="1"/>
  <c r="G525" i="1"/>
  <c r="G493" i="1" s="1"/>
  <c r="T456" i="1" s="1"/>
  <c r="E525" i="1"/>
  <c r="I518" i="1"/>
  <c r="U506" i="1"/>
  <c r="U505" i="1"/>
  <c r="M505" i="1"/>
  <c r="U504" i="1"/>
  <c r="N500" i="1"/>
  <c r="I493" i="1"/>
  <c r="G490" i="1"/>
  <c r="M443" i="1" s="1"/>
  <c r="G465" i="1"/>
  <c r="M447" i="1"/>
  <c r="G447" i="1"/>
  <c r="E447" i="1"/>
  <c r="M445" i="1"/>
  <c r="I442" i="1"/>
  <c r="E436" i="1"/>
  <c r="I436" i="1" s="1"/>
  <c r="G434" i="1"/>
  <c r="G433" i="1"/>
  <c r="M425" i="1"/>
  <c r="I419" i="1"/>
  <c r="G419" i="1"/>
  <c r="M408" i="1" s="1"/>
  <c r="G418" i="1"/>
  <c r="G411" i="1"/>
  <c r="M399" i="1" s="1"/>
  <c r="E411" i="1"/>
  <c r="I411" i="1" s="1"/>
  <c r="M396" i="1"/>
  <c r="I395" i="1"/>
  <c r="I393" i="1"/>
  <c r="I392" i="1"/>
  <c r="AH377" i="1"/>
  <c r="AL377" i="1" s="1"/>
  <c r="AM377" i="1" s="1"/>
  <c r="AH376" i="1"/>
  <c r="AL376" i="1" s="1"/>
  <c r="AM376" i="1" s="1"/>
  <c r="AH375" i="1"/>
  <c r="AL375" i="1" s="1"/>
  <c r="AM375" i="1" s="1"/>
  <c r="AH374" i="1"/>
  <c r="AL374" i="1" s="1"/>
  <c r="AM374" i="1" s="1"/>
  <c r="AH373" i="1"/>
  <c r="AL373" i="1" s="1"/>
  <c r="AM373" i="1" s="1"/>
  <c r="I366" i="1"/>
  <c r="E366" i="1"/>
  <c r="G358" i="1"/>
  <c r="E358" i="1"/>
  <c r="I358" i="1" s="1"/>
  <c r="G357" i="1"/>
  <c r="R318" i="1" s="1"/>
  <c r="E357" i="1"/>
  <c r="I357" i="1" s="1"/>
  <c r="AH356" i="1"/>
  <c r="I354" i="1"/>
  <c r="I351" i="1"/>
  <c r="I348" i="1"/>
  <c r="I334" i="1"/>
  <c r="G334" i="1"/>
  <c r="M289" i="1" s="1"/>
  <c r="E333" i="1"/>
  <c r="I332" i="1"/>
  <c r="G330" i="1"/>
  <c r="P323" i="1"/>
  <c r="P322" i="1"/>
  <c r="P321" i="1"/>
  <c r="L321" i="1"/>
  <c r="P320" i="1"/>
  <c r="AB319" i="1"/>
  <c r="R319" i="1"/>
  <c r="P318" i="1"/>
  <c r="P317" i="1"/>
  <c r="L317" i="1"/>
  <c r="L312" i="1"/>
  <c r="AB308" i="1"/>
  <c r="AB310" i="1" s="1"/>
  <c r="E293" i="1"/>
  <c r="I293" i="1" s="1"/>
  <c r="AM292" i="1"/>
  <c r="M290" i="1"/>
  <c r="I288" i="1"/>
  <c r="AM287" i="1"/>
  <c r="G253" i="1"/>
  <c r="M243" i="1" s="1"/>
  <c r="U251" i="1"/>
  <c r="U252" i="1" s="1"/>
  <c r="I246" i="1"/>
  <c r="G246" i="1"/>
  <c r="V245" i="1"/>
  <c r="M244" i="1"/>
  <c r="I244" i="1"/>
  <c r="G244" i="1"/>
  <c r="E243" i="1"/>
  <c r="I243" i="1" s="1"/>
  <c r="Z242" i="1"/>
  <c r="Z243" i="1" s="1"/>
  <c r="Z245" i="1" s="1"/>
  <c r="Z246" i="1" s="1"/>
  <c r="U242" i="1"/>
  <c r="U243" i="1" s="1"/>
  <c r="U245" i="1" s="1"/>
  <c r="U246" i="1" s="1"/>
  <c r="V239" i="1"/>
  <c r="Z236" i="1"/>
  <c r="Z237" i="1" s="1"/>
  <c r="Z239" i="1" s="1"/>
  <c r="Z240" i="1" s="1"/>
  <c r="U236" i="1"/>
  <c r="U237" i="1" s="1"/>
  <c r="U239" i="1" s="1"/>
  <c r="U240" i="1" s="1"/>
  <c r="Z234" i="1"/>
  <c r="U234" i="1"/>
  <c r="M234" i="1"/>
  <c r="M230" i="1"/>
  <c r="M229" i="1"/>
  <c r="M228" i="1"/>
  <c r="V227" i="1"/>
  <c r="V228" i="1" s="1"/>
  <c r="U227" i="1"/>
  <c r="U228" i="1" s="1"/>
  <c r="E224" i="1"/>
  <c r="G222" i="1"/>
  <c r="O212" i="1"/>
  <c r="Q212" i="1" s="1"/>
  <c r="O211" i="1"/>
  <c r="Q211" i="1" s="1"/>
  <c r="O210" i="1"/>
  <c r="Q210" i="1" s="1"/>
  <c r="O209" i="1"/>
  <c r="Q209" i="1" s="1"/>
  <c r="AB204" i="1"/>
  <c r="AB206" i="1" s="1"/>
  <c r="AO203" i="1"/>
  <c r="AO205" i="1" s="1"/>
  <c r="AO207" i="1" s="1"/>
  <c r="T203" i="1"/>
  <c r="T204" i="1" s="1"/>
  <c r="G203" i="1"/>
  <c r="AN200" i="1"/>
  <c r="AE199" i="1"/>
  <c r="D199" i="1"/>
  <c r="AB196" i="1"/>
  <c r="G196" i="1"/>
  <c r="S192" i="1"/>
  <c r="M186" i="1"/>
  <c r="G186" i="1"/>
  <c r="T185" i="1"/>
  <c r="AO181" i="1"/>
  <c r="AQ181" i="1" s="1"/>
  <c r="AO180" i="1" s="1"/>
  <c r="AQ180" i="1" s="1"/>
  <c r="AO176" i="1" s="1"/>
  <c r="AQ176" i="1" s="1"/>
  <c r="G176" i="1"/>
  <c r="G174" i="1"/>
  <c r="G172" i="1"/>
  <c r="I168" i="1"/>
  <c r="C168" i="1"/>
  <c r="I167" i="1"/>
  <c r="C167" i="1"/>
  <c r="I166" i="1"/>
  <c r="C166" i="1"/>
  <c r="I165" i="1"/>
  <c r="C165" i="1"/>
  <c r="AJ164" i="1"/>
  <c r="AO164" i="1" s="1"/>
  <c r="I164" i="1"/>
  <c r="C164" i="1"/>
  <c r="I163" i="1"/>
  <c r="C163" i="1"/>
  <c r="AJ162" i="1"/>
  <c r="AK162" i="1" s="1"/>
  <c r="I162" i="1"/>
  <c r="C162" i="1"/>
  <c r="G161" i="1"/>
  <c r="I160" i="1"/>
  <c r="C160" i="1"/>
  <c r="I159" i="1"/>
  <c r="C159" i="1"/>
  <c r="I158" i="1"/>
  <c r="C158" i="1"/>
  <c r="G157" i="1"/>
  <c r="G154" i="1" s="1"/>
  <c r="E157" i="1"/>
  <c r="I157" i="1" s="1"/>
  <c r="C157" i="1"/>
  <c r="I156" i="1"/>
  <c r="C156" i="1"/>
  <c r="I155" i="1"/>
  <c r="C155" i="1"/>
  <c r="I153" i="1"/>
  <c r="C153" i="1"/>
  <c r="I152" i="1"/>
  <c r="C152" i="1"/>
  <c r="I151" i="1"/>
  <c r="C151" i="1"/>
  <c r="I150" i="1"/>
  <c r="C150" i="1"/>
  <c r="I149" i="1"/>
  <c r="C149" i="1"/>
  <c r="I148" i="1"/>
  <c r="C148" i="1"/>
  <c r="I147" i="1"/>
  <c r="C147" i="1"/>
  <c r="I146" i="1"/>
  <c r="C146" i="1"/>
  <c r="G145" i="1"/>
  <c r="G144" i="1" s="1"/>
  <c r="C145" i="1"/>
  <c r="G142" i="1"/>
  <c r="G141" i="1" s="1"/>
  <c r="C142" i="1"/>
  <c r="G139" i="1"/>
  <c r="G138" i="1" s="1"/>
  <c r="C135" i="1"/>
  <c r="G134" i="1"/>
  <c r="G133" i="1"/>
  <c r="C133" i="1"/>
  <c r="AA132" i="1"/>
  <c r="Z132" i="1" s="1"/>
  <c r="T132" i="1"/>
  <c r="G132" i="1"/>
  <c r="C132" i="1"/>
  <c r="T131" i="1"/>
  <c r="I131" i="1"/>
  <c r="G131" i="1"/>
  <c r="C131" i="1"/>
  <c r="S130" i="1"/>
  <c r="T130" i="1" s="1"/>
  <c r="E130" i="1"/>
  <c r="C130" i="1"/>
  <c r="S129" i="1"/>
  <c r="T129" i="1" s="1"/>
  <c r="C129" i="1"/>
  <c r="AB128" i="1"/>
  <c r="Z128" i="1"/>
  <c r="W128" i="1"/>
  <c r="X128" i="1" s="1"/>
  <c r="S128" i="1"/>
  <c r="T128" i="1" s="1"/>
  <c r="C128" i="1"/>
  <c r="AC127" i="1"/>
  <c r="S127" i="1"/>
  <c r="T127" i="1" s="1"/>
  <c r="C127" i="1"/>
  <c r="AC126" i="1"/>
  <c r="T126" i="1"/>
  <c r="C126" i="1"/>
  <c r="AC125" i="1"/>
  <c r="AA125" i="1"/>
  <c r="X125" i="1"/>
  <c r="O125" i="1"/>
  <c r="C125" i="1"/>
  <c r="AC124" i="1"/>
  <c r="AA124" i="1"/>
  <c r="X124" i="1"/>
  <c r="O124" i="1"/>
  <c r="AC123" i="1"/>
  <c r="AA123" i="1"/>
  <c r="X123" i="1"/>
  <c r="C123" i="1"/>
  <c r="AC122" i="1"/>
  <c r="AA122" i="1"/>
  <c r="X122" i="1"/>
  <c r="C122" i="1"/>
  <c r="AC121" i="1"/>
  <c r="AA121" i="1"/>
  <c r="X121" i="1"/>
  <c r="C121" i="1"/>
  <c r="AC120" i="1"/>
  <c r="AA120" i="1"/>
  <c r="X120" i="1"/>
  <c r="C120" i="1"/>
  <c r="AC119" i="1"/>
  <c r="AA119" i="1"/>
  <c r="X119" i="1"/>
  <c r="C119" i="1"/>
  <c r="AC118" i="1"/>
  <c r="AA118" i="1"/>
  <c r="X118" i="1"/>
  <c r="C118" i="1"/>
  <c r="AC117" i="1"/>
  <c r="AA117" i="1"/>
  <c r="X117" i="1"/>
  <c r="C117" i="1"/>
  <c r="C116" i="1"/>
  <c r="R115" i="1"/>
  <c r="R116" i="1" s="1"/>
  <c r="C115" i="1"/>
  <c r="C114" i="1"/>
  <c r="V113" i="1"/>
  <c r="C113" i="1"/>
  <c r="S112" i="1"/>
  <c r="S113" i="1" s="1"/>
  <c r="G112" i="1"/>
  <c r="E112" i="1"/>
  <c r="I112" i="1" s="1"/>
  <c r="W111" i="1"/>
  <c r="X111" i="1" s="1"/>
  <c r="T111" i="1"/>
  <c r="T113" i="1" s="1"/>
  <c r="T114" i="1" s="1"/>
  <c r="G110" i="1"/>
  <c r="W10" i="1"/>
  <c r="X10" i="1" s="1"/>
  <c r="D107" i="1"/>
  <c r="O106" i="1"/>
  <c r="W4" i="1"/>
  <c r="X4" i="1" s="1"/>
  <c r="W3" i="1"/>
  <c r="X3" i="1" s="1"/>
  <c r="P4" i="1"/>
  <c r="K4" i="1"/>
  <c r="P2" i="1"/>
  <c r="O2" i="1"/>
  <c r="K2" i="1"/>
  <c r="J2" i="1"/>
  <c r="Q1" i="1"/>
  <c r="G657" i="1" l="1"/>
  <c r="T460" i="1" s="1"/>
  <c r="BQ177" i="8"/>
  <c r="R322" i="1"/>
  <c r="G143" i="1"/>
  <c r="V247" i="1"/>
  <c r="R320" i="1"/>
  <c r="M397" i="1"/>
  <c r="L660" i="1"/>
  <c r="Q317" i="1"/>
  <c r="G242" i="1"/>
  <c r="G108" i="1"/>
  <c r="L631" i="1"/>
  <c r="BP170" i="8"/>
  <c r="P322" i="4"/>
  <c r="K20" i="12"/>
  <c r="P20" i="12" s="1"/>
  <c r="P19" i="12"/>
  <c r="AC128" i="1"/>
  <c r="AA128" i="1"/>
  <c r="G354" i="1"/>
  <c r="T453" i="1" s="1"/>
  <c r="L649" i="1"/>
  <c r="BO170" i="8"/>
  <c r="BQ170" i="8"/>
  <c r="H14" i="8"/>
  <c r="E16" i="8" s="1"/>
  <c r="B3" i="8"/>
  <c r="BR170" i="8"/>
  <c r="S133" i="1"/>
  <c r="T133" i="1" s="1"/>
  <c r="U507" i="1"/>
  <c r="R324" i="1"/>
  <c r="X9" i="1"/>
  <c r="G442" i="1"/>
  <c r="T455" i="1" s="1"/>
  <c r="P590" i="1"/>
  <c r="M619" i="1"/>
  <c r="L643" i="1"/>
  <c r="M398" i="1"/>
  <c r="G540" i="1"/>
  <c r="T457" i="1" s="1"/>
  <c r="G124" i="1"/>
  <c r="G202" i="1"/>
  <c r="M444" i="1"/>
  <c r="M446" i="1" s="1"/>
  <c r="AO162" i="1"/>
  <c r="AQ162" i="1" s="1"/>
  <c r="AK164" i="1"/>
  <c r="R321" i="1"/>
  <c r="G578" i="1"/>
  <c r="T458" i="1" s="1"/>
  <c r="S208" i="2"/>
  <c r="C20" i="24"/>
  <c r="AB198" i="1"/>
  <c r="AD196" i="1"/>
  <c r="P319" i="1"/>
  <c r="G393" i="1"/>
  <c r="T454" i="1" s="1"/>
  <c r="G627" i="1"/>
  <c r="T459" i="1" s="1"/>
  <c r="J4" i="1"/>
  <c r="M245" i="1"/>
  <c r="S207" i="2"/>
  <c r="AQ164" i="1"/>
  <c r="AP164" i="1"/>
  <c r="Q214" i="1"/>
  <c r="Q318" i="1"/>
  <c r="M355" i="1"/>
  <c r="M621" i="1"/>
  <c r="M22" i="16"/>
  <c r="M23" i="16"/>
  <c r="O20" i="25"/>
  <c r="Z248" i="1"/>
  <c r="P324" i="1"/>
  <c r="D6" i="7"/>
  <c r="G5" i="7"/>
  <c r="C20" i="13"/>
  <c r="U248" i="1"/>
  <c r="J6" i="5"/>
  <c r="M5" i="5"/>
  <c r="O4" i="1"/>
  <c r="W9" i="1"/>
  <c r="W11" i="1" s="1"/>
  <c r="X11" i="1" s="1"/>
  <c r="G288" i="1"/>
  <c r="T452" i="1" s="1"/>
  <c r="R317" i="1"/>
  <c r="P607" i="1"/>
  <c r="L599" i="1"/>
  <c r="S209" i="2"/>
  <c r="S210" i="2" s="1"/>
  <c r="S211" i="2" s="1"/>
  <c r="S212" i="2" s="1"/>
  <c r="S213" i="2" s="1"/>
  <c r="S214" i="2" s="1"/>
  <c r="S215" i="2" s="1"/>
  <c r="S220" i="2" s="1"/>
  <c r="P14" i="1"/>
  <c r="M291" i="1"/>
  <c r="L636" i="1"/>
  <c r="C20" i="17"/>
  <c r="L611" i="1"/>
  <c r="K502" i="4"/>
  <c r="Q16" i="25"/>
  <c r="O19" i="25"/>
  <c r="O74" i="37"/>
  <c r="K504" i="4"/>
  <c r="K505" i="4" s="1"/>
  <c r="G4" i="7"/>
  <c r="E19" i="13"/>
  <c r="O19" i="13" s="1"/>
  <c r="E19" i="17"/>
  <c r="O19" i="17" s="1"/>
  <c r="O40" i="25"/>
  <c r="S56" i="31"/>
  <c r="U56" i="31" s="1"/>
  <c r="O14" i="8"/>
  <c r="O16" i="13"/>
  <c r="O20" i="13" s="1"/>
  <c r="B19" i="12"/>
  <c r="E19" i="24"/>
  <c r="E20" i="24" s="1"/>
  <c r="Q20" i="24" s="1"/>
  <c r="Q127" i="37"/>
  <c r="O16" i="24"/>
  <c r="O20" i="24" s="1"/>
  <c r="G55" i="31"/>
  <c r="G82" i="31"/>
  <c r="N47" i="32"/>
  <c r="I218" i="2"/>
  <c r="O40" i="13"/>
  <c r="O40" i="17"/>
  <c r="D19" i="25"/>
  <c r="N16" i="12"/>
  <c r="N20" i="12" s="1"/>
  <c r="N58" i="31"/>
  <c r="O67" i="37"/>
  <c r="O69" i="37" s="1"/>
  <c r="Q16" i="29"/>
  <c r="Q19" i="29" s="1"/>
  <c r="O19" i="29"/>
  <c r="G35" i="31"/>
  <c r="H42" i="31" s="1"/>
  <c r="K44" i="31"/>
  <c r="N44" i="31" s="1"/>
  <c r="Q39" i="37"/>
  <c r="G43" i="37"/>
  <c r="O43" i="37" s="1"/>
  <c r="O109" i="37"/>
  <c r="O133" i="40"/>
  <c r="O135" i="40" s="1"/>
  <c r="O204" i="40"/>
  <c r="K58" i="31"/>
  <c r="C93" i="31"/>
  <c r="H43" i="37"/>
  <c r="O21" i="40"/>
  <c r="O23" i="40" s="1"/>
  <c r="O187" i="40"/>
  <c r="O45" i="42"/>
  <c r="O46" i="42" s="1"/>
  <c r="O48" i="42" s="1"/>
  <c r="I43" i="37"/>
  <c r="L44" i="37"/>
  <c r="L45" i="37" s="1"/>
  <c r="G56" i="31"/>
  <c r="G68" i="31" s="1"/>
  <c r="G93" i="31"/>
  <c r="G95" i="31" s="1"/>
  <c r="C42" i="34"/>
  <c r="M44" i="37"/>
  <c r="M45" i="37" s="1"/>
  <c r="I127" i="42"/>
  <c r="I129" i="42" s="1"/>
  <c r="O61" i="40"/>
  <c r="O62" i="40" s="1"/>
  <c r="O64" i="40" s="1"/>
  <c r="X44" i="31"/>
  <c r="O39" i="34"/>
  <c r="O43" i="34" s="1"/>
  <c r="O40" i="40"/>
  <c r="O41" i="40" s="1"/>
  <c r="C129" i="42"/>
  <c r="H26" i="39"/>
  <c r="O175" i="42"/>
  <c r="O176" i="42" s="1"/>
  <c r="O111" i="37"/>
  <c r="I26" i="39"/>
  <c r="O19" i="40"/>
  <c r="O93" i="40"/>
  <c r="M127" i="42"/>
  <c r="M129" i="42" s="1"/>
  <c r="O152" i="42"/>
  <c r="O153" i="42" s="1"/>
  <c r="O211" i="40"/>
  <c r="O222" i="40" s="1"/>
  <c r="O109" i="42"/>
  <c r="Q127" i="42" s="1"/>
  <c r="G127" i="42"/>
  <c r="G129" i="42" s="1"/>
  <c r="Q153" i="42"/>
  <c r="Q176" i="42"/>
  <c r="E2" i="49"/>
  <c r="Q49" i="49"/>
  <c r="Q166" i="49" s="1"/>
  <c r="O51" i="49"/>
  <c r="Q96" i="52"/>
  <c r="O98" i="52"/>
  <c r="O41" i="42"/>
  <c r="E117" i="42"/>
  <c r="H127" i="42"/>
  <c r="H129" i="42" s="1"/>
  <c r="O188" i="42"/>
  <c r="O194" i="42" s="1"/>
  <c r="E7" i="49"/>
  <c r="O30" i="49"/>
  <c r="O187" i="52"/>
  <c r="S187" i="52" s="1"/>
  <c r="C72" i="42"/>
  <c r="F117" i="42"/>
  <c r="F126" i="42" s="1"/>
  <c r="F127" i="42" s="1"/>
  <c r="F129" i="42" s="1"/>
  <c r="O149" i="42"/>
  <c r="O172" i="42"/>
  <c r="K26" i="52"/>
  <c r="K28" i="52" s="1"/>
  <c r="O236" i="52"/>
  <c r="F62" i="42"/>
  <c r="O123" i="42"/>
  <c r="O122" i="37"/>
  <c r="O129" i="37" s="1"/>
  <c r="E169" i="40"/>
  <c r="E170" i="40" s="1"/>
  <c r="O101" i="42"/>
  <c r="O103" i="42" s="1"/>
  <c r="F22" i="48"/>
  <c r="O162" i="40"/>
  <c r="O169" i="40" s="1"/>
  <c r="O170" i="40" s="1"/>
  <c r="F169" i="40"/>
  <c r="F170" i="40" s="1"/>
  <c r="H62" i="42"/>
  <c r="H72" i="42" s="1"/>
  <c r="H73" i="42" s="1"/>
  <c r="H75" i="42" s="1"/>
  <c r="C3" i="49"/>
  <c r="C6" i="49" s="1"/>
  <c r="C8" i="49" s="1"/>
  <c r="O74" i="49"/>
  <c r="Q81" i="49"/>
  <c r="O120" i="49"/>
  <c r="D5" i="49" s="1"/>
  <c r="D6" i="49" s="1"/>
  <c r="D8" i="49" s="1"/>
  <c r="O24" i="52"/>
  <c r="Q79" i="52"/>
  <c r="O117" i="52"/>
  <c r="O118" i="52" s="1"/>
  <c r="O197" i="52"/>
  <c r="S199" i="52"/>
  <c r="I62" i="42"/>
  <c r="I72" i="42" s="1"/>
  <c r="I73" i="42" s="1"/>
  <c r="I75" i="42" s="1"/>
  <c r="O81" i="49"/>
  <c r="Q114" i="49"/>
  <c r="I22" i="51"/>
  <c r="O47" i="52"/>
  <c r="S175" i="52"/>
  <c r="C22" i="48"/>
  <c r="O98" i="49"/>
  <c r="O214" i="52"/>
  <c r="O14" i="52"/>
  <c r="H45" i="52"/>
  <c r="O45" i="52" s="1"/>
  <c r="S177" i="52"/>
  <c r="C188" i="52"/>
  <c r="D209" i="52"/>
  <c r="G219" i="52"/>
  <c r="O227" i="52"/>
  <c r="O232" i="52"/>
  <c r="O235" i="52" s="1"/>
  <c r="C236" i="52"/>
  <c r="C219" i="52" s="1"/>
  <c r="C247" i="52"/>
  <c r="H3" i="53"/>
  <c r="O6" i="53"/>
  <c r="L8" i="53"/>
  <c r="G25" i="53"/>
  <c r="G8" i="53" s="1"/>
  <c r="O11" i="53"/>
  <c r="O33" i="53"/>
  <c r="O38" i="53" s="1"/>
  <c r="R96" i="58"/>
  <c r="R95" i="58"/>
  <c r="L119" i="49"/>
  <c r="O119" i="49" s="1"/>
  <c r="C26" i="52"/>
  <c r="C28" i="52" s="1"/>
  <c r="I45" i="52"/>
  <c r="O183" i="52"/>
  <c r="S183" i="52" s="1"/>
  <c r="S185" i="52"/>
  <c r="N210" i="52"/>
  <c r="D8" i="53"/>
  <c r="O16" i="53"/>
  <c r="O25" i="53" s="1"/>
  <c r="O54" i="52"/>
  <c r="O58" i="52" s="1"/>
  <c r="O72" i="52" s="1"/>
  <c r="C117" i="52"/>
  <c r="C118" i="52" s="1"/>
  <c r="C120" i="52" s="1"/>
  <c r="O178" i="52"/>
  <c r="S178" i="52" s="1"/>
  <c r="O217" i="52"/>
  <c r="O13" i="53"/>
  <c r="F169" i="53"/>
  <c r="I113" i="54"/>
  <c r="I107" i="54"/>
  <c r="O21" i="53"/>
  <c r="O78" i="53"/>
  <c r="O201" i="52"/>
  <c r="S201" i="52" s="1"/>
  <c r="E25" i="53"/>
  <c r="E8" i="53" s="1"/>
  <c r="F113" i="54"/>
  <c r="F107" i="54"/>
  <c r="O4" i="53"/>
  <c r="J3" i="53"/>
  <c r="O3" i="53" s="1"/>
  <c r="O23" i="52"/>
  <c r="I8" i="53"/>
  <c r="O101" i="53"/>
  <c r="O124" i="53"/>
  <c r="O126" i="53" s="1"/>
  <c r="F25" i="53"/>
  <c r="F8" i="53" s="1"/>
  <c r="F24" i="53"/>
  <c r="O55" i="53"/>
  <c r="O56" i="53" s="1"/>
  <c r="O58" i="53" s="1"/>
  <c r="F66" i="53"/>
  <c r="O64" i="53"/>
  <c r="O79" i="53"/>
  <c r="D202" i="53"/>
  <c r="H78" i="53"/>
  <c r="F154" i="53"/>
  <c r="F155" i="53" s="1"/>
  <c r="F159" i="53" s="1"/>
  <c r="C166" i="53"/>
  <c r="C168" i="53" s="1"/>
  <c r="H25" i="54"/>
  <c r="H8" i="54" s="1"/>
  <c r="D103" i="54"/>
  <c r="D105" i="54" s="1"/>
  <c r="D91" i="54"/>
  <c r="D92" i="54" s="1"/>
  <c r="D96" i="54" s="1"/>
  <c r="D98" i="54"/>
  <c r="D99" i="54" s="1"/>
  <c r="D100" i="54" s="1"/>
  <c r="O11" i="57"/>
  <c r="O22" i="57" s="1"/>
  <c r="D41" i="58"/>
  <c r="D40" i="58"/>
  <c r="G93" i="58"/>
  <c r="O96" i="58"/>
  <c r="T143" i="58"/>
  <c r="D79" i="53"/>
  <c r="D80" i="53" s="1"/>
  <c r="D82" i="53" s="1"/>
  <c r="G154" i="53"/>
  <c r="G155" i="53" s="1"/>
  <c r="G159" i="53" s="1"/>
  <c r="C161" i="53"/>
  <c r="C162" i="53" s="1"/>
  <c r="C163" i="53" s="1"/>
  <c r="L164" i="53"/>
  <c r="M164" i="53" s="1"/>
  <c r="D166" i="53"/>
  <c r="D168" i="53" s="1"/>
  <c r="D169" i="53" s="1"/>
  <c r="F179" i="53"/>
  <c r="R6" i="54"/>
  <c r="I24" i="54"/>
  <c r="I25" i="54"/>
  <c r="I8" i="54" s="1"/>
  <c r="Q8" i="54" s="1"/>
  <c r="F116" i="54"/>
  <c r="O19" i="57"/>
  <c r="C21" i="57"/>
  <c r="O21" i="57" s="1"/>
  <c r="N32" i="57"/>
  <c r="N28" i="57"/>
  <c r="I40" i="58"/>
  <c r="G39" i="58"/>
  <c r="R84" i="58"/>
  <c r="R85" i="58"/>
  <c r="R86" i="58" s="1"/>
  <c r="Q95" i="58" s="1"/>
  <c r="R82" i="58"/>
  <c r="U94" i="58"/>
  <c r="U95" i="58" s="1"/>
  <c r="C25" i="53"/>
  <c r="C8" i="53" s="1"/>
  <c r="E54" i="53"/>
  <c r="O54" i="53" s="1"/>
  <c r="Q73" i="53"/>
  <c r="S73" i="53" s="1"/>
  <c r="J78" i="53"/>
  <c r="J102" i="53"/>
  <c r="J103" i="53" s="1"/>
  <c r="J105" i="53" s="1"/>
  <c r="E166" i="53"/>
  <c r="E168" i="53" s="1"/>
  <c r="G179" i="53"/>
  <c r="O20" i="54"/>
  <c r="J24" i="54"/>
  <c r="N48" i="54"/>
  <c r="N50" i="54" s="1"/>
  <c r="H4" i="57"/>
  <c r="J8" i="57"/>
  <c r="J4" i="57"/>
  <c r="H46" i="57"/>
  <c r="H32" i="57" s="1"/>
  <c r="D66" i="58"/>
  <c r="D67" i="58"/>
  <c r="C165" i="53"/>
  <c r="C167" i="53" s="1"/>
  <c r="F166" i="53"/>
  <c r="F168" i="53" s="1"/>
  <c r="C8" i="57"/>
  <c r="O7" i="57"/>
  <c r="O31" i="57"/>
  <c r="O33" i="57"/>
  <c r="I10" i="58"/>
  <c r="J10" i="58" s="1"/>
  <c r="J15" i="58" s="1"/>
  <c r="J17" i="58" s="1"/>
  <c r="F10" i="58"/>
  <c r="G10" i="58" s="1"/>
  <c r="G15" i="58" s="1"/>
  <c r="F86" i="58"/>
  <c r="G86" i="58" s="1"/>
  <c r="G91" i="58" s="1"/>
  <c r="L32" i="58"/>
  <c r="D86" i="58"/>
  <c r="D91" i="58" s="1"/>
  <c r="D93" i="58" s="1"/>
  <c r="O99" i="53"/>
  <c r="O102" i="53" s="1"/>
  <c r="O103" i="53" s="1"/>
  <c r="O105" i="53" s="1"/>
  <c r="F161" i="53"/>
  <c r="F162" i="53" s="1"/>
  <c r="F163" i="53" s="1"/>
  <c r="G166" i="53"/>
  <c r="G168" i="53" s="1"/>
  <c r="G169" i="53" s="1"/>
  <c r="K3" i="54"/>
  <c r="O3" i="54" s="1"/>
  <c r="O11" i="54"/>
  <c r="O25" i="54" s="1"/>
  <c r="O8" i="54" s="1"/>
  <c r="H98" i="54"/>
  <c r="H99" i="54" s="1"/>
  <c r="H100" i="54" s="1"/>
  <c r="H103" i="54"/>
  <c r="H105" i="54" s="1"/>
  <c r="H91" i="54"/>
  <c r="H92" i="54" s="1"/>
  <c r="H96" i="54" s="1"/>
  <c r="D102" i="54"/>
  <c r="D104" i="54" s="1"/>
  <c r="D106" i="54" s="1"/>
  <c r="D19" i="58"/>
  <c r="D18" i="58"/>
  <c r="C15" i="58"/>
  <c r="C17" i="58" s="1"/>
  <c r="C40" i="58"/>
  <c r="Q120" i="58"/>
  <c r="C24" i="53"/>
  <c r="O24" i="53" s="1"/>
  <c r="D66" i="53"/>
  <c r="C154" i="53"/>
  <c r="C155" i="53" s="1"/>
  <c r="C159" i="53" s="1"/>
  <c r="G161" i="53"/>
  <c r="G162" i="53" s="1"/>
  <c r="G163" i="53" s="1"/>
  <c r="E165" i="53"/>
  <c r="E167" i="53" s="1"/>
  <c r="E169" i="53" s="1"/>
  <c r="E98" i="54"/>
  <c r="E99" i="54" s="1"/>
  <c r="E100" i="54" s="1"/>
  <c r="E102" i="54"/>
  <c r="E104" i="54" s="1"/>
  <c r="E106" i="54" s="1"/>
  <c r="E21" i="57"/>
  <c r="J32" i="57"/>
  <c r="J28" i="57"/>
  <c r="AC4" i="58"/>
  <c r="N25" i="58"/>
  <c r="N29" i="58" s="1"/>
  <c r="M25" i="58"/>
  <c r="O23" i="58"/>
  <c r="G17" i="58"/>
  <c r="F18" i="58" s="1"/>
  <c r="G30" i="58"/>
  <c r="G31" i="58" s="1"/>
  <c r="F40" i="58" s="1"/>
  <c r="G29" i="58"/>
  <c r="G27" i="58"/>
  <c r="I66" i="58"/>
  <c r="T95" i="58"/>
  <c r="O62" i="53"/>
  <c r="O66" i="53" s="1"/>
  <c r="O80" i="53" s="1"/>
  <c r="O82" i="53" s="1"/>
  <c r="D201" i="53"/>
  <c r="J8" i="54"/>
  <c r="O14" i="54"/>
  <c r="O21" i="54"/>
  <c r="F24" i="54"/>
  <c r="O24" i="54" s="1"/>
  <c r="F98" i="54"/>
  <c r="F99" i="54" s="1"/>
  <c r="F100" i="54" s="1"/>
  <c r="D139" i="54"/>
  <c r="O14" i="57"/>
  <c r="D95" i="58"/>
  <c r="I176" i="58"/>
  <c r="H102" i="54"/>
  <c r="H104" i="54" s="1"/>
  <c r="D116" i="54"/>
  <c r="D138" i="54"/>
  <c r="C4" i="57"/>
  <c r="G8" i="57"/>
  <c r="D22" i="57"/>
  <c r="D8" i="57" s="1"/>
  <c r="L22" i="57"/>
  <c r="L8" i="57" s="1"/>
  <c r="O17" i="57"/>
  <c r="G46" i="57"/>
  <c r="G32" i="57" s="1"/>
  <c r="O44" i="57"/>
  <c r="G45" i="57"/>
  <c r="V3" i="58"/>
  <c r="W3" i="58" s="1"/>
  <c r="G65" i="58"/>
  <c r="G102" i="54"/>
  <c r="G104" i="54" s="1"/>
  <c r="G106" i="54" s="1"/>
  <c r="F8" i="57"/>
  <c r="F45" i="57"/>
  <c r="O45" i="57" s="1"/>
  <c r="AB3" i="58"/>
  <c r="V5" i="58"/>
  <c r="W5" i="58" s="1"/>
  <c r="G6" i="58"/>
  <c r="G84" i="58"/>
  <c r="G85" i="58" s="1"/>
  <c r="F94" i="58" s="1"/>
  <c r="G28" i="57"/>
  <c r="O28" i="57" s="1"/>
  <c r="J46" i="57"/>
  <c r="O43" i="57"/>
  <c r="J93" i="58"/>
  <c r="J94" i="58" s="1"/>
  <c r="C102" i="54"/>
  <c r="C104" i="54" s="1"/>
  <c r="C106" i="54" s="1"/>
  <c r="O15" i="58"/>
  <c r="M400" i="1" l="1"/>
  <c r="Q328" i="1"/>
  <c r="G107" i="1"/>
  <c r="T462" i="1"/>
  <c r="T463" i="1" s="1"/>
  <c r="M622" i="1"/>
  <c r="P620" i="1" s="1"/>
  <c r="B17" i="8"/>
  <c r="P328" i="1"/>
  <c r="B14" i="8"/>
  <c r="B15" i="8" s="1"/>
  <c r="K563" i="4"/>
  <c r="K564" i="4" s="1"/>
  <c r="K565" i="4" s="1"/>
  <c r="P326" i="1"/>
  <c r="O14" i="1"/>
  <c r="R14" i="1" s="1"/>
  <c r="AP162" i="1"/>
  <c r="R8" i="54"/>
  <c r="Q121" i="54"/>
  <c r="S57" i="31"/>
  <c r="U57" i="31" s="1"/>
  <c r="D96" i="58"/>
  <c r="D94" i="58"/>
  <c r="C94" i="58"/>
  <c r="D176" i="53"/>
  <c r="D170" i="53"/>
  <c r="Q118" i="52"/>
  <c r="O120" i="52"/>
  <c r="G170" i="53"/>
  <c r="G176" i="53"/>
  <c r="H106" i="54"/>
  <c r="E176" i="53"/>
  <c r="E170" i="53"/>
  <c r="J18" i="58"/>
  <c r="I17" i="58"/>
  <c r="I94" i="58"/>
  <c r="O46" i="57"/>
  <c r="O32" i="57" s="1"/>
  <c r="Q24" i="54"/>
  <c r="R24" i="54" s="1"/>
  <c r="O8" i="53"/>
  <c r="S197" i="52"/>
  <c r="Q19" i="24"/>
  <c r="R326" i="1"/>
  <c r="R328" i="1"/>
  <c r="G113" i="54"/>
  <c r="G107" i="54"/>
  <c r="D107" i="54"/>
  <c r="D113" i="54"/>
  <c r="Q72" i="52"/>
  <c r="O74" i="52"/>
  <c r="Q47" i="52"/>
  <c r="Q142" i="52" s="1"/>
  <c r="O49" i="52"/>
  <c r="D20" i="25"/>
  <c r="Q20" i="25" s="1"/>
  <c r="Q19" i="25"/>
  <c r="P621" i="1"/>
  <c r="G66" i="58"/>
  <c r="G67" i="58"/>
  <c r="O8" i="57"/>
  <c r="F72" i="42"/>
  <c r="F73" i="42" s="1"/>
  <c r="F75" i="42" s="1"/>
  <c r="O62" i="42"/>
  <c r="G98" i="31"/>
  <c r="J7" i="5"/>
  <c r="M6" i="5"/>
  <c r="O42" i="34"/>
  <c r="C43" i="34"/>
  <c r="Q43" i="34" s="1"/>
  <c r="Q42" i="34"/>
  <c r="E20" i="17"/>
  <c r="Q20" i="17" s="1"/>
  <c r="Q19" i="17"/>
  <c r="G661" i="1"/>
  <c r="C172" i="1" s="1"/>
  <c r="AD3" i="58"/>
  <c r="AC3" i="58"/>
  <c r="G19" i="58"/>
  <c r="G18" i="58"/>
  <c r="F66" i="58"/>
  <c r="F176" i="53"/>
  <c r="F170" i="53"/>
  <c r="O4" i="57"/>
  <c r="I18" i="58"/>
  <c r="G40" i="58"/>
  <c r="G41" i="58"/>
  <c r="O72" i="42"/>
  <c r="O117" i="42"/>
  <c r="E126" i="42"/>
  <c r="N19" i="12"/>
  <c r="B20" i="12"/>
  <c r="E20" i="13"/>
  <c r="Q20" i="13" s="1"/>
  <c r="Q19" i="13"/>
  <c r="O25" i="52"/>
  <c r="O26" i="52" s="1"/>
  <c r="O28" i="52" s="1"/>
  <c r="C107" i="54"/>
  <c r="C113" i="54"/>
  <c r="AD5" i="58"/>
  <c r="AC5" i="58"/>
  <c r="O25" i="58"/>
  <c r="M29" i="58"/>
  <c r="O29" i="58" s="1"/>
  <c r="E113" i="54"/>
  <c r="E107" i="54"/>
  <c r="C169" i="53"/>
  <c r="O100" i="49"/>
  <c r="E4" i="49"/>
  <c r="Q98" i="49"/>
  <c r="P47" i="32"/>
  <c r="O47" i="32"/>
  <c r="G6" i="7"/>
  <c r="D7" i="7"/>
  <c r="D140" i="54"/>
  <c r="O140" i="54" s="1"/>
  <c r="O139" i="54"/>
  <c r="G96" i="58"/>
  <c r="G94" i="58"/>
  <c r="Q25" i="54"/>
  <c r="R25" i="54" s="1"/>
  <c r="D203" i="53"/>
  <c r="O203" i="53" s="1"/>
  <c r="O202" i="53"/>
  <c r="O219" i="52"/>
  <c r="O210" i="52"/>
  <c r="S210" i="52" s="1"/>
  <c r="E3" i="49"/>
  <c r="Q74" i="49"/>
  <c r="O76" i="49"/>
  <c r="O188" i="52"/>
  <c r="C73" i="42"/>
  <c r="R120" i="1"/>
  <c r="O121" i="49"/>
  <c r="O19" i="24"/>
  <c r="P619" i="1" l="1"/>
  <c r="S58" i="31"/>
  <c r="U58" i="31" s="1"/>
  <c r="C75" i="42"/>
  <c r="O73" i="42"/>
  <c r="O75" i="42" s="1"/>
  <c r="O198" i="52"/>
  <c r="S198" i="52" s="1"/>
  <c r="D172" i="1"/>
  <c r="M472" i="1"/>
  <c r="J8" i="5"/>
  <c r="M7" i="5"/>
  <c r="S211" i="52"/>
  <c r="S188" i="52"/>
  <c r="S189" i="52" s="1"/>
  <c r="O176" i="52"/>
  <c r="S176" i="52" s="1"/>
  <c r="H107" i="54"/>
  <c r="H113" i="54"/>
  <c r="Q121" i="49"/>
  <c r="O123" i="49"/>
  <c r="E5" i="49"/>
  <c r="E6" i="49" s="1"/>
  <c r="E8" i="49" s="1"/>
  <c r="E127" i="42"/>
  <c r="O126" i="42"/>
  <c r="D8" i="7"/>
  <c r="G7" i="7"/>
  <c r="C170" i="53"/>
  <c r="C176" i="53"/>
  <c r="S59" i="31" l="1"/>
  <c r="U59" i="31" s="1"/>
  <c r="D9" i="7"/>
  <c r="G8" i="7"/>
  <c r="E129" i="42"/>
  <c r="O127" i="42"/>
  <c r="O129" i="42" s="1"/>
  <c r="M8" i="5"/>
  <c r="J9" i="5"/>
  <c r="S60" i="31" l="1"/>
  <c r="U60" i="31"/>
  <c r="J10" i="5"/>
  <c r="M9" i="5"/>
  <c r="D10" i="7"/>
  <c r="G9" i="7"/>
  <c r="D11" i="7" l="1"/>
  <c r="G10" i="7"/>
  <c r="J11" i="5"/>
  <c r="M10" i="5"/>
  <c r="S61" i="31"/>
  <c r="U61" i="31"/>
  <c r="U62" i="31" l="1"/>
  <c r="S62" i="31"/>
  <c r="J12" i="5"/>
  <c r="M11" i="5"/>
  <c r="D12" i="7"/>
  <c r="G11" i="7"/>
  <c r="J13" i="5" l="1"/>
  <c r="M12" i="5"/>
  <c r="D13" i="7"/>
  <c r="G12" i="7"/>
  <c r="U63" i="31"/>
  <c r="S63" i="31"/>
  <c r="D14" i="7" l="1"/>
  <c r="G13" i="7"/>
  <c r="J14" i="5"/>
  <c r="M13" i="5"/>
  <c r="J15" i="5" l="1"/>
  <c r="M14" i="5"/>
  <c r="D15" i="7"/>
  <c r="G14" i="7"/>
  <c r="D16" i="7" l="1"/>
  <c r="G15" i="7"/>
  <c r="J16" i="5"/>
  <c r="M15" i="5"/>
  <c r="M16" i="5" l="1"/>
  <c r="J17" i="5"/>
  <c r="D17" i="7"/>
  <c r="G16" i="7"/>
  <c r="D18" i="7" l="1"/>
  <c r="G17" i="7"/>
  <c r="J18" i="5"/>
  <c r="M17" i="5"/>
  <c r="J19" i="5" l="1"/>
  <c r="M18" i="5"/>
  <c r="D19" i="7"/>
  <c r="G18" i="7"/>
  <c r="G19" i="7" l="1"/>
  <c r="D20" i="7"/>
  <c r="J20" i="5"/>
  <c r="M19" i="5"/>
  <c r="J21" i="5" l="1"/>
  <c r="M20" i="5"/>
  <c r="D21" i="7"/>
  <c r="G20" i="7"/>
  <c r="D22" i="7" l="1"/>
  <c r="G21" i="7"/>
  <c r="J22" i="5"/>
  <c r="M21" i="5"/>
  <c r="J23" i="5" l="1"/>
  <c r="M23" i="5" s="1"/>
  <c r="M22" i="5"/>
  <c r="D23" i="7"/>
  <c r="G22" i="7"/>
  <c r="D24" i="7" l="1"/>
  <c r="G24" i="7" s="1"/>
  <c r="G23" i="7"/>
  <c r="L656" i="1" l="1"/>
  <c r="M65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Rod Lloyd</author>
    <author/>
  </authors>
  <commentList>
    <comment ref="H43" authorId="0" shapeId="0" xr:uid="{B5463E45-DE29-4F81-BCA0-67AB437B3837}">
      <text>
        <r>
          <rPr>
            <b/>
            <sz val="9"/>
            <color indexed="81"/>
            <rFont val="Tahoma"/>
            <family val="2"/>
          </rPr>
          <t>Rod Lloyd:</t>
        </r>
        <r>
          <rPr>
            <sz val="9"/>
            <color indexed="81"/>
            <rFont val="Tahoma"/>
            <family val="2"/>
          </rPr>
          <t xml:space="preserve">
Closed same day</t>
        </r>
      </text>
    </comment>
    <comment ref="B73" authorId="0" shapeId="0" xr:uid="{A3EB93F6-3DEE-4B8E-8374-41B6A4BE1818}">
      <text>
        <r>
          <rPr>
            <b/>
            <sz val="9"/>
            <color indexed="81"/>
            <rFont val="Tahoma"/>
            <family val="2"/>
          </rPr>
          <t>Rod Lloyd:</t>
        </r>
        <r>
          <rPr>
            <sz val="9"/>
            <color indexed="81"/>
            <rFont val="Tahoma"/>
            <family val="2"/>
          </rPr>
          <t xml:space="preserve">
with the goal of having TSLA close at $400 per share on Dec 20th</t>
        </r>
      </text>
    </comment>
    <comment ref="C88" authorId="0" shapeId="0" xr:uid="{9762CC84-8D11-4106-88E8-B187D2A13C76}">
      <text>
        <r>
          <rPr>
            <b/>
            <sz val="9"/>
            <color indexed="81"/>
            <rFont val="Tahoma"/>
            <family val="2"/>
          </rPr>
          <t>Rod Lloyd:</t>
        </r>
        <r>
          <rPr>
            <sz val="9"/>
            <color indexed="81"/>
            <rFont val="Tahoma"/>
            <family val="2"/>
          </rPr>
          <t xml:space="preserve">
Overnight Option vertical
Unlucky looser</t>
        </r>
      </text>
    </comment>
    <comment ref="C89" authorId="0" shapeId="0" xr:uid="{B2C21461-AD55-4D18-A208-E3FB6B2F860B}">
      <text>
        <r>
          <rPr>
            <b/>
            <sz val="9"/>
            <color indexed="81"/>
            <rFont val="Tahoma"/>
            <family val="2"/>
          </rPr>
          <t>Rod Lloyd:</t>
        </r>
        <r>
          <rPr>
            <sz val="9"/>
            <color indexed="81"/>
            <rFont val="Tahoma"/>
            <family val="2"/>
          </rPr>
          <t xml:space="preserve">
Overnight Option vertical
First Practice, order placed wrong</t>
        </r>
      </text>
    </comment>
    <comment ref="G91" authorId="0" shapeId="0" xr:uid="{55CC5F74-4B68-411E-92E4-2316EF94C9BF}">
      <text>
        <r>
          <rPr>
            <b/>
            <sz val="9"/>
            <color indexed="81"/>
            <rFont val="Tahoma"/>
            <family val="2"/>
          </rPr>
          <t>Rod Lloyd:</t>
        </r>
        <r>
          <rPr>
            <sz val="9"/>
            <color indexed="81"/>
            <rFont val="Tahoma"/>
            <family val="2"/>
          </rPr>
          <t xml:space="preserve">
long term gain</t>
        </r>
      </text>
    </comment>
    <comment ref="G92" authorId="0" shapeId="0" xr:uid="{67B4C772-91BD-4667-A487-F7251B6B510E}">
      <text>
        <r>
          <rPr>
            <b/>
            <sz val="9"/>
            <color indexed="81"/>
            <rFont val="Tahoma"/>
            <family val="2"/>
          </rPr>
          <t>Rod Lloyd:</t>
        </r>
        <r>
          <rPr>
            <sz val="9"/>
            <color indexed="81"/>
            <rFont val="Tahoma"/>
            <family val="2"/>
          </rPr>
          <t xml:space="preserve">
long term gain</t>
        </r>
      </text>
    </comment>
    <comment ref="G145" authorId="1" shapeId="0" xr:uid="{00000000-0006-0000-0000-000001000000}">
      <text>
        <r>
          <rPr>
            <sz val="10"/>
            <color rgb="FF000000"/>
            <rFont val="Arial"/>
            <family val="2"/>
            <scheme val="minor"/>
          </rPr>
          <t>Net loss including $6,103 dividend [ex date was Sunday and I did not realize that meant the ex date became Friday before. [div pay 1/18]</t>
        </r>
      </text>
    </comment>
    <comment ref="G217" authorId="1" shapeId="0" xr:uid="{00000000-0006-0000-0000-000002000000}">
      <text>
        <r>
          <rPr>
            <sz val="10"/>
            <color rgb="FF000000"/>
            <rFont val="Arial"/>
            <family val="2"/>
            <scheme val="minor"/>
          </rPr>
          <t>includes div $833 TDA2 not confirmed</t>
        </r>
      </text>
    </comment>
    <comment ref="G219" authorId="1" shapeId="0" xr:uid="{00000000-0006-0000-0000-000003000000}">
      <text>
        <r>
          <rPr>
            <sz val="10"/>
            <color rgb="FF000000"/>
            <rFont val="Arial"/>
            <family val="2"/>
            <scheme val="minor"/>
          </rPr>
          <t>Includes div 27432 TDA1 not confirmed</t>
        </r>
      </text>
    </comment>
    <comment ref="G234" authorId="1" shapeId="0" xr:uid="{00000000-0006-0000-0000-000004000000}">
      <text>
        <r>
          <rPr>
            <sz val="10"/>
            <color rgb="FF000000"/>
            <rFont val="Arial"/>
            <family val="2"/>
            <scheme val="minor"/>
          </rPr>
          <t>includes div 416</t>
        </r>
      </text>
    </comment>
    <comment ref="G235" authorId="1" shapeId="0" xr:uid="{00000000-0006-0000-0000-000005000000}">
      <text>
        <r>
          <rPr>
            <sz val="10"/>
            <color rgb="FF000000"/>
            <rFont val="Arial"/>
            <family val="2"/>
            <scheme val="minor"/>
          </rPr>
          <t>Includes Div 3,223</t>
        </r>
      </text>
    </comment>
    <comment ref="G237" authorId="1" shapeId="0" xr:uid="{00000000-0006-0000-0000-000006000000}">
      <text>
        <r>
          <rPr>
            <sz val="10"/>
            <color rgb="FF000000"/>
            <rFont val="Arial"/>
            <family val="2"/>
            <scheme val="minor"/>
          </rPr>
          <t>50% sell off and includes $5,919 Dvi</t>
        </r>
      </text>
    </comment>
    <comment ref="G303" authorId="1" shapeId="0" xr:uid="{00000000-0006-0000-0000-000007000000}">
      <text>
        <r>
          <rPr>
            <sz val="10"/>
            <color rgb="FF000000"/>
            <rFont val="Arial"/>
            <family val="2"/>
            <scheme val="minor"/>
          </rPr>
          <t>includes div $726 TDA1 not confirmed</t>
        </r>
      </text>
    </comment>
    <comment ref="G314" authorId="1" shapeId="0" xr:uid="{00000000-0006-0000-0000-000008000000}">
      <text>
        <r>
          <rPr>
            <sz val="10"/>
            <color rgb="FF000000"/>
            <rFont val="Arial"/>
            <family val="2"/>
            <scheme val="minor"/>
          </rPr>
          <t>ncludes div not confirmed RH $245</t>
        </r>
      </text>
    </comment>
    <comment ref="G326" authorId="1" shapeId="0" xr:uid="{00000000-0006-0000-0000-000009000000}">
      <text>
        <r>
          <rPr>
            <sz val="10"/>
            <color rgb="FF000000"/>
            <rFont val="Arial"/>
            <family val="2"/>
            <scheme val="minor"/>
          </rPr>
          <t>includes div $273 TDA1 not confirmed</t>
        </r>
      </text>
    </comment>
    <comment ref="G338" authorId="1" shapeId="0" xr:uid="{00000000-0006-0000-0000-00000A000000}">
      <text>
        <r>
          <rPr>
            <sz val="10"/>
            <color rgb="FF000000"/>
            <rFont val="Arial"/>
            <family val="2"/>
            <scheme val="minor"/>
          </rPr>
          <t>includes div $833 TDA2 not confirmed</t>
        </r>
      </text>
    </comment>
    <comment ref="G341" authorId="1" shapeId="0" xr:uid="{00000000-0006-0000-0000-00000B000000}">
      <text>
        <r>
          <rPr>
            <sz val="10"/>
            <color rgb="FF000000"/>
            <rFont val="Arial"/>
            <family val="2"/>
            <scheme val="minor"/>
          </rPr>
          <t>includes div $347 TDA1 not confirmed</t>
        </r>
      </text>
    </comment>
    <comment ref="G350" authorId="1" shapeId="0" xr:uid="{00000000-0006-0000-0000-00000C000000}">
      <text>
        <r>
          <rPr>
            <sz val="10"/>
            <color rgb="FF000000"/>
            <rFont val="Arial"/>
            <family val="2"/>
            <scheme val="minor"/>
          </rPr>
          <t>Hit the Stop Loss</t>
        </r>
      </text>
    </comment>
    <comment ref="G359" authorId="1" shapeId="0" xr:uid="{00000000-0006-0000-0000-00000D000000}">
      <text>
        <r>
          <rPr>
            <sz val="10"/>
            <color rgb="FF000000"/>
            <rFont val="Arial"/>
            <family val="2"/>
            <scheme val="minor"/>
          </rPr>
          <t>includes div TDA1 $121 not confirmed</t>
        </r>
      </text>
    </comment>
    <comment ref="G361" authorId="1" shapeId="0" xr:uid="{00000000-0006-0000-0000-00000E000000}">
      <text>
        <r>
          <rPr>
            <sz val="10"/>
            <color rgb="FF000000"/>
            <rFont val="Arial"/>
            <family val="2"/>
            <scheme val="minor"/>
          </rPr>
          <t>Includes div $391.68 RH confirmed</t>
        </r>
      </text>
    </comment>
    <comment ref="G392" authorId="1" shapeId="0" xr:uid="{00000000-0006-0000-0000-00000F000000}">
      <text>
        <r>
          <rPr>
            <sz val="10"/>
            <color rgb="FF000000"/>
            <rFont val="Arial"/>
            <family val="2"/>
            <scheme val="minor"/>
          </rPr>
          <t>net after div not confirmed TDA1 paying 6/18  $11,475</t>
        </r>
      </text>
    </comment>
    <comment ref="G433" authorId="1" shapeId="0" xr:uid="{00000000-0006-0000-0000-000010000000}">
      <text>
        <r>
          <rPr>
            <sz val="10"/>
            <color rgb="FF000000"/>
            <rFont val="Arial"/>
            <family val="2"/>
            <scheme val="minor"/>
          </rPr>
          <t>inc div 347.81 confirmed</t>
        </r>
      </text>
    </comment>
    <comment ref="G452" authorId="1" shapeId="0" xr:uid="{00000000-0006-0000-0000-000011000000}">
      <text>
        <r>
          <rPr>
            <sz val="10"/>
            <color rgb="FF000000"/>
            <rFont val="Arial"/>
            <family val="2"/>
            <scheme val="minor"/>
          </rPr>
          <t>includes div 152 RH not confirmed</t>
        </r>
      </text>
    </comment>
    <comment ref="G464" authorId="1" shapeId="0" xr:uid="{00000000-0006-0000-0000-000012000000}">
      <text>
        <r>
          <rPr>
            <sz val="10"/>
            <color rgb="FF000000"/>
            <rFont val="Arial"/>
            <family val="2"/>
            <scheme val="minor"/>
          </rPr>
          <t>includes div  $334.4 RH confirmed</t>
        </r>
      </text>
    </comment>
    <comment ref="G465" authorId="1" shapeId="0" xr:uid="{00000000-0006-0000-0000-000013000000}">
      <text>
        <r>
          <rPr>
            <sz val="10"/>
            <color rgb="FF000000"/>
            <rFont val="Arial"/>
            <family val="2"/>
            <scheme val="minor"/>
          </rPr>
          <t>inc div 333.37 confirmed</t>
        </r>
      </text>
    </comment>
    <comment ref="G471" authorId="1" shapeId="0" xr:uid="{00000000-0006-0000-0000-000014000000}">
      <text>
        <r>
          <rPr>
            <sz val="10"/>
            <color rgb="FF000000"/>
            <rFont val="Arial"/>
            <family val="2"/>
            <scheme val="minor"/>
          </rPr>
          <t>includes div 59.53 not confirmed RH</t>
        </r>
      </text>
    </comment>
    <comment ref="G485" authorId="1" shapeId="0" xr:uid="{00000000-0006-0000-0000-000015000000}">
      <text>
        <r>
          <rPr>
            <sz val="10"/>
            <color rgb="FF000000"/>
            <rFont val="Arial"/>
            <family val="2"/>
            <scheme val="minor"/>
          </rPr>
          <t>includes div 568.8 not confirmed WB</t>
        </r>
      </text>
    </comment>
    <comment ref="G486" authorId="1" shapeId="0" xr:uid="{00000000-0006-0000-0000-000016000000}">
      <text>
        <r>
          <rPr>
            <sz val="10"/>
            <color rgb="FF000000"/>
            <rFont val="Arial"/>
            <family val="2"/>
            <scheme val="minor"/>
          </rPr>
          <t>includes previous loss of 5,164
includes 654 div confirmed TDA</t>
        </r>
      </text>
    </comment>
    <comment ref="G490" authorId="1" shapeId="0" xr:uid="{00000000-0006-0000-0000-000017000000}">
      <text>
        <r>
          <rPr>
            <sz val="10"/>
            <color rgb="FF000000"/>
            <rFont val="Arial"/>
            <family val="2"/>
            <scheme val="minor"/>
          </rPr>
          <t>inc div 660.26 confirmed</t>
        </r>
      </text>
    </comment>
    <comment ref="G494" authorId="1" shapeId="0" xr:uid="{00000000-0006-0000-0000-000018000000}">
      <text>
        <r>
          <rPr>
            <sz val="10"/>
            <color rgb="FF000000"/>
            <rFont val="Arial"/>
            <family val="2"/>
            <scheme val="minor"/>
          </rPr>
          <t>includes div 299 TDA not confirmed</t>
        </r>
      </text>
    </comment>
    <comment ref="G500" authorId="1" shapeId="0" xr:uid="{00000000-0006-0000-0000-000019000000}">
      <text>
        <r>
          <rPr>
            <sz val="10"/>
            <color rgb="FF000000"/>
            <rFont val="Arial"/>
            <family val="2"/>
            <scheme val="minor"/>
          </rPr>
          <t>include 178.41 div rh confirmed</t>
        </r>
      </text>
    </comment>
    <comment ref="G525" authorId="1" shapeId="0" xr:uid="{00000000-0006-0000-0000-00001A000000}">
      <text>
        <r>
          <rPr>
            <sz val="10"/>
            <color rgb="FF000000"/>
            <rFont val="Arial"/>
            <family val="2"/>
            <scheme val="minor"/>
          </rPr>
          <t>includes div 660 TDA not confirmed</t>
        </r>
      </text>
    </comment>
    <comment ref="G544" authorId="1" shapeId="0" xr:uid="{00000000-0006-0000-0000-00001B000000}">
      <text>
        <r>
          <rPr>
            <sz val="10"/>
            <color rgb="FF000000"/>
            <rFont val="Arial"/>
            <family val="2"/>
            <scheme val="minor"/>
          </rPr>
          <t>div 654.48 wb confirmed</t>
        </r>
      </text>
    </comment>
    <comment ref="G557" authorId="1" shapeId="0" xr:uid="{00000000-0006-0000-0000-00001C000000}">
      <text>
        <r>
          <rPr>
            <sz val="10"/>
            <color rgb="FF000000"/>
            <rFont val="Arial"/>
            <family val="2"/>
            <scheme val="minor"/>
          </rPr>
          <t>look for Div 638 TDA 2/26</t>
        </r>
      </text>
    </comment>
    <comment ref="G566" authorId="1" shapeId="0" xr:uid="{00000000-0006-0000-0000-00001D000000}">
      <text>
        <r>
          <rPr>
            <sz val="10"/>
            <color rgb="FF000000"/>
            <rFont val="Arial"/>
            <family val="2"/>
            <scheme val="minor"/>
          </rPr>
          <t xml:space="preserve">includes div $2,111.23 RH confirmed </t>
        </r>
      </text>
    </comment>
    <comment ref="G567" authorId="1" shapeId="0" xr:uid="{00000000-0006-0000-0000-00001E000000}">
      <text>
        <r>
          <rPr>
            <sz val="10"/>
            <color rgb="FF000000"/>
            <rFont val="Arial"/>
            <family val="2"/>
            <scheme val="minor"/>
          </rPr>
          <t xml:space="preserve">includes div $2,111.23 RH confirmed </t>
        </r>
      </text>
    </comment>
    <comment ref="G570" authorId="1" shapeId="0" xr:uid="{00000000-0006-0000-0000-00001F000000}">
      <text>
        <r>
          <rPr>
            <sz val="10"/>
            <color rgb="FF000000"/>
            <rFont val="Arial"/>
            <family val="2"/>
            <scheme val="minor"/>
          </rPr>
          <t>includes Div $228 TDA confirmed</t>
        </r>
      </text>
    </comment>
    <comment ref="G573" authorId="1" shapeId="0" xr:uid="{00000000-0006-0000-0000-000020000000}">
      <text>
        <r>
          <rPr>
            <sz val="10"/>
            <color rgb="FF000000"/>
            <rFont val="Arial"/>
            <family val="2"/>
            <scheme val="minor"/>
          </rPr>
          <t>includes div 449.49 RH confirmed</t>
        </r>
      </text>
    </comment>
    <comment ref="F580" authorId="1" shapeId="0" xr:uid="{00000000-0006-0000-0000-000021000000}">
      <text>
        <r>
          <rPr>
            <sz val="10"/>
            <color rgb="FF000000"/>
            <rFont val="Arial"/>
            <family val="2"/>
            <scheme val="minor"/>
          </rPr>
          <t>sell amount approx</t>
        </r>
      </text>
    </comment>
    <comment ref="G586" authorId="1" shapeId="0" xr:uid="{00000000-0006-0000-0000-000022000000}">
      <text>
        <r>
          <rPr>
            <sz val="10"/>
            <color rgb="FF000000"/>
            <rFont val="Arial"/>
            <family val="2"/>
            <scheme val="minor"/>
          </rPr>
          <t xml:space="preserve">originall had 361 loss the rebought for a 965 gain and a net gain of $604
</t>
        </r>
      </text>
    </comment>
    <comment ref="G590" authorId="1" shapeId="0" xr:uid="{00000000-0006-0000-0000-000023000000}">
      <text>
        <r>
          <rPr>
            <sz val="10"/>
            <color rgb="FF000000"/>
            <rFont val="Arial"/>
            <family val="2"/>
            <scheme val="minor"/>
          </rPr>
          <t>Zero profit when adding div WB $663.21 confirmed</t>
        </r>
      </text>
    </comment>
    <comment ref="G594" authorId="1" shapeId="0" xr:uid="{00000000-0006-0000-0000-000024000000}">
      <text>
        <r>
          <rPr>
            <sz val="10"/>
            <color rgb="FF000000"/>
            <rFont val="Arial"/>
            <family val="2"/>
            <scheme val="minor"/>
          </rPr>
          <t>Loss after adding $818 div WB confirmed</t>
        </r>
      </text>
    </comment>
    <comment ref="G604" authorId="1" shapeId="0" xr:uid="{00000000-0006-0000-0000-000025000000}">
      <text>
        <r>
          <rPr>
            <sz val="10"/>
            <color rgb="FF000000"/>
            <rFont val="Arial"/>
            <family val="2"/>
            <scheme val="minor"/>
          </rPr>
          <t>Zero profit but $18 dividend WB confirmed</t>
        </r>
      </text>
    </comment>
    <comment ref="G607" authorId="1" shapeId="0" xr:uid="{00000000-0006-0000-0000-000026000000}">
      <text>
        <r>
          <rPr>
            <sz val="10"/>
            <color rgb="FF000000"/>
            <rFont val="Arial"/>
            <family val="2"/>
            <scheme val="minor"/>
          </rPr>
          <t>includes div $28,985 TDA confirmed and received</t>
        </r>
      </text>
    </comment>
    <comment ref="G609" authorId="1" shapeId="0" xr:uid="{00000000-0006-0000-0000-000027000000}">
      <text>
        <r>
          <rPr>
            <sz val="10"/>
            <color rgb="FF000000"/>
            <rFont val="Arial"/>
            <family val="2"/>
            <scheme val="minor"/>
          </rPr>
          <t>div 657.85 wb confirmed</t>
        </r>
      </text>
    </comment>
    <comment ref="G611" authorId="1" shapeId="0" xr:uid="{00000000-0006-0000-0000-000028000000}">
      <text>
        <r>
          <rPr>
            <sz val="10"/>
            <color rgb="FF000000"/>
            <rFont val="Arial"/>
            <family val="2"/>
            <scheme val="minor"/>
          </rPr>
          <t>small loss plus $1,204 Div conformed arrive 1/15 WB</t>
        </r>
      </text>
    </comment>
    <comment ref="G612" authorId="1" shapeId="0" xr:uid="{00000000-0006-0000-0000-000029000000}">
      <text>
        <r>
          <rPr>
            <sz val="10"/>
            <color rgb="FF000000"/>
            <rFont val="Arial"/>
            <family val="2"/>
            <scheme val="minor"/>
          </rPr>
          <t>3631.5 includes the dividend TDA confirmed</t>
        </r>
      </text>
    </comment>
    <comment ref="G613" authorId="1" shapeId="0" xr:uid="{00000000-0006-0000-0000-00002A000000}">
      <text>
        <r>
          <rPr>
            <sz val="10"/>
            <color rgb="FF000000"/>
            <rFont val="Arial"/>
            <family val="2"/>
            <scheme val="minor"/>
          </rPr>
          <t>1204 Dividend WB pay 1/15/2021</t>
        </r>
      </text>
    </comment>
    <comment ref="G615" authorId="1" shapeId="0" xr:uid="{00000000-0006-0000-0000-00002B000000}">
      <text>
        <r>
          <rPr>
            <sz val="10"/>
            <color rgb="FF000000"/>
            <rFont val="Arial"/>
            <family val="2"/>
            <scheme val="minor"/>
          </rPr>
          <t>Profit includes $337.06 dividend Confirmed RH</t>
        </r>
      </text>
    </comment>
    <comment ref="G617" authorId="1" shapeId="0" xr:uid="{00000000-0006-0000-0000-00002C000000}">
      <text>
        <r>
          <rPr>
            <sz val="10"/>
            <color rgb="FF000000"/>
            <rFont val="Arial"/>
            <family val="2"/>
            <scheme val="minor"/>
          </rPr>
          <t xml:space="preserve">$0 profit plus $1,021.60 Dividend  varied TDA pays on 1/15
</t>
        </r>
      </text>
    </comment>
    <comment ref="G628" authorId="1" shapeId="0" xr:uid="{00000000-0006-0000-0000-00002D000000}">
      <text>
        <r>
          <rPr>
            <sz val="10"/>
            <color rgb="FF000000"/>
            <rFont val="Arial"/>
            <family val="2"/>
            <scheme val="minor"/>
          </rPr>
          <t>Div profit only 1000 RH confirmed</t>
        </r>
      </text>
    </comment>
    <comment ref="G629" authorId="1" shapeId="0" xr:uid="{00000000-0006-0000-0000-00002E000000}">
      <text>
        <r>
          <rPr>
            <sz val="10"/>
            <color rgb="FF000000"/>
            <rFont val="Arial"/>
            <family val="2"/>
            <scheme val="minor"/>
          </rPr>
          <t xml:space="preserve">includes div 992 </t>
        </r>
      </text>
    </comment>
    <comment ref="F633" authorId="1" shapeId="0" xr:uid="{00000000-0006-0000-0000-00002F000000}">
      <text>
        <r>
          <rPr>
            <sz val="10"/>
            <color rgb="FF000000"/>
            <rFont val="Arial"/>
            <family val="2"/>
            <scheme val="minor"/>
          </rPr>
          <t>plus dividend 1120 confirmed TDA</t>
        </r>
      </text>
    </comment>
    <comment ref="G634" authorId="1" shapeId="0" xr:uid="{00000000-0006-0000-0000-000030000000}">
      <text>
        <r>
          <rPr>
            <sz val="10"/>
            <color rgb="FF000000"/>
            <rFont val="Arial"/>
            <family val="2"/>
            <scheme val="minor"/>
          </rPr>
          <t>plus div on 1/26 TDA [$870.48] confirmed [poss should be 5,850+870.48=6720]</t>
        </r>
      </text>
    </comment>
    <comment ref="G641" authorId="1" shapeId="0" xr:uid="{00000000-0006-0000-0000-000031000000}">
      <text>
        <r>
          <rPr>
            <sz val="10"/>
            <color rgb="FF000000"/>
            <rFont val="Arial"/>
            <family val="2"/>
            <scheme val="minor"/>
          </rPr>
          <t>includes Div 270+2730 TDA confirmed</t>
        </r>
      </text>
    </comment>
    <comment ref="B644" authorId="1" shapeId="0" xr:uid="{00000000-0006-0000-0000-000032000000}">
      <text>
        <r>
          <rPr>
            <sz val="10"/>
            <color rgb="FF000000"/>
            <rFont val="Arial"/>
            <family val="2"/>
            <scheme val="minor"/>
          </rPr>
          <t>best 10.20 ET</t>
        </r>
      </text>
    </comment>
    <comment ref="G650" authorId="1" shapeId="0" xr:uid="{00000000-0006-0000-0000-000033000000}">
      <text>
        <r>
          <rPr>
            <sz val="10"/>
            <color rgb="FF000000"/>
            <rFont val="Arial"/>
            <family val="2"/>
            <scheme val="minor"/>
          </rPr>
          <t xml:space="preserve"> after adding dividend of 3,631.5</t>
        </r>
      </text>
    </comment>
    <comment ref="B652" authorId="1" shapeId="0" xr:uid="{00000000-0006-0000-0000-000034000000}">
      <text>
        <r>
          <rPr>
            <sz val="10"/>
            <color rgb="FF000000"/>
            <rFont val="Arial"/>
            <family val="2"/>
            <scheme val="minor"/>
          </rPr>
          <t>Ideal entry 8.34 CT and would have beat the jump</t>
        </r>
      </text>
    </comment>
    <comment ref="B653" authorId="1" shapeId="0" xr:uid="{00000000-0006-0000-0000-000035000000}">
      <text>
        <r>
          <rPr>
            <sz val="10"/>
            <color rgb="FF000000"/>
            <rFont val="Arial"/>
            <family val="2"/>
            <scheme val="minor"/>
          </rPr>
          <t>8.48 CT was the best price after the missed jump</t>
        </r>
      </text>
    </comment>
    <comment ref="B654" authorId="1" shapeId="0" xr:uid="{00000000-0006-0000-0000-000036000000}">
      <text>
        <r>
          <rPr>
            <sz val="10"/>
            <color rgb="FF000000"/>
            <rFont val="Arial"/>
            <family val="2"/>
            <scheme val="minor"/>
          </rPr>
          <t>Ideal entry before 8.47CT to beat the jump</t>
        </r>
      </text>
    </comment>
    <comment ref="B655" authorId="1" shapeId="0" xr:uid="{00000000-0006-0000-0000-000037000000}">
      <text>
        <r>
          <rPr>
            <sz val="10"/>
            <color rgb="FF000000"/>
            <rFont val="Arial"/>
            <family val="2"/>
            <scheme val="minor"/>
          </rPr>
          <t>9.35 to 9.40 best price</t>
        </r>
      </text>
    </comment>
    <comment ref="B656" authorId="1" shapeId="0" xr:uid="{00000000-0006-0000-0000-000038000000}">
      <text>
        <r>
          <rPr>
            <sz val="10"/>
            <color rgb="FF000000"/>
            <rFont val="Arial"/>
            <family val="2"/>
            <scheme val="minor"/>
          </rPr>
          <t>best 9.40-9.45</t>
        </r>
      </text>
    </comment>
    <comment ref="B658" authorId="1" shapeId="0" xr:uid="{00000000-0006-0000-0000-000039000000}">
      <text>
        <r>
          <rPr>
            <sz val="10"/>
            <color rgb="FF000000"/>
            <rFont val="Arial"/>
            <family val="2"/>
            <scheme val="minor"/>
          </rPr>
          <t>best 9.35-9.40</t>
        </r>
      </text>
    </comment>
    <comment ref="B659" authorId="1" shapeId="0" xr:uid="{00000000-0006-0000-0000-00003A000000}">
      <text>
        <r>
          <rPr>
            <sz val="10"/>
            <color rgb="FF000000"/>
            <rFont val="Arial"/>
            <family val="2"/>
            <scheme val="minor"/>
          </rPr>
          <t>best 9.30-9.35</t>
        </r>
      </text>
    </comment>
    <comment ref="B660" authorId="1" shapeId="0" xr:uid="{00000000-0006-0000-0000-00003B000000}">
      <text>
        <r>
          <rPr>
            <sz val="10"/>
            <color rgb="FF000000"/>
            <rFont val="Arial"/>
            <family val="2"/>
            <scheme val="minor"/>
          </rPr>
          <t>best 10.20-10.35</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L7" authorId="0" shapeId="0" xr:uid="{00000000-0006-0000-1C00-000001000000}">
      <text>
        <r>
          <rPr>
            <sz val="10"/>
            <color rgb="FF000000"/>
            <rFont val="Arial"/>
            <family val="2"/>
            <scheme val="minor"/>
          </rPr>
          <t>Full Year Due December 20</t>
        </r>
      </text>
    </comment>
    <comment ref="G17" authorId="0" shapeId="0" xr:uid="{00000000-0006-0000-1C00-000002000000}">
      <text>
        <r>
          <rPr>
            <sz val="10"/>
            <color rgb="FF000000"/>
            <rFont val="Arial"/>
            <family val="2"/>
            <scheme val="minor"/>
          </rPr>
          <t>Heater off June 1</t>
        </r>
      </text>
    </comment>
    <comment ref="C28" authorId="0" shapeId="0" xr:uid="{00000000-0006-0000-1C00-000003000000}">
      <text>
        <r>
          <rPr>
            <sz val="10"/>
            <color rgb="FF000000"/>
            <rFont val="Arial"/>
            <family val="2"/>
            <scheme val="minor"/>
          </rPr>
          <t>invoice sent 1/12/20
paid 155 on 1/21/20 ck 09140
renew domain 4/1</t>
        </r>
      </text>
    </comment>
    <comment ref="C29" authorId="0" shapeId="0" xr:uid="{00000000-0006-0000-1C00-000004000000}">
      <text>
        <r>
          <rPr>
            <sz val="10"/>
            <color rgb="FF000000"/>
            <rFont val="Arial"/>
            <family val="2"/>
            <scheme val="minor"/>
          </rPr>
          <t>Invoice sent 1/12/20
paid 95 on 1/18/20 ck 2396
renew domain 4/16</t>
        </r>
      </text>
    </comment>
    <comment ref="C30" authorId="0" shapeId="0" xr:uid="{00000000-0006-0000-1C00-000005000000}">
      <text>
        <r>
          <rPr>
            <sz val="10"/>
            <color rgb="FF000000"/>
            <rFont val="Arial"/>
            <family val="2"/>
            <scheme val="minor"/>
          </rPr>
          <t>invoice sent 1/12/2020
paid $150 1/14/20 ck 0001844873
Domain https://cybervision.com 4/9</t>
        </r>
      </text>
    </comment>
    <comment ref="F30" authorId="0" shapeId="0" xr:uid="{00000000-0006-0000-1C00-000006000000}">
      <text>
        <r>
          <rPr>
            <sz val="10"/>
            <color rgb="FF000000"/>
            <rFont val="Arial"/>
            <family val="2"/>
            <scheme val="minor"/>
          </rPr>
          <t>Domain Renewal 
https://cybervision.com/
$9.99 for 1 year
AAces.com May9</t>
        </r>
      </text>
    </comment>
    <comment ref="C31" authorId="0" shapeId="0" xr:uid="{00000000-0006-0000-1C00-000007000000}">
      <text>
        <r>
          <rPr>
            <sz val="10"/>
            <color rgb="FF000000"/>
            <rFont val="Arial"/>
            <family val="2"/>
            <scheme val="minor"/>
          </rPr>
          <t>Invoice sent to Kevin 3/24 $120
Check received $120 #1116 3/28/20
renew domain 8/23</t>
        </r>
      </text>
    </comment>
    <comment ref="C32" authorId="0" shapeId="0" xr:uid="{00000000-0006-0000-1C00-000008000000}">
      <text>
        <r>
          <rPr>
            <sz val="10"/>
            <color rgb="FF000000"/>
            <rFont val="Arial"/>
            <family val="2"/>
            <scheme val="minor"/>
          </rPr>
          <t>renew domain 4/8</t>
        </r>
      </text>
    </comment>
    <comment ref="B33" authorId="0" shapeId="0" xr:uid="{00000000-0006-0000-1C00-000009000000}">
      <text>
        <r>
          <rPr>
            <sz val="10"/>
            <color rgb="FF000000"/>
            <rFont val="Arial"/>
            <family val="2"/>
            <scheme val="minor"/>
          </rPr>
          <t>WordPress [login /admin]</t>
        </r>
      </text>
    </comment>
    <comment ref="C33" authorId="0" shapeId="0" xr:uid="{00000000-0006-0000-1C00-00000A000000}">
      <text>
        <r>
          <rPr>
            <sz val="10"/>
            <color rgb="FF000000"/>
            <rFont val="Arial"/>
            <family val="2"/>
            <scheme val="minor"/>
          </rPr>
          <t>invoice sent 1/12/2020
paid on 2/6/20 $398 ck # 2/3/20
renew domain  9/22</t>
        </r>
      </text>
    </comment>
    <comment ref="C34" authorId="0" shapeId="0" xr:uid="{00000000-0006-0000-1C00-00000B000000}">
      <text>
        <r>
          <rPr>
            <sz val="10"/>
            <color rgb="FF000000"/>
            <rFont val="Arial"/>
            <family val="2"/>
            <scheme val="minor"/>
          </rPr>
          <t>Invoice sent 3/28/20
domain renewal 2/16
Reminder sent 6/25/20</t>
        </r>
      </text>
    </comment>
    <comment ref="I34" authorId="0" shapeId="0" xr:uid="{00000000-0006-0000-1C00-00000C000000}">
      <text>
        <r>
          <rPr>
            <sz val="10"/>
            <color rgb="FF000000"/>
            <rFont val="Arial"/>
            <family val="2"/>
            <scheme val="minor"/>
          </rPr>
          <t>Put on hold 7/10/2020 for no payment</t>
        </r>
      </text>
    </comment>
    <comment ref="C35" authorId="0" shapeId="0" xr:uid="{00000000-0006-0000-1C00-00000D000000}">
      <text>
        <r>
          <rPr>
            <sz val="10"/>
            <color rgb="FF000000"/>
            <rFont val="Arial"/>
            <family val="2"/>
            <scheme val="minor"/>
          </rPr>
          <t>Sent invoice 3/2/20
renew domain 3/25
Paid by check 1041 $145</t>
        </r>
      </text>
    </comment>
    <comment ref="C37" authorId="0" shapeId="0" xr:uid="{00000000-0006-0000-1C00-00000E000000}">
      <text>
        <r>
          <rPr>
            <sz val="10"/>
            <color rgb="FF000000"/>
            <rFont val="Arial"/>
            <family val="2"/>
            <scheme val="minor"/>
          </rPr>
          <t>invoice sent 1/12/2020.  I don't think they paid in 2019
paid $60.00 3/2/20 Ck#1067</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L34" authorId="0" shapeId="0" xr:uid="{00000000-0006-0000-1E00-000001000000}">
      <text>
        <r>
          <rPr>
            <sz val="10"/>
            <color rgb="FF000000"/>
            <rFont val="Arial"/>
            <family val="2"/>
            <scheme val="minor"/>
          </rPr>
          <t>Increased min to $600</t>
        </r>
      </text>
    </comment>
    <comment ref="D48" authorId="0" shapeId="0" xr:uid="{00000000-0006-0000-1E00-000002000000}">
      <text>
        <r>
          <rPr>
            <sz val="10"/>
            <color rgb="FF000000"/>
            <rFont val="Arial"/>
            <family val="2"/>
            <scheme val="minor"/>
          </rPr>
          <t>23rd Ave project May, June &amp; July</t>
        </r>
      </text>
    </comment>
    <comment ref="B80" authorId="0" shapeId="0" xr:uid="{00000000-0006-0000-1E00-000003000000}">
      <text>
        <r>
          <rPr>
            <sz val="10"/>
            <color rgb="FF000000"/>
            <rFont val="Arial"/>
            <family val="2"/>
            <scheme val="minor"/>
          </rPr>
          <t>IPO November 14 BRMK</t>
        </r>
      </text>
    </comment>
    <comment ref="E80" authorId="0" shapeId="0" xr:uid="{00000000-0006-0000-1E00-000004000000}">
      <text>
        <r>
          <rPr>
            <sz val="10"/>
            <color rgb="FF000000"/>
            <rFont val="Arial"/>
            <family val="2"/>
            <scheme val="minor"/>
          </rPr>
          <t>537 ss
227 helen
800 amazon
150 ebay
80 web</t>
        </r>
      </text>
    </comment>
    <comment ref="E144" authorId="0" shapeId="0" xr:uid="{00000000-0006-0000-1E00-000005000000}">
      <text>
        <r>
          <rPr>
            <sz val="10"/>
            <color rgb="FF000000"/>
            <rFont val="Arial"/>
            <family val="2"/>
            <scheme val="minor"/>
          </rPr>
          <t>537 ss
227 helen
800 amazon
150 ebay
80 web</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K22" authorId="0" shapeId="0" xr:uid="{00000000-0006-0000-2100-000001000000}">
      <text>
        <r>
          <rPr>
            <sz val="10"/>
            <color rgb="FF000000"/>
            <rFont val="Arial"/>
            <family val="2"/>
            <scheme val="minor"/>
          </rPr>
          <t>purchase price $20,000
rental deposit $800
Change Machine 1/4's $500
Water deposit 3yr $800</t>
        </r>
      </text>
    </comment>
    <comment ref="L30" authorId="0" shapeId="0" xr:uid="{00000000-0006-0000-2100-000002000000}">
      <text>
        <r>
          <rPr>
            <sz val="10"/>
            <color rgb="FF000000"/>
            <rFont val="Arial"/>
            <family val="2"/>
            <scheme val="minor"/>
          </rPr>
          <t>Full Year Due December 20</t>
        </r>
      </text>
    </comment>
    <comment ref="I36" authorId="0" shapeId="0" xr:uid="{00000000-0006-0000-2100-000003000000}">
      <text>
        <r>
          <rPr>
            <sz val="10"/>
            <color rgb="FF000000"/>
            <rFont val="Arial"/>
            <family val="2"/>
            <scheme val="minor"/>
          </rPr>
          <t>Water main Leak, fixed Aug 25</t>
        </r>
      </text>
    </comment>
    <comment ref="D39" authorId="0" shapeId="0" xr:uid="{00000000-0006-0000-2100-000004000000}">
      <text>
        <r>
          <rPr>
            <sz val="10"/>
            <color rgb="FF000000"/>
            <rFont val="Arial"/>
            <family val="2"/>
            <scheme val="minor"/>
          </rPr>
          <t>Vacation all month</t>
        </r>
      </text>
    </comment>
    <comment ref="E39" authorId="0" shapeId="0" xr:uid="{00000000-0006-0000-2100-000005000000}">
      <text>
        <r>
          <rPr>
            <sz val="10"/>
            <color rgb="FF000000"/>
            <rFont val="Arial"/>
            <family val="2"/>
            <scheme val="minor"/>
          </rPr>
          <t>After vacation, broken radiators mean more electric to make up</t>
        </r>
      </text>
    </comment>
    <comment ref="G39" authorId="0" shapeId="0" xr:uid="{00000000-0006-0000-2100-000006000000}">
      <text>
        <r>
          <rPr>
            <sz val="10"/>
            <color rgb="FF000000"/>
            <rFont val="Arial"/>
            <family val="2"/>
            <scheme val="minor"/>
          </rPr>
          <t>Out of the country  all but 5 days</t>
        </r>
      </text>
    </comment>
    <comment ref="E40" authorId="0" shapeId="0" xr:uid="{00000000-0006-0000-2100-000007000000}">
      <text>
        <r>
          <rPr>
            <sz val="10"/>
            <color rgb="FF000000"/>
            <rFont val="Arial"/>
            <family val="2"/>
            <scheme val="minor"/>
          </rPr>
          <t>Vacation the complete billing period</t>
        </r>
      </text>
    </comment>
    <comment ref="F40" authorId="0" shapeId="0" xr:uid="{00000000-0006-0000-2100-000008000000}">
      <text>
        <r>
          <rPr>
            <sz val="10"/>
            <color rgb="FF000000"/>
            <rFont val="Arial"/>
            <family val="2"/>
            <scheme val="minor"/>
          </rPr>
          <t>Less use of Furnace this month for warmer weather</t>
        </r>
      </text>
    </comment>
    <comment ref="L40" authorId="0" shapeId="0" xr:uid="{00000000-0006-0000-2100-000009000000}">
      <text>
        <r>
          <rPr>
            <sz val="10"/>
            <color rgb="FF000000"/>
            <rFont val="Arial"/>
            <family val="2"/>
            <scheme val="minor"/>
          </rPr>
          <t>heat went on Oct 1</t>
        </r>
      </text>
    </comment>
    <comment ref="C51" authorId="0" shapeId="0" xr:uid="{00000000-0006-0000-2100-00000A000000}">
      <text>
        <r>
          <rPr>
            <sz val="10"/>
            <color rgb="FF000000"/>
            <rFont val="Arial"/>
            <family val="2"/>
            <scheme val="minor"/>
          </rPr>
          <t>Paid 3/25/19</t>
        </r>
      </text>
    </comment>
    <comment ref="C52" authorId="0" shapeId="0" xr:uid="{00000000-0006-0000-2100-00000B000000}">
      <text>
        <r>
          <rPr>
            <sz val="10"/>
            <color rgb="FF000000"/>
            <rFont val="Arial"/>
            <family val="2"/>
            <scheme val="minor"/>
          </rPr>
          <t>Paid 2/8/19</t>
        </r>
      </text>
    </comment>
    <comment ref="C53" authorId="0" shapeId="0" xr:uid="{00000000-0006-0000-2100-00000C000000}">
      <text>
        <r>
          <rPr>
            <sz val="10"/>
            <color rgb="FF000000"/>
            <rFont val="Arial"/>
            <family val="2"/>
            <scheme val="minor"/>
          </rPr>
          <t>Paid 2/15/19</t>
        </r>
      </text>
    </comment>
    <comment ref="F53" authorId="0" shapeId="0" xr:uid="{00000000-0006-0000-2100-00000D000000}">
      <text>
        <r>
          <rPr>
            <sz val="10"/>
            <color rgb="FF000000"/>
            <rFont val="Arial"/>
            <family val="2"/>
            <scheme val="minor"/>
          </rPr>
          <t>Domain Renewal 
https://cybervision.com/
$9.99 for 1 year</t>
        </r>
      </text>
    </comment>
    <comment ref="B56" authorId="0" shapeId="0" xr:uid="{00000000-0006-0000-2100-00000E000000}">
      <text>
        <r>
          <rPr>
            <sz val="10"/>
            <color rgb="FF000000"/>
            <rFont val="Arial"/>
            <family val="2"/>
            <scheme val="minor"/>
          </rPr>
          <t>WordPress [login /admin]</t>
        </r>
      </text>
    </comment>
    <comment ref="C56" authorId="0" shapeId="0" xr:uid="{00000000-0006-0000-2100-00000F000000}">
      <text>
        <r>
          <rPr>
            <sz val="10"/>
            <color rgb="FF000000"/>
            <rFont val="Arial"/>
            <family val="2"/>
            <scheme val="minor"/>
          </rPr>
          <t>Paid 2/15/19</t>
        </r>
      </text>
    </comment>
    <comment ref="E58" authorId="0" shapeId="0" xr:uid="{00000000-0006-0000-2100-000010000000}">
      <text>
        <r>
          <rPr>
            <sz val="10"/>
            <color rgb="FF000000"/>
            <rFont val="Arial"/>
            <family val="2"/>
            <scheme val="minor"/>
          </rPr>
          <t>paid 7/8/19 ck 1037</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K22" authorId="0" shapeId="0" xr:uid="{00000000-0006-0000-2400-000001000000}">
      <text>
        <r>
          <rPr>
            <sz val="10"/>
            <color rgb="FF000000"/>
            <rFont val="Arial"/>
            <family val="2"/>
            <scheme val="minor"/>
          </rPr>
          <t>purchase price $20,000
rental deposit $800
Change Machine 1/4's $500
Water deposit 3yr $800</t>
        </r>
      </text>
    </comment>
    <comment ref="G40" authorId="0" shapeId="0" xr:uid="{00000000-0006-0000-2400-000002000000}">
      <text>
        <r>
          <rPr>
            <sz val="10"/>
            <color rgb="FF000000"/>
            <rFont val="Arial"/>
            <family val="2"/>
            <scheme val="minor"/>
          </rPr>
          <t>May 10 Boiler off</t>
        </r>
      </text>
    </comment>
    <comment ref="L40" authorId="0" shapeId="0" xr:uid="{00000000-0006-0000-2400-000003000000}">
      <text>
        <r>
          <rPr>
            <sz val="10"/>
            <color rgb="FF000000"/>
            <rFont val="Arial"/>
            <family val="2"/>
            <scheme val="minor"/>
          </rPr>
          <t>Oct 8th heater turned on</t>
        </r>
      </text>
    </comment>
    <comment ref="N78" authorId="0" shapeId="0" xr:uid="{00000000-0006-0000-2400-000004000000}">
      <text>
        <r>
          <rPr>
            <sz val="10"/>
            <color rgb="FF000000"/>
            <rFont val="Arial"/>
            <family val="2"/>
            <scheme val="minor"/>
          </rPr>
          <t xml:space="preserve">$550 paid in cash me pick up at house on 10th after  nail and mail 3 day
received $370 from relative, mailed 12/17 which includes $40 late charge </t>
        </r>
      </text>
    </comment>
    <comment ref="C117" authorId="0" shapeId="0" xr:uid="{00000000-0006-0000-2400-000005000000}">
      <text>
        <r>
          <rPr>
            <sz val="10"/>
            <color rgb="FF000000"/>
            <rFont val="Arial"/>
            <family val="2"/>
            <scheme val="minor"/>
          </rPr>
          <t>150 received 5/26/18 check #9025</t>
        </r>
      </text>
    </comment>
    <comment ref="C118" authorId="0" shapeId="0" xr:uid="{00000000-0006-0000-2400-000006000000}">
      <text>
        <r>
          <rPr>
            <sz val="10"/>
            <color rgb="FF000000"/>
            <rFont val="Arial"/>
            <family val="2"/>
            <scheme val="minor"/>
          </rPr>
          <t>recived check #2310 for $80 on 5/16/18</t>
        </r>
      </text>
    </comment>
    <comment ref="C119" authorId="0" shapeId="0" xr:uid="{00000000-0006-0000-2400-000007000000}">
      <text>
        <r>
          <rPr>
            <sz val="10"/>
            <color rgb="FF000000"/>
            <rFont val="Arial"/>
            <family val="2"/>
            <scheme val="minor"/>
          </rPr>
          <t xml:space="preserve">Paid on 5/11/18 - billed on May 10
</t>
        </r>
      </text>
    </comment>
    <comment ref="C120" authorId="0" shapeId="0" xr:uid="{00000000-0006-0000-2400-000008000000}">
      <text>
        <r>
          <rPr>
            <sz val="10"/>
            <color rgb="FF000000"/>
            <rFont val="Arial"/>
            <family val="2"/>
            <scheme val="minor"/>
          </rPr>
          <t>check #3461 $165 paid on 5/18/18</t>
        </r>
      </text>
    </comment>
    <comment ref="G121" authorId="0" shapeId="0" xr:uid="{00000000-0006-0000-2400-000009000000}">
      <text>
        <r>
          <rPr>
            <sz val="10"/>
            <color rgb="FF000000"/>
            <rFont val="Arial"/>
            <family val="2"/>
            <scheme val="minor"/>
          </rPr>
          <t>paid 290 on 5/18 ck 2360</t>
        </r>
      </text>
    </comment>
    <comment ref="C122" authorId="0" shapeId="0" xr:uid="{00000000-0006-0000-2400-00000A000000}">
      <text>
        <r>
          <rPr>
            <sz val="10"/>
            <color rgb="FF000000"/>
            <rFont val="Arial"/>
            <family val="2"/>
            <scheme val="minor"/>
          </rPr>
          <t>Reminder sent 9/24/18
paid $380 on 9/28/18 ck no 41218</t>
        </r>
      </text>
    </comment>
    <comment ref="N122" authorId="0" shapeId="0" xr:uid="{00000000-0006-0000-2400-00000B000000}">
      <text>
        <r>
          <rPr>
            <sz val="10"/>
            <color rgb="FF000000"/>
            <rFont val="Arial"/>
            <family val="2"/>
            <scheme val="minor"/>
          </rPr>
          <t>Started December 1</t>
        </r>
      </text>
    </comment>
    <comment ref="F123" authorId="0" shapeId="0" xr:uid="{00000000-0006-0000-2400-00000C000000}">
      <text>
        <r>
          <rPr>
            <sz val="10"/>
            <color rgb="FF000000"/>
            <rFont val="Arial"/>
            <family val="2"/>
            <scheme val="minor"/>
          </rPr>
          <t>Reminder sent 9/24/18
second reminder sent to treasurer 11/1/18</t>
        </r>
      </text>
    </comment>
    <comment ref="E124" authorId="0" shapeId="0" xr:uid="{00000000-0006-0000-2400-00000D000000}">
      <text>
        <r>
          <rPr>
            <sz val="10"/>
            <color rgb="FF000000"/>
            <rFont val="Arial"/>
            <family val="2"/>
            <scheme val="minor"/>
          </rPr>
          <t>$25 for the Domain
$9 per month
paid $133 by check #1020 on 5/11/18</t>
        </r>
      </text>
    </comment>
    <comment ref="G125" authorId="0" shapeId="0" xr:uid="{00000000-0006-0000-2400-00000E000000}">
      <text>
        <r>
          <rPr>
            <sz val="10"/>
            <color rgb="FF000000"/>
            <rFont val="Arial"/>
            <family val="2"/>
            <scheme val="minor"/>
          </rPr>
          <t>Reminder sent 9/24/18
Second reminder sent 11/1/18
Joli notified me to terminate 11/2/18.  Closing bill sent
Paid $125 on 11/8/18 payable to Rod Light</t>
        </r>
      </text>
    </comment>
    <comment ref="J126" authorId="0" shapeId="0" xr:uid="{00000000-0006-0000-2400-00000F000000}">
      <text>
        <r>
          <rPr>
            <sz val="10"/>
            <color rgb="FF000000"/>
            <rFont val="Arial"/>
            <family val="2"/>
            <scheme val="minor"/>
          </rPr>
          <t>fee approved August 8, 2018
invoice sent 9/24/18
Paid on 9/28/18 $60 ck # 1024</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V68" authorId="0" shapeId="0" xr:uid="{00000000-0006-0000-2500-000001000000}">
      <text>
        <r>
          <rPr>
            <sz val="10"/>
            <color rgb="FF000000"/>
            <rFont val="Arial"/>
            <family val="2"/>
            <scheme val="minor"/>
          </rPr>
          <t>Band Concert</t>
        </r>
      </text>
    </comment>
    <comment ref="O69" authorId="0" shapeId="0" xr:uid="{00000000-0006-0000-2500-000002000000}">
      <text>
        <r>
          <rPr>
            <sz val="10"/>
            <color rgb="FF000000"/>
            <rFont val="Arial"/>
            <family val="2"/>
            <scheme val="minor"/>
          </rPr>
          <t>Symphony Concert</t>
        </r>
      </text>
    </comment>
    <comment ref="Y69" authorId="0" shapeId="0" xr:uid="{00000000-0006-0000-2500-000003000000}">
      <text>
        <r>
          <rPr>
            <sz val="10"/>
            <color rgb="FF000000"/>
            <rFont val="Arial"/>
            <family val="2"/>
            <scheme val="minor"/>
          </rPr>
          <t>Barb back from China</t>
        </r>
      </text>
    </comment>
    <comment ref="AA69" authorId="0" shapeId="0" xr:uid="{00000000-0006-0000-2500-000004000000}">
      <text>
        <r>
          <rPr>
            <sz val="10"/>
            <color rgb="FF000000"/>
            <rFont val="Arial"/>
            <family val="2"/>
            <scheme val="minor"/>
          </rPr>
          <t>Potential Leaving Date</t>
        </r>
      </text>
    </comment>
    <comment ref="AK80" authorId="0" shapeId="0" xr:uid="{00000000-0006-0000-2500-000005000000}">
      <text>
        <r>
          <rPr>
            <sz val="10"/>
            <color rgb="FF000000"/>
            <rFont val="Arial"/>
            <family val="2"/>
            <scheme val="minor"/>
          </rPr>
          <t>Thanksgiving</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2600-000001000000}">
      <text>
        <r>
          <rPr>
            <sz val="10"/>
            <color rgb="FF000000"/>
            <rFont val="Arial"/>
            <family val="2"/>
            <scheme val="minor"/>
          </rPr>
          <t>Includes Web expenses</t>
        </r>
      </text>
    </comment>
    <comment ref="A9" authorId="0" shapeId="0" xr:uid="{00000000-0006-0000-2600-000002000000}">
      <text>
        <r>
          <rPr>
            <sz val="10"/>
            <color rgb="FF000000"/>
            <rFont val="Arial"/>
            <family val="2"/>
            <scheme val="minor"/>
          </rPr>
          <t>Landscaping
Gutter Cleaning
Moss off roof
Paint Touchup
Trash pickup
Rooting drains</t>
        </r>
      </text>
    </comment>
    <comment ref="A11" authorId="0" shapeId="0" xr:uid="{00000000-0006-0000-2600-000003000000}">
      <text>
        <r>
          <rPr>
            <sz val="10"/>
            <color rgb="FF000000"/>
            <rFont val="Arial"/>
            <family val="2"/>
            <scheme val="minor"/>
          </rPr>
          <t>Attorney, Books, association, classes, office</t>
        </r>
      </text>
    </comment>
    <comment ref="A16" authorId="0" shapeId="0" xr:uid="{00000000-0006-0000-2600-000004000000}">
      <text>
        <r>
          <rPr>
            <sz val="10"/>
            <color rgb="FF000000"/>
            <rFont val="Arial"/>
            <family val="2"/>
            <scheme val="minor"/>
          </rPr>
          <t xml:space="preserve">Cleaning, 
air freshener, 
liquid plumber, 
razor blades, 
rags, 
broom etc,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K22" authorId="0" shapeId="0" xr:uid="{00000000-0006-0000-2700-000001000000}">
      <text>
        <r>
          <rPr>
            <sz val="10"/>
            <color rgb="FF000000"/>
            <rFont val="Arial"/>
            <family val="2"/>
            <scheme val="minor"/>
          </rPr>
          <t>purchase price $20,000
rental deposit $800
Change Machine 1/4's $500
Water deposit 3yr $800</t>
        </r>
      </text>
    </comment>
    <comment ref="N97" authorId="0" shapeId="0" xr:uid="{00000000-0006-0000-2700-000002000000}">
      <text>
        <r>
          <rPr>
            <sz val="10"/>
            <color rgb="FF000000"/>
            <rFont val="Arial"/>
            <family val="2"/>
            <scheme val="minor"/>
          </rPr>
          <t xml:space="preserve">$550 paid in cash me pick up at house on 10th after  nail and mail 3 day
received $370 from relative, mailed 12/17 which includes $40 late charge </t>
        </r>
      </text>
    </comment>
    <comment ref="C124" authorId="0" shapeId="0" xr:uid="{00000000-0006-0000-2700-000003000000}">
      <text>
        <r>
          <rPr>
            <sz val="10"/>
            <color rgb="FF000000"/>
            <rFont val="Arial"/>
            <family val="2"/>
            <scheme val="minor"/>
          </rPr>
          <t>228-202 during fire repair</t>
        </r>
      </text>
    </comment>
    <comment ref="M124" authorId="0" shapeId="0" xr:uid="{00000000-0006-0000-2700-000004000000}">
      <text>
        <r>
          <rPr>
            <sz val="10"/>
            <color rgb="FF000000"/>
            <rFont val="Arial"/>
            <family val="2"/>
            <scheme val="minor"/>
          </rPr>
          <t>228-202 during fire repair</t>
        </r>
      </text>
    </comment>
    <comment ref="N124" authorId="0" shapeId="0" xr:uid="{00000000-0006-0000-2700-000005000000}">
      <text>
        <r>
          <rPr>
            <sz val="10"/>
            <color rgb="FF000000"/>
            <rFont val="Arial"/>
            <family val="2"/>
            <scheme val="minor"/>
          </rPr>
          <t>228-202 during fire repair</t>
        </r>
      </text>
    </comment>
    <comment ref="H128" authorId="0" shapeId="0" xr:uid="{00000000-0006-0000-2700-000006000000}">
      <text>
        <r>
          <rPr>
            <sz val="10"/>
            <color rgb="FF000000"/>
            <rFont val="Arial"/>
            <family val="2"/>
            <scheme val="minor"/>
          </rPr>
          <t>228</t>
        </r>
      </text>
    </comment>
    <comment ref="M128" authorId="0" shapeId="0" xr:uid="{00000000-0006-0000-2700-000007000000}">
      <text>
        <r>
          <rPr>
            <sz val="10"/>
            <color rgb="FF000000"/>
            <rFont val="Arial"/>
            <family val="2"/>
            <scheme val="minor"/>
          </rPr>
          <t>224</t>
        </r>
      </text>
    </comment>
    <comment ref="N216" authorId="0" shapeId="0" xr:uid="{00000000-0006-0000-2700-000008000000}">
      <text>
        <r>
          <rPr>
            <sz val="10"/>
            <color rgb="FF000000"/>
            <rFont val="Arial"/>
            <family val="2"/>
            <scheme val="minor"/>
          </rPr>
          <t>Started December 1</t>
        </r>
      </text>
    </comment>
    <comment ref="E218" authorId="0" shapeId="0" xr:uid="{00000000-0006-0000-2700-000009000000}">
      <text>
        <r>
          <rPr>
            <sz val="10"/>
            <color rgb="FF000000"/>
            <rFont val="Arial"/>
            <family val="2"/>
            <scheme val="minor"/>
          </rPr>
          <t>$25 for the Domain
$9 per month x 6 months paid</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2800-000001000000}">
      <text>
        <r>
          <rPr>
            <sz val="10"/>
            <color rgb="FF000000"/>
            <rFont val="Arial"/>
            <family val="2"/>
            <scheme val="minor"/>
          </rPr>
          <t>Includes Web expenses</t>
        </r>
      </text>
    </comment>
    <comment ref="A9" authorId="0" shapeId="0" xr:uid="{00000000-0006-0000-2800-000002000000}">
      <text>
        <r>
          <rPr>
            <sz val="10"/>
            <color rgb="FF000000"/>
            <rFont val="Arial"/>
            <family val="2"/>
            <scheme val="minor"/>
          </rPr>
          <t>Landscaping
Gutter Cleaning
Moss off roof
Paint Touchup
Trash pickup
Rooting drains</t>
        </r>
      </text>
    </comment>
    <comment ref="A11" authorId="0" shapeId="0" xr:uid="{00000000-0006-0000-2800-000003000000}">
      <text>
        <r>
          <rPr>
            <sz val="10"/>
            <color rgb="FF000000"/>
            <rFont val="Arial"/>
            <family val="2"/>
            <scheme val="minor"/>
          </rPr>
          <t>Attorney, Books, association, classes, office</t>
        </r>
      </text>
    </comment>
    <comment ref="A16" authorId="0" shapeId="0" xr:uid="{00000000-0006-0000-2800-000004000000}">
      <text>
        <r>
          <rPr>
            <sz val="10"/>
            <color rgb="FF000000"/>
            <rFont val="Arial"/>
            <family val="2"/>
            <scheme val="minor"/>
          </rPr>
          <t xml:space="preserve">Cleaning, 
air freshener, 
liquid plumber, 
razor blades, 
rags, 
broom etc,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K21" authorId="0" shapeId="0" xr:uid="{00000000-0006-0000-2900-000001000000}">
      <text>
        <r>
          <rPr>
            <sz val="10"/>
            <color rgb="FF000000"/>
            <rFont val="Arial"/>
            <family val="2"/>
            <scheme val="minor"/>
          </rPr>
          <t>purchase price $20,000
rental deposit $800
Change Machine 1/4's $500
Water deposit 3yr $800</t>
        </r>
      </text>
    </comment>
    <comment ref="B30" authorId="0" shapeId="0" xr:uid="{00000000-0006-0000-2900-000002000000}">
      <text>
        <r>
          <rPr>
            <sz val="10"/>
            <color rgb="FF000000"/>
            <rFont val="Arial"/>
            <family val="2"/>
            <scheme val="minor"/>
          </rPr>
          <t>Includes Web expenses</t>
        </r>
      </text>
    </comment>
    <comment ref="B32" authorId="0" shapeId="0" xr:uid="{00000000-0006-0000-2900-000003000000}">
      <text>
        <r>
          <rPr>
            <sz val="10"/>
            <color rgb="FF000000"/>
            <rFont val="Arial"/>
            <family val="2"/>
            <scheme val="minor"/>
          </rPr>
          <t>Landscaping
Gutter Cleaning
Moss off roof
Paint Touchup
Trash pickup
Rooting drains</t>
        </r>
      </text>
    </comment>
    <comment ref="B34" authorId="0" shapeId="0" xr:uid="{00000000-0006-0000-2900-000004000000}">
      <text>
        <r>
          <rPr>
            <sz val="10"/>
            <color rgb="FF000000"/>
            <rFont val="Arial"/>
            <family val="2"/>
            <scheme val="minor"/>
          </rPr>
          <t>Attorney, Books, association, classes, office</t>
        </r>
      </text>
    </comment>
    <comment ref="B39" authorId="0" shapeId="0" xr:uid="{00000000-0006-0000-2900-000005000000}">
      <text>
        <r>
          <rPr>
            <sz val="10"/>
            <color rgb="FF000000"/>
            <rFont val="Arial"/>
            <family val="2"/>
            <scheme val="minor"/>
          </rPr>
          <t xml:space="preserve">Cleaning, 
air freshener, 
liquid plumber, 
razor blades, 
rags, 
broom etc, </t>
        </r>
      </text>
    </comment>
    <comment ref="B57" authorId="0" shapeId="0" xr:uid="{00000000-0006-0000-2900-000006000000}">
      <text>
        <r>
          <rPr>
            <sz val="10"/>
            <color rgb="FF000000"/>
            <rFont val="Arial"/>
            <family val="2"/>
            <scheme val="minor"/>
          </rPr>
          <t>Includes Web expenses</t>
        </r>
      </text>
    </comment>
    <comment ref="B59" authorId="0" shapeId="0" xr:uid="{00000000-0006-0000-2900-000007000000}">
      <text>
        <r>
          <rPr>
            <sz val="10"/>
            <color rgb="FF000000"/>
            <rFont val="Arial"/>
            <family val="2"/>
            <scheme val="minor"/>
          </rPr>
          <t>Landscaping
Gutter Cleaning
Moss off roof
Paint Touchup
Trash pickup
Rooting drains</t>
        </r>
      </text>
    </comment>
    <comment ref="B61" authorId="0" shapeId="0" xr:uid="{00000000-0006-0000-2900-000008000000}">
      <text>
        <r>
          <rPr>
            <sz val="10"/>
            <color rgb="FF000000"/>
            <rFont val="Arial"/>
            <family val="2"/>
            <scheme val="minor"/>
          </rPr>
          <t>Attorney, Books, association, classes, office</t>
        </r>
      </text>
    </comment>
    <comment ref="B66" authorId="0" shapeId="0" xr:uid="{00000000-0006-0000-2900-000009000000}">
      <text>
        <r>
          <rPr>
            <sz val="10"/>
            <color rgb="FF000000"/>
            <rFont val="Arial"/>
            <family val="2"/>
            <scheme val="minor"/>
          </rPr>
          <t xml:space="preserve">Cleaning, 
air freshener, 
liquid plumber, 
razor blades, 
rags, 
broom etc, </t>
        </r>
      </text>
    </comment>
    <comment ref="N83" authorId="0" shapeId="0" xr:uid="{00000000-0006-0000-2900-00000A000000}">
      <text>
        <r>
          <rPr>
            <sz val="10"/>
            <color rgb="FF000000"/>
            <rFont val="Arial"/>
            <family val="2"/>
            <scheme val="minor"/>
          </rPr>
          <t xml:space="preserve">$550 paid in cash me pick up at house on 10th after  nail and mail 3 day
received $370 from relative, mailed 12/17 which includes $40 late charge </t>
        </r>
      </text>
    </comment>
    <comment ref="B86" authorId="0" shapeId="0" xr:uid="{00000000-0006-0000-2900-00000B000000}">
      <text>
        <r>
          <rPr>
            <sz val="10"/>
            <color rgb="FF000000"/>
            <rFont val="Arial"/>
            <family val="2"/>
            <scheme val="minor"/>
          </rPr>
          <t>Includes Web expenses</t>
        </r>
      </text>
    </comment>
    <comment ref="B88" authorId="0" shapeId="0" xr:uid="{00000000-0006-0000-2900-00000C000000}">
      <text>
        <r>
          <rPr>
            <sz val="10"/>
            <color rgb="FF000000"/>
            <rFont val="Arial"/>
            <family val="2"/>
            <scheme val="minor"/>
          </rPr>
          <t>Landscaping
Gutter Cleaning
Moss off roof
Paint Touchup
Trash pickup
Rooting drains</t>
        </r>
      </text>
    </comment>
    <comment ref="B90" authorId="0" shapeId="0" xr:uid="{00000000-0006-0000-2900-00000D000000}">
      <text>
        <r>
          <rPr>
            <sz val="10"/>
            <color rgb="FF000000"/>
            <rFont val="Arial"/>
            <family val="2"/>
            <scheme val="minor"/>
          </rPr>
          <t>Attorney, Books, association, classes, office</t>
        </r>
      </text>
    </comment>
    <comment ref="B95" authorId="0" shapeId="0" xr:uid="{00000000-0006-0000-2900-00000E000000}">
      <text>
        <r>
          <rPr>
            <sz val="10"/>
            <color rgb="FF000000"/>
            <rFont val="Arial"/>
            <family val="2"/>
            <scheme val="minor"/>
          </rPr>
          <t xml:space="preserve">Cleaning, 
air freshener, 
liquid plumber, 
razor blades, 
rags, 
broom etc, </t>
        </r>
      </text>
    </comment>
    <comment ref="B112" authorId="0" shapeId="0" xr:uid="{00000000-0006-0000-2900-00000F000000}">
      <text>
        <r>
          <rPr>
            <sz val="10"/>
            <color rgb="FF000000"/>
            <rFont val="Arial"/>
            <family val="2"/>
            <scheme val="minor"/>
          </rPr>
          <t>Includes Web expenses</t>
        </r>
      </text>
    </comment>
    <comment ref="B114" authorId="0" shapeId="0" xr:uid="{00000000-0006-0000-2900-000010000000}">
      <text>
        <r>
          <rPr>
            <sz val="10"/>
            <color rgb="FF000000"/>
            <rFont val="Arial"/>
            <family val="2"/>
            <scheme val="minor"/>
          </rPr>
          <t>Landscaping
Gutter Cleaning
Moss off roof
Paint Touchup
Trash pickup
Rooting drains</t>
        </r>
      </text>
    </comment>
    <comment ref="B116" authorId="0" shapeId="0" xr:uid="{00000000-0006-0000-2900-000011000000}">
      <text>
        <r>
          <rPr>
            <sz val="10"/>
            <color rgb="FF000000"/>
            <rFont val="Arial"/>
            <family val="2"/>
            <scheme val="minor"/>
          </rPr>
          <t>Attorney, Books, association, classes, office</t>
        </r>
      </text>
    </comment>
    <comment ref="B121" authorId="0" shapeId="0" xr:uid="{00000000-0006-0000-2900-000012000000}">
      <text>
        <r>
          <rPr>
            <sz val="10"/>
            <color rgb="FF000000"/>
            <rFont val="Arial"/>
            <family val="2"/>
            <scheme val="minor"/>
          </rPr>
          <t xml:space="preserve">Cleaning, 
air freshener, 
liquid plumber, 
razor blades, 
rags, 
broom etc, </t>
        </r>
      </text>
    </comment>
    <comment ref="M125" authorId="0" shapeId="0" xr:uid="{00000000-0006-0000-2900-000013000000}">
      <text>
        <r>
          <rPr>
            <sz val="10"/>
            <color rgb="FF000000"/>
            <rFont val="Arial"/>
            <family val="2"/>
            <scheme val="minor"/>
          </rPr>
          <t>228-202 during fire repair</t>
        </r>
      </text>
    </comment>
    <comment ref="N125" authorId="0" shapeId="0" xr:uid="{00000000-0006-0000-2900-000014000000}">
      <text>
        <r>
          <rPr>
            <sz val="10"/>
            <color rgb="FF000000"/>
            <rFont val="Arial"/>
            <family val="2"/>
            <scheme val="minor"/>
          </rPr>
          <t>228-202 during fire repair</t>
        </r>
      </text>
    </comment>
    <comment ref="B138" authorId="0" shapeId="0" xr:uid="{00000000-0006-0000-2900-000015000000}">
      <text>
        <r>
          <rPr>
            <sz val="10"/>
            <color rgb="FF000000"/>
            <rFont val="Arial"/>
            <family val="2"/>
            <scheme val="minor"/>
          </rPr>
          <t>Includes Web expenses</t>
        </r>
      </text>
    </comment>
    <comment ref="B140" authorId="0" shapeId="0" xr:uid="{00000000-0006-0000-2900-000016000000}">
      <text>
        <r>
          <rPr>
            <sz val="10"/>
            <color rgb="FF000000"/>
            <rFont val="Arial"/>
            <family val="2"/>
            <scheme val="minor"/>
          </rPr>
          <t>Landscaping
Gutter Cleaning
Moss off roof
Paint Touchup
Trash pickup
Rooting drains</t>
        </r>
      </text>
    </comment>
    <comment ref="B142" authorId="0" shapeId="0" xr:uid="{00000000-0006-0000-2900-000017000000}">
      <text>
        <r>
          <rPr>
            <sz val="10"/>
            <color rgb="FF000000"/>
            <rFont val="Arial"/>
            <family val="2"/>
            <scheme val="minor"/>
          </rPr>
          <t>Attorney, Books, association, classes, office</t>
        </r>
      </text>
    </comment>
    <comment ref="B147" authorId="0" shapeId="0" xr:uid="{00000000-0006-0000-2900-000018000000}">
      <text>
        <r>
          <rPr>
            <sz val="10"/>
            <color rgb="FF000000"/>
            <rFont val="Arial"/>
            <family val="2"/>
            <scheme val="minor"/>
          </rPr>
          <t xml:space="preserve">Cleaning, 
air freshener, 
liquid plumber, 
razor blades, 
rags, 
broom etc, </t>
        </r>
      </text>
    </comment>
    <comment ref="B161" authorId="0" shapeId="0" xr:uid="{00000000-0006-0000-2900-000019000000}">
      <text>
        <r>
          <rPr>
            <sz val="10"/>
            <color rgb="FF000000"/>
            <rFont val="Arial"/>
            <family val="2"/>
            <scheme val="minor"/>
          </rPr>
          <t>Includes Web expenses</t>
        </r>
      </text>
    </comment>
    <comment ref="B163" authorId="0" shapeId="0" xr:uid="{00000000-0006-0000-2900-00001A000000}">
      <text>
        <r>
          <rPr>
            <sz val="10"/>
            <color rgb="FF000000"/>
            <rFont val="Arial"/>
            <family val="2"/>
            <scheme val="minor"/>
          </rPr>
          <t>Landscaping
Gutter Cleaning
Moss off roof
Paint Touchup
Trash pickup
Rooting drains</t>
        </r>
      </text>
    </comment>
    <comment ref="B165" authorId="0" shapeId="0" xr:uid="{00000000-0006-0000-2900-00001B000000}">
      <text>
        <r>
          <rPr>
            <sz val="10"/>
            <color rgb="FF000000"/>
            <rFont val="Arial"/>
            <family val="2"/>
            <scheme val="minor"/>
          </rPr>
          <t>Attorney, Books, association, classes, office</t>
        </r>
      </text>
    </comment>
    <comment ref="B170" authorId="0" shapeId="0" xr:uid="{00000000-0006-0000-2900-00001C000000}">
      <text>
        <r>
          <rPr>
            <sz val="10"/>
            <color rgb="FF000000"/>
            <rFont val="Arial"/>
            <family val="2"/>
            <scheme val="minor"/>
          </rPr>
          <t xml:space="preserve">Cleaning, 
air freshener, 
liquid plumber, 
razor blades, 
rags, 
broom etc, </t>
        </r>
      </text>
    </comment>
    <comment ref="N188" authorId="0" shapeId="0" xr:uid="{00000000-0006-0000-2900-00001D000000}">
      <text>
        <r>
          <rPr>
            <sz val="10"/>
            <color rgb="FF000000"/>
            <rFont val="Arial"/>
            <family val="2"/>
            <scheme val="minor"/>
          </rPr>
          <t>Started December 1</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2E00-000001000000}">
      <text>
        <r>
          <rPr>
            <sz val="10"/>
            <color rgb="FF000000"/>
            <rFont val="Arial"/>
            <family val="2"/>
            <scheme val="minor"/>
          </rPr>
          <t>Includes Web expenses</t>
        </r>
      </text>
    </comment>
    <comment ref="A9" authorId="0" shapeId="0" xr:uid="{00000000-0006-0000-2E00-000002000000}">
      <text>
        <r>
          <rPr>
            <sz val="10"/>
            <color rgb="FF000000"/>
            <rFont val="Arial"/>
            <family val="2"/>
            <scheme val="minor"/>
          </rPr>
          <t>Landscaping
Gutter Cleaning
Moss off roof
Paint Touchup
Trash pickup
Rooting drains</t>
        </r>
      </text>
    </comment>
    <comment ref="A11" authorId="0" shapeId="0" xr:uid="{00000000-0006-0000-2E00-000003000000}">
      <text>
        <r>
          <rPr>
            <sz val="10"/>
            <color rgb="FF000000"/>
            <rFont val="Arial"/>
            <family val="2"/>
            <scheme val="minor"/>
          </rPr>
          <t>Attorney, Books, association, classes, office</t>
        </r>
      </text>
    </comment>
    <comment ref="A16" authorId="0" shapeId="0" xr:uid="{00000000-0006-0000-2E00-000004000000}">
      <text>
        <r>
          <rPr>
            <sz val="10"/>
            <color rgb="FF000000"/>
            <rFont val="Arial"/>
            <family val="2"/>
            <scheme val="minor"/>
          </rPr>
          <t xml:space="preserve">Cleaning, 
air freshener, 
liquid plumber, 
razor blades, 
rags, 
broom etc,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P113" authorId="0" shapeId="0" xr:uid="{00000000-0006-0000-0300-000001000000}">
      <text>
        <r>
          <rPr>
            <sz val="10"/>
            <color rgb="FF000000"/>
            <rFont val="Arial"/>
            <family val="2"/>
            <scheme val="minor"/>
          </rPr>
          <t>Path
Wishing well
Gazebo
Sitting area &amp; Firepit
Shade plants
Yard Art
Perimeter Bushes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
  </authors>
  <commentList>
    <comment ref="D18" authorId="0" shapeId="0" xr:uid="{00000000-0006-0000-3000-000001000000}">
      <text>
        <r>
          <rPr>
            <sz val="10"/>
            <color rgb="FF000000"/>
            <rFont val="Arial"/>
            <family val="2"/>
            <scheme val="minor"/>
          </rPr>
          <t>yes, the same amount as last month?</t>
        </r>
      </text>
    </comment>
    <comment ref="M24" authorId="0" shapeId="0" xr:uid="{00000000-0006-0000-3000-000002000000}">
      <text>
        <r>
          <rPr>
            <sz val="10"/>
            <color rgb="FF000000"/>
            <rFont val="Arial"/>
            <family val="2"/>
            <scheme val="minor"/>
          </rPr>
          <t>2 tide
2 bounce
1 clorox</t>
        </r>
      </text>
    </comment>
    <comment ref="K29" authorId="0" shapeId="0" xr:uid="{00000000-0006-0000-3000-000003000000}">
      <text>
        <r>
          <rPr>
            <sz val="10"/>
            <color rgb="FF000000"/>
            <rFont val="Arial"/>
            <family val="2"/>
            <scheme val="minor"/>
          </rPr>
          <t>purchase price $20,000
rental deposit $800
Change Machine 1/4's $500
Water deposit 3yr $800</t>
        </r>
      </text>
    </comment>
    <comment ref="K67" authorId="0" shapeId="0" xr:uid="{00000000-0006-0000-3000-000004000000}">
      <text>
        <r>
          <rPr>
            <sz val="10"/>
            <color rgb="FF000000"/>
            <rFont val="Arial"/>
            <family val="2"/>
            <scheme val="minor"/>
          </rPr>
          <t>Delbert</t>
        </r>
      </text>
    </comment>
    <comment ref="H71" authorId="0" shapeId="0" xr:uid="{00000000-0006-0000-3000-000005000000}">
      <text>
        <r>
          <rPr>
            <sz val="10"/>
            <color rgb="FF000000"/>
            <rFont val="Arial"/>
            <family val="2"/>
            <scheme val="minor"/>
          </rPr>
          <t>upstairs tub drain</t>
        </r>
      </text>
    </comment>
    <comment ref="K71" authorId="0" shapeId="0" xr:uid="{00000000-0006-0000-3000-000006000000}">
      <text>
        <r>
          <rPr>
            <sz val="10"/>
            <color rgb="FF000000"/>
            <rFont val="Arial"/>
            <family val="2"/>
            <scheme val="minor"/>
          </rPr>
          <t>Bedroom closet rewire</t>
        </r>
      </text>
    </comment>
    <comment ref="L71" authorId="0" shapeId="0" xr:uid="{00000000-0006-0000-3000-000007000000}">
      <text>
        <r>
          <rPr>
            <sz val="10"/>
            <color rgb="FF000000"/>
            <rFont val="Arial"/>
            <family val="2"/>
            <scheme val="minor"/>
          </rPr>
          <t>Rear outside light
mouse decon
tub faucet cartridge</t>
        </r>
      </text>
    </comment>
    <comment ref="N84" authorId="0" shapeId="0" xr:uid="{00000000-0006-0000-3000-000008000000}">
      <text>
        <r>
          <rPr>
            <sz val="10"/>
            <color rgb="FF000000"/>
            <rFont val="Arial"/>
            <family val="2"/>
            <scheme val="minor"/>
          </rPr>
          <t xml:space="preserve">$550 paid in cash me pick up at house on 10th after  nail and mail 3 day
received $370 from relative, mailed 12/17 which includes $40 late charge </t>
        </r>
      </text>
    </comment>
    <comment ref="I113" authorId="0" shapeId="0" xr:uid="{00000000-0006-0000-3000-000009000000}">
      <text>
        <r>
          <rPr>
            <sz val="10"/>
            <color rgb="FF000000"/>
            <rFont val="Arial"/>
            <family val="2"/>
            <scheme val="minor"/>
          </rPr>
          <t>224-201 eviction Dwaine</t>
        </r>
      </text>
    </comment>
    <comment ref="L113" authorId="0" shapeId="0" xr:uid="{00000000-0006-0000-3000-00000A000000}">
      <text>
        <r>
          <rPr>
            <sz val="10"/>
            <color rgb="FF000000"/>
            <rFont val="Arial"/>
            <family val="2"/>
            <scheme val="minor"/>
          </rPr>
          <t>Truppa legal</t>
        </r>
      </text>
    </comment>
    <comment ref="H116" authorId="0" shapeId="0" xr:uid="{00000000-0006-0000-3000-00000B000000}">
      <text>
        <r>
          <rPr>
            <sz val="10"/>
            <color rgb="FF000000"/>
            <rFont val="Arial"/>
            <family val="2"/>
            <scheme val="minor"/>
          </rPr>
          <t>228</t>
        </r>
      </text>
    </comment>
    <comment ref="M116" authorId="0" shapeId="0" xr:uid="{00000000-0006-0000-3000-00000C000000}">
      <text>
        <r>
          <rPr>
            <sz val="10"/>
            <color rgb="FF000000"/>
            <rFont val="Arial"/>
            <family val="2"/>
            <scheme val="minor"/>
          </rPr>
          <t>224</t>
        </r>
      </text>
    </comment>
    <comment ref="I118" authorId="0" shapeId="0" xr:uid="{00000000-0006-0000-3000-00000D000000}">
      <text>
        <r>
          <rPr>
            <sz val="10"/>
            <color rgb="FF000000"/>
            <rFont val="Arial"/>
            <family val="2"/>
            <scheme val="minor"/>
          </rPr>
          <t>Gibson 4-102 Move
Dwain Move</t>
        </r>
      </text>
    </comment>
    <comment ref="J118" authorId="0" shapeId="0" xr:uid="{00000000-0006-0000-3000-00000E000000}">
      <text>
        <r>
          <rPr>
            <sz val="10"/>
            <color rgb="FF000000"/>
            <rFont val="Arial"/>
            <family val="2"/>
            <scheme val="minor"/>
          </rPr>
          <t>$15 Rainwater down spouts</t>
        </r>
      </text>
    </comment>
    <comment ref="K118" authorId="0" shapeId="0" xr:uid="{00000000-0006-0000-3000-00000F000000}">
      <text>
        <r>
          <rPr>
            <sz val="10"/>
            <color rgb="FF000000"/>
            <rFont val="Arial"/>
            <family val="2"/>
            <scheme val="minor"/>
          </rPr>
          <t>Water Heater element 4/101</t>
        </r>
      </text>
    </comment>
    <comment ref="L118" authorId="0" shapeId="0" xr:uid="{00000000-0006-0000-3000-000010000000}">
      <text>
        <r>
          <rPr>
            <sz val="10"/>
            <color rgb="FF000000"/>
            <rFont val="Arial"/>
            <family val="2"/>
            <scheme val="minor"/>
          </rPr>
          <t>Toilet seat 8-101 $10
Grass seed, weed &amp; feed $25</t>
        </r>
      </text>
    </comment>
    <comment ref="M118" authorId="0" shapeId="0" xr:uid="{00000000-0006-0000-3000-000011000000}">
      <text>
        <r>
          <rPr>
            <sz val="10"/>
            <color rgb="FF000000"/>
            <rFont val="Arial"/>
            <family val="2"/>
            <scheme val="minor"/>
          </rPr>
          <t>3 heaters
1 toilet seat</t>
        </r>
      </text>
    </comment>
    <comment ref="N155" authorId="0" shapeId="0" xr:uid="{00000000-0006-0000-3000-000012000000}">
      <text>
        <r>
          <rPr>
            <sz val="10"/>
            <color rgb="FF000000"/>
            <rFont val="Arial"/>
            <family val="2"/>
            <scheme val="minor"/>
          </rPr>
          <t>Started December 1</t>
        </r>
      </text>
    </comment>
    <comment ref="N159" authorId="0" shapeId="0" xr:uid="{00000000-0006-0000-3000-000013000000}">
      <text>
        <r>
          <rPr>
            <sz val="10"/>
            <color rgb="FF000000"/>
            <rFont val="Arial"/>
            <family val="2"/>
            <scheme val="minor"/>
          </rPr>
          <t>GoDaddy 1 year Domain Hosing DrodLloyd.com 8th</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
  </authors>
  <commentList>
    <comment ref="K27" authorId="0" shapeId="0" xr:uid="{00000000-0006-0000-3300-000001000000}">
      <text>
        <r>
          <rPr>
            <sz val="10"/>
            <color rgb="FF000000"/>
            <rFont val="Arial"/>
            <family val="2"/>
            <scheme val="minor"/>
          </rPr>
          <t>purchase price $20,000
rental deposit $800
Change Machine 1/4's $500
Water deposit 3yr $800</t>
        </r>
      </text>
    </comment>
    <comment ref="F103" authorId="0" shapeId="0" xr:uid="{00000000-0006-0000-3300-000002000000}">
      <text>
        <r>
          <rPr>
            <sz val="10"/>
            <color rgb="FF000000"/>
            <rFont val="Arial"/>
            <family val="2"/>
            <scheme val="minor"/>
          </rPr>
          <t>changed to 7th billing</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
  </authors>
  <commentList>
    <comment ref="N11" authorId="0" shapeId="0" xr:uid="{00000000-0006-0000-3400-000001000000}">
      <text>
        <r>
          <rPr>
            <sz val="10"/>
            <color rgb="FF000000"/>
            <rFont val="Arial"/>
            <family val="2"/>
            <scheme val="minor"/>
          </rPr>
          <t>2 months</t>
        </r>
      </text>
    </comment>
    <comment ref="C42" authorId="0" shapeId="0" xr:uid="{00000000-0006-0000-3400-000002000000}">
      <text>
        <r>
          <rPr>
            <sz val="10"/>
            <color rgb="FF000000"/>
            <rFont val="Arial"/>
            <family val="2"/>
            <scheme val="minor"/>
          </rPr>
          <t>paid on 1/5/13 collected</t>
        </r>
      </text>
    </comment>
    <comment ref="D42" authorId="0" shapeId="0" xr:uid="{00000000-0006-0000-3400-000003000000}">
      <text>
        <r>
          <rPr>
            <sz val="10"/>
            <color rgb="FF000000"/>
            <rFont val="Arial"/>
            <family val="2"/>
            <scheme val="minor"/>
          </rPr>
          <t>Picked up $250 on 2/8
Picked up $200 on 2/15
Picked up $370 on 2/16</t>
        </r>
      </text>
    </comment>
    <comment ref="E42" authorId="0" shapeId="0" xr:uid="{00000000-0006-0000-3400-000004000000}">
      <text>
        <r>
          <rPr>
            <sz val="10"/>
            <color rgb="FF000000"/>
            <rFont val="Arial"/>
            <family val="2"/>
            <scheme val="minor"/>
          </rPr>
          <t>Pick up $300 3/19/13 and gave 3 day notice
Pick up $400 3/23/13
Pickup $120 3/25/13 in full.  Agreed to move pay day to 7th</t>
        </r>
      </text>
    </comment>
    <comment ref="F42" authorId="0" shapeId="0" xr:uid="{00000000-0006-0000-3400-000005000000}">
      <text>
        <r>
          <rPr>
            <sz val="10"/>
            <color rgb="FF000000"/>
            <rFont val="Arial"/>
            <family val="2"/>
            <scheme val="minor"/>
          </rPr>
          <t>changed to 7th billing</t>
        </r>
      </text>
    </comment>
    <comment ref="F48" authorId="0" shapeId="0" xr:uid="{00000000-0006-0000-3400-000006000000}">
      <text>
        <r>
          <rPr>
            <sz val="10"/>
            <color rgb="FF000000"/>
            <rFont val="Arial"/>
            <family val="2"/>
            <scheme val="minor"/>
          </rPr>
          <t>Closing bill from Nov 2012 Cascade Gas</t>
        </r>
      </text>
    </comment>
    <comment ref="D62" authorId="0" shapeId="0" xr:uid="{00000000-0006-0000-3400-000007000000}">
      <text>
        <r>
          <rPr>
            <sz val="10"/>
            <color rgb="FF000000"/>
            <rFont val="Arial"/>
            <family val="2"/>
            <scheme val="minor"/>
          </rPr>
          <t>moved in 2/6/13
also paid 60 credit check fee</t>
        </r>
      </text>
    </comment>
    <comment ref="F62" authorId="0" shapeId="0" xr:uid="{00000000-0006-0000-3400-000008000000}">
      <text>
        <r>
          <rPr>
            <sz val="10"/>
            <color rgb="FF000000"/>
            <rFont val="Arial"/>
            <family val="2"/>
            <scheme val="minor"/>
          </rPr>
          <t>mailed 4/11/13 so $20 late charge needed</t>
        </r>
      </text>
    </comment>
    <comment ref="F64" authorId="0" shapeId="0" xr:uid="{00000000-0006-0000-3400-000009000000}">
      <text>
        <r>
          <rPr>
            <sz val="10"/>
            <color rgb="FF000000"/>
            <rFont val="Arial"/>
            <family val="2"/>
            <scheme val="minor"/>
          </rPr>
          <t>Deposit $150 paid by tenant 4/4/13
Deposit paid by CAP $350</t>
        </r>
      </text>
    </comment>
    <comment ref="K73" authorId="0" shapeId="0" xr:uid="{00000000-0006-0000-3400-00000A000000}">
      <text>
        <r>
          <rPr>
            <sz val="10"/>
            <color rgb="FF000000"/>
            <rFont val="Arial"/>
            <family val="2"/>
            <scheme val="minor"/>
          </rPr>
          <t>Domain 2 years RentLongview.com</t>
        </r>
      </text>
    </comment>
    <comment ref="D77" authorId="0" shapeId="0" xr:uid="{00000000-0006-0000-3400-00000B000000}">
      <text>
        <r>
          <rPr>
            <sz val="10"/>
            <color rgb="FF000000"/>
            <rFont val="Arial"/>
            <family val="2"/>
            <scheme val="minor"/>
          </rPr>
          <t>Moss off the roof and small patch</t>
        </r>
      </text>
    </comment>
    <comment ref="C89" authorId="0" shapeId="0" xr:uid="{00000000-0006-0000-3400-00000C000000}">
      <text>
        <r>
          <rPr>
            <sz val="10"/>
            <color rgb="FF000000"/>
            <rFont val="Arial"/>
            <family val="2"/>
            <scheme val="minor"/>
          </rPr>
          <t>paid on 1/5/13 collected</t>
        </r>
      </text>
    </comment>
    <comment ref="D89" authorId="0" shapeId="0" xr:uid="{00000000-0006-0000-3400-00000D000000}">
      <text>
        <r>
          <rPr>
            <sz val="10"/>
            <color rgb="FF000000"/>
            <rFont val="Arial"/>
            <family val="2"/>
            <scheme val="minor"/>
          </rPr>
          <t>Picked up $250 on 2/8
Picked up $200 on 2/15
Picked up $370 on 2/16</t>
        </r>
      </text>
    </comment>
    <comment ref="E89" authorId="0" shapeId="0" xr:uid="{00000000-0006-0000-3400-00000E000000}">
      <text>
        <r>
          <rPr>
            <sz val="10"/>
            <color rgb="FF000000"/>
            <rFont val="Arial"/>
            <family val="2"/>
            <scheme val="minor"/>
          </rPr>
          <t>Pick up $300 3/19/13 and gave 3 day notice
Pick up $400 3/23/13
Pickup $120 3/25/13 in full.  Agreed to move pay day to 7th</t>
        </r>
      </text>
    </comment>
    <comment ref="F89" authorId="0" shapeId="0" xr:uid="{00000000-0006-0000-3400-00000F000000}">
      <text>
        <r>
          <rPr>
            <sz val="10"/>
            <color rgb="FF000000"/>
            <rFont val="Arial"/>
            <family val="2"/>
            <scheme val="minor"/>
          </rPr>
          <t>changed to 7th billing</t>
        </r>
      </text>
    </comment>
    <comment ref="N89" authorId="0" shapeId="0" xr:uid="{00000000-0006-0000-3400-000010000000}">
      <text>
        <r>
          <rPr>
            <sz val="10"/>
            <color rgb="FF000000"/>
            <rFont val="Arial"/>
            <family val="2"/>
            <scheme val="minor"/>
          </rPr>
          <t xml:space="preserve">$550 paid in cash me pick up at house on 10th after  nail and mail 3 day
received $370 from relative, mailed 12/17 which includes $40 late charge </t>
        </r>
      </text>
    </comment>
    <comment ref="C110" authorId="0" shapeId="0" xr:uid="{00000000-0006-0000-3400-000011000000}">
      <text>
        <r>
          <rPr>
            <sz val="10"/>
            <color rgb="FF000000"/>
            <rFont val="Arial"/>
            <family val="2"/>
            <scheme val="minor"/>
          </rPr>
          <t>paid on 1/5/13 collected</t>
        </r>
      </text>
    </comment>
    <comment ref="D110" authorId="0" shapeId="0" xr:uid="{00000000-0006-0000-3400-000012000000}">
      <text>
        <r>
          <rPr>
            <sz val="10"/>
            <color rgb="FF000000"/>
            <rFont val="Arial"/>
            <family val="2"/>
            <scheme val="minor"/>
          </rPr>
          <t>Picked up $250 on 2/8
Picked up $200 on 2/15
Picked up $370 on 2/16</t>
        </r>
      </text>
    </comment>
    <comment ref="E110" authorId="0" shapeId="0" xr:uid="{00000000-0006-0000-3400-000013000000}">
      <text>
        <r>
          <rPr>
            <sz val="10"/>
            <color rgb="FF000000"/>
            <rFont val="Arial"/>
            <family val="2"/>
            <scheme val="minor"/>
          </rPr>
          <t>Pick up $300 3/19/13 and gave 3 day notice
Pick up $400 3/23/13
Pickup $120 3/25/13 in full.  Agreed to move pay day to 7th</t>
        </r>
      </text>
    </comment>
    <comment ref="F110" authorId="0" shapeId="0" xr:uid="{00000000-0006-0000-3400-000014000000}">
      <text>
        <r>
          <rPr>
            <sz val="10"/>
            <color rgb="FF000000"/>
            <rFont val="Arial"/>
            <family val="2"/>
            <scheme val="minor"/>
          </rPr>
          <t>changed to 7th billing</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
  </authors>
  <commentList>
    <comment ref="H9" authorId="0" shapeId="0" xr:uid="{00000000-0006-0000-3500-000001000000}">
      <text>
        <r>
          <rPr>
            <sz val="10"/>
            <color rgb="FF000000"/>
            <rFont val="Arial"/>
            <family val="2"/>
            <scheme val="minor"/>
          </rPr>
          <t>HCD fees</t>
        </r>
      </text>
    </comment>
    <comment ref="K9" authorId="0" shapeId="0" xr:uid="{00000000-0006-0000-3500-000002000000}">
      <text>
        <r>
          <rPr>
            <sz val="10"/>
            <color rgb="FF000000"/>
            <rFont val="Arial"/>
            <family val="2"/>
            <scheme val="minor"/>
          </rPr>
          <t>Lake Bed Management Dock tax + HCD park license + Fire Hydrant Fee</t>
        </r>
      </text>
    </comment>
    <comment ref="L9" authorId="0" shapeId="0" xr:uid="{00000000-0006-0000-3500-000003000000}">
      <text>
        <r>
          <rPr>
            <sz val="10"/>
            <color rgb="FF000000"/>
            <rFont val="Arial"/>
            <family val="2"/>
            <scheme val="minor"/>
          </rPr>
          <t>Permit HCD #14
Fire Tax</t>
        </r>
      </text>
    </comment>
    <comment ref="C10" authorId="0" shapeId="0" xr:uid="{00000000-0006-0000-3500-000004000000}">
      <text>
        <r>
          <rPr>
            <sz val="10"/>
            <color rgb="FF000000"/>
            <rFont val="Arial"/>
            <family val="2"/>
            <scheme val="minor"/>
          </rPr>
          <t>corrected bill $1,690.45</t>
        </r>
      </text>
    </comment>
    <comment ref="E10" authorId="0" shapeId="0" xr:uid="{00000000-0006-0000-3500-000005000000}">
      <text>
        <r>
          <rPr>
            <sz val="10"/>
            <color rgb="FF000000"/>
            <rFont val="Arial"/>
            <family val="2"/>
            <scheme val="minor"/>
          </rPr>
          <t>corrected bill $1,720.25</t>
        </r>
      </text>
    </comment>
    <comment ref="G10" authorId="0" shapeId="0" xr:uid="{00000000-0006-0000-3500-000006000000}">
      <text>
        <r>
          <rPr>
            <sz val="10"/>
            <color rgb="FF000000"/>
            <rFont val="Arial"/>
            <family val="2"/>
            <scheme val="minor"/>
          </rPr>
          <t>corrected amount $1,687.75</t>
        </r>
      </text>
    </comment>
    <comment ref="I10" authorId="0" shapeId="0" xr:uid="{00000000-0006-0000-3500-000007000000}">
      <text>
        <r>
          <rPr>
            <sz val="10"/>
            <color rgb="FF000000"/>
            <rFont val="Arial"/>
            <family val="2"/>
            <scheme val="minor"/>
          </rPr>
          <t>corrected amount $1,792.75</t>
        </r>
      </text>
    </comment>
    <comment ref="K10" authorId="0" shapeId="0" xr:uid="{00000000-0006-0000-3500-000008000000}">
      <text>
        <r>
          <rPr>
            <sz val="10"/>
            <color rgb="FF000000"/>
            <rFont val="Arial"/>
            <family val="2"/>
            <scheme val="minor"/>
          </rPr>
          <t>Corrected bill $2,276.50
Credit for overbilling</t>
        </r>
      </text>
    </comment>
    <comment ref="H11" authorId="0" shapeId="0" xr:uid="{00000000-0006-0000-3500-000009000000}">
      <text>
        <r>
          <rPr>
            <sz val="10"/>
            <color rgb="FF000000"/>
            <rFont val="Arial"/>
            <family val="2"/>
            <scheme val="minor"/>
          </rPr>
          <t>Catching up from un-billed    time</t>
        </r>
      </text>
    </comment>
    <comment ref="F13" authorId="0" shapeId="0" xr:uid="{00000000-0006-0000-3500-00000A000000}">
      <text>
        <r>
          <rPr>
            <sz val="10"/>
            <color rgb="FF000000"/>
            <rFont val="Arial"/>
            <family val="2"/>
            <scheme val="minor"/>
          </rPr>
          <t>Includes park cleanup &amp; dump run ready for HCD inspection</t>
        </r>
      </text>
    </comment>
    <comment ref="G13" authorId="0" shapeId="0" xr:uid="{00000000-0006-0000-3500-00000B000000}">
      <text>
        <r>
          <rPr>
            <sz val="10"/>
            <color rgb="FF000000"/>
            <rFont val="Arial"/>
            <family val="2"/>
            <scheme val="minor"/>
          </rPr>
          <t>Includes dump run</t>
        </r>
      </text>
    </comment>
    <comment ref="G14" authorId="0" shapeId="0" xr:uid="{00000000-0006-0000-3500-00000C000000}">
      <text>
        <r>
          <rPr>
            <sz val="10"/>
            <color rgb="FF000000"/>
            <rFont val="Arial"/>
            <family val="2"/>
            <scheme val="minor"/>
          </rPr>
          <t>Extra for Court</t>
        </r>
      </text>
    </comment>
    <comment ref="C15" authorId="0" shapeId="0" xr:uid="{00000000-0006-0000-3500-00000D000000}">
      <text>
        <r>
          <rPr>
            <sz val="10"/>
            <color rgb="FF000000"/>
            <rFont val="Arial"/>
            <family val="2"/>
            <scheme val="minor"/>
          </rPr>
          <t>Small Claims Expenses</t>
        </r>
      </text>
    </comment>
    <comment ref="F15" authorId="0" shapeId="0" xr:uid="{00000000-0006-0000-3500-00000E000000}">
      <text>
        <r>
          <rPr>
            <sz val="10"/>
            <color rgb="FF000000"/>
            <rFont val="Arial"/>
            <family val="2"/>
            <scheme val="minor"/>
          </rPr>
          <t xml:space="preserve">John Glennon Settlement
</t>
        </r>
      </text>
    </comment>
    <comment ref="G15" authorId="0" shapeId="0" xr:uid="{00000000-0006-0000-3500-00000F000000}">
      <text>
        <r>
          <rPr>
            <sz val="10"/>
            <color rgb="FF000000"/>
            <rFont val="Arial"/>
            <family val="2"/>
            <scheme val="minor"/>
          </rPr>
          <t>Attorney</t>
        </r>
      </text>
    </comment>
    <comment ref="I15" authorId="0" shapeId="0" xr:uid="{00000000-0006-0000-3500-000010000000}">
      <text>
        <r>
          <rPr>
            <sz val="10"/>
            <color rgb="FF000000"/>
            <rFont val="Arial"/>
            <family val="2"/>
            <scheme val="minor"/>
          </rPr>
          <t>Judgement Christina Willis</t>
        </r>
      </text>
    </comment>
    <comment ref="G20" authorId="0" shapeId="0" xr:uid="{00000000-0006-0000-3500-000011000000}">
      <text>
        <r>
          <rPr>
            <sz val="10"/>
            <color rgb="FF000000"/>
            <rFont val="Arial"/>
            <family val="2"/>
            <scheme val="minor"/>
          </rPr>
          <t>Leach line space 18/19</t>
        </r>
      </text>
    </comment>
    <comment ref="I20" authorId="0" shapeId="0" xr:uid="{00000000-0006-0000-3500-000012000000}">
      <text>
        <r>
          <rPr>
            <sz val="10"/>
            <color rgb="FF000000"/>
            <rFont val="Arial"/>
            <family val="2"/>
            <scheme val="minor"/>
          </rPr>
          <t>Tank Space 1 leach line repair</t>
        </r>
      </text>
    </comment>
    <comment ref="K20" authorId="0" shapeId="0" xr:uid="{00000000-0006-0000-3500-000013000000}">
      <text>
        <r>
          <rPr>
            <sz val="10"/>
            <color rgb="FF000000"/>
            <rFont val="Arial"/>
            <family val="2"/>
            <scheme val="minor"/>
          </rPr>
          <t>Old Bills</t>
        </r>
      </text>
    </comment>
    <comment ref="G22" authorId="0" shapeId="0" xr:uid="{00000000-0006-0000-3500-000014000000}">
      <text>
        <r>
          <rPr>
            <sz val="10"/>
            <color rgb="FF000000"/>
            <rFont val="Arial"/>
            <family val="2"/>
            <scheme val="minor"/>
          </rPr>
          <t>Trees</t>
        </r>
      </text>
    </comment>
    <comment ref="H22" authorId="0" shapeId="0" xr:uid="{00000000-0006-0000-3500-000015000000}">
      <text>
        <r>
          <rPr>
            <sz val="10"/>
            <color rgb="FF000000"/>
            <rFont val="Arial"/>
            <family val="2"/>
            <scheme val="minor"/>
          </rPr>
          <t>Trees</t>
        </r>
      </text>
    </comment>
    <comment ref="I22" authorId="0" shapeId="0" xr:uid="{00000000-0006-0000-3500-000016000000}">
      <text>
        <r>
          <rPr>
            <sz val="10"/>
            <color rgb="FF000000"/>
            <rFont val="Arial"/>
            <family val="2"/>
            <scheme val="minor"/>
          </rPr>
          <t>Trees</t>
        </r>
      </text>
    </comment>
    <comment ref="J22" authorId="0" shapeId="0" xr:uid="{00000000-0006-0000-3500-000017000000}">
      <text>
        <r>
          <rPr>
            <sz val="10"/>
            <color rgb="FF000000"/>
            <rFont val="Arial"/>
            <family val="2"/>
            <scheme val="minor"/>
          </rPr>
          <t>Electrical From HCD Park Inspection</t>
        </r>
      </text>
    </comment>
    <comment ref="K22" authorId="0" shapeId="0" xr:uid="{00000000-0006-0000-3500-000018000000}">
      <text>
        <r>
          <rPr>
            <sz val="10"/>
            <color rgb="FF000000"/>
            <rFont val="Arial"/>
            <family val="2"/>
            <scheme val="minor"/>
          </rPr>
          <t>Electrical work from HCD inspection</t>
        </r>
      </text>
    </comment>
    <comment ref="G23" authorId="0" shapeId="0" xr:uid="{00000000-0006-0000-3500-000019000000}">
      <text>
        <r>
          <rPr>
            <sz val="10"/>
            <color rgb="FF000000"/>
            <rFont val="Arial"/>
            <family val="2"/>
            <scheme val="minor"/>
          </rPr>
          <t>Paid Kelseyville Lumber</t>
        </r>
      </text>
    </comment>
    <comment ref="L34" authorId="0" shapeId="0" xr:uid="{00000000-0006-0000-3500-00001A000000}">
      <text>
        <r>
          <rPr>
            <sz val="10"/>
            <color rgb="FF000000"/>
            <rFont val="Arial"/>
            <family val="2"/>
            <scheme val="minor"/>
          </rPr>
          <t>Deposit</t>
        </r>
      </text>
    </comment>
    <comment ref="N34" authorId="0" shapeId="0" xr:uid="{00000000-0006-0000-3500-00001B000000}">
      <text>
        <r>
          <rPr>
            <sz val="10"/>
            <color rgb="FF000000"/>
            <rFont val="Arial"/>
            <family val="2"/>
            <scheme val="minor"/>
          </rPr>
          <t xml:space="preserve">$550 paid in cash me pick up at house on 10th after  nail and mail 3 day
received $370 from relative, mailed 12/17 which includes $40 late charge </t>
        </r>
      </text>
    </comment>
    <comment ref="M64" authorId="0" shapeId="0" xr:uid="{00000000-0006-0000-3500-00001C000000}">
      <text>
        <r>
          <rPr>
            <sz val="10"/>
            <color rgb="FF000000"/>
            <rFont val="Arial"/>
            <family val="2"/>
            <scheme val="minor"/>
          </rPr>
          <t>Good Faith Down Payment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I2" authorId="0" shapeId="0" xr:uid="{00000000-0006-0000-0700-000001000000}">
      <text>
        <r>
          <rPr>
            <sz val="10"/>
            <color rgb="FF000000"/>
            <rFont val="Arial"/>
            <family val="2"/>
            <scheme val="minor"/>
          </rPr>
          <t>CoronaVirus</t>
        </r>
      </text>
    </comment>
    <comment ref="BJ2" authorId="0" shapeId="0" xr:uid="{00000000-0006-0000-0700-000002000000}">
      <text>
        <r>
          <rPr>
            <sz val="10"/>
            <color rgb="FF000000"/>
            <rFont val="Arial"/>
            <family val="2"/>
            <scheme val="minor"/>
          </rPr>
          <t>CoronaVirus</t>
        </r>
      </text>
    </comment>
    <comment ref="O27" authorId="0" shapeId="0" xr:uid="{00000000-0006-0000-0700-000003000000}">
      <text>
        <r>
          <rPr>
            <sz val="10"/>
            <color rgb="FF000000"/>
            <rFont val="Arial"/>
            <family val="2"/>
            <scheme val="minor"/>
          </rPr>
          <t>Does not appear to be me and current</t>
        </r>
      </text>
    </comment>
    <comment ref="N29" authorId="0" shapeId="0" xr:uid="{00000000-0006-0000-0700-000004000000}">
      <text>
        <r>
          <rPr>
            <sz val="10"/>
            <color rgb="FF000000"/>
            <rFont val="Arial"/>
            <family val="2"/>
            <scheme val="minor"/>
          </rPr>
          <t>Unpublished on 8/21/24 with request to transfer ratings</t>
        </r>
      </text>
    </comment>
    <comment ref="K35" authorId="0" shapeId="0" xr:uid="{00000000-0006-0000-0700-000005000000}">
      <text>
        <r>
          <rPr>
            <sz val="10"/>
            <color rgb="FF000000"/>
            <rFont val="Arial"/>
            <family val="2"/>
            <scheme val="minor"/>
          </rPr>
          <t>Old 2018, let the Kindle version run for a trickle of income</t>
        </r>
      </text>
    </comment>
    <comment ref="BR113" authorId="0" shapeId="0" xr:uid="{00000000-0006-0000-0700-000006000000}">
      <text>
        <r>
          <rPr>
            <sz val="10"/>
            <color rgb="FF000000"/>
            <rFont val="Arial"/>
            <family val="2"/>
            <scheme val="minor"/>
          </rPr>
          <t>-20%</t>
        </r>
      </text>
    </comment>
    <comment ref="BR116" authorId="0" shapeId="0" xr:uid="{00000000-0006-0000-0700-000007000000}">
      <text>
        <r>
          <rPr>
            <sz val="10"/>
            <color rgb="FF000000"/>
            <rFont val="Arial"/>
            <family val="2"/>
            <scheme val="minor"/>
          </rPr>
          <t>-20%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L7" authorId="0" shapeId="0" xr:uid="{3E1BD310-BC23-41EC-BCDA-C4CAEEB356A8}">
      <text>
        <r>
          <rPr>
            <sz val="10"/>
            <color rgb="FF000000"/>
            <rFont val="Arial"/>
            <family val="2"/>
            <scheme val="minor"/>
          </rPr>
          <t>Full Year Due December 20</t>
        </r>
      </text>
    </comment>
    <comment ref="F17" authorId="0" shapeId="0" xr:uid="{B063E3D6-D56C-421B-B43F-808705AE4A48}">
      <text>
        <r>
          <rPr>
            <sz val="10"/>
            <color rgb="FF000000"/>
            <rFont val="Arial"/>
            <family val="2"/>
            <scheme val="minor"/>
          </rPr>
          <t>Heater off May 1</t>
        </r>
      </text>
    </comment>
    <comment ref="B29" authorId="0" shapeId="0" xr:uid="{DC7AAAA1-6F48-4F70-B8CC-8EDCFECF12E7}">
      <text>
        <r>
          <rPr>
            <sz val="10"/>
            <color rgb="FF000000"/>
            <rFont val="Arial"/>
            <family val="2"/>
            <scheme val="minor"/>
          </rPr>
          <t>Invoice sent 4/30/24
paid 120 on 5/1</t>
        </r>
      </text>
    </comment>
    <comment ref="B31" authorId="0" shapeId="0" xr:uid="{EB699273-2780-42FF-8B47-E52EB3545D52}">
      <text>
        <r>
          <rPr>
            <sz val="10"/>
            <color rgb="FF000000"/>
            <rFont val="Arial"/>
            <family val="2"/>
            <scheme val="minor"/>
          </rPr>
          <t xml:space="preserve">Invoice sent to Kevin 4/30/24 $135
paid 135 on may 3
</t>
        </r>
      </text>
    </comment>
    <comment ref="B32" authorId="0" shapeId="0" xr:uid="{76B94C6B-7B54-4CDF-868E-1E8EE36AABE1}">
      <text>
        <r>
          <rPr>
            <sz val="10"/>
            <color rgb="FF000000"/>
            <rFont val="Arial"/>
            <family val="2"/>
            <scheme val="minor"/>
          </rPr>
          <t>renew domain 4/8</t>
        </r>
      </text>
    </comment>
    <comment ref="B35" authorId="0" shapeId="0" xr:uid="{C4136FAB-0868-4FCF-BFD4-10DA7C2B5E50}">
      <text>
        <r>
          <rPr>
            <sz val="10"/>
            <color rgb="FF000000"/>
            <rFont val="Arial"/>
            <family val="2"/>
            <scheme val="minor"/>
          </rPr>
          <t xml:space="preserve">Sent invoice 4/30/24
paid 179 on 7/1
</t>
        </r>
      </text>
    </comment>
    <comment ref="B37" authorId="0" shapeId="0" xr:uid="{2072C8AC-ABF8-46A7-B000-2A8B115A9E3A}">
      <text>
        <r>
          <rPr>
            <sz val="10"/>
            <color rgb="FF000000"/>
            <rFont val="Arial"/>
            <family val="2"/>
            <scheme val="minor"/>
          </rPr>
          <t xml:space="preserve">invoice sent 4/30/24
paid 97 on 5/13/24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L7" authorId="0" shapeId="0" xr:uid="{00000000-0006-0000-0B00-000001000000}">
      <text>
        <r>
          <rPr>
            <sz val="10"/>
            <color rgb="FF000000"/>
            <rFont val="Arial"/>
            <family val="2"/>
            <scheme val="minor"/>
          </rPr>
          <t>Full Year Due December 20</t>
        </r>
      </text>
    </comment>
    <comment ref="F17" authorId="0" shapeId="0" xr:uid="{00000000-0006-0000-0B00-000002000000}">
      <text>
        <r>
          <rPr>
            <sz val="10"/>
            <color rgb="FF000000"/>
            <rFont val="Arial"/>
            <family val="2"/>
            <scheme val="minor"/>
          </rPr>
          <t>Heater off May 1</t>
        </r>
      </text>
    </comment>
    <comment ref="B29" authorId="0" shapeId="0" xr:uid="{00000000-0006-0000-0B00-000003000000}">
      <text>
        <r>
          <rPr>
            <sz val="10"/>
            <color rgb="FF000000"/>
            <rFont val="Arial"/>
            <family val="2"/>
            <scheme val="minor"/>
          </rPr>
          <t>Invoice sent 4/30/24
paid 120 on 5/1</t>
        </r>
      </text>
    </comment>
    <comment ref="B31" authorId="0" shapeId="0" xr:uid="{00000000-0006-0000-0B00-000004000000}">
      <text>
        <r>
          <rPr>
            <sz val="10"/>
            <color rgb="FF000000"/>
            <rFont val="Arial"/>
            <family val="2"/>
            <scheme val="minor"/>
          </rPr>
          <t xml:space="preserve">Invoice sent to Kevin 4/30/24 $135
paid 135 on may 3
</t>
        </r>
      </text>
    </comment>
    <comment ref="B32" authorId="0" shapeId="0" xr:uid="{00000000-0006-0000-0B00-000005000000}">
      <text>
        <r>
          <rPr>
            <sz val="10"/>
            <color rgb="FF000000"/>
            <rFont val="Arial"/>
            <family val="2"/>
            <scheme val="minor"/>
          </rPr>
          <t>renew domain 4/8</t>
        </r>
      </text>
    </comment>
    <comment ref="B35" authorId="0" shapeId="0" xr:uid="{00000000-0006-0000-0B00-000006000000}">
      <text>
        <r>
          <rPr>
            <sz val="10"/>
            <color rgb="FF000000"/>
            <rFont val="Arial"/>
            <family val="2"/>
            <scheme val="minor"/>
          </rPr>
          <t>Sent invoice 4/30/24
paid 179 on 7/1
domain ends mar 25,2025</t>
        </r>
      </text>
    </comment>
    <comment ref="B37" authorId="0" shapeId="0" xr:uid="{00000000-0006-0000-0B00-000007000000}">
      <text>
        <r>
          <rPr>
            <sz val="10"/>
            <color rgb="FF000000"/>
            <rFont val="Arial"/>
            <family val="2"/>
            <scheme val="minor"/>
          </rPr>
          <t xml:space="preserve">invoice sent 4/30/24
paid 97 on 5/13/24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M7" authorId="0" shapeId="0" xr:uid="{00000000-0006-0000-0C00-000001000000}">
      <text>
        <r>
          <rPr>
            <sz val="10"/>
            <color rgb="FF000000"/>
            <rFont val="Arial"/>
            <family val="2"/>
            <scheme val="minor"/>
          </rPr>
          <t>Full Year Due December 20</t>
        </r>
      </text>
    </comment>
    <comment ref="G17" authorId="0" shapeId="0" xr:uid="{00000000-0006-0000-0C00-000002000000}">
      <text>
        <r>
          <rPr>
            <sz val="10"/>
            <color rgb="FF000000"/>
            <rFont val="Arial"/>
            <family val="2"/>
            <scheme val="minor"/>
          </rPr>
          <t>Heater off May 1</t>
        </r>
      </text>
    </comment>
    <comment ref="C29" authorId="0" shapeId="0" xr:uid="{00000000-0006-0000-0C00-000003000000}">
      <text>
        <r>
          <rPr>
            <sz val="10"/>
            <color rgb="FF000000"/>
            <rFont val="Arial"/>
            <family val="2"/>
            <scheme val="minor"/>
          </rPr>
          <t>Invoice sent 6/25/23
paid 115 on 6/28/23 #2497</t>
        </r>
      </text>
    </comment>
    <comment ref="C31" authorId="0" shapeId="0" xr:uid="{00000000-0006-0000-0C00-000004000000}">
      <text>
        <r>
          <rPr>
            <sz val="10"/>
            <color rgb="FF000000"/>
            <rFont val="Arial"/>
            <family val="2"/>
            <scheme val="minor"/>
          </rPr>
          <t xml:space="preserve">Invoice sent to Kevin 6/25/23 $130
paid 130 on 6/29/23 #1133
</t>
        </r>
      </text>
    </comment>
    <comment ref="C32" authorId="0" shapeId="0" xr:uid="{00000000-0006-0000-0C00-000005000000}">
      <text>
        <r>
          <rPr>
            <sz val="10"/>
            <color rgb="FF000000"/>
            <rFont val="Arial"/>
            <family val="2"/>
            <scheme val="minor"/>
          </rPr>
          <t>renew domain 4/8</t>
        </r>
      </text>
    </comment>
    <comment ref="B33" authorId="0" shapeId="0" xr:uid="{00000000-0006-0000-0C00-000006000000}">
      <text>
        <r>
          <rPr>
            <sz val="10"/>
            <color rgb="FF000000"/>
            <rFont val="Arial"/>
            <family val="2"/>
            <scheme val="minor"/>
          </rPr>
          <t>WordPress [login /admin]</t>
        </r>
      </text>
    </comment>
    <comment ref="C33" authorId="0" shapeId="0" xr:uid="{00000000-0006-0000-0C00-000007000000}">
      <text>
        <r>
          <rPr>
            <sz val="10"/>
            <color rgb="FF000000"/>
            <rFont val="Arial"/>
            <family val="2"/>
            <scheme val="minor"/>
          </rPr>
          <t xml:space="preserve">invoice sent 6-25-23
renew domain  9/23
paid $398 on 
Terminated September 23
</t>
        </r>
      </text>
    </comment>
    <comment ref="C35" authorId="0" shapeId="0" xr:uid="{00000000-0006-0000-0C00-000008000000}">
      <text>
        <r>
          <rPr>
            <sz val="10"/>
            <color rgb="FF000000"/>
            <rFont val="Arial"/>
            <family val="2"/>
            <scheme val="minor"/>
          </rPr>
          <t xml:space="preserve">Sent invoice 6/25/23
paid 174 on 6/26 #1068
</t>
        </r>
      </text>
    </comment>
    <comment ref="C37" authorId="0" shapeId="0" xr:uid="{00000000-0006-0000-0C00-000009000000}">
      <text>
        <r>
          <rPr>
            <sz val="10"/>
            <color rgb="FF000000"/>
            <rFont val="Arial"/>
            <family val="2"/>
            <scheme val="minor"/>
          </rPr>
          <t xml:space="preserve">invoice sent 6/25/23
paid $157 on 10/20/23 ck 1121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M7" authorId="0" shapeId="0" xr:uid="{00000000-0006-0000-1000-000001000000}">
      <text>
        <r>
          <rPr>
            <sz val="10"/>
            <color rgb="FF000000"/>
            <rFont val="Arial"/>
            <family val="2"/>
            <scheme val="minor"/>
          </rPr>
          <t>Full Year Due December 20</t>
        </r>
      </text>
    </comment>
    <comment ref="G17" authorId="0" shapeId="0" xr:uid="{00000000-0006-0000-1000-000002000000}">
      <text>
        <r>
          <rPr>
            <sz val="10"/>
            <color rgb="FF000000"/>
            <rFont val="Arial"/>
            <family val="2"/>
            <scheme val="minor"/>
          </rPr>
          <t>Heater off May 1</t>
        </r>
      </text>
    </comment>
    <comment ref="C28" authorId="0" shapeId="0" xr:uid="{00000000-0006-0000-1000-000003000000}">
      <text>
        <r>
          <rPr>
            <sz val="10"/>
            <color rgb="FF000000"/>
            <rFont val="Arial"/>
            <family val="2"/>
            <scheme val="minor"/>
          </rPr>
          <t xml:space="preserve">invoice sent 5/16 6 months only
</t>
        </r>
      </text>
    </comment>
    <comment ref="C29" authorId="0" shapeId="0" xr:uid="{00000000-0006-0000-1000-000004000000}">
      <text>
        <r>
          <rPr>
            <sz val="10"/>
            <color rgb="FF000000"/>
            <rFont val="Arial"/>
            <family val="2"/>
            <scheme val="minor"/>
          </rPr>
          <t>Invoice sent 5/15/22
paid 110 on 5/20 #2453</t>
        </r>
      </text>
    </comment>
    <comment ref="C30" authorId="0" shapeId="0" xr:uid="{00000000-0006-0000-1000-000005000000}">
      <text>
        <r>
          <rPr>
            <sz val="10"/>
            <color rgb="FF000000"/>
            <rFont val="Arial"/>
            <family val="2"/>
            <scheme val="minor"/>
          </rPr>
          <t>invoice sent 4/5/2021
Domain https://cybervision.com 4/9
Reminder sent to Robert 6/26/21
paid 165 on 7/9 ck no 20926695</t>
        </r>
      </text>
    </comment>
    <comment ref="D30" authorId="0" shapeId="0" xr:uid="{00000000-0006-0000-1000-000006000000}">
      <text>
        <r>
          <rPr>
            <sz val="10"/>
            <color rgb="FF000000"/>
            <rFont val="Arial"/>
            <family val="2"/>
            <scheme val="minor"/>
          </rPr>
          <t>requested invoice link 5/16/22</t>
        </r>
      </text>
    </comment>
    <comment ref="F30" authorId="0" shapeId="0" xr:uid="{00000000-0006-0000-1000-000007000000}">
      <text>
        <r>
          <rPr>
            <sz val="10"/>
            <color rgb="FF000000"/>
            <rFont val="Arial"/>
            <family val="2"/>
            <scheme val="minor"/>
          </rPr>
          <t>Domain Renewal 
https://cybervision.com/
ross@aaces.com
$9.99 for 1 year
AAces.com May9
paid 3/10/21
terminate contract 5/24/22</t>
        </r>
      </text>
    </comment>
    <comment ref="C31" authorId="0" shapeId="0" xr:uid="{00000000-0006-0000-1000-000008000000}">
      <text>
        <r>
          <rPr>
            <sz val="10"/>
            <color rgb="FF000000"/>
            <rFont val="Arial"/>
            <family val="2"/>
            <scheme val="minor"/>
          </rPr>
          <t xml:space="preserve">Invoice sent to Kevin 5/16/22 $130
paid 130 on 5/23 #1126
</t>
        </r>
      </text>
    </comment>
    <comment ref="C32" authorId="0" shapeId="0" xr:uid="{00000000-0006-0000-1000-000009000000}">
      <text>
        <r>
          <rPr>
            <sz val="10"/>
            <color rgb="FF000000"/>
            <rFont val="Arial"/>
            <family val="2"/>
            <scheme val="minor"/>
          </rPr>
          <t>renew domain 4/8</t>
        </r>
      </text>
    </comment>
    <comment ref="B33" authorId="0" shapeId="0" xr:uid="{00000000-0006-0000-1000-00000A000000}">
      <text>
        <r>
          <rPr>
            <sz val="10"/>
            <color rgb="FF000000"/>
            <rFont val="Arial"/>
            <family val="2"/>
            <scheme val="minor"/>
          </rPr>
          <t>WordPress [login /admin]</t>
        </r>
      </text>
    </comment>
    <comment ref="C33" authorId="0" shapeId="0" xr:uid="{00000000-0006-0000-1000-00000B000000}">
      <text>
        <r>
          <rPr>
            <sz val="10"/>
            <color rgb="FF000000"/>
            <rFont val="Arial"/>
            <family val="2"/>
            <scheme val="minor"/>
          </rPr>
          <t>invoice sent 5-16-22
renew domain  9/22
paid $398 on 7/15/22 ck 43024</t>
        </r>
      </text>
    </comment>
    <comment ref="C35" authorId="0" shapeId="0" xr:uid="{00000000-0006-0000-1000-00000C000000}">
      <text>
        <r>
          <rPr>
            <sz val="10"/>
            <color rgb="FF000000"/>
            <rFont val="Arial"/>
            <family val="2"/>
            <scheme val="minor"/>
          </rPr>
          <t xml:space="preserve">Sent invoice 5/16/22
paid 162 on 8/1/22
</t>
        </r>
      </text>
    </comment>
    <comment ref="C37" authorId="0" shapeId="0" xr:uid="{00000000-0006-0000-1000-00000D000000}">
      <text>
        <r>
          <rPr>
            <sz val="10"/>
            <color rgb="FF000000"/>
            <rFont val="Arial"/>
            <family val="2"/>
            <scheme val="minor"/>
          </rPr>
          <t>invoice sent 4/5/21
received $60 4/12/21 ck 1081
paid $157 on 10/20/23 ck 1121</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M7" authorId="0" shapeId="0" xr:uid="{00000000-0006-0000-1700-000001000000}">
      <text>
        <r>
          <rPr>
            <sz val="10"/>
            <color rgb="FF000000"/>
            <rFont val="Arial"/>
            <family val="2"/>
            <scheme val="minor"/>
          </rPr>
          <t>Full Year Due December 20</t>
        </r>
      </text>
    </comment>
    <comment ref="G17" authorId="0" shapeId="0" xr:uid="{00000000-0006-0000-1700-000002000000}">
      <text>
        <r>
          <rPr>
            <sz val="10"/>
            <color rgb="FF000000"/>
            <rFont val="Arial"/>
            <family val="2"/>
            <scheme val="minor"/>
          </rPr>
          <t>Heater off May 1</t>
        </r>
      </text>
    </comment>
    <comment ref="C28" authorId="0" shapeId="0" xr:uid="{00000000-0006-0000-1700-000003000000}">
      <text>
        <r>
          <rPr>
            <sz val="10"/>
            <color rgb="FF000000"/>
            <rFont val="Arial"/>
            <family val="2"/>
            <scheme val="minor"/>
          </rPr>
          <t xml:space="preserve">invoice sent 4/5/21
pd 170 5/10/21 ck 9185
</t>
        </r>
      </text>
    </comment>
    <comment ref="C29" authorId="0" shapeId="0" xr:uid="{00000000-0006-0000-1700-000004000000}">
      <text>
        <r>
          <rPr>
            <sz val="10"/>
            <color rgb="FF000000"/>
            <rFont val="Arial"/>
            <family val="2"/>
            <scheme val="minor"/>
          </rPr>
          <t>Invoice sent 4/5/21
paid $100 4/9/21 ck 2425</t>
        </r>
      </text>
    </comment>
    <comment ref="C30" authorId="0" shapeId="0" xr:uid="{00000000-0006-0000-1700-000005000000}">
      <text>
        <r>
          <rPr>
            <sz val="10"/>
            <color rgb="FF000000"/>
            <rFont val="Arial"/>
            <family val="2"/>
            <scheme val="minor"/>
          </rPr>
          <t>invoice sent 4/5/2021
Domain https://cybervision.com 4/9
Reminder sent to Robert 6/26/21
paid 165 on 7/9 ck no 20926695</t>
        </r>
      </text>
    </comment>
    <comment ref="F30" authorId="0" shapeId="0" xr:uid="{00000000-0006-0000-1700-000006000000}">
      <text>
        <r>
          <rPr>
            <sz val="10"/>
            <color rgb="FF000000"/>
            <rFont val="Arial"/>
            <family val="2"/>
            <scheme val="minor"/>
          </rPr>
          <t>Domain Renewal 
https://cybervision.com/
$9.99 for 1 year
AAces.com May9
paid 3/10/21</t>
        </r>
      </text>
    </comment>
    <comment ref="C31" authorId="0" shapeId="0" xr:uid="{00000000-0006-0000-1700-000007000000}">
      <text>
        <r>
          <rPr>
            <sz val="10"/>
            <color rgb="FF000000"/>
            <rFont val="Arial"/>
            <family val="2"/>
            <scheme val="minor"/>
          </rPr>
          <t>Invoice sent to Kevin 4/5/21 $130
accidently sent 31 bill saying $165
paid $165 on 4/7 ck 1118</t>
        </r>
      </text>
    </comment>
    <comment ref="C32" authorId="0" shapeId="0" xr:uid="{00000000-0006-0000-1700-000008000000}">
      <text>
        <r>
          <rPr>
            <sz val="10"/>
            <color rgb="FF000000"/>
            <rFont val="Arial"/>
            <family val="2"/>
            <scheme val="minor"/>
          </rPr>
          <t>renew domain 4/8</t>
        </r>
      </text>
    </comment>
    <comment ref="B33" authorId="0" shapeId="0" xr:uid="{00000000-0006-0000-1700-000009000000}">
      <text>
        <r>
          <rPr>
            <sz val="10"/>
            <color rgb="FF000000"/>
            <rFont val="Arial"/>
            <family val="2"/>
            <scheme val="minor"/>
          </rPr>
          <t>WordPress [login /admin]</t>
        </r>
      </text>
    </comment>
    <comment ref="C33" authorId="0" shapeId="0" xr:uid="{00000000-0006-0000-1700-00000A000000}">
      <text>
        <r>
          <rPr>
            <sz val="10"/>
            <color rgb="FF000000"/>
            <rFont val="Arial"/>
            <family val="2"/>
            <scheme val="minor"/>
          </rPr>
          <t>invoice sent 4/5/2021
paid 389 on 4/19/21 ck 42485
renew domain  9/22</t>
        </r>
      </text>
    </comment>
    <comment ref="C35" authorId="0" shapeId="0" xr:uid="{00000000-0006-0000-1700-00000B000000}">
      <text>
        <r>
          <rPr>
            <sz val="10"/>
            <color rgb="FF000000"/>
            <rFont val="Arial"/>
            <family val="2"/>
            <scheme val="minor"/>
          </rPr>
          <t xml:space="preserve">Sent invoice 4/5/21
paid 8/14/21 $155
</t>
        </r>
      </text>
    </comment>
    <comment ref="C37" authorId="0" shapeId="0" xr:uid="{00000000-0006-0000-1700-00000C000000}">
      <text>
        <r>
          <rPr>
            <sz val="10"/>
            <color rgb="FF000000"/>
            <rFont val="Arial"/>
            <family val="2"/>
            <scheme val="minor"/>
          </rPr>
          <t>invoice sent 4/5/21
received $60 4/12/21 ck 1081</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M7" authorId="0" shapeId="0" xr:uid="{00000000-0006-0000-1800-000001000000}">
      <text>
        <r>
          <rPr>
            <sz val="10"/>
            <color rgb="FF000000"/>
            <rFont val="Arial"/>
            <family val="2"/>
            <scheme val="minor"/>
          </rPr>
          <t>Full Year Due December 20</t>
        </r>
      </text>
    </comment>
    <comment ref="G17" authorId="0" shapeId="0" xr:uid="{00000000-0006-0000-1800-000002000000}">
      <text>
        <r>
          <rPr>
            <sz val="10"/>
            <color rgb="FF000000"/>
            <rFont val="Arial"/>
            <family val="2"/>
            <scheme val="minor"/>
          </rPr>
          <t>Heater off May 1</t>
        </r>
      </text>
    </comment>
    <comment ref="C28" authorId="0" shapeId="0" xr:uid="{00000000-0006-0000-1800-000003000000}">
      <text>
        <r>
          <rPr>
            <sz val="10"/>
            <color rgb="FF000000"/>
            <rFont val="Arial"/>
            <family val="2"/>
            <scheme val="minor"/>
          </rPr>
          <t xml:space="preserve">invoice sent 4/5/21
pd 170 5/10/21 ck 9185
</t>
        </r>
      </text>
    </comment>
    <comment ref="C29" authorId="0" shapeId="0" xr:uid="{00000000-0006-0000-1800-000004000000}">
      <text>
        <r>
          <rPr>
            <sz val="10"/>
            <color rgb="FF000000"/>
            <rFont val="Arial"/>
            <family val="2"/>
            <scheme val="minor"/>
          </rPr>
          <t>Invoice sent 4/5/21
paid $100 4/9/21 ck 2425</t>
        </r>
      </text>
    </comment>
    <comment ref="C30" authorId="0" shapeId="0" xr:uid="{00000000-0006-0000-1800-000005000000}">
      <text>
        <r>
          <rPr>
            <sz val="10"/>
            <color rgb="FF000000"/>
            <rFont val="Arial"/>
            <family val="2"/>
            <scheme val="minor"/>
          </rPr>
          <t>invoice sent 4/5/2021
Domain https://cybervision.com 4/9
Reminder sent to Robert 6/26/21
paid 165 on 7/9 ck no 20926695</t>
        </r>
      </text>
    </comment>
    <comment ref="F30" authorId="0" shapeId="0" xr:uid="{00000000-0006-0000-1800-000006000000}">
      <text>
        <r>
          <rPr>
            <sz val="10"/>
            <color rgb="FF000000"/>
            <rFont val="Arial"/>
            <family val="2"/>
            <scheme val="minor"/>
          </rPr>
          <t>Domain Renewal 
https://cybervision.com/
$9.99 for 1 year
AAces.com May9
paid 3/10/21</t>
        </r>
      </text>
    </comment>
    <comment ref="C31" authorId="0" shapeId="0" xr:uid="{00000000-0006-0000-1800-000007000000}">
      <text>
        <r>
          <rPr>
            <sz val="10"/>
            <color rgb="FF000000"/>
            <rFont val="Arial"/>
            <family val="2"/>
            <scheme val="minor"/>
          </rPr>
          <t>Invoice sent to Kevin 4/5/21 $130
accidently sent 31 bill saying $165
paid $165 on 4/7 ck 1118</t>
        </r>
      </text>
    </comment>
    <comment ref="C32" authorId="0" shapeId="0" xr:uid="{00000000-0006-0000-1800-000008000000}">
      <text>
        <r>
          <rPr>
            <sz val="10"/>
            <color rgb="FF000000"/>
            <rFont val="Arial"/>
            <family val="2"/>
            <scheme val="minor"/>
          </rPr>
          <t>renew domain 4/8</t>
        </r>
      </text>
    </comment>
    <comment ref="B33" authorId="0" shapeId="0" xr:uid="{00000000-0006-0000-1800-000009000000}">
      <text>
        <r>
          <rPr>
            <sz val="10"/>
            <color rgb="FF000000"/>
            <rFont val="Arial"/>
            <family val="2"/>
            <scheme val="minor"/>
          </rPr>
          <t>WordPress [login /admin]</t>
        </r>
      </text>
    </comment>
    <comment ref="C33" authorId="0" shapeId="0" xr:uid="{00000000-0006-0000-1800-00000A000000}">
      <text>
        <r>
          <rPr>
            <sz val="10"/>
            <color rgb="FF000000"/>
            <rFont val="Arial"/>
            <family val="2"/>
            <scheme val="minor"/>
          </rPr>
          <t>invoice sent 4/5/2021
paid 389 on 4/19/21 ck 42485
renew domain  9/22</t>
        </r>
      </text>
    </comment>
    <comment ref="C35" authorId="0" shapeId="0" xr:uid="{00000000-0006-0000-1800-00000B000000}">
      <text>
        <r>
          <rPr>
            <sz val="10"/>
            <color rgb="FF000000"/>
            <rFont val="Arial"/>
            <family val="2"/>
            <scheme val="minor"/>
          </rPr>
          <t xml:space="preserve">Sent invoice 4/5/21
paid 8/14/21 $155
</t>
        </r>
      </text>
    </comment>
    <comment ref="C37" authorId="0" shapeId="0" xr:uid="{00000000-0006-0000-1800-00000C000000}">
      <text>
        <r>
          <rPr>
            <sz val="10"/>
            <color rgb="FF000000"/>
            <rFont val="Arial"/>
            <family val="2"/>
            <scheme val="minor"/>
          </rPr>
          <t>invoice sent 4/5/21
received $60 4/12/21 ck 1081</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6">
    <bk>
      <extLst>
        <ext uri="{3e2802c4-a4d2-4d8b-9148-e3be6c30e623}">
          <xlrd:rvb i="2"/>
        </ext>
      </extLst>
    </bk>
    <bk>
      <extLst>
        <ext uri="{3e2802c4-a4d2-4d8b-9148-e3be6c30e623}">
          <xlrd:rvb i="5"/>
        </ext>
      </extLst>
    </bk>
    <bk>
      <extLst>
        <ext uri="{3e2802c4-a4d2-4d8b-9148-e3be6c30e623}">
          <xlrd:rvb i="8"/>
        </ext>
      </extLst>
    </bk>
    <bk>
      <extLst>
        <ext uri="{3e2802c4-a4d2-4d8b-9148-e3be6c30e623}">
          <xlrd:rvb i="11"/>
        </ext>
      </extLst>
    </bk>
    <bk>
      <extLst>
        <ext uri="{3e2802c4-a4d2-4d8b-9148-e3be6c30e623}">
          <xlrd:rvb i="14"/>
        </ext>
      </extLst>
    </bk>
    <bk>
      <extLst>
        <ext uri="{3e2802c4-a4d2-4d8b-9148-e3be6c30e623}">
          <xlrd:rvb i="17"/>
        </ext>
      </extLst>
    </bk>
  </futureMetadata>
  <futureMetadata name="XLDAPR" count="1">
    <bk>
      <extLst>
        <ext uri="{bdbb8cdc-fa1e-496e-a857-3c3f30c029c3}">
          <xda:dynamicArrayProperties fDynamic="1" fCollapsed="0"/>
        </ext>
      </extLst>
    </bk>
  </futureMetadata>
  <cellMetadata count="1">
    <bk>
      <rc t="2" v="0"/>
    </bk>
  </cellMetadata>
  <valueMetadata count="6">
    <bk>
      <rc t="1" v="0"/>
    </bk>
    <bk>
      <rc t="1" v="1"/>
    </bk>
    <bk>
      <rc t="1" v="2"/>
    </bk>
    <bk>
      <rc t="1" v="3"/>
    </bk>
    <bk>
      <rc t="1" v="4"/>
    </bk>
    <bk>
      <rc t="1" v="5"/>
    </bk>
  </valueMetadata>
</metadata>
</file>

<file path=xl/sharedStrings.xml><?xml version="1.0" encoding="utf-8"?>
<sst xmlns="http://schemas.openxmlformats.org/spreadsheetml/2006/main" count="21835" uniqueCount="9029">
  <si>
    <t>Company</t>
  </si>
  <si>
    <t>Ticker</t>
  </si>
  <si>
    <t>Buy Date</t>
  </si>
  <si>
    <t>Div Ex Date</t>
  </si>
  <si>
    <t>Sell Date</t>
  </si>
  <si>
    <t>Sell Price</t>
  </si>
  <si>
    <t>yeild on invest</t>
  </si>
  <si>
    <t>Div $</t>
  </si>
  <si>
    <t>Div Pay</t>
  </si>
  <si>
    <t>Yield Yr</t>
  </si>
  <si>
    <t>Paid</t>
  </si>
  <si>
    <t>Shares</t>
  </si>
  <si>
    <t>Live Price</t>
  </si>
  <si>
    <t>Live Profit</t>
  </si>
  <si>
    <t>Invested</t>
  </si>
  <si>
    <t>Trading hours 8:30 to 3:00 CT NOTES</t>
  </si>
  <si>
    <t>income</t>
  </si>
  <si>
    <t>Nov</t>
  </si>
  <si>
    <t>Oct</t>
  </si>
  <si>
    <t>Sept</t>
  </si>
  <si>
    <t>Aug</t>
  </si>
  <si>
    <t>Jul</t>
  </si>
  <si>
    <t>Jun</t>
  </si>
  <si>
    <t>May</t>
  </si>
  <si>
    <t>Apr</t>
  </si>
  <si>
    <t>Mar</t>
  </si>
  <si>
    <t>Feb</t>
  </si>
  <si>
    <t>SWVXX</t>
  </si>
  <si>
    <t>15th</t>
  </si>
  <si>
    <t>ss</t>
  </si>
  <si>
    <t>WeBull</t>
  </si>
  <si>
    <t>PBSV</t>
  </si>
  <si>
    <t>Robinhood</t>
  </si>
  <si>
    <t>SPY</t>
  </si>
  <si>
    <t>hold</t>
  </si>
  <si>
    <t>loss</t>
  </si>
  <si>
    <t>Div</t>
  </si>
  <si>
    <t>NetX</t>
  </si>
  <si>
    <t>Income</t>
  </si>
  <si>
    <t>12mo</t>
  </si>
  <si>
    <t>Contraian</t>
  </si>
  <si>
    <t>$</t>
  </si>
  <si>
    <t>Loans</t>
  </si>
  <si>
    <t>now</t>
  </si>
  <si>
    <t>year</t>
  </si>
  <si>
    <t>SS [3]</t>
  </si>
  <si>
    <t>mortgage</t>
  </si>
  <si>
    <t>BRMK</t>
  </si>
  <si>
    <t>Monthly</t>
  </si>
  <si>
    <t>Tucker</t>
  </si>
  <si>
    <t>SPX</t>
  </si>
  <si>
    <t>S&amp;P</t>
  </si>
  <si>
    <t>Profit</t>
  </si>
  <si>
    <t>Basis</t>
  </si>
  <si>
    <t>Tax Docs for</t>
  </si>
  <si>
    <t>Books</t>
  </si>
  <si>
    <t>PCI</t>
  </si>
  <si>
    <t>Helen</t>
  </si>
  <si>
    <t>C O M P L E T E D   T R A D E S</t>
  </si>
  <si>
    <t>net</t>
  </si>
  <si>
    <t>Schwab</t>
  </si>
  <si>
    <t>total</t>
  </si>
  <si>
    <t>EMD</t>
  </si>
  <si>
    <t>Sold</t>
  </si>
  <si>
    <t>Closed</t>
  </si>
  <si>
    <t>System</t>
  </si>
  <si>
    <t>ebay</t>
  </si>
  <si>
    <t>Total</t>
  </si>
  <si>
    <t>FAX</t>
  </si>
  <si>
    <t>amazon</t>
  </si>
  <si>
    <t>taxes</t>
  </si>
  <si>
    <t>helen Valley Trust</t>
  </si>
  <si>
    <t>schwab</t>
  </si>
  <si>
    <t>tesla</t>
  </si>
  <si>
    <t>Boat+</t>
  </si>
  <si>
    <t>etsy</t>
  </si>
  <si>
    <t>Laurel</t>
  </si>
  <si>
    <t>d2d</t>
  </si>
  <si>
    <t>21st</t>
  </si>
  <si>
    <t>ingraham</t>
  </si>
  <si>
    <t>18th</t>
  </si>
  <si>
    <t>loans</t>
  </si>
  <si>
    <t>ROI</t>
  </si>
  <si>
    <t>20th</t>
  </si>
  <si>
    <t>SSx2</t>
  </si>
  <si>
    <t>Spend</t>
  </si>
  <si>
    <t>Dec</t>
  </si>
  <si>
    <t>NetX return in 2.5 years</t>
  </si>
  <si>
    <t>stock potential</t>
  </si>
  <si>
    <t>1M@12%</t>
  </si>
  <si>
    <t>SD</t>
  </si>
  <si>
    <t>BHM</t>
  </si>
  <si>
    <t>COST</t>
  </si>
  <si>
    <t>SITC</t>
  </si>
  <si>
    <t>CION</t>
  </si>
  <si>
    <t>Expenses in Independant living</t>
  </si>
  <si>
    <t>Heritage Duplex</t>
  </si>
  <si>
    <t>128 W main</t>
  </si>
  <si>
    <t>BOAT</t>
  </si>
  <si>
    <t>rent</t>
  </si>
  <si>
    <t>SGA</t>
  </si>
  <si>
    <t>electric</t>
  </si>
  <si>
    <t>MBI</t>
  </si>
  <si>
    <t>gas</t>
  </si>
  <si>
    <t>LSTR</t>
  </si>
  <si>
    <t>ARK7</t>
  </si>
  <si>
    <t>phone</t>
  </si>
  <si>
    <t>BKE</t>
  </si>
  <si>
    <t>invest</t>
  </si>
  <si>
    <t>TV</t>
  </si>
  <si>
    <t>PCAR</t>
  </si>
  <si>
    <t>insurance</t>
  </si>
  <si>
    <t>food</t>
  </si>
  <si>
    <t>aaa</t>
  </si>
  <si>
    <t>Sell 128 how much I will save</t>
  </si>
  <si>
    <t>yr</t>
  </si>
  <si>
    <t>month</t>
  </si>
  <si>
    <t>DMV</t>
  </si>
  <si>
    <t>RLI</t>
  </si>
  <si>
    <t>property tax</t>
  </si>
  <si>
    <t>prop tx</t>
  </si>
  <si>
    <t>FMBL</t>
  </si>
  <si>
    <t>mainten</t>
  </si>
  <si>
    <t>investment</t>
  </si>
  <si>
    <t>NGVC</t>
  </si>
  <si>
    <t>Div 23</t>
  </si>
  <si>
    <t>utilities</t>
  </si>
  <si>
    <t>TDG</t>
  </si>
  <si>
    <t>sat TV</t>
  </si>
  <si>
    <t>MEIP</t>
  </si>
  <si>
    <t>Food [lunch]</t>
  </si>
  <si>
    <t>CSWC</t>
  </si>
  <si>
    <t>SCM</t>
  </si>
  <si>
    <t>+div</t>
  </si>
  <si>
    <t>cap loss</t>
  </si>
  <si>
    <t xml:space="preserve"> </t>
  </si>
  <si>
    <t>TSLR</t>
  </si>
  <si>
    <t>Tesla</t>
  </si>
  <si>
    <t>July</t>
  </si>
  <si>
    <t>SP500</t>
  </si>
  <si>
    <t>+Div</t>
  </si>
  <si>
    <t>APY</t>
  </si>
  <si>
    <t>SP501</t>
  </si>
  <si>
    <t>Jan</t>
  </si>
  <si>
    <t>UNTC</t>
  </si>
  <si>
    <t>Fall of 2022</t>
  </si>
  <si>
    <t>CBL</t>
  </si>
  <si>
    <t>FEIM</t>
  </si>
  <si>
    <t>DDS</t>
  </si>
  <si>
    <t>RGR</t>
  </si>
  <si>
    <t>USEA</t>
  </si>
  <si>
    <t>JOINERS BASS</t>
  </si>
  <si>
    <t>rip saw</t>
  </si>
  <si>
    <t>crosscut saw</t>
  </si>
  <si>
    <t>PFSW</t>
  </si>
  <si>
    <t>panel saw</t>
  </si>
  <si>
    <t>IIIN</t>
  </si>
  <si>
    <t>hack saw</t>
  </si>
  <si>
    <t>ITIC</t>
  </si>
  <si>
    <t>coping saw</t>
  </si>
  <si>
    <t>AFG</t>
  </si>
  <si>
    <t>screwdrivers</t>
  </si>
  <si>
    <t>ACT</t>
  </si>
  <si>
    <t>chisels roll</t>
  </si>
  <si>
    <t>brace and bits</t>
  </si>
  <si>
    <t>AMSF</t>
  </si>
  <si>
    <t>angle gauge</t>
  </si>
  <si>
    <t>DSL</t>
  </si>
  <si>
    <t>FBC</t>
  </si>
  <si>
    <t>marking gauge</t>
  </si>
  <si>
    <t>WINA</t>
  </si>
  <si>
    <t>smoothing plane</t>
  </si>
  <si>
    <t>OKE</t>
  </si>
  <si>
    <t>Quarterly</t>
  </si>
  <si>
    <t>LOCO</t>
  </si>
  <si>
    <t>rebate plane</t>
  </si>
  <si>
    <t>ACI</t>
  </si>
  <si>
    <t>claw hammer</t>
  </si>
  <si>
    <t>CANG</t>
  </si>
  <si>
    <t>pin hammer</t>
  </si>
  <si>
    <t>MSGS</t>
  </si>
  <si>
    <t>hack out knife</t>
  </si>
  <si>
    <t>puttie knife</t>
  </si>
  <si>
    <t>square</t>
  </si>
  <si>
    <t>rasp and file</t>
  </si>
  <si>
    <t>AllTime</t>
  </si>
  <si>
    <t>Ave</t>
  </si>
  <si>
    <t>nail punch</t>
  </si>
  <si>
    <t>add</t>
  </si>
  <si>
    <t>bal</t>
  </si>
  <si>
    <t>pay</t>
  </si>
  <si>
    <t>bal after pay</t>
  </si>
  <si>
    <t>pincers</t>
  </si>
  <si>
    <t>J</t>
  </si>
  <si>
    <t>pliers</t>
  </si>
  <si>
    <t>Broadmark</t>
  </si>
  <si>
    <t>F</t>
  </si>
  <si>
    <t>cold chisel</t>
  </si>
  <si>
    <t>M</t>
  </si>
  <si>
    <t>axe</t>
  </si>
  <si>
    <t>A</t>
  </si>
  <si>
    <t>crow bar</t>
  </si>
  <si>
    <t>American Financial Group</t>
  </si>
  <si>
    <t>sharpening stone &amp; Oil</t>
  </si>
  <si>
    <t>CDOR</t>
  </si>
  <si>
    <t>Condor Hospitality</t>
  </si>
  <si>
    <t>Landstar Systems</t>
  </si>
  <si>
    <t>PCH</t>
  </si>
  <si>
    <t>PotlatchDeltic</t>
  </si>
  <si>
    <t>S</t>
  </si>
  <si>
    <t>Rod</t>
  </si>
  <si>
    <t>O</t>
  </si>
  <si>
    <t>918K starting NetX</t>
  </si>
  <si>
    <t>PSB</t>
  </si>
  <si>
    <t>PS Business Parks</t>
  </si>
  <si>
    <t>N</t>
  </si>
  <si>
    <t>CXP</t>
  </si>
  <si>
    <t>Columbia Property Trust</t>
  </si>
  <si>
    <t>D</t>
  </si>
  <si>
    <t>nail and screw box</t>
  </si>
  <si>
    <t>Trades</t>
  </si>
  <si>
    <t>TAKE TO ENGLAND</t>
  </si>
  <si>
    <t>Taxable Income 1099</t>
  </si>
  <si>
    <t>twevers, nose machine</t>
  </si>
  <si>
    <t>NSP</t>
  </si>
  <si>
    <t>Insperity</t>
  </si>
  <si>
    <t>Amazon Books</t>
  </si>
  <si>
    <t>pdf</t>
  </si>
  <si>
    <t>clock book to read</t>
  </si>
  <si>
    <t>Ebay Books</t>
  </si>
  <si>
    <t>none</t>
  </si>
  <si>
    <t>passport and money, UK wallet</t>
  </si>
  <si>
    <t>Insteel Industries</t>
  </si>
  <si>
    <t>paper</t>
  </si>
  <si>
    <t>UK phone</t>
  </si>
  <si>
    <t>Dillard's</t>
  </si>
  <si>
    <t>Social Security Merry</t>
  </si>
  <si>
    <t>RRR</t>
  </si>
  <si>
    <t>Red Rock Resorts</t>
  </si>
  <si>
    <t>RE loans see 1098's</t>
  </si>
  <si>
    <t>Investors Title Co</t>
  </si>
  <si>
    <t>Kristie Berger APW Capital</t>
  </si>
  <si>
    <t>TD Ameritrade</t>
  </si>
  <si>
    <t>AMERISAFE</t>
  </si>
  <si>
    <t>Robinhood ?</t>
  </si>
  <si>
    <t>&lt; 1 mil</t>
  </si>
  <si>
    <t>Helen Vallie Trust</t>
  </si>
  <si>
    <t>startingNetX</t>
  </si>
  <si>
    <t>DHIL</t>
  </si>
  <si>
    <t>Diamond Hill Investment Group</t>
  </si>
  <si>
    <t>R</t>
  </si>
  <si>
    <t>Winmark Corporation</t>
  </si>
  <si>
    <t>RVI</t>
  </si>
  <si>
    <t>Retail Value</t>
  </si>
  <si>
    <t>world population 8billoin</t>
  </si>
  <si>
    <t>alden</t>
  </si>
  <si>
    <t>Sep</t>
  </si>
  <si>
    <t>mortgages</t>
  </si>
  <si>
    <t>owe</t>
  </si>
  <si>
    <t>BROADCOM INC</t>
  </si>
  <si>
    <t>DIV</t>
  </si>
  <si>
    <t>12-13b</t>
  </si>
  <si>
    <t>other</t>
  </si>
  <si>
    <t>left</t>
  </si>
  <si>
    <t>PGP</t>
  </si>
  <si>
    <t>PIMCO GLOBAL STOCKSPLUS &amp; IN</t>
  </si>
  <si>
    <t>ST</t>
  </si>
  <si>
    <t>1 min</t>
  </si>
  <si>
    <t>BPT</t>
  </si>
  <si>
    <t>BP PRUDHOE BAY ROYALTY TRUST</t>
  </si>
  <si>
    <t>Expenses</t>
  </si>
  <si>
    <t>excess</t>
  </si>
  <si>
    <t>ARD</t>
  </si>
  <si>
    <t>Ardagh Group S.A</t>
  </si>
  <si>
    <t>mad money</t>
  </si>
  <si>
    <t>robinhood</t>
  </si>
  <si>
    <t>DOCU</t>
  </si>
  <si>
    <t>Docusign</t>
  </si>
  <si>
    <t>IBD</t>
  </si>
  <si>
    <t>Recent Special Dividend Deals</t>
  </si>
  <si>
    <t>potential</t>
  </si>
  <si>
    <t>X</t>
  </si>
  <si>
    <t>US Steel</t>
  </si>
  <si>
    <t>buy</t>
  </si>
  <si>
    <t>#</t>
  </si>
  <si>
    <t>sell</t>
  </si>
  <si>
    <t>profit</t>
  </si>
  <si>
    <t>Mad Money</t>
  </si>
  <si>
    <t>GS</t>
  </si>
  <si>
    <t>Goldman Sachs Group</t>
  </si>
  <si>
    <t>cbio</t>
  </si>
  <si>
    <t>Vacations</t>
  </si>
  <si>
    <t>EBAY</t>
  </si>
  <si>
    <t>eBay</t>
  </si>
  <si>
    <t>tdg</t>
  </si>
  <si>
    <t>Eating out</t>
  </si>
  <si>
    <t>SPIP</t>
  </si>
  <si>
    <t>SPDR PORTFOLIO TIPS ETF</t>
  </si>
  <si>
    <t>jmss</t>
  </si>
  <si>
    <t>Personal purchases</t>
  </si>
  <si>
    <t>COLD</t>
  </si>
  <si>
    <t>AMERICOLD REALTY TRUST</t>
  </si>
  <si>
    <t>gff</t>
  </si>
  <si>
    <t>House fixup over $300</t>
  </si>
  <si>
    <t>SWI</t>
  </si>
  <si>
    <t>SolarWinds Corp</t>
  </si>
  <si>
    <t>Auto upgrade</t>
  </si>
  <si>
    <t>RIO</t>
  </si>
  <si>
    <t>Rio Tinto Group</t>
  </si>
  <si>
    <t>IYZ</t>
  </si>
  <si>
    <t>ISHARES US TELECOMMUNICATION</t>
  </si>
  <si>
    <t>Door Takeoff</t>
  </si>
  <si>
    <t>NYMT</t>
  </si>
  <si>
    <t>NEW YORK MORTGAGE TRUST INC</t>
  </si>
  <si>
    <t>WMC</t>
  </si>
  <si>
    <t>WESTERN ASSET MORTGAGE CAPIT</t>
  </si>
  <si>
    <t>7"+ wide</t>
  </si>
  <si>
    <t>9"+ wide</t>
  </si>
  <si>
    <t>LAUR</t>
  </si>
  <si>
    <t>Laureate Education</t>
  </si>
  <si>
    <t>left stile</t>
  </si>
  <si>
    <t>left outer panel</t>
  </si>
  <si>
    <t>SHEN</t>
  </si>
  <si>
    <t>Shenandoah Telecommunications Co</t>
  </si>
  <si>
    <t>right stile</t>
  </si>
  <si>
    <t>right outter panel</t>
  </si>
  <si>
    <t>T</t>
  </si>
  <si>
    <t>AT&amp;T INC</t>
  </si>
  <si>
    <t>top rail</t>
  </si>
  <si>
    <t>left inner panel</t>
  </si>
  <si>
    <t>mid rail</t>
  </si>
  <si>
    <t>right inner panel</t>
  </si>
  <si>
    <t>MANU</t>
  </si>
  <si>
    <t>Man Utd</t>
  </si>
  <si>
    <t>bottom rail</t>
  </si>
  <si>
    <t>left raised panel</t>
  </si>
  <si>
    <t>vertical</t>
  </si>
  <si>
    <t>right raised panel</t>
  </si>
  <si>
    <t>CLM</t>
  </si>
  <si>
    <t>CORNERSTONE STRATEGIC VALUE</t>
  </si>
  <si>
    <t>CRF</t>
  </si>
  <si>
    <t>CORNERSTONE TOTAL RETURN FND</t>
  </si>
  <si>
    <t>left frame half</t>
  </si>
  <si>
    <t>JCS</t>
  </si>
  <si>
    <t>Communications Systems</t>
  </si>
  <si>
    <t>rest</t>
  </si>
  <si>
    <t>right frame Half</t>
  </si>
  <si>
    <t>part</t>
  </si>
  <si>
    <t>AN</t>
  </si>
  <si>
    <t>Autonation</t>
  </si>
  <si>
    <t>ORI</t>
  </si>
  <si>
    <t>Old Republic International Corp</t>
  </si>
  <si>
    <t>AVGO</t>
  </si>
  <si>
    <t>CROX</t>
  </si>
  <si>
    <t>Crocs, Inc</t>
  </si>
  <si>
    <t>pieces 7"+ wide by 7ft + long</t>
  </si>
  <si>
    <t>Woodworkers Sauce</t>
  </si>
  <si>
    <t>DG</t>
  </si>
  <si>
    <t>Dollar General</t>
  </si>
  <si>
    <t>PYPL</t>
  </si>
  <si>
    <t>PayPal</t>
  </si>
  <si>
    <t>Home Depot 1by8 oak</t>
  </si>
  <si>
    <t>price per board ft</t>
  </si>
  <si>
    <t>8/4 Frame</t>
  </si>
  <si>
    <t>Inman</t>
  </si>
  <si>
    <t>HomeDepot</t>
  </si>
  <si>
    <t>One board</t>
  </si>
  <si>
    <t>brd ft</t>
  </si>
  <si>
    <t>five boards</t>
  </si>
  <si>
    <t>5 bds</t>
  </si>
  <si>
    <t>SHOP</t>
  </si>
  <si>
    <t>Shopify</t>
  </si>
  <si>
    <t>Inman price per board ft</t>
  </si>
  <si>
    <t>delivery</t>
  </si>
  <si>
    <t>RFDA</t>
  </si>
  <si>
    <t>RIVERFRONT DYNAMIC US DV ETF</t>
  </si>
  <si>
    <t>total cost</t>
  </si>
  <si>
    <t>TSLA</t>
  </si>
  <si>
    <t>Total with tax</t>
  </si>
  <si>
    <t>4/4 panels</t>
  </si>
  <si>
    <t>one board</t>
  </si>
  <si>
    <t>GAB</t>
  </si>
  <si>
    <t>Gabelli Equity Trust</t>
  </si>
  <si>
    <t>JBGS</t>
  </si>
  <si>
    <t>JBG SMITH PROPERTIES</t>
  </si>
  <si>
    <t>total with tax</t>
  </si>
  <si>
    <t>RMR</t>
  </si>
  <si>
    <t>The RMR Group</t>
  </si>
  <si>
    <t>Total all with tax</t>
  </si>
  <si>
    <t>DVN</t>
  </si>
  <si>
    <t>Devon Energy</t>
  </si>
  <si>
    <t>home depot</t>
  </si>
  <si>
    <t>AMD</t>
  </si>
  <si>
    <t>Advanced Micro Devices</t>
  </si>
  <si>
    <t>board ft</t>
  </si>
  <si>
    <t>ALL</t>
  </si>
  <si>
    <t>The Allstate Corp</t>
  </si>
  <si>
    <t>AMAT</t>
  </si>
  <si>
    <t>Applied Materials</t>
  </si>
  <si>
    <t>MAGS</t>
  </si>
  <si>
    <t>Senstar Tech</t>
  </si>
  <si>
    <t>PLTR</t>
  </si>
  <si>
    <t>Palantir Technologies</t>
  </si>
  <si>
    <t>PRGS</t>
  </si>
  <si>
    <t>ENPH</t>
  </si>
  <si>
    <t>Enphase Energy</t>
  </si>
  <si>
    <t>DKS</t>
  </si>
  <si>
    <t>DICK'S SPORTING GOODS INC</t>
  </si>
  <si>
    <t>BUG</t>
  </si>
  <si>
    <t>Global X Funds</t>
  </si>
  <si>
    <t>MRVL</t>
  </si>
  <si>
    <t>Marvell Technology</t>
  </si>
  <si>
    <t>QLD</t>
  </si>
  <si>
    <t>ProShares Ultra</t>
  </si>
  <si>
    <t>DP</t>
  </si>
  <si>
    <t>Dominos Pizza</t>
  </si>
  <si>
    <t>MRTN</t>
  </si>
  <si>
    <t>Marten Transport</t>
  </si>
  <si>
    <t>PJT</t>
  </si>
  <si>
    <t>PJT Partners</t>
  </si>
  <si>
    <t>AAPL</t>
  </si>
  <si>
    <t xml:space="preserve">Apple </t>
  </si>
  <si>
    <t>SNOW</t>
  </si>
  <si>
    <t>Snowflake Inc.</t>
  </si>
  <si>
    <t>DUSL</t>
  </si>
  <si>
    <t>Direxion Daily Industrials</t>
  </si>
  <si>
    <t>MDUSL</t>
  </si>
  <si>
    <t>McAfee Corp</t>
  </si>
  <si>
    <t>FLLV</t>
  </si>
  <si>
    <t>FRANKLIN LIBERTY US LOW VOL</t>
  </si>
  <si>
    <t>COF</t>
  </si>
  <si>
    <t>Capitol One</t>
  </si>
  <si>
    <t>ECVT</t>
  </si>
  <si>
    <t>Ecovyst Inc</t>
  </si>
  <si>
    <t>SSSS</t>
  </si>
  <si>
    <t>SuRo Capital Corp.</t>
  </si>
  <si>
    <t>FTXG</t>
  </si>
  <si>
    <t>FIRST TRUST NASDAQ FOOD &amp; BE</t>
  </si>
  <si>
    <t>NRZ</t>
  </si>
  <si>
    <t>NEW RESIDENTIAL INVESTMENT</t>
  </si>
  <si>
    <t>PKG</t>
  </si>
  <si>
    <t>PACKAGING CORP OF AMERICA</t>
  </si>
  <si>
    <t>MCFE</t>
  </si>
  <si>
    <t>ZM</t>
  </si>
  <si>
    <t>Zoom Video Communications</t>
  </si>
  <si>
    <t>SNAP</t>
  </si>
  <si>
    <t>Snap Inc</t>
  </si>
  <si>
    <t>OMF</t>
  </si>
  <si>
    <t>One Main Holdings</t>
  </si>
  <si>
    <t>ZS</t>
  </si>
  <si>
    <t>Zscaler, Inc</t>
  </si>
  <si>
    <t>SQ</t>
  </si>
  <si>
    <t>Square inc</t>
  </si>
  <si>
    <t>JBSS</t>
  </si>
  <si>
    <t>John B. Sanfilippo &amp; Son</t>
  </si>
  <si>
    <t>FAS</t>
  </si>
  <si>
    <t>Direxion Daily Financial Bull</t>
  </si>
  <si>
    <t>XHB</t>
  </si>
  <si>
    <t>SPDR S&amp;P Homebuilders ETF</t>
  </si>
  <si>
    <t>in bank</t>
  </si>
  <si>
    <t>LAZ</t>
  </si>
  <si>
    <t>LAZARD LTD-CL A</t>
  </si>
  <si>
    <t>outstandi</t>
  </si>
  <si>
    <t>BEMK</t>
  </si>
  <si>
    <t>Broadmark Capito</t>
  </si>
  <si>
    <t>HSY</t>
  </si>
  <si>
    <t>HERSHEY CO/THE</t>
  </si>
  <si>
    <t>U</t>
  </si>
  <si>
    <t>Unity Software</t>
  </si>
  <si>
    <t>WELL</t>
  </si>
  <si>
    <t>WELLTOWER INC</t>
  </si>
  <si>
    <t>SC</t>
  </si>
  <si>
    <t>SANTANDER CONSUMER USA HOLDI</t>
  </si>
  <si>
    <t>WMB</t>
  </si>
  <si>
    <t>The Williams Companies</t>
  </si>
  <si>
    <t>ARLP</t>
  </si>
  <si>
    <t>ALLIANCE RESOURCE PARTNERS</t>
  </si>
  <si>
    <t>SUN</t>
  </si>
  <si>
    <t>Sunoco LP</t>
  </si>
  <si>
    <t>ROKU</t>
  </si>
  <si>
    <t>Roku</t>
  </si>
  <si>
    <t>EWBC</t>
  </si>
  <si>
    <t>EAST WEST BANCORP INC</t>
  </si>
  <si>
    <t>Global X Funds - Global X Cybersecurity ETF</t>
  </si>
  <si>
    <t>living</t>
  </si>
  <si>
    <t>LI</t>
  </si>
  <si>
    <t>Li Auto</t>
  </si>
  <si>
    <t>spend</t>
  </si>
  <si>
    <t>HUBB</t>
  </si>
  <si>
    <t>HUBBELL INC</t>
  </si>
  <si>
    <t>CVNA</t>
  </si>
  <si>
    <t>Carvana Co</t>
  </si>
  <si>
    <t>NET</t>
  </si>
  <si>
    <t>Cloudflare, Inc.</t>
  </si>
  <si>
    <t>PINS</t>
  </si>
  <si>
    <t>Pinterest</t>
  </si>
  <si>
    <t>RH</t>
  </si>
  <si>
    <t>VALE</t>
  </si>
  <si>
    <t>Vale S.A.</t>
  </si>
  <si>
    <t>DocuSign</t>
  </si>
  <si>
    <t>CLX</t>
  </si>
  <si>
    <t>The Clorox Company</t>
  </si>
  <si>
    <t>USBI</t>
  </si>
  <si>
    <t>UNITED BANKSHARES INC</t>
  </si>
  <si>
    <t>BNTX</t>
  </si>
  <si>
    <t>BioNTech SE</t>
  </si>
  <si>
    <t>CVLY</t>
  </si>
  <si>
    <t>Codorus Valley Bancorp</t>
  </si>
  <si>
    <t>CFG</t>
  </si>
  <si>
    <t>CITIZENS FINANCIAL GROUP</t>
  </si>
  <si>
    <t>PTY</t>
  </si>
  <si>
    <t>PIMCO CORPORATE &amp; INCOME OPP</t>
  </si>
  <si>
    <t>MA</t>
  </si>
  <si>
    <t>MasterCard</t>
  </si>
  <si>
    <t>Shopify Inc</t>
  </si>
  <si>
    <t>BSY</t>
  </si>
  <si>
    <t>Bentley Systems, Inc</t>
  </si>
  <si>
    <t>OSTK</t>
  </si>
  <si>
    <t>Overstock</t>
  </si>
  <si>
    <t>NI</t>
  </si>
  <si>
    <t>NISOURCE INC</t>
  </si>
  <si>
    <t>TSM</t>
  </si>
  <si>
    <t>Taiwan Semiconductor Manufacturing</t>
  </si>
  <si>
    <t>XBIT</t>
  </si>
  <si>
    <t>XBiotech Inc</t>
  </si>
  <si>
    <t>FVD</t>
  </si>
  <si>
    <t>FIRST TRUST VALUE LINE DVD</t>
  </si>
  <si>
    <t>BCC</t>
  </si>
  <si>
    <t>Boise Cascade Co</t>
  </si>
  <si>
    <t>BILL</t>
  </si>
  <si>
    <t>Bill.com Holdings</t>
  </si>
  <si>
    <t>VNQ</t>
  </si>
  <si>
    <t>VANGUARD REAL ESTATE ETF</t>
  </si>
  <si>
    <t>Ford Motor Company</t>
  </si>
  <si>
    <t>ALGN</t>
  </si>
  <si>
    <t>Align Technology</t>
  </si>
  <si>
    <t>USAC</t>
  </si>
  <si>
    <t>USA Compression Partners</t>
  </si>
  <si>
    <t>FUBO</t>
  </si>
  <si>
    <t>fuboTV Inc</t>
  </si>
  <si>
    <t>OAS</t>
  </si>
  <si>
    <t>Oasis Petroleum Inc</t>
  </si>
  <si>
    <t>CL</t>
  </si>
  <si>
    <t>COLGATE-PALMOLIVE CO</t>
  </si>
  <si>
    <t>SSNT</t>
  </si>
  <si>
    <t>SilverSun Technologies</t>
  </si>
  <si>
    <t>PIMCO DYNAMIC CREDIT AND MOR</t>
  </si>
  <si>
    <t>PHK</t>
  </si>
  <si>
    <t>PIMCO HIGH INCOME FUND</t>
  </si>
  <si>
    <t>trades</t>
  </si>
  <si>
    <t>partial</t>
  </si>
  <si>
    <t>NOI</t>
  </si>
  <si>
    <t>NIO Inc</t>
  </si>
  <si>
    <t>FDS</t>
  </si>
  <si>
    <t>FACTSET RESEARCH SYSTEMS INC</t>
  </si>
  <si>
    <t>IGIB</t>
  </si>
  <si>
    <t>ISHARES 5-10Y INV GRADE CORP</t>
  </si>
  <si>
    <t>TXN</t>
  </si>
  <si>
    <t>TEXAS INSTRUMENTS INC</t>
  </si>
  <si>
    <t>MAA</t>
  </si>
  <si>
    <t>Mid-America Apartment Communities</t>
  </si>
  <si>
    <t>RFP</t>
  </si>
  <si>
    <t>Resolute Forest Products</t>
  </si>
  <si>
    <t>part sell</t>
  </si>
  <si>
    <t>TLYS</t>
  </si>
  <si>
    <t>Tilly's, Inc</t>
  </si>
  <si>
    <t>TROW</t>
  </si>
  <si>
    <t>T. Rowe Price Group</t>
  </si>
  <si>
    <t>USIG</t>
  </si>
  <si>
    <t>ISHARES BROAD USD INVESTMENT</t>
  </si>
  <si>
    <t>FTCS</t>
  </si>
  <si>
    <t>FIRST TRUST CAPITAL STRENGTH</t>
  </si>
  <si>
    <t>HASI</t>
  </si>
  <si>
    <t>HANNON ARMSTRONG SUSTAINABLE</t>
  </si>
  <si>
    <t>books</t>
  </si>
  <si>
    <t>net /m</t>
  </si>
  <si>
    <t>annual</t>
  </si>
  <si>
    <t>EYLD</t>
  </si>
  <si>
    <t>CAMBRIA EMERG SHRHLDR YIELD</t>
  </si>
  <si>
    <t>HUSV</t>
  </si>
  <si>
    <t>FT HORIZON MNGD VOL DOM ETF</t>
  </si>
  <si>
    <t>AWF</t>
  </si>
  <si>
    <t>AllianceBernstein Global High Income Fund</t>
  </si>
  <si>
    <t>Aberdeen Asia-Pacific Income Fund</t>
  </si>
  <si>
    <t>OneOK</t>
  </si>
  <si>
    <t>VGR</t>
  </si>
  <si>
    <t>VECTOR GROUP LTD</t>
  </si>
  <si>
    <t>WSBF</t>
  </si>
  <si>
    <t>Waterstone Financial</t>
  </si>
  <si>
    <t>HDMV</t>
  </si>
  <si>
    <t>FT HORIZON MGD VOL D INT ETF</t>
  </si>
  <si>
    <t>American Financial</t>
  </si>
  <si>
    <t>GABELLI EQUITY TRUST</t>
  </si>
  <si>
    <t>OLD REPUBLIC INTL CORP</t>
  </si>
  <si>
    <t>Broarmark Capital</t>
  </si>
  <si>
    <t>APH</t>
  </si>
  <si>
    <t>AMPHENOL CORP-CL A</t>
  </si>
  <si>
    <t>New York Mortgage</t>
  </si>
  <si>
    <t>MC</t>
  </si>
  <si>
    <t>Moelis &amp; Company</t>
  </si>
  <si>
    <t>Ichimo</t>
  </si>
  <si>
    <t>SSP</t>
  </si>
  <si>
    <t>EW SCRIPPS CO/THE-A</t>
  </si>
  <si>
    <t>LADR</t>
  </si>
  <si>
    <t>LADDER CAPITAL CORP-REIT</t>
  </si>
  <si>
    <t>ich</t>
  </si>
  <si>
    <t>NKE</t>
  </si>
  <si>
    <t>NIKE INC -CL B</t>
  </si>
  <si>
    <t>AWK</t>
  </si>
  <si>
    <t>American Water Works Co</t>
  </si>
  <si>
    <t>CME</t>
  </si>
  <si>
    <t>CME GROUP INC</t>
  </si>
  <si>
    <t>Broadmark capitol</t>
  </si>
  <si>
    <t>May 23 = 6 months trading</t>
  </si>
  <si>
    <t>PRPH</t>
  </si>
  <si>
    <t>ProPhase Labs</t>
  </si>
  <si>
    <t>Vector Group Ltd.</t>
  </si>
  <si>
    <t>DOV</t>
  </si>
  <si>
    <t>DOVER CORP</t>
  </si>
  <si>
    <t>PROGRESS SOFTWARE CORP</t>
  </si>
  <si>
    <t>Cango Inc</t>
  </si>
  <si>
    <t>CVI</t>
  </si>
  <si>
    <t>CVR Energy</t>
  </si>
  <si>
    <t>FF</t>
  </si>
  <si>
    <t>FutureFuel Corp</t>
  </si>
  <si>
    <t>NiSource Inc</t>
  </si>
  <si>
    <t>JKHY</t>
  </si>
  <si>
    <t>JACK HENRY &amp; ASSOCIATES INC</t>
  </si>
  <si>
    <t>PNW</t>
  </si>
  <si>
    <t>Pinnacle West Capital Corp</t>
  </si>
  <si>
    <t>FBHS</t>
  </si>
  <si>
    <t>FORTUNE BRANDS HOME &amp; SECURI</t>
  </si>
  <si>
    <t>LMT</t>
  </si>
  <si>
    <t>LOCKHEED MARTIN CORP</t>
  </si>
  <si>
    <t>EOG</t>
  </si>
  <si>
    <t>EOG Resources</t>
  </si>
  <si>
    <t>First Trust Horizon Managed Volatility Domestic</t>
  </si>
  <si>
    <t>PIMCO High Income Fund</t>
  </si>
  <si>
    <t>RILY</t>
  </si>
  <si>
    <t>B.Riley Financial</t>
  </si>
  <si>
    <t>GILT</t>
  </si>
  <si>
    <t>Gilat Satellite Networks</t>
  </si>
  <si>
    <t>New York Mortgage Trust</t>
  </si>
  <si>
    <t>Western Asset Emerging Markets Debt Fund Inc</t>
  </si>
  <si>
    <t>Americold Realty Trust</t>
  </si>
  <si>
    <t>ETH</t>
  </si>
  <si>
    <t>Ethan Allen Interiors</t>
  </si>
  <si>
    <t>ALLY</t>
  </si>
  <si>
    <t>Ally Financial</t>
  </si>
  <si>
    <t>SUNOCO LP</t>
  </si>
  <si>
    <t>OHI</t>
  </si>
  <si>
    <t>Omega Healthcare Investors</t>
  </si>
  <si>
    <t>DoubleLine Income Solutions Fund</t>
  </si>
  <si>
    <t>The E.W. Scripps Company</t>
  </si>
  <si>
    <t>LDI</t>
  </si>
  <si>
    <t>LoanDepot, Inc</t>
  </si>
  <si>
    <t>CLOROX COMPANY</t>
  </si>
  <si>
    <t>AMERICAN WATER WORKS CO INC</t>
  </si>
  <si>
    <t>John B. Sanfilippo &amp; Son,</t>
  </si>
  <si>
    <t>Average</t>
  </si>
  <si>
    <t>DEA</t>
  </si>
  <si>
    <t>Easterly Government Properties</t>
  </si>
  <si>
    <t>MID-AMERICA APARTMENT COMM</t>
  </si>
  <si>
    <t>10..74</t>
  </si>
  <si>
    <t>LNT</t>
  </si>
  <si>
    <t>ALLIANT ENERGY CORP</t>
  </si>
  <si>
    <t>USA COMPRESSION PARTNERS LP</t>
  </si>
  <si>
    <t>PINNACLE WEST CAPITAL</t>
  </si>
  <si>
    <t>avera</t>
  </si>
  <si>
    <t>AMZN</t>
  </si>
  <si>
    <t>Amazon.com, Inc</t>
  </si>
  <si>
    <t>RS</t>
  </si>
  <si>
    <t>OMEGA HEALTHCARE INVESTORS</t>
  </si>
  <si>
    <t>ALLY FINANCIAL INC</t>
  </si>
  <si>
    <t>SWKH</t>
  </si>
  <si>
    <t>SWK Holdings</t>
  </si>
  <si>
    <t>NiSource Inc Common Stock</t>
  </si>
  <si>
    <t>The Gabelli Equity Trust Inc</t>
  </si>
  <si>
    <t>Cont</t>
  </si>
  <si>
    <t>LIBERTY ALL STAR EQUITY FUND</t>
  </si>
  <si>
    <t>MIC</t>
  </si>
  <si>
    <t>Macquarie Infrastructure Corporation</t>
  </si>
  <si>
    <t>American Water Works Company</t>
  </si>
  <si>
    <t>DLY</t>
  </si>
  <si>
    <t>19..09</t>
  </si>
  <si>
    <t>IVR</t>
  </si>
  <si>
    <t>INVESCO MORTGAGE CAPITAL</t>
  </si>
  <si>
    <t>The Hershey Company</t>
  </si>
  <si>
    <t>Buckle</t>
  </si>
  <si>
    <t>AmeriCold Realty Trust</t>
  </si>
  <si>
    <t>options</t>
  </si>
  <si>
    <t>Alliance World Dollar Government Fund II</t>
  </si>
  <si>
    <t>PTTY</t>
  </si>
  <si>
    <t>world</t>
  </si>
  <si>
    <t>cruise</t>
  </si>
  <si>
    <t>TTEC</t>
  </si>
  <si>
    <t>TTEC Holdings Inc</t>
  </si>
  <si>
    <t>steerage</t>
  </si>
  <si>
    <t>Old Republic International Corporation</t>
  </si>
  <si>
    <t>wk26</t>
  </si>
  <si>
    <t>pentho</t>
  </si>
  <si>
    <t>TPL</t>
  </si>
  <si>
    <t>Texas Pacific Land Corporation Common Stock</t>
  </si>
  <si>
    <t>balcony</t>
  </si>
  <si>
    <t>IGLB</t>
  </si>
  <si>
    <t>ISHARES 10+ YEAR INV GR CORP</t>
  </si>
  <si>
    <t>Texas Pacific Land Corp</t>
  </si>
  <si>
    <t>Santander Consumer USA</t>
  </si>
  <si>
    <t>BGHS</t>
  </si>
  <si>
    <t>Cango Inc.</t>
  </si>
  <si>
    <t>ST only</t>
  </si>
  <si>
    <t>RKT</t>
  </si>
  <si>
    <t>Rocket Companies Inc</t>
  </si>
  <si>
    <t>B. Riley Financial, Inc.</t>
  </si>
  <si>
    <t>EASTERLY GOVERNMENT PROPERTI</t>
  </si>
  <si>
    <t>VOO</t>
  </si>
  <si>
    <t>S&amp;P 500 ETF</t>
  </si>
  <si>
    <t>MRBK</t>
  </si>
  <si>
    <t>Meridian Corporation</t>
  </si>
  <si>
    <t>Ford Motor Co</t>
  </si>
  <si>
    <t>Free</t>
  </si>
  <si>
    <t>JBLU</t>
  </si>
  <si>
    <t>JetBlue Airways Corporation</t>
  </si>
  <si>
    <t>ZNGA</t>
  </si>
  <si>
    <t>Zynga Inc</t>
  </si>
  <si>
    <t>Amazon</t>
  </si>
  <si>
    <t>100 deals nets $125,584 in 3 months</t>
  </si>
  <si>
    <t>is over 40,000 per month</t>
  </si>
  <si>
    <t>OBOE</t>
  </si>
  <si>
    <t>CBOE GLOBAL MARKETS INC</t>
  </si>
  <si>
    <t>CIL</t>
  </si>
  <si>
    <t>VICTORYSHARES INTERNATIONAL</t>
  </si>
  <si>
    <t>J.B. Sanfillppo &amp; Son</t>
  </si>
  <si>
    <t>OneOk</t>
  </si>
  <si>
    <t>BXMT</t>
  </si>
  <si>
    <t>Blackstone Mortgage Trust Inc</t>
  </si>
  <si>
    <t>losses</t>
  </si>
  <si>
    <t>total trades</t>
  </si>
  <si>
    <t>SPDR S&amp;P 500 ETF Trust</t>
  </si>
  <si>
    <t>New Residential Investment Corp</t>
  </si>
  <si>
    <t>3/47 loss</t>
  </si>
  <si>
    <t>26th</t>
  </si>
  <si>
    <t>25th</t>
  </si>
  <si>
    <t>PFBI</t>
  </si>
  <si>
    <t>Premier Financial Bancorp, Inc</t>
  </si>
  <si>
    <t>wk9</t>
  </si>
  <si>
    <t>22nd</t>
  </si>
  <si>
    <t>CMS</t>
  </si>
  <si>
    <t>CMS ENERGY CORP</t>
  </si>
  <si>
    <t>OKE - ONEOK, Inc</t>
  </si>
  <si>
    <t>19th</t>
  </si>
  <si>
    <t>BMO</t>
  </si>
  <si>
    <t>BANK OF MONTREAL</t>
  </si>
  <si>
    <t>AFIN</t>
  </si>
  <si>
    <t>American Finance Trust Inc</t>
  </si>
  <si>
    <t>wk 8</t>
  </si>
  <si>
    <t>ALLY Financial Inc</t>
  </si>
  <si>
    <t>EPD</t>
  </si>
  <si>
    <t>Enterprise Products Partners</t>
  </si>
  <si>
    <t>BFS</t>
  </si>
  <si>
    <t>Saul Centers, Inc. Common Stock</t>
  </si>
  <si>
    <t>14th</t>
  </si>
  <si>
    <t>Citizens Financial Group</t>
  </si>
  <si>
    <t>MFV</t>
  </si>
  <si>
    <t>MFS Special Value Trust</t>
  </si>
  <si>
    <t>ALLY Financial Iinc</t>
  </si>
  <si>
    <t>wk7</t>
  </si>
  <si>
    <t>13th</t>
  </si>
  <si>
    <t>CMS Energy Corp</t>
  </si>
  <si>
    <t>Pinnacle West Capital</t>
  </si>
  <si>
    <t>Alliant Energy Corp</t>
  </si>
  <si>
    <t>Broadmark Capitol</t>
  </si>
  <si>
    <t>12th</t>
  </si>
  <si>
    <t>CODI</t>
  </si>
  <si>
    <t>Compass Diversified Holdings Shares of Beneficial Interest</t>
  </si>
  <si>
    <t>Macquarie Infrastructure</t>
  </si>
  <si>
    <t>11th</t>
  </si>
  <si>
    <t>Pimco Glob Stockplus</t>
  </si>
  <si>
    <t>NNA</t>
  </si>
  <si>
    <t>Navios Maritime Acquisition Corporation Common stock</t>
  </si>
  <si>
    <t>Colgate-Palmolive Co</t>
  </si>
  <si>
    <t>IAE</t>
  </si>
  <si>
    <t>Voya Asia Pacific High Div Fnd</t>
  </si>
  <si>
    <t>wk6</t>
  </si>
  <si>
    <t>ISSC</t>
  </si>
  <si>
    <t>Innovative Solutions &amp; Support</t>
  </si>
  <si>
    <t>SDx</t>
  </si>
  <si>
    <t>Cornerstone T R Fund</t>
  </si>
  <si>
    <t>Dividend Swing Analysis</t>
  </si>
  <si>
    <t>JBG Smith Properties</t>
  </si>
  <si>
    <t>Price</t>
  </si>
  <si>
    <t>Net</t>
  </si>
  <si>
    <t>%</t>
  </si>
  <si>
    <t>USA</t>
  </si>
  <si>
    <t>mfv</t>
  </si>
  <si>
    <t>Ladder Capital Corp</t>
  </si>
  <si>
    <t>Cornerstone STR Value</t>
  </si>
  <si>
    <t>AT&amp;T inc</t>
  </si>
  <si>
    <t>Pimco High Income Fund</t>
  </si>
  <si>
    <t>Ally Financial Inc</t>
  </si>
  <si>
    <t>tax say 400K</t>
  </si>
  <si>
    <t>first 204k</t>
  </si>
  <si>
    <t>204-400=196</t>
  </si>
  <si>
    <t>Invesco Mort Capital Common Stock</t>
  </si>
  <si>
    <t>RSwing</t>
  </si>
  <si>
    <t>Tax</t>
  </si>
  <si>
    <t>Gilat Satelite Networks</t>
  </si>
  <si>
    <t>wk5</t>
  </si>
  <si>
    <t>keep</t>
  </si>
  <si>
    <t>USA Compression Ptns LP</t>
  </si>
  <si>
    <t>2 0 2 0</t>
  </si>
  <si>
    <t>26/29+</t>
  </si>
  <si>
    <t>30*12</t>
  </si>
  <si>
    <t>Rswing</t>
  </si>
  <si>
    <t>DIT</t>
  </si>
  <si>
    <t>Amcon Distributing</t>
  </si>
  <si>
    <t>STWD</t>
  </si>
  <si>
    <t>Starwood Property Trust Inc</t>
  </si>
  <si>
    <t>wk4</t>
  </si>
  <si>
    <t>BNCC</t>
  </si>
  <si>
    <t>Bnccorp, Inc</t>
  </si>
  <si>
    <t>Western Ass Mort Captial</t>
  </si>
  <si>
    <t>Stop</t>
  </si>
  <si>
    <t>shares</t>
  </si>
  <si>
    <t>invested</t>
  </si>
  <si>
    <t>risk</t>
  </si>
  <si>
    <t>stop</t>
  </si>
  <si>
    <t>wk3</t>
  </si>
  <si>
    <t>UHAL</t>
  </si>
  <si>
    <t>Amerco</t>
  </si>
  <si>
    <t>SYX</t>
  </si>
  <si>
    <t>Systemax Inc</t>
  </si>
  <si>
    <t>Silversun Technologies, Inc</t>
  </si>
  <si>
    <t>CWH</t>
  </si>
  <si>
    <t>Camping World Holdings Inc-A</t>
  </si>
  <si>
    <t>Moelis &amp; Co</t>
  </si>
  <si>
    <t>TTEC Holdings</t>
  </si>
  <si>
    <t>wk2</t>
  </si>
  <si>
    <t>The Buckle</t>
  </si>
  <si>
    <t>New York Mortgage Trust Inc</t>
  </si>
  <si>
    <t>Cambria Emer Shrhldr Yeild</t>
  </si>
  <si>
    <t>CGNX</t>
  </si>
  <si>
    <t>Cognex Corp</t>
  </si>
  <si>
    <t>Cornerstone Total Return Fnd</t>
  </si>
  <si>
    <t>Cornerstone Strategic Value</t>
  </si>
  <si>
    <t>wk1</t>
  </si>
  <si>
    <t>SLG</t>
  </si>
  <si>
    <t>SL Green Realty Corp</t>
  </si>
  <si>
    <t>Texas Pacific Land Tr</t>
  </si>
  <si>
    <t>TG</t>
  </si>
  <si>
    <t>Tredegar Corp</t>
  </si>
  <si>
    <t>FIZZ</t>
  </si>
  <si>
    <t>National Beverage</t>
  </si>
  <si>
    <t>FENG</t>
  </si>
  <si>
    <t>Phoenix New Media</t>
  </si>
  <si>
    <t>EV</t>
  </si>
  <si>
    <t>Eaton Vance</t>
  </si>
  <si>
    <t>3/3+</t>
  </si>
  <si>
    <t>QRTEA</t>
  </si>
  <si>
    <t>Qurate Retail</t>
  </si>
  <si>
    <t>Natural Grocers</t>
  </si>
  <si>
    <t>MSM</t>
  </si>
  <si>
    <t>MSC Industrial Supply</t>
  </si>
  <si>
    <t>started 11/23/2020</t>
  </si>
  <si>
    <t>Goal 30k min per month</t>
  </si>
  <si>
    <t>Tax Rate</t>
  </si>
  <si>
    <t>Filled</t>
  </si>
  <si>
    <t>Sell</t>
  </si>
  <si>
    <t>Limit</t>
  </si>
  <si>
    <t>--</t>
  </si>
  <si>
    <t>09:43:21 07/09/21</t>
  </si>
  <si>
    <t>S&amp;P 500 Historical Returns</t>
  </si>
  <si>
    <t>Year</t>
  </si>
  <si>
    <t>Annual Returns With Dividends</t>
  </si>
  <si>
    <t>S&amp;P 500 Index - Historical Annual Data</t>
  </si>
  <si>
    <t>Average
Closing Price</t>
  </si>
  <si>
    <t>Year Open</t>
  </si>
  <si>
    <t>Year High</t>
  </si>
  <si>
    <t>Year Low</t>
  </si>
  <si>
    <t>Year Close</t>
  </si>
  <si>
    <t>Annual
% Change</t>
  </si>
  <si>
    <t>last 5 year average</t>
  </si>
  <si>
    <t>last 4 year average</t>
  </si>
  <si>
    <t>last 3 year average</t>
  </si>
  <si>
    <t>last 2 year average</t>
  </si>
  <si>
    <t>broker</t>
  </si>
  <si>
    <t>S&amp;P on own</t>
  </si>
  <si>
    <t>fees paid 2023</t>
  </si>
  <si>
    <t>net earned so far</t>
  </si>
  <si>
    <t>DATE</t>
  </si>
  <si>
    <t>ACCOUNT TYPE</t>
  </si>
  <si>
    <t>SECURITY ID</t>
  </si>
  <si>
    <t>ACTIVITY</t>
  </si>
  <si>
    <t>NET AMOUNT</t>
  </si>
  <si>
    <t>CASH</t>
  </si>
  <si>
    <t>CASH DIVIDEND RECEIVED</t>
  </si>
  <si>
    <t>USD999997</t>
  </si>
  <si>
    <t>MONEY FUND PURCHASE</t>
  </si>
  <si>
    <t>PGX</t>
  </si>
  <si>
    <t>XLP</t>
  </si>
  <si>
    <t>SPIDX</t>
  </si>
  <si>
    <t>REINVEST CASH INCOME ** SPIDX</t>
  </si>
  <si>
    <t>CHTYX</t>
  </si>
  <si>
    <t>REINVEST CASH INCOME ** CHTYX</t>
  </si>
  <si>
    <t xml:space="preserve">buy Asbury </t>
  </si>
  <si>
    <t>after 1 year</t>
  </si>
  <si>
    <t>SHORT TERM CAPITAL GAIN DISTRIBUTION</t>
  </si>
  <si>
    <t>after 2 years</t>
  </si>
  <si>
    <t>LONG TERM CAPITAL GAIN DISTRIBUTION</t>
  </si>
  <si>
    <t>KLG</t>
  </si>
  <si>
    <t>Move 2 heritage</t>
  </si>
  <si>
    <t>more</t>
  </si>
  <si>
    <t>K</t>
  </si>
  <si>
    <t>less 1 year</t>
  </si>
  <si>
    <t>KO</t>
  </si>
  <si>
    <t>less 2 years</t>
  </si>
  <si>
    <t>OGLYX</t>
  </si>
  <si>
    <t>REINVEST CASH INCOME ** OGLYX</t>
  </si>
  <si>
    <t>GTNYX</t>
  </si>
  <si>
    <t>REINVEST CASH INCOME ** GTNYX</t>
  </si>
  <si>
    <t>heritage 25%</t>
  </si>
  <si>
    <t>invest drop</t>
  </si>
  <si>
    <t>rent 1,588x12</t>
  </si>
  <si>
    <t>rent + drop</t>
  </si>
  <si>
    <t>$ total cost</t>
  </si>
  <si>
    <t>rent 1,999x12</t>
  </si>
  <si>
    <t>UL</t>
  </si>
  <si>
    <t>FEE ON FOREIGN DIVIDEND WITHHELD AT THE SOURCE</t>
  </si>
  <si>
    <t>during</t>
  </si>
  <si>
    <t>FOREIGN SECURITY DIVIDEND RECEIVED</t>
  </si>
  <si>
    <t>FDIC INSURED BANK WITHDRAWAL</t>
  </si>
  <si>
    <t>PER982573</t>
  </si>
  <si>
    <t>FDIC INSURED BANK DEPOSITS INTEREST RECEIVED</t>
  </si>
  <si>
    <t>VMFXX</t>
  </si>
  <si>
    <t>REINVEST CASH INCOME ** VMFXX</t>
  </si>
  <si>
    <t>AIYXX</t>
  </si>
  <si>
    <t>REINVEST CASH INCOME ** AIYXX</t>
  </si>
  <si>
    <t>AFRYX</t>
  </si>
  <si>
    <t>REINVEST CASH INCOME ** AFRYX</t>
  </si>
  <si>
    <t>FDIC INSURED BANK DEPOSIT</t>
  </si>
  <si>
    <t>TJX</t>
  </si>
  <si>
    <t>MLPNX</t>
  </si>
  <si>
    <t>REINVEST CASH INCOME ** MLPNX</t>
  </si>
  <si>
    <t>mon than 50%</t>
  </si>
  <si>
    <t xml:space="preserve">rent dif </t>
  </si>
  <si>
    <t>at 8%</t>
  </si>
  <si>
    <t>DIVIDEND REINVESTMENT ADJUSTMENT ** AFRYX</t>
  </si>
  <si>
    <t>CASH DIVIDEND ADJUSTMENT</t>
  </si>
  <si>
    <t>Asbury</t>
  </si>
  <si>
    <t>ET</t>
  </si>
  <si>
    <t>PARTNERSHIP DISTRIBUTION</t>
  </si>
  <si>
    <t>LNG</t>
  </si>
  <si>
    <t>FDIC INSURED BANK DEPOSITS INTEREST REINVESTED</t>
  </si>
  <si>
    <t>ABBV</t>
  </si>
  <si>
    <t>CE</t>
  </si>
  <si>
    <t>more than 25%</t>
  </si>
  <si>
    <t>VZ</t>
  </si>
  <si>
    <t>OPYMX</t>
  </si>
  <si>
    <t>NON-TAXABLE DISTRIBUTION RECEIVED</t>
  </si>
  <si>
    <t>OMFYX</t>
  </si>
  <si>
    <t>REINVEST CASH INCOME</t>
  </si>
  <si>
    <t>TRANSACTION FEE ADJUSTMENT</t>
  </si>
  <si>
    <t>BUY 438.7230 SHARES OF SPIDX @ 47.03000</t>
  </si>
  <si>
    <t>SELL 28822.4630 SHARES OF AIYXX @ 1.00000</t>
  </si>
  <si>
    <t>OTCYX</t>
  </si>
  <si>
    <t>BUY 425.2980 SHARES OF OTCYX @ 67.77000</t>
  </si>
  <si>
    <t>SELL 3029.8320 SHARES OF AFRYX @ 6.81000</t>
  </si>
  <si>
    <t>MANAGEMENT FEE PAID</t>
  </si>
  <si>
    <t>MRK</t>
  </si>
  <si>
    <t>SELL 729.8640 SHARES OF OGLYX @ 88.34000</t>
  </si>
  <si>
    <t>SELL 1126.9340 SHARES OF MLPNX @ 4.28000</t>
  </si>
  <si>
    <t>VAFIX</t>
  </si>
  <si>
    <t>SELL 1149.8570 SHARES OF VAFIX @ 20.81000</t>
  </si>
  <si>
    <t>BUY 23928.5200 SHARES OF AIYXX @ 1.00000</t>
  </si>
  <si>
    <t>BUY 23112.7500 SHARES OF AIYXX @ 1.00000</t>
  </si>
  <si>
    <t>BUY 64476.1900 SHARES OF AIYXX @ 1.00000</t>
  </si>
  <si>
    <t>BUY 40223.8500 SHARES OF AIYXX @ 1.00000</t>
  </si>
  <si>
    <t>SELL 352.4350 SHARES OF OTCYX @ 65.58000</t>
  </si>
  <si>
    <t>SELL 352.4360 SHARES OF OTCYX @ 65.58000</t>
  </si>
  <si>
    <t>OMSYX</t>
  </si>
  <si>
    <t>SELL 557.9710 SHARES OF OMSYX @ 22.04000</t>
  </si>
  <si>
    <t>ASMYX</t>
  </si>
  <si>
    <t>SELL 2015.2230 SHARES OF ASMYX @ 19.96000</t>
  </si>
  <si>
    <t>SELL 1628.0200 SHARES OF CHTYX @ 16.35000</t>
  </si>
  <si>
    <t>BUY 709.3060 SHARES OF AFRYX @ 6.80000</t>
  </si>
  <si>
    <t>BUY 3518.9000 SHARES OF AFRYX @ 6.80000</t>
  </si>
  <si>
    <t>BUY 3398.9250 SHARES OF AFRYX @ 6.80000</t>
  </si>
  <si>
    <t>BUY 1808.4820 SHARES OF AFRYX @ 6.80000</t>
  </si>
  <si>
    <t>BUY 3914.4310 SHARES OF AFRYX @ 6.80000</t>
  </si>
  <si>
    <t>STOCK SPIN-OFF RECEIVED ** KLG</t>
  </si>
  <si>
    <t>DIVIDENDS - REINVEST SHORT TERM CAP GAIN- REINVLONG TERM CAP GAIN - REINV ** AIYXX</t>
  </si>
  <si>
    <t>DIVIDENDS - REINVEST SHORT TERM CAP GAIN- REINVLONG TERM CAP GAIN - REINV ** OTCYX</t>
  </si>
  <si>
    <t>BUY 10704.8400 SHARES OF AIYXX @ 1.00000</t>
  </si>
  <si>
    <t>SELL 999.5180 SHARES OF OPYMX @ 10.71000</t>
  </si>
  <si>
    <t>SELL 999.5190 SHARES OF OPYMX @ 10.71000</t>
  </si>
  <si>
    <t>SELL 3184.8830 SHARES OF OMFYX @ 6.42000</t>
  </si>
  <si>
    <t>BUY 165.1220 SHARES OF OTCYX @ 64.83000</t>
  </si>
  <si>
    <t>BUY 2998.0870 SHARES OF AFRYX @ 6.82000</t>
  </si>
  <si>
    <t>ITA</t>
  </si>
  <si>
    <t>IYM</t>
  </si>
  <si>
    <t>IJH</t>
  </si>
  <si>
    <t>REINVEST CASH INCOME ** OMFYX</t>
  </si>
  <si>
    <t>BUY 929.0150 SHARES OF GTNYX @ 12.25000</t>
  </si>
  <si>
    <t>BUY 2253.8680 SHARES OF MLPNX @ 4.33000</t>
  </si>
  <si>
    <t>BUY 275.4430 SHARES OF SPIDX @ 48.19000</t>
  </si>
  <si>
    <t>ITYYX</t>
  </si>
  <si>
    <t>SELL 264.4670 SHARES OF ITYYX @ 49.21000</t>
  </si>
  <si>
    <t>SMEYX</t>
  </si>
  <si>
    <t>SELL 716.5380 SHARES OF SMEYX @ 13.61000</t>
  </si>
  <si>
    <t>MIGYX</t>
  </si>
  <si>
    <t>SELL 227.5630 SHARES OF MIGYX @ 49.72000</t>
  </si>
  <si>
    <t>BUY 25000.0000 SHARES OF VMFXX @ 1.00000</t>
  </si>
  <si>
    <t>JNJ</t>
  </si>
  <si>
    <t>SELL 106.0000 SHARES OF JNJ @ 158.80000</t>
  </si>
  <si>
    <t>SELL 78.0000 SHARES OF DG @ 126.00000</t>
  </si>
  <si>
    <t>SELL 11551.4010 SHARES OF AIYXX @ 1.00000</t>
  </si>
  <si>
    <t>BUY 705.7450 SHARES OF SMEYX @ 14.04000</t>
  </si>
  <si>
    <t>BUY 225.4370 SHARES OF MIGYX @ 51.24000</t>
  </si>
  <si>
    <t>SELL 1459.3020 SHARES OF AFRYX @ 6.78000</t>
  </si>
  <si>
    <t>SELL 2171.3160 SHARES OF AIYXX @ 1.00000</t>
  </si>
  <si>
    <t>SELL 165.9460 SHARES OF OMFYX @ 6.88000</t>
  </si>
  <si>
    <t>BUY 4.0980 SHARES OF SMEYX @ 13.91000</t>
  </si>
  <si>
    <t>BUY 6.6950 SHARES OF SMEYX @ 13.91000</t>
  </si>
  <si>
    <t>BUY 2.1260 SHARES OF MIGYX @ 51.06000</t>
  </si>
  <si>
    <t>SELL 274.3050 SHARES OF AFRYX @ 6.79000</t>
  </si>
  <si>
    <t>BOTZ</t>
  </si>
  <si>
    <t>PAVE</t>
  </si>
  <si>
    <t>BUY 496.0000 SHARES OF VZ @ 36.26790</t>
  </si>
  <si>
    <t>BUY 264.0000 SHARES OF K @ 67.99755</t>
  </si>
  <si>
    <t>BUY 556.0000 SHARES OF WMB @ 32.28865</t>
  </si>
  <si>
    <t>BUY 70.0000 SHARES OF IJH @ 256.92000</t>
  </si>
  <si>
    <t>BUY 297.0000 SHARES OF KO @ 60.59000</t>
  </si>
  <si>
    <t>DIVIDENDS - REINVEST SHORT TERM CAP GAIN- REINVLONG TERM CAP GAIN - REINV ** VAFIX</t>
  </si>
  <si>
    <t>BUY 264.4670 SHARES OF ITYYX @ 48.04000</t>
  </si>
  <si>
    <t>SELL 12705.0000 SHARES OF AIYXX @ 1.00000</t>
  </si>
  <si>
    <t>SELL 37065.0000 SHARES OF AIYXX @ 1.00000</t>
  </si>
  <si>
    <t>BUY 557.9710 SHARES OF OMSYX @ 22.77000</t>
  </si>
  <si>
    <t>BUY 5474.8890 SHARES OF AFRYX @ 6.77000</t>
  </si>
  <si>
    <t>GLVYX</t>
  </si>
  <si>
    <t>SELL 1179.7720 SHARES OF GLVYX @ 63.71000</t>
  </si>
  <si>
    <t>BUY 813.2790 SHARES OF OGLYX @ 92.42000</t>
  </si>
  <si>
    <t>MLPOX</t>
  </si>
  <si>
    <t>SELL 7345.5760 SHARES OF MLPOX @ 6.10000</t>
  </si>
  <si>
    <t>SELL 9860.4960 SHARES OF MLPNX @ 3.97000</t>
  </si>
  <si>
    <t>BUY 1274.7100 SHARES OF VAFIX @ 21.55000</t>
  </si>
  <si>
    <t>BUY 1879.3170 SHARES OF ASMYX @ 20.83000</t>
  </si>
  <si>
    <t>BUY 2151.1290 SHARES OF ASMYX @ 20.83000</t>
  </si>
  <si>
    <t>SELL 1617.7860 SHARES OF CHTYX @ 16.98000</t>
  </si>
  <si>
    <t>TGT</t>
  </si>
  <si>
    <t>DIVIDENDS - REINVEST SHORT TERM CAP GAIN- REINVLONG TERM CAP GAIN - REINV ** GLVYX</t>
  </si>
  <si>
    <t>BUY 492.8560 SHARES OF OGLYX @ 89.46000</t>
  </si>
  <si>
    <t>ODVYX</t>
  </si>
  <si>
    <t>SELL 1128.2210 SHARES OF ODVYX @ 39.08000</t>
  </si>
  <si>
    <t>BUY 449.0690 SHARES OF GLVYX @ 63.14000</t>
  </si>
  <si>
    <t>AEDYX</t>
  </si>
  <si>
    <t>SELL 864.9860 SHARES OF AEDYX @ 32.78000</t>
  </si>
  <si>
    <t>REINVEST CASH INCOME ** MLPOX</t>
  </si>
  <si>
    <t>SELL 42.0000 SHARES OF TGT @ 139.39640</t>
  </si>
  <si>
    <t>XLU</t>
  </si>
  <si>
    <t>SELL 371.0000 SHARES OF XLU @ 69.17010</t>
  </si>
  <si>
    <t>ACCHX</t>
  </si>
  <si>
    <t>REINVEST CASH INCOME ** OPYMX</t>
  </si>
  <si>
    <t>DIVIDENDS - REINVEST SHORT TERM CAP GAIN- REINVLONG TERM CAP GAIN - REINV ** CHTYX</t>
  </si>
  <si>
    <t>BUY 153.5920 SHARES OF OGLYX @ 86.17000</t>
  </si>
  <si>
    <t>BUY 9757.0320 SHARES OF MLPNX @ 4.06000</t>
  </si>
  <si>
    <t>SELL 927.9350 SHARES OF ITYYX @ 42.69000</t>
  </si>
  <si>
    <t>SELL 13235.0000 SHARES OF AIYXX @ 1.00000</t>
  </si>
  <si>
    <t>BUY 825.6390 SHARES OF CHTYX @ 16.03000</t>
  </si>
  <si>
    <t>BUY 730.7030 SHARES OF GLVYX @ 60.01000</t>
  </si>
  <si>
    <t>GIZYX</t>
  </si>
  <si>
    <t>SELL 4657.6480 SHARES OF GIZYX @ 11.78000</t>
  </si>
  <si>
    <t>BUY 1128.2210 SHARES OF ODVYX @ 38.92000</t>
  </si>
  <si>
    <t>ACSDX</t>
  </si>
  <si>
    <t>SELL 2435.6820 SHARES OF ACSDX @ 26.31000</t>
  </si>
  <si>
    <t>VSMIX</t>
  </si>
  <si>
    <t>SELL 2145.4810 SHARES OF VSMIX @ 18.84000</t>
  </si>
  <si>
    <t>VVOIX</t>
  </si>
  <si>
    <t>SELL 2777.4160 SHARES OF VVOIX @ 15.18000</t>
  </si>
  <si>
    <t>SELL 7234.0000 SHARES OF MLPOX @ 6.07000</t>
  </si>
  <si>
    <t>SELL 21218.9270 SHARES OF ACCHX @ 6.21000</t>
  </si>
  <si>
    <t>BUY 2209.7050 SHARES OF VAFIX @ 19.08000</t>
  </si>
  <si>
    <t>ACGMX</t>
  </si>
  <si>
    <t>SELL 2159.0110 SHARES OF ACGMX @ 20.31000</t>
  </si>
  <si>
    <t>BUY 927.9350 SHARES OF ITYYX @ 43.56000</t>
  </si>
  <si>
    <t>BUY 131769.5400 SHARES OF AIYXX @ 1.00000</t>
  </si>
  <si>
    <t>BUY 1976.0700 SHARES OF OPYMX @ 11.48000</t>
  </si>
  <si>
    <t>BUY 3287.7220 SHARES OF OMFYX @ 6.90000</t>
  </si>
  <si>
    <t>BUY 902.8650 SHARES OF OTCYX @ 60.77000</t>
  </si>
  <si>
    <t>BUY 4048.1860 SHARES OF CHTYX @ 15.83000</t>
  </si>
  <si>
    <t>SELL 3396.0000 SHARES OF AFRYX @ 6.68000</t>
  </si>
  <si>
    <t>REINVEST CASH INCOME ** GIZYX</t>
  </si>
  <si>
    <t>REINVEST CASH INCOME ** ACGMX</t>
  </si>
  <si>
    <t>SELL 7406.4620 SHARES OF ACCHX @ 6.19000</t>
  </si>
  <si>
    <t>BUY 6792.0000 SHARES OF AFRYX @ 6.75000</t>
  </si>
  <si>
    <t>REINVEST CASH INCOME ** ACCHX</t>
  </si>
  <si>
    <t>BUY 864.9860 SHARES OF AEDYX @ 32.53000</t>
  </si>
  <si>
    <t>BUY 4631.6870 SHARES OF GIZYX @ 12.15000</t>
  </si>
  <si>
    <t>SELL 1020.6020 SHARES OF ACSDX @ 27.57000</t>
  </si>
  <si>
    <t>SELL 2787.2710 SHARES OF VSMIX @ 20.19000</t>
  </si>
  <si>
    <t>SELL 2777.4200 SHARES OF VVOIX @ 16.61000</t>
  </si>
  <si>
    <t>BUY 6543.8230 SHARES OF MLPOX @ 6.28000</t>
  </si>
  <si>
    <t>BUY 7782.5100 SHARES OF MLPOX @ 6.28000</t>
  </si>
  <si>
    <t>MLPZX</t>
  </si>
  <si>
    <t>SELL 9527.1270 SHARES OF MLPZX @ 5.13000</t>
  </si>
  <si>
    <t>BUY 12118.0930 SHARES OF ACCHX @ 6.36000</t>
  </si>
  <si>
    <t>BUY 16365.8570 SHARES OF ACCHX @ 6.36000</t>
  </si>
  <si>
    <t>BUY 2147.7160 SHARES OF ACGMX @ 21.48000</t>
  </si>
  <si>
    <t>IENYX</t>
  </si>
  <si>
    <t>SELL 1388.8210 SHARES OF IENYX @ 29.59000</t>
  </si>
  <si>
    <t>IAUYX</t>
  </si>
  <si>
    <t>SELL 3077.9180 SHARES OF IAUYX @ 25.04000</t>
  </si>
  <si>
    <t>SELL 104086.8500 SHARES OF AIYXX @ 1.00000</t>
  </si>
  <si>
    <t>Miles</t>
  </si>
  <si>
    <t>D2D</t>
  </si>
  <si>
    <t>BOA</t>
  </si>
  <si>
    <t>Etsy</t>
  </si>
  <si>
    <t>Discover</t>
  </si>
  <si>
    <t>KOBO</t>
  </si>
  <si>
    <t>Ebay</t>
  </si>
  <si>
    <t>changed</t>
  </si>
  <si>
    <t>Dish Network</t>
  </si>
  <si>
    <t>Rent</t>
  </si>
  <si>
    <t>internet</t>
  </si>
  <si>
    <t>Groceries</t>
  </si>
  <si>
    <t>Total Income</t>
  </si>
  <si>
    <t>Auto Insurance</t>
  </si>
  <si>
    <t>Total Expenses</t>
  </si>
  <si>
    <t>Item</t>
  </si>
  <si>
    <t>ordered</t>
  </si>
  <si>
    <t>arrives</t>
  </si>
  <si>
    <t>tracking</t>
  </si>
  <si>
    <t>Seller</t>
  </si>
  <si>
    <t>carrier</t>
  </si>
  <si>
    <t>Order number</t>
  </si>
  <si>
    <t>Restaurants</t>
  </si>
  <si>
    <t>Small Projects</t>
  </si>
  <si>
    <t>days</t>
  </si>
  <si>
    <t>Big Projects Still</t>
  </si>
  <si>
    <t>months</t>
  </si>
  <si>
    <t>Trip Prep</t>
  </si>
  <si>
    <t>Take</t>
  </si>
  <si>
    <t>5 color Atmos</t>
  </si>
  <si>
    <t>author</t>
  </si>
  <si>
    <r>
      <rPr>
        <sz val="10"/>
        <color rgb="FF007185"/>
        <rFont val="Inherit"/>
      </rPr>
      <t>113-9029396-6321825</t>
    </r>
  </si>
  <si>
    <t>Olive Garden</t>
  </si>
  <si>
    <t>Restaurant</t>
  </si>
  <si>
    <t>Outlet box double cover by bed</t>
  </si>
  <si>
    <t>outside</t>
  </si>
  <si>
    <t>three phones</t>
  </si>
  <si>
    <t>cl</t>
  </si>
  <si>
    <t>p= check bag</t>
  </si>
  <si>
    <t>1 color Five Blog</t>
  </si>
  <si>
    <t>Texas T-Bone</t>
  </si>
  <si>
    <t>Cab door hinges Master Bath</t>
  </si>
  <si>
    <t>Brick Driveway</t>
  </si>
  <si>
    <t>Skeats</t>
  </si>
  <si>
    <t>Touch up white [roller] rod bed</t>
  </si>
  <si>
    <t>Hutch Airport</t>
  </si>
  <si>
    <t>stairs plaster</t>
  </si>
  <si>
    <t>Schulmeric parts</t>
  </si>
  <si>
    <t>1ZW5W0990369789861</t>
  </si>
  <si>
    <t>schulmeric</t>
  </si>
  <si>
    <t>attic wiring</t>
  </si>
  <si>
    <t>Jillian 216 N Main</t>
  </si>
  <si>
    <t>porch curved door</t>
  </si>
  <si>
    <t>paint front window</t>
  </si>
  <si>
    <t>Japanese,  1505 E 17th St</t>
  </si>
  <si>
    <t>Steak House</t>
  </si>
  <si>
    <t>Chillies</t>
  </si>
  <si>
    <t>Casual</t>
  </si>
  <si>
    <t>Rib Crib</t>
  </si>
  <si>
    <t>Applebees</t>
  </si>
  <si>
    <t>Roys Hickory Pit BBQ</t>
  </si>
  <si>
    <t xml:space="preserve">lunch </t>
  </si>
  <si>
    <t>7-4 trailer converter</t>
  </si>
  <si>
    <t>9361289702037848957389</t>
  </si>
  <si>
    <t>prime</t>
  </si>
  <si>
    <r>
      <rPr>
        <sz val="10"/>
        <color rgb="FF007185"/>
        <rFont val="Inherit"/>
      </rPr>
      <t>113-6143507-7237051</t>
    </r>
  </si>
  <si>
    <t>Buffalo Wings</t>
  </si>
  <si>
    <t>leather  seat</t>
  </si>
  <si>
    <t>9361289702037792126961</t>
  </si>
  <si>
    <r>
      <rPr>
        <sz val="10"/>
        <color rgb="FF007185"/>
        <rFont val="Inherit"/>
      </rPr>
      <t>113-5077895-4974660</t>
    </r>
  </si>
  <si>
    <t>Salt City Brewing Co</t>
  </si>
  <si>
    <t>Bar &amp; Grill</t>
  </si>
  <si>
    <t>Squrillel Repellant</t>
  </si>
  <si>
    <r>
      <rPr>
        <sz val="11"/>
        <color rgb="FF002F36"/>
        <rFont val="Arial"/>
        <family val="2"/>
        <scheme val="minor"/>
      </rPr>
      <t>9361289702037640160918</t>
    </r>
  </si>
  <si>
    <t>usps</t>
  </si>
  <si>
    <r>
      <rPr>
        <sz val="9"/>
        <color rgb="FF565959"/>
        <rFont val="Arial"/>
        <family val="2"/>
        <scheme val="minor"/>
      </rPr>
      <t>112-0228157-7146677</t>
    </r>
  </si>
  <si>
    <t>Village Inn</t>
  </si>
  <si>
    <t>Coffee Shop</t>
  </si>
  <si>
    <t>Travel Paperwork</t>
  </si>
  <si>
    <t>cs=carry on small</t>
  </si>
  <si>
    <t>shirt polo</t>
  </si>
  <si>
    <r>
      <rPr>
        <sz val="11"/>
        <color rgb="FF002F36"/>
        <rFont val="Arial"/>
        <family val="2"/>
        <scheme val="minor"/>
      </rPr>
      <t>9361289702037658311517</t>
    </r>
  </si>
  <si>
    <t>China Star</t>
  </si>
  <si>
    <t>Buffett</t>
  </si>
  <si>
    <t>bandsaw belt</t>
  </si>
  <si>
    <r>
      <rPr>
        <sz val="11"/>
        <color rgb="FF002F36"/>
        <rFont val="Arial"/>
        <family val="2"/>
        <scheme val="minor"/>
      </rPr>
      <t>9361289702037458383349</t>
    </r>
  </si>
  <si>
    <t>USPS</t>
  </si>
  <si>
    <r>
      <rPr>
        <sz val="9"/>
        <color rgb="FF0F1111"/>
        <rFont val="Arial"/>
        <family val="2"/>
        <scheme val="minor"/>
      </rPr>
      <t>113-5579690-5489827</t>
    </r>
  </si>
  <si>
    <t>Pizza Ranch</t>
  </si>
  <si>
    <t>Wicking Headband</t>
  </si>
  <si>
    <r>
      <rPr>
        <sz val="11"/>
        <color rgb="FF002F36"/>
        <rFont val="Arial"/>
        <family val="2"/>
        <scheme val="minor"/>
      </rPr>
      <t>9361289702037407438779</t>
    </r>
  </si>
  <si>
    <r>
      <rPr>
        <u/>
        <sz val="10"/>
        <color rgb="FF007185"/>
        <rFont val="Inherit"/>
      </rPr>
      <t>113-1512410-9178655</t>
    </r>
  </si>
  <si>
    <t>Anchor Inn Mexican</t>
  </si>
  <si>
    <t>Jock Itch</t>
  </si>
  <si>
    <r>
      <rPr>
        <sz val="11"/>
        <color rgb="FF002F36"/>
        <rFont val="Arial"/>
        <family val="2"/>
        <scheme val="minor"/>
      </rPr>
      <t>9339589702037001984087</t>
    </r>
  </si>
  <si>
    <r>
      <rPr>
        <sz val="10"/>
        <color rgb="FF007185"/>
        <rFont val="Inherit"/>
      </rPr>
      <t>113-3501308-1861805</t>
    </r>
  </si>
  <si>
    <t>Panda Express</t>
  </si>
  <si>
    <t>fast</t>
  </si>
  <si>
    <t>3 pentel 0.5 pens</t>
  </si>
  <si>
    <r>
      <rPr>
        <sz val="11"/>
        <color rgb="FF002F36"/>
        <rFont val="Arial"/>
        <family val="2"/>
        <scheme val="minor"/>
      </rPr>
      <t>9361289702037093468012</t>
    </r>
  </si>
  <si>
    <r>
      <rPr>
        <sz val="10"/>
        <color rgb="FF007185"/>
        <rFont val="Inherit"/>
      </rPr>
      <t>113-3332875-9171454</t>
    </r>
  </si>
  <si>
    <t>Mc Donalds</t>
  </si>
  <si>
    <t>Fast</t>
  </si>
  <si>
    <t>Dr Ormassh Recipies</t>
  </si>
  <si>
    <t>1Z04E04A0382484159</t>
  </si>
  <si>
    <t>UPS</t>
  </si>
  <si>
    <r>
      <rPr>
        <sz val="10"/>
        <color rgb="FF007185"/>
        <rFont val="Inherit"/>
      </rPr>
      <t>113-4997087-0013866</t>
    </r>
  </si>
  <si>
    <t>Burger King</t>
  </si>
  <si>
    <t>Two Carving Books</t>
  </si>
  <si>
    <r>
      <rPr>
        <sz val="11"/>
        <color rgb="FF002F36"/>
        <rFont val="Arial"/>
        <family val="2"/>
        <scheme val="minor"/>
      </rPr>
      <t>1Z87VW990344337211</t>
    </r>
  </si>
  <si>
    <t>Prime</t>
  </si>
  <si>
    <r>
      <rPr>
        <sz val="10"/>
        <color rgb="FF007185"/>
        <rFont val="Inherit"/>
      </rPr>
      <t>113-7276880-8088251</t>
    </r>
  </si>
  <si>
    <t>Sonic</t>
  </si>
  <si>
    <t>One Carving book</t>
  </si>
  <si>
    <r>
      <rPr>
        <sz val="11"/>
        <color rgb="FF002F36"/>
        <rFont val="Arial"/>
        <family val="2"/>
        <scheme val="minor"/>
      </rPr>
      <t>9449009105114099572647</t>
    </r>
  </si>
  <si>
    <t>used amazon</t>
  </si>
  <si>
    <r>
      <rPr>
        <sz val="10"/>
        <color rgb="FF007185"/>
        <rFont val="Inherit"/>
      </rPr>
      <t>113-2108713-1156249</t>
    </r>
  </si>
  <si>
    <t>Dairy Queen</t>
  </si>
  <si>
    <t>My Amazon Books 21</t>
  </si>
  <si>
    <r>
      <rPr>
        <sz val="11"/>
        <color rgb="FF002F36"/>
        <rFont val="Arial"/>
        <family val="2"/>
        <scheme val="minor"/>
      </rPr>
      <t>9341989702006076580671</t>
    </r>
  </si>
  <si>
    <t>KDP</t>
  </si>
  <si>
    <t>113-8854646-2440257</t>
  </si>
  <si>
    <t>Kentuckie Fried Chicken</t>
  </si>
  <si>
    <t>Poly Mailers</t>
  </si>
  <si>
    <r>
      <rPr>
        <sz val="10"/>
        <color rgb="FF007185"/>
        <rFont val="Inherit"/>
      </rPr>
      <t>113-3906397-1277060</t>
    </r>
  </si>
  <si>
    <t>Subway</t>
  </si>
  <si>
    <t>Ring chime</t>
  </si>
  <si>
    <r>
      <rPr>
        <sz val="11"/>
        <color rgb="FF1773B0"/>
        <rFont val="Arial"/>
        <family val="2"/>
        <scheme val="minor"/>
      </rPr>
      <t>9361289702036871804103</t>
    </r>
  </si>
  <si>
    <t>Ring</t>
  </si>
  <si>
    <t>001-6499649</t>
  </si>
  <si>
    <t>Chick - Fill ay</t>
  </si>
  <si>
    <t>Bass Tailpiece</t>
  </si>
  <si>
    <t>1Z04E83W0313089494</t>
  </si>
  <si>
    <t>KC Strings</t>
  </si>
  <si>
    <t>Fire House</t>
  </si>
  <si>
    <t>Breakfast/Lunch</t>
  </si>
  <si>
    <t>Tire Pump</t>
  </si>
  <si>
    <r>
      <rPr>
        <sz val="11"/>
        <color rgb="FF002F36"/>
        <rFont val="Arial"/>
        <family val="2"/>
        <scheme val="minor"/>
      </rPr>
      <t>9361289702036456472635</t>
    </r>
  </si>
  <si>
    <r>
      <rPr>
        <sz val="10"/>
        <color rgb="FF007185"/>
        <rFont val="Inherit"/>
      </rPr>
      <t>113-6803284-8954622</t>
    </r>
  </si>
  <si>
    <t>Scrambled Sams, Lyons</t>
  </si>
  <si>
    <t>Bass Bumpers Leather</t>
  </si>
  <si>
    <t>9400111105501348405640</t>
  </si>
  <si>
    <t>Gollihur Music</t>
  </si>
  <si>
    <t>USPS ground</t>
  </si>
  <si>
    <t>Yum-Yum Chinase Lyons</t>
  </si>
  <si>
    <t>Lunch/Dinner</t>
  </si>
  <si>
    <t>Facemask</t>
  </si>
  <si>
    <r>
      <rPr>
        <sz val="10"/>
        <color rgb="FF007185"/>
        <rFont val="Inherit"/>
      </rPr>
      <t>113-5443463-3683456</t>
    </r>
  </si>
  <si>
    <t>Sam's Southern Eatery</t>
  </si>
  <si>
    <t>2223 N Lorraine St</t>
  </si>
  <si>
    <t>Thermometer</t>
  </si>
  <si>
    <r>
      <rPr>
        <sz val="10"/>
        <color rgb="FF007185"/>
        <rFont val="Inherit"/>
      </rPr>
      <t>113-5443463-3683456</t>
    </r>
  </si>
  <si>
    <t>countersink bits</t>
  </si>
  <si>
    <r>
      <rPr>
        <sz val="10"/>
        <color rgb="FF007185"/>
        <rFont val="Inherit"/>
      </rPr>
      <t>113-5443463-3683456</t>
    </r>
  </si>
  <si>
    <t>Heal Socks</t>
  </si>
  <si>
    <t>9339589702035551481179</t>
  </si>
  <si>
    <t>113-8741612-7475430</t>
  </si>
  <si>
    <t>ipad stand</t>
  </si>
  <si>
    <t>button batteries</t>
  </si>
  <si>
    <t>World shirt</t>
  </si>
  <si>
    <t>92144903590992110003751644</t>
  </si>
  <si>
    <t>113-4893315-3727424</t>
  </si>
  <si>
    <t>glasses 225</t>
  </si>
  <si>
    <t>113-2689193-1911443</t>
  </si>
  <si>
    <t>BOA credit Card</t>
  </si>
  <si>
    <t>Omeprozole</t>
  </si>
  <si>
    <t>9361289927300017115659</t>
  </si>
  <si>
    <t>wellcare</t>
  </si>
  <si>
    <t>Atrovastatin</t>
  </si>
  <si>
    <t>9361289927300016581035</t>
  </si>
  <si>
    <t>pops rosin</t>
  </si>
  <si>
    <t>9361289702033981128365</t>
  </si>
  <si>
    <t>113-8842877-4022616</t>
  </si>
  <si>
    <t>spinner wheels 2</t>
  </si>
  <si>
    <t>2/7-23</t>
  </si>
  <si>
    <t>HHWFR4026000023YQ</t>
  </si>
  <si>
    <t>looks like China</t>
  </si>
  <si>
    <t>113-4741994-1301023</t>
  </si>
  <si>
    <t>butterfly bandaid 100</t>
  </si>
  <si>
    <t>9374889702026465362344</t>
  </si>
  <si>
    <t>113-7332095-4976221</t>
  </si>
  <si>
    <t>ZZZ</t>
  </si>
  <si>
    <t>9374889702026474650524</t>
  </si>
  <si>
    <t>113-1302715-3761054</t>
  </si>
  <si>
    <t>Euro to US plug</t>
  </si>
  <si>
    <t>9374889702026415026968</t>
  </si>
  <si>
    <t>113-3727769-8647468</t>
  </si>
  <si>
    <t>wine mugs</t>
  </si>
  <si>
    <t>9374889702026406513804</t>
  </si>
  <si>
    <t>113-8073912-5065035</t>
  </si>
  <si>
    <t>Striking+Chiming Smith</t>
  </si>
  <si>
    <t>9241990348186500575909</t>
  </si>
  <si>
    <t>04-11091-25439</t>
  </si>
  <si>
    <t>Finger board</t>
  </si>
  <si>
    <t>9434611899563829659823</t>
  </si>
  <si>
    <t>stewmac.com</t>
  </si>
  <si>
    <t>PO2265980957</t>
  </si>
  <si>
    <t>RCA to HDMI</t>
  </si>
  <si>
    <t>9374889702026045651691</t>
  </si>
  <si>
    <t>amazon prime</t>
  </si>
  <si>
    <t>113-9632872-2826640</t>
  </si>
  <si>
    <t>Rodney Book</t>
  </si>
  <si>
    <t>9341989702005818357137</t>
  </si>
  <si>
    <t>113-1624521-6065857</t>
  </si>
  <si>
    <t>Pops Rosin</t>
  </si>
  <si>
    <t>9374889702026006372870</t>
  </si>
  <si>
    <t>113-2165395-4025021</t>
  </si>
  <si>
    <t>MyKnobs</t>
  </si>
  <si>
    <t>1Z85R38V0323184553</t>
  </si>
  <si>
    <t>UPS to donna</t>
  </si>
  <si>
    <t>MYK-2887034</t>
  </si>
  <si>
    <t>small sissors</t>
  </si>
  <si>
    <t>p</t>
  </si>
  <si>
    <t>cl=cary on large</t>
  </si>
  <si>
    <t>Plug UK to US</t>
  </si>
  <si>
    <t>113-7683020-2873011</t>
  </si>
  <si>
    <t>Drying Towel</t>
  </si>
  <si>
    <t>9434611206217538622741</t>
  </si>
  <si>
    <t>CeramicPro</t>
  </si>
  <si>
    <t>Pillow</t>
  </si>
  <si>
    <t>9400111206217474413395</t>
  </si>
  <si>
    <t>Everyday Sketching</t>
  </si>
  <si>
    <t>9341989702005742397599</t>
  </si>
  <si>
    <t>114-4854178-1318602</t>
  </si>
  <si>
    <t>Meds Statin</t>
  </si>
  <si>
    <t>cvs</t>
  </si>
  <si>
    <t>ph case</t>
  </si>
  <si>
    <t>9374889702025227607327</t>
  </si>
  <si>
    <t>114-5799019-4398660</t>
  </si>
  <si>
    <t>Thermostat</t>
  </si>
  <si>
    <t>1Z2A80890315929216</t>
  </si>
  <si>
    <t>ups</t>
  </si>
  <si>
    <t>111-6615096-4447447</t>
  </si>
  <si>
    <t>1.25" vac hose n fitting</t>
  </si>
  <si>
    <t>9361289702026097891254</t>
  </si>
  <si>
    <t>114-9011971-7455424</t>
  </si>
  <si>
    <t>Ryobi grinder Wrench</t>
  </si>
  <si>
    <t>1Z92Y7910204482977</t>
  </si>
  <si>
    <t>114-5067621-3387457</t>
  </si>
  <si>
    <t>Pool Skimmer Socks</t>
  </si>
  <si>
    <t>9374889702025063225303</t>
  </si>
  <si>
    <t>114-1492840-3203447</t>
  </si>
  <si>
    <t>Christmas crackers</t>
  </si>
  <si>
    <t>114-4541927-3089065</t>
  </si>
  <si>
    <t>Atmos 24 * 10 $6.6 ea</t>
  </si>
  <si>
    <t>9341989702005720872339</t>
  </si>
  <si>
    <t>111-0444635-3821838</t>
  </si>
  <si>
    <t>Bass Stain n cleaner</t>
  </si>
  <si>
    <t>9374889702024831710041++</t>
  </si>
  <si>
    <t>111-1520519-8566623</t>
  </si>
  <si>
    <t>t head C1</t>
  </si>
  <si>
    <t>9374889702024834216212</t>
  </si>
  <si>
    <t>111-7382261-9708242</t>
  </si>
  <si>
    <t>Mince Pies 18</t>
  </si>
  <si>
    <t>9361289702025429477340</t>
  </si>
  <si>
    <t>111-8725759-7436226</t>
  </si>
  <si>
    <t>Meds Omeprozole</t>
  </si>
  <si>
    <t>9374869901600823300561</t>
  </si>
  <si>
    <t>Caremark</t>
  </si>
  <si>
    <t>Meds Discus</t>
  </si>
  <si>
    <t>7 Cuckoo replacements</t>
  </si>
  <si>
    <t>9341989702005680157033</t>
  </si>
  <si>
    <t>seller</t>
  </si>
  <si>
    <t>112-3063372-2911414</t>
  </si>
  <si>
    <t>thermal image camera</t>
  </si>
  <si>
    <t>9361289702025227738896</t>
  </si>
  <si>
    <t>111-0864854-5725049</t>
  </si>
  <si>
    <t>Street Light</t>
  </si>
  <si>
    <t>1ZAC98180308766387</t>
  </si>
  <si>
    <t>14-10762-95809</t>
  </si>
  <si>
    <t>7 cuckoo</t>
  </si>
  <si>
    <t>112-2318709-4154611</t>
  </si>
  <si>
    <t>Hello  Fresh</t>
  </si>
  <si>
    <t>HelloFresh</t>
  </si>
  <si>
    <t>10 bench</t>
  </si>
  <si>
    <t>nest gen3</t>
  </si>
  <si>
    <t>Fedex</t>
  </si>
  <si>
    <t>22-10714-59741</t>
  </si>
  <si>
    <t>dewalt to USBC</t>
  </si>
  <si>
    <t>9374889702024243089421</t>
  </si>
  <si>
    <t>112-0778285-9676245</t>
  </si>
  <si>
    <t>Factor food</t>
  </si>
  <si>
    <t>Factor</t>
  </si>
  <si>
    <t>Basement to 1st wires</t>
  </si>
  <si>
    <t>Finish outside paint</t>
  </si>
  <si>
    <t>Checkin Perusia flight</t>
  </si>
  <si>
    <t>Pill Box</t>
  </si>
  <si>
    <t>stylus tips</t>
  </si>
  <si>
    <t>9374889702024161357633</t>
  </si>
  <si>
    <t>112-7921077-9869016</t>
  </si>
  <si>
    <t>1Z91V5620378571230</t>
  </si>
  <si>
    <t>112-1249542-0452246</t>
  </si>
  <si>
    <t>Days between Dates</t>
  </si>
  <si>
    <t>Tesla Spare Tire</t>
  </si>
  <si>
    <t>112-2921618-4515436</t>
  </si>
  <si>
    <t>Ramsey book</t>
  </si>
  <si>
    <t>92612902601487000002918296</t>
  </si>
  <si>
    <t>Ramsey</t>
  </si>
  <si>
    <t>Squeegee</t>
  </si>
  <si>
    <t>1ZY4910V0207781089</t>
  </si>
  <si>
    <t>112-6990318-8905061</t>
  </si>
  <si>
    <t>225 Readers</t>
  </si>
  <si>
    <t>1Z91V5620377735476</t>
  </si>
  <si>
    <t>112-1979534-3722625</t>
  </si>
  <si>
    <t>Tesla front Grill sticker</t>
  </si>
  <si>
    <t>9400109206094023257986</t>
  </si>
  <si>
    <t>need 70 days to get 5 credits</t>
  </si>
  <si>
    <t>Key Finder</t>
  </si>
  <si>
    <t>1ZA83H870314939984</t>
  </si>
  <si>
    <t>112-5093750-7146643</t>
  </si>
  <si>
    <t>Atomic Clock</t>
  </si>
  <si>
    <t>1ZX293V00229818994</t>
  </si>
  <si>
    <t>112-0397843-3558624</t>
  </si>
  <si>
    <t>Kwikset lock smartkey</t>
  </si>
  <si>
    <t>Homedepot</t>
  </si>
  <si>
    <t>fedex</t>
  </si>
  <si>
    <t>Ceramic</t>
  </si>
  <si>
    <t>suspect order did not go through</t>
  </si>
  <si>
    <t>formytesla.com</t>
  </si>
  <si>
    <t>Atmos to Customer</t>
  </si>
  <si>
    <t>amazon Author</t>
  </si>
  <si>
    <t>112-9492369-5252243</t>
  </si>
  <si>
    <t>Skechers step-ins Arch Support</t>
  </si>
  <si>
    <t>Skecturs</t>
  </si>
  <si>
    <t>DNA test</t>
  </si>
  <si>
    <t>92748999985431543457746839</t>
  </si>
  <si>
    <t>Ancestry</t>
  </si>
  <si>
    <t>held at PO</t>
  </si>
  <si>
    <t>painting</t>
  </si>
  <si>
    <t>13-10451-10814</t>
  </si>
  <si>
    <t>Upper Staircase plaster</t>
  </si>
  <si>
    <t>Front Masonary</t>
  </si>
  <si>
    <t>hide M laptop</t>
  </si>
  <si>
    <t>ear buds plus</t>
  </si>
  <si>
    <t>cs</t>
  </si>
  <si>
    <t>A1 2x20oz</t>
  </si>
  <si>
    <t>1Z09VY060150315213</t>
  </si>
  <si>
    <t>112-1150981-3133006</t>
  </si>
  <si>
    <t>Maids room floor patch</t>
  </si>
  <si>
    <t>Ramp?</t>
  </si>
  <si>
    <t>prep small carry on</t>
  </si>
  <si>
    <t>tweezers</t>
  </si>
  <si>
    <t>merry meds</t>
  </si>
  <si>
    <t>Outlet 4 go black Parlor</t>
  </si>
  <si>
    <t>paint carrage house</t>
  </si>
  <si>
    <t>Wed</t>
  </si>
  <si>
    <t>lock windows M</t>
  </si>
  <si>
    <t>watch charger</t>
  </si>
  <si>
    <t>charge</t>
  </si>
  <si>
    <t>AirFly ear bud trans</t>
  </si>
  <si>
    <t>112-7796417-4100246</t>
  </si>
  <si>
    <t>Finish up sump pump</t>
  </si>
  <si>
    <t>paint front peak</t>
  </si>
  <si>
    <t>turn off gas heater</t>
  </si>
  <si>
    <t>light ring</t>
  </si>
  <si>
    <t>3 phones</t>
  </si>
  <si>
    <t>Omep &amp; Advair Prep</t>
  </si>
  <si>
    <t>9374869901600763867650</t>
  </si>
  <si>
    <t>Attic wiring</t>
  </si>
  <si>
    <t>Rear Deck Rebuild</t>
  </si>
  <si>
    <t>turn of AC's</t>
  </si>
  <si>
    <t>cortizone</t>
  </si>
  <si>
    <t>light</t>
  </si>
  <si>
    <t>curtain pull knobs</t>
  </si>
  <si>
    <t>1ZA81H040314338030</t>
  </si>
  <si>
    <t>114-9137617-5933841</t>
  </si>
  <si>
    <t>Paint Parlor windows outside</t>
  </si>
  <si>
    <t>Forest path &amp; decor</t>
  </si>
  <si>
    <t>instant hot Water off</t>
  </si>
  <si>
    <t>tripple usb plug</t>
  </si>
  <si>
    <t>ear buds +</t>
  </si>
  <si>
    <t>neck pillow MLVOC</t>
  </si>
  <si>
    <t>1ZW582Y30312680063</t>
  </si>
  <si>
    <t>114-2519585-9907423</t>
  </si>
  <si>
    <t>Double front outside faucet</t>
  </si>
  <si>
    <t>Portaco Rail and Gate</t>
  </si>
  <si>
    <t>Ice maker off check</t>
  </si>
  <si>
    <t>Sweater Vest</t>
  </si>
  <si>
    <t>power banks</t>
  </si>
  <si>
    <t>Returned Book</t>
  </si>
  <si>
    <t>1ZW3985X0342506596</t>
  </si>
  <si>
    <t>Lightening sauce</t>
  </si>
  <si>
    <t>Sprinkler to driveway bed</t>
  </si>
  <si>
    <t>Side Porch Windows</t>
  </si>
  <si>
    <t>in/out</t>
  </si>
  <si>
    <t>iphone 14 pro case</t>
  </si>
  <si>
    <t>1Z91V5620371990040</t>
  </si>
  <si>
    <t>113-7346323-1834604</t>
  </si>
  <si>
    <t>Water Well cabinet &amp; Wiring</t>
  </si>
  <si>
    <t>Carrage House Doors</t>
  </si>
  <si>
    <t>Transition Sunglasses</t>
  </si>
  <si>
    <t>1Z82A2Y4035898398</t>
  </si>
  <si>
    <t>113-0391319-9695454</t>
  </si>
  <si>
    <t>Update TV outlet to 4-plex</t>
  </si>
  <si>
    <t>finish wiring</t>
  </si>
  <si>
    <t>inside</t>
  </si>
  <si>
    <t>SKALD</t>
  </si>
  <si>
    <t>1Z91V5620371820198</t>
  </si>
  <si>
    <t>113-7060871-1303458</t>
  </si>
  <si>
    <t>Turret Decorate+elect</t>
  </si>
  <si>
    <t>fan off</t>
  </si>
  <si>
    <t>mouse</t>
  </si>
  <si>
    <t>Car Duster</t>
  </si>
  <si>
    <t>1Z47VY660357096162</t>
  </si>
  <si>
    <t>113-5173223-8678625</t>
  </si>
  <si>
    <t>Total Days</t>
  </si>
  <si>
    <t>Decorate front rooms</t>
  </si>
  <si>
    <t>laptop &amp; cord</t>
  </si>
  <si>
    <t>Toto Registration Pk</t>
  </si>
  <si>
    <t>1Z6605RR0208307854</t>
  </si>
  <si>
    <t>Bassement floor</t>
  </si>
  <si>
    <t>small carryon</t>
  </si>
  <si>
    <t>cleaner detox</t>
  </si>
  <si>
    <t>1ZW8R8410318291729</t>
  </si>
  <si>
    <t>leave 9.30</t>
  </si>
  <si>
    <t>cough</t>
  </si>
  <si>
    <t>Console drawers</t>
  </si>
  <si>
    <t>1ZX262790325783691</t>
  </si>
  <si>
    <t>113-9289620-0430656</t>
  </si>
  <si>
    <t>arrive 10.45</t>
  </si>
  <si>
    <t>gummies</t>
  </si>
  <si>
    <t>1Z91V5620371345112</t>
  </si>
  <si>
    <t>113-5261389-4168258</t>
  </si>
  <si>
    <t>flight 12.35</t>
  </si>
  <si>
    <t>sim pin</t>
  </si>
  <si>
    <t>basic chargers</t>
  </si>
  <si>
    <t>Tesmainion Floor mats</t>
  </si>
  <si>
    <t>Tesmainion</t>
  </si>
  <si>
    <t>DU384CYGI</t>
  </si>
  <si>
    <t>American Airlines</t>
  </si>
  <si>
    <t>cough drops</t>
  </si>
  <si>
    <t>pen n notepad</t>
  </si>
  <si>
    <t>tire pump</t>
  </si>
  <si>
    <t>1ZW6X9230132655138</t>
  </si>
  <si>
    <t>113-9158224-8707439</t>
  </si>
  <si>
    <t>Laundry Bag</t>
  </si>
  <si>
    <t>jack pads</t>
  </si>
  <si>
    <t>1ZW582Y30312156282</t>
  </si>
  <si>
    <t>113-5718163-1286631</t>
  </si>
  <si>
    <t>head bands</t>
  </si>
  <si>
    <t>imediate paperwork</t>
  </si>
  <si>
    <t>iphone charge plugs</t>
  </si>
  <si>
    <t>1ZY502X90319442302</t>
  </si>
  <si>
    <t>113-6464459-8425861</t>
  </si>
  <si>
    <t>reading glasses</t>
  </si>
  <si>
    <t>passport</t>
  </si>
  <si>
    <t>What Tree is this</t>
  </si>
  <si>
    <t>9241990288795783845020</t>
  </si>
  <si>
    <t>Amazon Private</t>
  </si>
  <si>
    <t>clock movemt</t>
  </si>
  <si>
    <t>second walet</t>
  </si>
  <si>
    <t>Clamp umbrella</t>
  </si>
  <si>
    <t>1ZY5A9150215416159</t>
  </si>
  <si>
    <t>Shorts</t>
  </si>
  <si>
    <t>sun glasses</t>
  </si>
  <si>
    <t>ceramic coating</t>
  </si>
  <si>
    <t>1ZA83H870305669060</t>
  </si>
  <si>
    <t>thumb drive 2</t>
  </si>
  <si>
    <t>comb</t>
  </si>
  <si>
    <t>Tesla wheel caps</t>
  </si>
  <si>
    <t>1ZX282990120626619</t>
  </si>
  <si>
    <t>113-6695231-4436228</t>
  </si>
  <si>
    <t>power pack</t>
  </si>
  <si>
    <t>Walet Key Holder</t>
  </si>
  <si>
    <t>Walmart</t>
  </si>
  <si>
    <t>2000109-71159180</t>
  </si>
  <si>
    <t>4 undies</t>
  </si>
  <si>
    <t>Sunday</t>
  </si>
  <si>
    <t>1ZW5W0990367054541</t>
  </si>
  <si>
    <t>paid</t>
  </si>
  <si>
    <t>Weekend Work</t>
  </si>
  <si>
    <t>4 socks</t>
  </si>
  <si>
    <t>Tesla Charge cable +1450</t>
  </si>
  <si>
    <t>1Z45Y5550322638058</t>
  </si>
  <si>
    <t>U4XGL7SDKQ</t>
  </si>
  <si>
    <t>Doll House</t>
  </si>
  <si>
    <t>nail clippers</t>
  </si>
  <si>
    <t>crumpets</t>
  </si>
  <si>
    <t>1Z91V5620370150315</t>
  </si>
  <si>
    <t>113-0541275-6361030</t>
  </si>
  <si>
    <t>Mow</t>
  </si>
  <si>
    <t>rain Jacket</t>
  </si>
  <si>
    <t>6/3 wire 50ft</t>
  </si>
  <si>
    <t>FedEx</t>
  </si>
  <si>
    <t>WP66780619</t>
  </si>
  <si>
    <t>sell ad Base iPad</t>
  </si>
  <si>
    <t>brit checkbook</t>
  </si>
  <si>
    <t>Cardboard Mailer</t>
  </si>
  <si>
    <t>1Z2842AE0378830614</t>
  </si>
  <si>
    <t>111-1033565-7199424</t>
  </si>
  <si>
    <t>dig look for side spriinkler</t>
  </si>
  <si>
    <t>neck support</t>
  </si>
  <si>
    <t>Cracked Heal Socks</t>
  </si>
  <si>
    <t>1ZA83H880102737127</t>
  </si>
  <si>
    <t>111-2105495-1464210</t>
  </si>
  <si>
    <t>Car Windshield Clean</t>
  </si>
  <si>
    <t>passwords</t>
  </si>
  <si>
    <t>Powder wood filler</t>
  </si>
  <si>
    <t>111-4257618-5276215</t>
  </si>
  <si>
    <t>balsa</t>
  </si>
  <si>
    <t>5 bench color</t>
  </si>
  <si>
    <t>1Z8192Y20372610557</t>
  </si>
  <si>
    <t>111-0806717-5612207</t>
  </si>
  <si>
    <t>uk wallet</t>
  </si>
  <si>
    <t>4 atmos color</t>
  </si>
  <si>
    <t>passports</t>
  </si>
  <si>
    <t>3 cuckoo color</t>
  </si>
  <si>
    <t>chap stick</t>
  </si>
  <si>
    <t>Drip hose bib connector</t>
  </si>
  <si>
    <t>1ZW582Y3YN11365129</t>
  </si>
  <si>
    <t>111-4147021-7275413</t>
  </si>
  <si>
    <t>meds</t>
  </si>
  <si>
    <t>ATORVASTATIN CALCIUM 40MG TAB</t>
  </si>
  <si>
    <t>9374869901600739675456</t>
  </si>
  <si>
    <t>CVS Caremark</t>
  </si>
  <si>
    <t>car charger</t>
  </si>
  <si>
    <t>Multi Charger cable</t>
  </si>
  <si>
    <t>1Z91V5620368567504</t>
  </si>
  <si>
    <t>111-7439944-7544252</t>
  </si>
  <si>
    <t>tooth brush</t>
  </si>
  <si>
    <t>Butcher Box</t>
  </si>
  <si>
    <t>tooth paste</t>
  </si>
  <si>
    <t>OMEPRAZOLE 20MG CAP</t>
  </si>
  <si>
    <t>9374869901600737608883</t>
  </si>
  <si>
    <t>Advair WIXELA INHUB 250/50</t>
  </si>
  <si>
    <t>fanny pack</t>
  </si>
  <si>
    <t>Paint Cups 3</t>
  </si>
  <si>
    <t>Zoro</t>
  </si>
  <si>
    <t>G504377223</t>
  </si>
  <si>
    <t>jamies</t>
  </si>
  <si>
    <t>Mower Blades</t>
  </si>
  <si>
    <t>1Z4344180301184673</t>
  </si>
  <si>
    <t>113-0285223-4289074</t>
  </si>
  <si>
    <t>4 shirts</t>
  </si>
  <si>
    <t>Sunday Lawn Kit</t>
  </si>
  <si>
    <t>1ZW5W0990366625739</t>
  </si>
  <si>
    <t>umbrella</t>
  </si>
  <si>
    <t>Sleep shirt</t>
  </si>
  <si>
    <t>9261290210323515898781</t>
  </si>
  <si>
    <t>Blair</t>
  </si>
  <si>
    <t>chargers</t>
  </si>
  <si>
    <t>Moisture meter</t>
  </si>
  <si>
    <t>1Z49AE870182288084</t>
  </si>
  <si>
    <t>113-3214302-8431417</t>
  </si>
  <si>
    <t>Novalty Clock</t>
  </si>
  <si>
    <t>9405508205497795572474</t>
  </si>
  <si>
    <t>02-09904-97240</t>
  </si>
  <si>
    <t>Shoes</t>
  </si>
  <si>
    <t>1Z6A08X20370681607</t>
  </si>
  <si>
    <t>113-5712677-2461020</t>
  </si>
  <si>
    <t>Wood Finishing</t>
  </si>
  <si>
    <t>9241996901128848195482</t>
  </si>
  <si>
    <t>17-09862-51995</t>
  </si>
  <si>
    <t>Mouse</t>
  </si>
  <si>
    <t>1Z91V5620366657090</t>
  </si>
  <si>
    <t>112-5441554-6247416</t>
  </si>
  <si>
    <t>GoPro Float Tri-pod</t>
  </si>
  <si>
    <t>1Z91V5620366462531</t>
  </si>
  <si>
    <t>112-0241650-3491403</t>
  </si>
  <si>
    <t>Cello kit</t>
  </si>
  <si>
    <t>92612927005795000008326270</t>
  </si>
  <si>
    <t>Robotime</t>
  </si>
  <si>
    <t>China Yun Express</t>
  </si>
  <si>
    <t>RTO00153477</t>
  </si>
  <si>
    <t>UK plug adapter</t>
  </si>
  <si>
    <t>UD632179390YP</t>
  </si>
  <si>
    <t>112-7663135-0652232</t>
  </si>
  <si>
    <t>Pancakes</t>
  </si>
  <si>
    <t>1Z5RW793YW03204464</t>
  </si>
  <si>
    <t>Long Table</t>
  </si>
  <si>
    <t>Bob Ross Joy of Painting</t>
  </si>
  <si>
    <t>1Z0F52710310989383</t>
  </si>
  <si>
    <t>112-1696826-6579440</t>
  </si>
  <si>
    <t>GoPro Hero 8 Black</t>
  </si>
  <si>
    <t>9405508205496579433147</t>
  </si>
  <si>
    <t>18-09818-38059</t>
  </si>
  <si>
    <t>BOA credit card</t>
  </si>
  <si>
    <t>CBottle Puzzel</t>
  </si>
  <si>
    <t>1Z91V5620365988163</t>
  </si>
  <si>
    <t>112-9158229-4224231</t>
  </si>
  <si>
    <t>Countersink Bits</t>
  </si>
  <si>
    <t>1Z91V562YN65926130</t>
  </si>
  <si>
    <t>111-2002064-1210660</t>
  </si>
  <si>
    <t>house # sign</t>
  </si>
  <si>
    <t>1Z91V5620365878568</t>
  </si>
  <si>
    <t>112-8310955-3649055</t>
  </si>
  <si>
    <t>2x125 Micro SD cards</t>
  </si>
  <si>
    <t>112-4969966-8922638</t>
  </si>
  <si>
    <t>GP Charger 2 bats</t>
  </si>
  <si>
    <t>1Z91V5620365756047</t>
  </si>
  <si>
    <t>112-1222208-0462602</t>
  </si>
  <si>
    <t>WIFI movement</t>
  </si>
  <si>
    <t>4PX3000491877164CN</t>
  </si>
  <si>
    <t>walmart</t>
  </si>
  <si>
    <t>USPS china</t>
  </si>
  <si>
    <t>Tile Rummy set</t>
  </si>
  <si>
    <t>1ZF7W8060427829502</t>
  </si>
  <si>
    <t>St Pat Shirt</t>
  </si>
  <si>
    <t>92748901790462543415205250</t>
  </si>
  <si>
    <t>112-8682932-3030600</t>
  </si>
  <si>
    <t>5 400 day Color</t>
  </si>
  <si>
    <t>1ZAC28310302014029</t>
  </si>
  <si>
    <t>112-4154679-3284264</t>
  </si>
  <si>
    <t>10 400 day B&amp;W</t>
  </si>
  <si>
    <t>5 cuckoo spiral</t>
  </si>
  <si>
    <t>802958805505074582</t>
  </si>
  <si>
    <t>Lulu</t>
  </si>
  <si>
    <t>17.66 ea</t>
  </si>
  <si>
    <t>5 Bench spiral</t>
  </si>
  <si>
    <t>802958805525712176</t>
  </si>
  <si>
    <t>23.9 ea</t>
  </si>
  <si>
    <t>Curtains</t>
  </si>
  <si>
    <t>Home Depot</t>
  </si>
  <si>
    <t>Flashlight bulbs 5</t>
  </si>
  <si>
    <t>UG938187463YP</t>
  </si>
  <si>
    <t>113-7886044-7437802</t>
  </si>
  <si>
    <t>Cabinet hinges</t>
  </si>
  <si>
    <t>1Z0F5271YN08856806</t>
  </si>
  <si>
    <t xml:space="preserve">Foil Spray </t>
  </si>
  <si>
    <t>1ZY67E850313725748 + 1Z060A0V0206686657</t>
  </si>
  <si>
    <r>
      <rPr>
        <u/>
        <sz val="11"/>
        <color rgb="FF1155CC"/>
        <rFont val="Arial"/>
        <family val="2"/>
        <scheme val="minor"/>
      </rPr>
      <t>112-0993430-1187431</t>
    </r>
    <r>
      <rPr>
        <sz val="11"/>
        <color rgb="FF000000"/>
        <rFont val="Arial"/>
        <family val="2"/>
        <scheme val="minor"/>
      </rPr>
      <t>/3</t>
    </r>
  </si>
  <si>
    <t>Straws 100 fat</t>
  </si>
  <si>
    <t>112-9091988-5149826</t>
  </si>
  <si>
    <t xml:space="preserve">Heart Med </t>
  </si>
  <si>
    <t>CVS/caremark</t>
  </si>
  <si>
    <t>USPS supplies</t>
  </si>
  <si>
    <t>o1934556799</t>
  </si>
  <si>
    <t>10 Atmos B&amp;W</t>
  </si>
  <si>
    <t>1Z8192Y20368036589</t>
  </si>
  <si>
    <t>amazon seller</t>
  </si>
  <si>
    <t>5.70 ea</t>
  </si>
  <si>
    <t>113-4020240-3234650</t>
  </si>
  <si>
    <t>Rubics Clock Puzzel</t>
  </si>
  <si>
    <t>1Z0W9E070320143196</t>
  </si>
  <si>
    <t>112-1430799-5238602</t>
  </si>
  <si>
    <t>shipping labels 100</t>
  </si>
  <si>
    <t>112-8994428-4187410</t>
  </si>
  <si>
    <t>Sydney</t>
  </si>
  <si>
    <t>Heat Pad seed 2</t>
  </si>
  <si>
    <t>1Z91V5620363531953</t>
  </si>
  <si>
    <t>113-2680881-8427418</t>
  </si>
  <si>
    <t>Bali</t>
  </si>
  <si>
    <t>3 drawer unit</t>
  </si>
  <si>
    <t>1Z838A7V0361776171</t>
  </si>
  <si>
    <t>113-7961344-4523435</t>
  </si>
  <si>
    <t>Japan</t>
  </si>
  <si>
    <t>Bell Screw and Pin</t>
  </si>
  <si>
    <t>1Z1735190342204950</t>
  </si>
  <si>
    <t>Schulmeric</t>
  </si>
  <si>
    <t>Hong Kong</t>
  </si>
  <si>
    <t>Med Omeprozole</t>
  </si>
  <si>
    <t>9374869901600708760886</t>
  </si>
  <si>
    <t>CVS</t>
  </si>
  <si>
    <t>bench color 1?</t>
  </si>
  <si>
    <t>92419999916655583003278071</t>
  </si>
  <si>
    <t>ingrahamspark</t>
  </si>
  <si>
    <t>SPK-10324642-1</t>
  </si>
  <si>
    <t>3 Bench color</t>
  </si>
  <si>
    <t>1ZAC28310301142071</t>
  </si>
  <si>
    <t>Amazon seller</t>
  </si>
  <si>
    <t>111-4991928-5982648</t>
  </si>
  <si>
    <t>Elgin 16 movement</t>
  </si>
  <si>
    <t>9400108205496411549521</t>
  </si>
  <si>
    <t>22-09622-57927</t>
  </si>
  <si>
    <t>10 Wooden 23</t>
  </si>
  <si>
    <t>92419902477419583002311182</t>
  </si>
  <si>
    <t>K Clock</t>
  </si>
  <si>
    <t>1Z8192Y23A66855705</t>
  </si>
  <si>
    <t>113-2874006-4361869</t>
  </si>
  <si>
    <t>F#4 bell handle gd</t>
  </si>
  <si>
    <t>Seed Book</t>
  </si>
  <si>
    <t>1Z91V5620362835083</t>
  </si>
  <si>
    <t>#113-7610535-7130633</t>
  </si>
  <si>
    <t>Backpack Straps</t>
  </si>
  <si>
    <t>1Z91V5620362593513</t>
  </si>
  <si>
    <t>113-5837747-9729862</t>
  </si>
  <si>
    <t>2 400day color</t>
  </si>
  <si>
    <t>111-3701217-6665845</t>
  </si>
  <si>
    <t>1 handbell</t>
  </si>
  <si>
    <t>6..25</t>
  </si>
  <si>
    <t>111-8980890-0413858</t>
  </si>
  <si>
    <t>pipe wrap</t>
  </si>
  <si>
    <t>1Z82E6X10121307561</t>
  </si>
  <si>
    <t>113-6743310-2459461</t>
  </si>
  <si>
    <t>saw blades</t>
  </si>
  <si>
    <t>1Z91V562YW62367215</t>
  </si>
  <si>
    <t>114-2143655-7979426</t>
  </si>
  <si>
    <t>Work Shirt</t>
  </si>
  <si>
    <t>114-8609787-4815410</t>
  </si>
  <si>
    <t>5 cuckoo color</t>
  </si>
  <si>
    <t>1 walk B&amp;W</t>
  </si>
  <si>
    <t>5 GF color</t>
  </si>
  <si>
    <t>Packing Tape Dispenser</t>
  </si>
  <si>
    <t>1ZW582Y30308991646</t>
  </si>
  <si>
    <t>114-7059527-0760240</t>
  </si>
  <si>
    <t>door catch, hands, files</t>
  </si>
  <si>
    <t>Timesavers</t>
  </si>
  <si>
    <t>2 Bench color</t>
  </si>
  <si>
    <t>10 Cuckoo 23</t>
  </si>
  <si>
    <t>92419902477419583002209724</t>
  </si>
  <si>
    <t>D2D author</t>
  </si>
  <si>
    <t>d2d-co-00064155</t>
  </si>
  <si>
    <t>10 GF books</t>
  </si>
  <si>
    <t>92419902477419583002209670</t>
  </si>
  <si>
    <t>#d2d-co-00064278</t>
  </si>
  <si>
    <t>10AtmosC,10cuckoo</t>
  </si>
  <si>
    <t>1ZAC28310300797581</t>
  </si>
  <si>
    <t>Amazon Seller</t>
  </si>
  <si>
    <t>113-9494342-6912211</t>
  </si>
  <si>
    <t>Color Atmos</t>
  </si>
  <si>
    <t>John Robson London</t>
  </si>
  <si>
    <t>Amazon Seller UK</t>
  </si>
  <si>
    <t>ruby</t>
  </si>
  <si>
    <t>1Z7816360251665103</t>
  </si>
  <si>
    <t>111-3424641-6488262</t>
  </si>
  <si>
    <t>gel socks 2 orders</t>
  </si>
  <si>
    <t>1Z0R38R70135979423</t>
  </si>
  <si>
    <t>113-6155739-3174602</t>
  </si>
  <si>
    <t>How to Cook Everything</t>
  </si>
  <si>
    <t>1Z8192Y20365527027 inc 2 bench</t>
  </si>
  <si>
    <t>114-8629320-7869809</t>
  </si>
  <si>
    <t>5cuck,7bench</t>
  </si>
  <si>
    <t>1Z8192Y20365524735</t>
  </si>
  <si>
    <t>113-4838265-7804240</t>
  </si>
  <si>
    <t>Balaclarva</t>
  </si>
  <si>
    <t>1Z82A2Y40351623888</t>
  </si>
  <si>
    <t>114-2748209-8261860</t>
  </si>
  <si>
    <t>Misen Knifes 2</t>
  </si>
  <si>
    <t>Misen</t>
  </si>
  <si>
    <t>A Little Book of Christmas</t>
  </si>
  <si>
    <t>9549014396822349172389</t>
  </si>
  <si>
    <t>27-09459-72115</t>
  </si>
  <si>
    <t>Bright Beam H-Light</t>
  </si>
  <si>
    <t>1Z099Y8V0340043220</t>
  </si>
  <si>
    <t>113-5671548-7393846</t>
  </si>
  <si>
    <t>2 cuckoo</t>
  </si>
  <si>
    <t>Bosch Collet 1/4"</t>
  </si>
  <si>
    <t>9400111206213190832113</t>
  </si>
  <si>
    <t>08-09450-25999</t>
  </si>
  <si>
    <t>ESSENCE OF CLOCK REPAIR</t>
  </si>
  <si>
    <t>9449008205496280549556</t>
  </si>
  <si>
    <t>19-09448-15612</t>
  </si>
  <si>
    <t>Sanding Belts 1x42</t>
  </si>
  <si>
    <t>1Z804E330286492009</t>
  </si>
  <si>
    <t>113-1669179-4911467</t>
  </si>
  <si>
    <t>music stand</t>
  </si>
  <si>
    <t>2000106-31420580</t>
  </si>
  <si>
    <t>4 Color Atmos ++</t>
  </si>
  <si>
    <t>113-2681459-0120206</t>
  </si>
  <si>
    <t>med Atrovastatin</t>
  </si>
  <si>
    <t>9374869901600686496593</t>
  </si>
  <si>
    <t>CVS Caremerk</t>
  </si>
  <si>
    <t>Door Lock</t>
  </si>
  <si>
    <t>1Z4240180301014043</t>
  </si>
  <si>
    <t>113-8089921-0393025</t>
  </si>
  <si>
    <t>Nonpareils 5lb</t>
  </si>
  <si>
    <t>1ZY2F3150365552249</t>
  </si>
  <si>
    <t>113-9937938-5937063</t>
  </si>
  <si>
    <t>6Bench 4 GF</t>
  </si>
  <si>
    <t>1ZW4615X0366104159</t>
  </si>
  <si>
    <t>113-4420150-8865825</t>
  </si>
  <si>
    <t>toner 2 pack</t>
  </si>
  <si>
    <t>9305520111409869082791</t>
  </si>
  <si>
    <t>3 hinges</t>
  </si>
  <si>
    <t>9361220111409888469264</t>
  </si>
  <si>
    <t>113-8380039-3524216</t>
  </si>
  <si>
    <t>Steamer</t>
  </si>
  <si>
    <t>1ZA180E20111990471</t>
  </si>
  <si>
    <t>Amazon Prime</t>
  </si>
  <si>
    <t>113-3963722-8778633</t>
  </si>
  <si>
    <t>Sanding Belts 6*48</t>
  </si>
  <si>
    <t>113-9605877-8689816</t>
  </si>
  <si>
    <t>Router bit</t>
  </si>
  <si>
    <t>113-6504836-1711429</t>
  </si>
  <si>
    <t>11/123</t>
  </si>
  <si>
    <t>9374869901600680724319</t>
  </si>
  <si>
    <t>CareMark</t>
  </si>
  <si>
    <t>clay bar</t>
  </si>
  <si>
    <t>1Z98R74R0172563123</t>
  </si>
  <si>
    <t>113-8131283-1833806</t>
  </si>
  <si>
    <t>Tar &amp; Sap Remover</t>
  </si>
  <si>
    <t>1Z2442R60303656614</t>
  </si>
  <si>
    <t>113-5108001-1814652</t>
  </si>
  <si>
    <t>shower drain</t>
  </si>
  <si>
    <t>lathe T rest</t>
  </si>
  <si>
    <t>9405508205497306159637</t>
  </si>
  <si>
    <t>13-09338-49349</t>
  </si>
  <si>
    <t>merry two door latches</t>
  </si>
  <si>
    <t>smart Plug</t>
  </si>
  <si>
    <t>1ZX373F90322105174</t>
  </si>
  <si>
    <t>Amazon prime</t>
  </si>
  <si>
    <t>113-9297514-6125804</t>
  </si>
  <si>
    <t>12 handbell books</t>
  </si>
  <si>
    <t>1ZW4615X3A62374650</t>
  </si>
  <si>
    <t>Author</t>
  </si>
  <si>
    <t>113-0384057-2535403</t>
  </si>
  <si>
    <t>magic Remote</t>
  </si>
  <si>
    <t>1Z82A2Y40347160412</t>
  </si>
  <si>
    <t>113-7047527-2273856</t>
  </si>
  <si>
    <t>LG OLED 77" TV</t>
  </si>
  <si>
    <t>6777678 - 12 to 3pm</t>
  </si>
  <si>
    <t>NSD</t>
  </si>
  <si>
    <t>113-4048391-7774608</t>
  </si>
  <si>
    <t>book wd, atmos, crui</t>
  </si>
  <si>
    <t>1Z804E330382392346</t>
  </si>
  <si>
    <t>Amazon author</t>
  </si>
  <si>
    <t>113-0481485-0245802</t>
  </si>
  <si>
    <t>Book Boxes 50</t>
  </si>
  <si>
    <t>1Z489EV90104897612</t>
  </si>
  <si>
    <t>113-1364181-7909013</t>
  </si>
  <si>
    <t>1Z3R36500320557330</t>
  </si>
  <si>
    <t>Atmos 528-8</t>
  </si>
  <si>
    <t>1Z850A77YW15986565</t>
  </si>
  <si>
    <t>Marketplace</t>
  </si>
  <si>
    <t>1442493876277882</t>
  </si>
  <si>
    <t>Feeler Gauge</t>
  </si>
  <si>
    <t>1Z91V5620356415879</t>
  </si>
  <si>
    <t>113-5195150-4479420</t>
  </si>
  <si>
    <t>2 pr gloves</t>
  </si>
  <si>
    <t>1Z0RV4760117279304</t>
  </si>
  <si>
    <t>113-6950605-4627435</t>
  </si>
  <si>
    <t>Nitrile Gloves 5.5</t>
  </si>
  <si>
    <t>113-7664985-4271410</t>
  </si>
  <si>
    <t>10 Cuckoo Book</t>
  </si>
  <si>
    <t>1ZW4615X0360666858</t>
  </si>
  <si>
    <t>114-2418319-9143453</t>
  </si>
  <si>
    <t>10 Bench Manual</t>
  </si>
  <si>
    <t>112-4916427-9064253</t>
  </si>
  <si>
    <t>18G gloves x-small</t>
  </si>
  <si>
    <t>1Z87VW990319582780</t>
  </si>
  <si>
    <t>111-8252117-2514614</t>
  </si>
  <si>
    <t>Curts Atmos</t>
  </si>
  <si>
    <t>9406103699300025884975</t>
  </si>
  <si>
    <t>Curts</t>
  </si>
  <si>
    <t>Work shirt</t>
  </si>
  <si>
    <t>1Z82A2Y40345402986</t>
  </si>
  <si>
    <t xml:space="preserve">Amazon </t>
  </si>
  <si>
    <t>114-2095398-7669059</t>
  </si>
  <si>
    <t>Weed Puller</t>
  </si>
  <si>
    <t>114-8792052-2244228</t>
  </si>
  <si>
    <t>Two Towels</t>
  </si>
  <si>
    <t>1Z83W02X0368881481</t>
  </si>
  <si>
    <t>111-9023526-5241826</t>
  </si>
  <si>
    <t>Sweater vest</t>
  </si>
  <si>
    <t>Kohls</t>
  </si>
  <si>
    <t>FedeX</t>
  </si>
  <si>
    <t>Optivisor</t>
  </si>
  <si>
    <t>1Z82A2Y40345033956</t>
  </si>
  <si>
    <t>114-0280047-0073815</t>
  </si>
  <si>
    <t>Atmos Glass 540</t>
  </si>
  <si>
    <t>Atmos Mvmt screws</t>
  </si>
  <si>
    <t>9400108205496109398332</t>
  </si>
  <si>
    <t>08-09160-58751</t>
  </si>
  <si>
    <t>weed fabric</t>
  </si>
  <si>
    <t>114-8850537-2978626</t>
  </si>
  <si>
    <t>Apple pen 1st gen</t>
  </si>
  <si>
    <t>1ZY1465V0148246847</t>
  </si>
  <si>
    <t>Appla</t>
  </si>
  <si>
    <t>W1089382153</t>
  </si>
  <si>
    <t>iPadPro case A1652</t>
  </si>
  <si>
    <t>114-5802206-4989850</t>
  </si>
  <si>
    <t>iPad cover replace</t>
  </si>
  <si>
    <t>1Z87VW990318707334</t>
  </si>
  <si>
    <t>113-9235932-4045027</t>
  </si>
  <si>
    <t>100 Poly Bags</t>
  </si>
  <si>
    <t>amaxon</t>
  </si>
  <si>
    <t>114-8001797-6997831</t>
  </si>
  <si>
    <t>Document</t>
  </si>
  <si>
    <t>Cowlits Title</t>
  </si>
  <si>
    <t>Atmos 528 complet</t>
  </si>
  <si>
    <t>9505811164472230440338</t>
  </si>
  <si>
    <t>27-08987-94738</t>
  </si>
  <si>
    <t>16-08993-92060</t>
  </si>
  <si>
    <t>528 Frame &amp; Bal</t>
  </si>
  <si>
    <t>9405508205496017195781</t>
  </si>
  <si>
    <t>23-09007-43030</t>
  </si>
  <si>
    <t>Atmos with papers</t>
  </si>
  <si>
    <t>9535215815872228550676</t>
  </si>
  <si>
    <t>19-08980-61971</t>
  </si>
  <si>
    <t>Atmos 528 frame</t>
  </si>
  <si>
    <t>9405508205499955070158</t>
  </si>
  <si>
    <t>22-08988-21398</t>
  </si>
  <si>
    <t>9405508205499955091153</t>
  </si>
  <si>
    <t>24-09002-93053</t>
  </si>
  <si>
    <t>Atmos Toolkit</t>
  </si>
  <si>
    <t>iPadPro 12.9</t>
  </si>
  <si>
    <t>112-9735319-2937845</t>
  </si>
  <si>
    <t>ipad case &amp; wrench</t>
  </si>
  <si>
    <t>1Z82A2Y40344165440</t>
  </si>
  <si>
    <t>112-0158426-9573004</t>
  </si>
  <si>
    <t>OOFOS OOMG shoes</t>
  </si>
  <si>
    <t>111-8871606-2792231</t>
  </si>
  <si>
    <t>Wood clocks 10</t>
  </si>
  <si>
    <t>9305589681000224517869</t>
  </si>
  <si>
    <t>3UL03895WU279454D</t>
  </si>
  <si>
    <t>cuckoo 15</t>
  </si>
  <si>
    <t>1Z804E330374345886</t>
  </si>
  <si>
    <t>111-9970935-0730611</t>
  </si>
  <si>
    <t>Wind Speed Meter</t>
  </si>
  <si>
    <t>114-1386033-6703456</t>
  </si>
  <si>
    <t>Base Buddy</t>
  </si>
  <si>
    <t>YT2217721272063247</t>
  </si>
  <si>
    <t>eBay China</t>
  </si>
  <si>
    <t>Yun Express</t>
  </si>
  <si>
    <t>01-08795-20719</t>
  </si>
  <si>
    <t>Shipping Scale</t>
  </si>
  <si>
    <t>111-8458339-6342630</t>
  </si>
  <si>
    <t>My Clock Wont</t>
  </si>
  <si>
    <t>to Class</t>
  </si>
  <si>
    <t>Bead grooming</t>
  </si>
  <si>
    <t>to Roxanne</t>
  </si>
  <si>
    <t>111-6292236-7574619</t>
  </si>
  <si>
    <t>HDMI</t>
  </si>
  <si>
    <t>111-2004370-4225011</t>
  </si>
  <si>
    <t>Old Spice</t>
  </si>
  <si>
    <t>TBA174458789104</t>
  </si>
  <si>
    <t>111-7327252-0289842</t>
  </si>
  <si>
    <t>Finish painting East Side Exterior</t>
  </si>
  <si>
    <t>Paint Carriage House</t>
  </si>
  <si>
    <t>Sick Pills 100</t>
  </si>
  <si>
    <t>Paint Front Topside</t>
  </si>
  <si>
    <t>Fan</t>
  </si>
  <si>
    <t>ama</t>
  </si>
  <si>
    <t>111-3368015-1621853</t>
  </si>
  <si>
    <t>West Porch Window</t>
  </si>
  <si>
    <t>Priscription</t>
  </si>
  <si>
    <t>9374869901600554111443</t>
  </si>
  <si>
    <t>Finish Exter painting</t>
  </si>
  <si>
    <t>13 Bell Books Utah</t>
  </si>
  <si>
    <t>1ZW4615X3A20065616</t>
  </si>
  <si>
    <t>Seller to Utah</t>
  </si>
  <si>
    <t>113-9714923-3735465</t>
  </si>
  <si>
    <t>Bridge Book</t>
  </si>
  <si>
    <t>1Z0F55860322514991</t>
  </si>
  <si>
    <t>111-3861448-4358615</t>
  </si>
  <si>
    <t>Luggage Tags</t>
  </si>
  <si>
    <t>Foot Cream</t>
  </si>
  <si>
    <t>1Z87VW990311469408</t>
  </si>
  <si>
    <t>111-8775742-6975417</t>
  </si>
  <si>
    <t>Bench Hard Color</t>
  </si>
  <si>
    <t>1Z8192Y23A32690787</t>
  </si>
  <si>
    <t>113-0137274-1057814</t>
  </si>
  <si>
    <t>Stylus Pen</t>
  </si>
  <si>
    <t>1Z82A2Y40325952401</t>
  </si>
  <si>
    <t>113-8920035-2970668</t>
  </si>
  <si>
    <t>Rear Deck</t>
  </si>
  <si>
    <t>Recliner Springs 2</t>
  </si>
  <si>
    <t>9400111202555211409190</t>
  </si>
  <si>
    <t>113-0681618-9494627</t>
  </si>
  <si>
    <t>Ginger</t>
  </si>
  <si>
    <t>1ZW650500100690606</t>
  </si>
  <si>
    <t>113-7840310-6059450</t>
  </si>
  <si>
    <t>front step temp plywood</t>
  </si>
  <si>
    <t>Swim Shorts</t>
  </si>
  <si>
    <t>1Z82V5420200960628</t>
  </si>
  <si>
    <t>113-3997039-6788209</t>
  </si>
  <si>
    <t>tidy Family room junk</t>
  </si>
  <si>
    <t>Paint etc Turret room</t>
  </si>
  <si>
    <t>Wonder Wallet Inserts</t>
  </si>
  <si>
    <t>1ZY2F3150358853384</t>
  </si>
  <si>
    <t>02-07926-99148</t>
  </si>
  <si>
    <t>Hall Ceiling Trim</t>
  </si>
  <si>
    <t>Coffered ceiling</t>
  </si>
  <si>
    <t>Travel Credit Card BOA</t>
  </si>
  <si>
    <t>Fix up basement</t>
  </si>
  <si>
    <t>18 Mince Pies</t>
  </si>
  <si>
    <t>1ZX214V40102784508</t>
  </si>
  <si>
    <t>113-9965487-5929033</t>
  </si>
  <si>
    <t>Cruise</t>
  </si>
  <si>
    <t>Advair Discus</t>
  </si>
  <si>
    <t>9374869901600544386288</t>
  </si>
  <si>
    <t>Caremark CVS</t>
  </si>
  <si>
    <t>Painting Book</t>
  </si>
  <si>
    <t>9241990217524403597061</t>
  </si>
  <si>
    <t>113-7552130-8442613</t>
  </si>
  <si>
    <t>Salsom Blue Itchy</t>
  </si>
  <si>
    <t>1Z87VW990310388515</t>
  </si>
  <si>
    <t>113-8157112-2639404</t>
  </si>
  <si>
    <t>Smart Plugs 4</t>
  </si>
  <si>
    <t>113-8574174-8758609</t>
  </si>
  <si>
    <t>Estimate End</t>
  </si>
  <si>
    <t>Cuckoo *10</t>
  </si>
  <si>
    <t>1Z804E333A55524093</t>
  </si>
  <si>
    <t>113-2392921-5502619</t>
  </si>
  <si>
    <t>Dickens Style Black Victorian Cape</t>
  </si>
  <si>
    <t>1Z0F55860315164543</t>
  </si>
  <si>
    <t>16-07867-16848</t>
  </si>
  <si>
    <t>113-3779580-6705047</t>
  </si>
  <si>
    <t>SCRATCHBUILT BUILDINGS</t>
  </si>
  <si>
    <t>1Z0F55860315327760</t>
  </si>
  <si>
    <t>14-07861-79427</t>
  </si>
  <si>
    <t>iPhone X case</t>
  </si>
  <si>
    <t>1Z82A2Y40323024515</t>
  </si>
  <si>
    <t>113-0617029-7646606</t>
  </si>
  <si>
    <t>Bucket Hat</t>
  </si>
  <si>
    <t>1Z87VW990310030301</t>
  </si>
  <si>
    <t>113-2956108-0635468</t>
  </si>
  <si>
    <t>AirBudsPro</t>
  </si>
  <si>
    <t>1Z81Y3290294123536</t>
  </si>
  <si>
    <t>111-1679054-1008264</t>
  </si>
  <si>
    <t>10 Atmos Books</t>
  </si>
  <si>
    <t>1Z8192Y20327292441</t>
  </si>
  <si>
    <t>113-9264562-1869025</t>
  </si>
  <si>
    <t>1 Frederic Book</t>
  </si>
  <si>
    <t>Toothbrush Merry</t>
  </si>
  <si>
    <t>1Z91V5620331512293</t>
  </si>
  <si>
    <t>113-3310180-2782638</t>
  </si>
  <si>
    <t>9374869901600534314284</t>
  </si>
  <si>
    <t>Pants</t>
  </si>
  <si>
    <t>1ZR120A00336523977</t>
  </si>
  <si>
    <t>113-2983282-8945802</t>
  </si>
  <si>
    <t>CLOPIDOGREL 75MG</t>
  </si>
  <si>
    <t>9374869901600529665773</t>
  </si>
  <si>
    <t>per month</t>
  </si>
  <si>
    <t>iPad Stylus</t>
  </si>
  <si>
    <t>1Z098T3T0311913184</t>
  </si>
  <si>
    <t>114-0762425-9139432</t>
  </si>
  <si>
    <t>CLOPIDOGRELmed</t>
  </si>
  <si>
    <t>9374869901600524429066</t>
  </si>
  <si>
    <t>Travel Bag</t>
  </si>
  <si>
    <t>9400111108435361082014</t>
  </si>
  <si>
    <t>15 Cuckoo Books</t>
  </si>
  <si>
    <t>1Z804E330251707879</t>
  </si>
  <si>
    <t>113-7634316-9619405</t>
  </si>
  <si>
    <t>medicare comparison</t>
  </si>
  <si>
    <t>40 grit sandpaper</t>
  </si>
  <si>
    <t>13-0975221-6655417</t>
  </si>
  <si>
    <t>silverScript +</t>
  </si>
  <si>
    <t>humanna</t>
  </si>
  <si>
    <t>HO scale</t>
  </si>
  <si>
    <t>9500111797781278471173</t>
  </si>
  <si>
    <t>12-07680-75165</t>
  </si>
  <si>
    <t>premium per month</t>
  </si>
  <si>
    <t>Toothbrush</t>
  </si>
  <si>
    <t>Wamart</t>
  </si>
  <si>
    <t>premium per year</t>
  </si>
  <si>
    <t>Lost Apple Watch</t>
  </si>
  <si>
    <t>Atlanta lost n Found</t>
  </si>
  <si>
    <t>medicine deductable</t>
  </si>
  <si>
    <t>Atmos to Canada</t>
  </si>
  <si>
    <t>PBXSA020563416</t>
  </si>
  <si>
    <t>total cost per year</t>
  </si>
  <si>
    <t>Bench to AUZ</t>
  </si>
  <si>
    <t>33HQ4240625001000910902</t>
  </si>
  <si>
    <t>250-0113113-2366221</t>
  </si>
  <si>
    <t>6s Cell case Water</t>
  </si>
  <si>
    <t>1ZY2F3150355542779</t>
  </si>
  <si>
    <t>113-6126055-9535425</t>
  </si>
  <si>
    <t>400 day UK</t>
  </si>
  <si>
    <t>8/10-12</t>
  </si>
  <si>
    <t>202-3738447-7999522</t>
  </si>
  <si>
    <t>Glens Watch</t>
  </si>
  <si>
    <t>9400111298370635073843</t>
  </si>
  <si>
    <t>Wooden clock 5</t>
  </si>
  <si>
    <t>9241999993701701873929</t>
  </si>
  <si>
    <t>113-8356502-6774646</t>
  </si>
  <si>
    <t>Bench 5</t>
  </si>
  <si>
    <t>Athletic tape</t>
  </si>
  <si>
    <t>113-8494998-4850657</t>
  </si>
  <si>
    <t>wp iPhone case 6s</t>
  </si>
  <si>
    <t>1ZY2F3150355347678</t>
  </si>
  <si>
    <t>113-2739924-4853824</t>
  </si>
  <si>
    <t>Bench 10</t>
  </si>
  <si>
    <t>1ZA288930365354846</t>
  </si>
  <si>
    <t>Author fast</t>
  </si>
  <si>
    <t>113-6795113-5627463</t>
  </si>
  <si>
    <t>MultiTool Blades</t>
  </si>
  <si>
    <t>1Z091E580385940810</t>
  </si>
  <si>
    <t>113-6947784-5041059</t>
  </si>
  <si>
    <t>Tie Rack</t>
  </si>
  <si>
    <t>1ZY2F3150355148482</t>
  </si>
  <si>
    <t>113-9108153-2434666</t>
  </si>
  <si>
    <t>growth stock mutual funds</t>
  </si>
  <si>
    <t>1Z9X26370391161705</t>
  </si>
  <si>
    <t>113-5010180-1545818</t>
  </si>
  <si>
    <t>Vinigar 30%</t>
  </si>
  <si>
    <t>1Z6A464R0309395566</t>
  </si>
  <si>
    <t>113-9707731-1789824</t>
  </si>
  <si>
    <t>Atmos to Austria</t>
  </si>
  <si>
    <t>Österreichische Post</t>
  </si>
  <si>
    <t>202-8578131-1669938</t>
  </si>
  <si>
    <t>Cuckoo to Malasia</t>
  </si>
  <si>
    <t>APECHUS202370266</t>
  </si>
  <si>
    <t>114-8311018-1256208</t>
  </si>
  <si>
    <t>Frederick 3</t>
  </si>
  <si>
    <t>1ZA288930365174200</t>
  </si>
  <si>
    <t>113-2408595-7246651</t>
  </si>
  <si>
    <t>handbell 4</t>
  </si>
  <si>
    <t>iPhone Case</t>
  </si>
  <si>
    <t>1ZX226V50300542478</t>
  </si>
  <si>
    <t>2in1 spray paint 6</t>
  </si>
  <si>
    <t>1ZR4A7134245574792</t>
  </si>
  <si>
    <t>W869648881</t>
  </si>
  <si>
    <t>Chain Saw Blade</t>
  </si>
  <si>
    <t>9405511899223937087321</t>
  </si>
  <si>
    <t>114-2378703-9025052</t>
  </si>
  <si>
    <t>Oregon battery</t>
  </si>
  <si>
    <t>1ZY2F3150354446116</t>
  </si>
  <si>
    <t>114-0582242-0120250</t>
  </si>
  <si>
    <t>Mailer Cardboard</t>
  </si>
  <si>
    <t>1ZY4V3150239423457</t>
  </si>
  <si>
    <t>114-4870329-1858666</t>
  </si>
  <si>
    <t>Hooks</t>
  </si>
  <si>
    <t>114-4870329-1858667</t>
  </si>
  <si>
    <t>2 Atmos</t>
  </si>
  <si>
    <t>1Z80AY260321391226</t>
  </si>
  <si>
    <t>114-5917456-1714634</t>
  </si>
  <si>
    <t>2 400 day</t>
  </si>
  <si>
    <t>3 bench</t>
  </si>
  <si>
    <t>UPS Labels</t>
  </si>
  <si>
    <t>free</t>
  </si>
  <si>
    <t>The Reason I Jump</t>
  </si>
  <si>
    <t>9241990289103600977622</t>
  </si>
  <si>
    <t>06-07281-10608</t>
  </si>
  <si>
    <t>Jack Tongue</t>
  </si>
  <si>
    <t>1Z1A3A970306688105</t>
  </si>
  <si>
    <t>keystone</t>
  </si>
  <si>
    <t>114-4870329-1858665</t>
  </si>
  <si>
    <t>Reclining Chair</t>
  </si>
  <si>
    <t>1Z2R02030348880957</t>
  </si>
  <si>
    <t>114-5077678-1765055</t>
  </si>
  <si>
    <t>convertable pants</t>
  </si>
  <si>
    <t>1Z98R51E0346167645</t>
  </si>
  <si>
    <t>114-9529687-7981027</t>
  </si>
  <si>
    <t>Anti Cancer</t>
  </si>
  <si>
    <t>9241990217524485278582</t>
  </si>
  <si>
    <t>114-4554239-6305042</t>
  </si>
  <si>
    <t>Bench Man Home</t>
  </si>
  <si>
    <t>1ZA288933A04801547</t>
  </si>
  <si>
    <t>114-4233418-6957045</t>
  </si>
  <si>
    <t>chimney Glass</t>
  </si>
  <si>
    <t>1ZY2F3150353742388</t>
  </si>
  <si>
    <t>15.95/0</t>
  </si>
  <si>
    <t>114-4862513-1304232</t>
  </si>
  <si>
    <t>cigars</t>
  </si>
  <si>
    <t>cheaplittlecigars.com</t>
  </si>
  <si>
    <t>Too Small Returned and refunded</t>
  </si>
  <si>
    <t>too small</t>
  </si>
  <si>
    <t>19/0</t>
  </si>
  <si>
    <t>114-7231850-7115443</t>
  </si>
  <si>
    <t>hangers 6</t>
  </si>
  <si>
    <t>1Z91V5620324603234</t>
  </si>
  <si>
    <t>114-6797726-1200239</t>
  </si>
  <si>
    <t>Atlas Turnouts</t>
  </si>
  <si>
    <t>AtlasRR.com</t>
  </si>
  <si>
    <t>Back Order</t>
  </si>
  <si>
    <t>SO-096861</t>
  </si>
  <si>
    <t>Bench Manual UK</t>
  </si>
  <si>
    <t>QA1353034661 Taylor</t>
  </si>
  <si>
    <t>202-2360131-5749944</t>
  </si>
  <si>
    <t>Sydney Picture</t>
  </si>
  <si>
    <t>9261290988065124125776</t>
  </si>
  <si>
    <t>Google Photos</t>
  </si>
  <si>
    <t>413408769235197517973</t>
  </si>
  <si>
    <t>Bench man AUZ</t>
  </si>
  <si>
    <t>U90002480231</t>
  </si>
  <si>
    <t>Seller AU</t>
  </si>
  <si>
    <t>250-0435201-5361463</t>
  </si>
  <si>
    <t>Atmos to netherlan</t>
  </si>
  <si>
    <t>Retry, sent Bench Manual by mistake JJD000090254011003240674</t>
  </si>
  <si>
    <t>Seller UK</t>
  </si>
  <si>
    <t>202-4833803-6086702</t>
  </si>
  <si>
    <t>Canal &amp; Riverboat</t>
  </si>
  <si>
    <t>from UK</t>
  </si>
  <si>
    <t>UK</t>
  </si>
  <si>
    <t>04-07104-35276</t>
  </si>
  <si>
    <t>Clock Repair for Beginners and Advanced Craftsmen</t>
  </si>
  <si>
    <t>9449028206334308017021</t>
  </si>
  <si>
    <t>Smith</t>
  </si>
  <si>
    <t>USPS media</t>
  </si>
  <si>
    <t>Wire connectors</t>
  </si>
  <si>
    <t>1Z9X26370382598556</t>
  </si>
  <si>
    <t>111-5776846-2017844</t>
  </si>
  <si>
    <t>Radiator brush</t>
  </si>
  <si>
    <t>1Z805TT70243161842</t>
  </si>
  <si>
    <t>111-8644321-1897029</t>
  </si>
  <si>
    <t>PriscriptionsPlavix</t>
  </si>
  <si>
    <t>9374869901600477417592</t>
  </si>
  <si>
    <t>Curtain hooks</t>
  </si>
  <si>
    <t>1ZY2F3150352256692</t>
  </si>
  <si>
    <t>111-1549910-0005828</t>
  </si>
  <si>
    <t>PBXSA013747656</t>
  </si>
  <si>
    <t>112-0536364-3030612</t>
  </si>
  <si>
    <t>Cuckoo to Canada</t>
  </si>
  <si>
    <t>5/25-6/2</t>
  </si>
  <si>
    <t>PBXSA013966675</t>
  </si>
  <si>
    <t>111-9056598-8039459</t>
  </si>
  <si>
    <t>Water Detector</t>
  </si>
  <si>
    <t>RETURNED VIA UPS 5/25</t>
  </si>
  <si>
    <t>111-3941977-1415454</t>
  </si>
  <si>
    <t>Photo Light</t>
  </si>
  <si>
    <t>1ZY2F3150352045651</t>
  </si>
  <si>
    <t>111-8265458-4195419</t>
  </si>
  <si>
    <t>Thumb Drive</t>
  </si>
  <si>
    <t>1Z82A2Y40311709996</t>
  </si>
  <si>
    <t>111-7399962-5581017</t>
  </si>
  <si>
    <t>Double Outlet Box</t>
  </si>
  <si>
    <t>1Z81WV110162963403</t>
  </si>
  <si>
    <t>111-9916239-2781829</t>
  </si>
  <si>
    <t>bench 5</t>
  </si>
  <si>
    <t>1ZA288930363644849</t>
  </si>
  <si>
    <t>111-9939619-4592230</t>
  </si>
  <si>
    <t>Cuckoo 5</t>
  </si>
  <si>
    <t>Handbell 10-4-1</t>
  </si>
  <si>
    <t>USP surepost</t>
  </si>
  <si>
    <t>9205590213424040188407</t>
  </si>
  <si>
    <t>Traverse Rods</t>
  </si>
  <si>
    <t>Lowes Home Delivery</t>
  </si>
  <si>
    <t>paint addative</t>
  </si>
  <si>
    <t>9305520111406145052677</t>
  </si>
  <si>
    <t>111-9783705-0860234</t>
  </si>
  <si>
    <t>watch band</t>
  </si>
  <si>
    <t>1ZY2F3150351731796</t>
  </si>
  <si>
    <t>anazon prime</t>
  </si>
  <si>
    <t>111-1134020-6693004</t>
  </si>
  <si>
    <t>Wood Clock Video</t>
  </si>
  <si>
    <t>return by end of month</t>
  </si>
  <si>
    <t>NAWCC</t>
  </si>
  <si>
    <t>Retirement Book</t>
  </si>
  <si>
    <t>9341969903506712352123</t>
  </si>
  <si>
    <t>amazon used</t>
  </si>
  <si>
    <t>112-4315585-3618605</t>
  </si>
  <si>
    <t>Shade garden</t>
  </si>
  <si>
    <t>9349020111406094861022</t>
  </si>
  <si>
    <t>112-5954503-2521803</t>
  </si>
  <si>
    <t>Bench Hard bound</t>
  </si>
  <si>
    <t>41999994980232392812</t>
  </si>
  <si>
    <t>LULU</t>
  </si>
  <si>
    <t>USD-571535</t>
  </si>
  <si>
    <t>Watch glass 2</t>
  </si>
  <si>
    <t>1Z98R51E0339824500</t>
  </si>
  <si>
    <t>112-8727624-7904261</t>
  </si>
  <si>
    <t>single outlets 4</t>
  </si>
  <si>
    <t>double outlets 2</t>
  </si>
  <si>
    <t>Faucet</t>
  </si>
  <si>
    <t>ready</t>
  </si>
  <si>
    <t>Pickup</t>
  </si>
  <si>
    <t>WM36285406</t>
  </si>
  <si>
    <t>Bass Strings</t>
  </si>
  <si>
    <t>Plug cutters</t>
  </si>
  <si>
    <t>1Z82A2Y40310018529</t>
  </si>
  <si>
    <t>112-8703511-7659425</t>
  </si>
  <si>
    <t>8 Bench manual</t>
  </si>
  <si>
    <t>Average 3 weeks for delivery</t>
  </si>
  <si>
    <t>113-2164710-4609812</t>
  </si>
  <si>
    <t>8 Cuckoo</t>
  </si>
  <si>
    <t>9241990984055401234337</t>
  </si>
  <si>
    <t>5 Won't</t>
  </si>
  <si>
    <t>1Z8192Y23A09964150</t>
  </si>
  <si>
    <t>Straws</t>
  </si>
  <si>
    <t>1Z30Y8270358063829</t>
  </si>
  <si>
    <t>114-6942661-6827425</t>
  </si>
  <si>
    <t>Wood Clock Parts</t>
  </si>
  <si>
    <t>9534611748321098477397</t>
  </si>
  <si>
    <t>eBay Gloversville, NY</t>
  </si>
  <si>
    <t>02-06865-42332</t>
  </si>
  <si>
    <t>Afaya Plus</t>
  </si>
  <si>
    <t>Hyatt Life Science</t>
  </si>
  <si>
    <t>Wood Movement</t>
  </si>
  <si>
    <t>9505513949621097264120</t>
  </si>
  <si>
    <t>eBay Lyons NY</t>
  </si>
  <si>
    <t>18-06860-96980</t>
  </si>
  <si>
    <t>Lab Coat</t>
  </si>
  <si>
    <t>9374869903506509008845</t>
  </si>
  <si>
    <t>Wooden Works Video Movement Repair</t>
  </si>
  <si>
    <t>9549 0148 3411 1089 7777 83</t>
  </si>
  <si>
    <t>Tick Tock Productions</t>
  </si>
  <si>
    <t>5WG15811CF235034N</t>
  </si>
  <si>
    <t>Faucets</t>
  </si>
  <si>
    <t>store pickup</t>
  </si>
  <si>
    <t>WG32565418</t>
  </si>
  <si>
    <t>Rub n Buff</t>
  </si>
  <si>
    <t>9400111298370769589944</t>
  </si>
  <si>
    <t>112-8844841-9369032</t>
  </si>
  <si>
    <t>Wooden DVD's</t>
  </si>
  <si>
    <t>Turnouts</t>
  </si>
  <si>
    <t>4/1-7</t>
  </si>
  <si>
    <t>9300120111405990939208</t>
  </si>
  <si>
    <t>112-9992327-1198649</t>
  </si>
  <si>
    <t>2 spanish</t>
  </si>
  <si>
    <t>9241999993701701342586</t>
  </si>
  <si>
    <t>112-6961861-2027415</t>
  </si>
  <si>
    <t>7 Atmos</t>
  </si>
  <si>
    <t>1Z80AY260308286946</t>
  </si>
  <si>
    <t>Wolf Eliminator</t>
  </si>
  <si>
    <t>420675799405511899560344497238</t>
  </si>
  <si>
    <t>String Emporium</t>
  </si>
  <si>
    <t>2 books to Stephen</t>
  </si>
  <si>
    <t>9449028206334253473293</t>
  </si>
  <si>
    <t>me</t>
  </si>
  <si>
    <t>Hogwarts speaker</t>
  </si>
  <si>
    <t>9400111899560933354864</t>
  </si>
  <si>
    <t>soundtrax</t>
  </si>
  <si>
    <t>4" rollers 3/4 nap</t>
  </si>
  <si>
    <t>1Z49AE870124646000</t>
  </si>
  <si>
    <t>112-6718489-2204221</t>
  </si>
  <si>
    <t>Apple Watch</t>
  </si>
  <si>
    <t>112-3571244-3596252</t>
  </si>
  <si>
    <t>Apple Wach Case</t>
  </si>
  <si>
    <t>112-3544133-7817020</t>
  </si>
  <si>
    <t>Omeprazole</t>
  </si>
  <si>
    <t>Attic stained glass install molding</t>
  </si>
  <si>
    <t>123 blocks</t>
  </si>
  <si>
    <t>1Z81RE950242316865</t>
  </si>
  <si>
    <t>112-5475657-3021024</t>
  </si>
  <si>
    <t>Front steps, fill hole and line with bricks</t>
  </si>
  <si>
    <t>Hogwarts Train</t>
  </si>
  <si>
    <t>dispatched on 2/26</t>
  </si>
  <si>
    <t>shop4megastore.com</t>
  </si>
  <si>
    <t>Post box</t>
  </si>
  <si>
    <t>DuplicateIT+Tape+Solder</t>
  </si>
  <si>
    <t>61292700959323517174</t>
  </si>
  <si>
    <t>Micromart</t>
  </si>
  <si>
    <t>N1169793.</t>
  </si>
  <si>
    <t>Kitchen window caulk and new glass</t>
  </si>
  <si>
    <t>Outlet boxes 10+2</t>
  </si>
  <si>
    <t>1Z483AW90302094652</t>
  </si>
  <si>
    <t>112-3390115-2161864</t>
  </si>
  <si>
    <t>Rotary cookie cutter</t>
  </si>
  <si>
    <t>3/15-29</t>
  </si>
  <si>
    <t>RR083557409RU</t>
  </si>
  <si>
    <t>21-06523-90057</t>
  </si>
  <si>
    <t>Hinges</t>
  </si>
  <si>
    <t>112-8219213-4601014</t>
  </si>
  <si>
    <t>Current Work</t>
  </si>
  <si>
    <t>Hours</t>
  </si>
  <si>
    <t>Drill bit set</t>
  </si>
  <si>
    <t>1Z91V5620318817364</t>
  </si>
  <si>
    <t>112-8320395-7340231</t>
  </si>
  <si>
    <t>Olivar Cromwell DCC</t>
  </si>
  <si>
    <t>lp327853853gb    LP327853853GB</t>
  </si>
  <si>
    <t>Peter's Spares UK</t>
  </si>
  <si>
    <t>RM  USPS</t>
  </si>
  <si>
    <t>P103243.</t>
  </si>
  <si>
    <t>Turnout Switches</t>
  </si>
  <si>
    <t>canada</t>
  </si>
  <si>
    <t>Styrene &amp; Book</t>
  </si>
  <si>
    <t>1Z611Y050323734062</t>
  </si>
  <si>
    <t>Evergreen</t>
  </si>
  <si>
    <t>Dial Caliper</t>
  </si>
  <si>
    <t>1Z98R51E0334725439</t>
  </si>
  <si>
    <t>112-0585011-2349012</t>
  </si>
  <si>
    <t>Paint Markers</t>
  </si>
  <si>
    <t>92748902338151573007751278</t>
  </si>
  <si>
    <t>Michaels</t>
  </si>
  <si>
    <t>MIK36177206</t>
  </si>
  <si>
    <t>Hair trimmer</t>
  </si>
  <si>
    <t>9274890210317282630329</t>
  </si>
  <si>
    <t>titaniumtrim.com</t>
  </si>
  <si>
    <t>SemaphoreSignals</t>
  </si>
  <si>
    <t>uk</t>
  </si>
  <si>
    <t>eBay UK</t>
  </si>
  <si>
    <t>23-06592-27773</t>
  </si>
  <si>
    <t>NMRA Standards Gage</t>
  </si>
  <si>
    <t>9400108205496333911369</t>
  </si>
  <si>
    <t>eBay USPS</t>
  </si>
  <si>
    <t>15-06618-22253</t>
  </si>
  <si>
    <t>Hogwarts Decoder</t>
  </si>
  <si>
    <t>9400111899560569022038</t>
  </si>
  <si>
    <t>soundtraxx.com/</t>
  </si>
  <si>
    <t>Door catches</t>
  </si>
  <si>
    <t>420675799400111899560546835866</t>
  </si>
  <si>
    <t>AntiqueHW</t>
  </si>
  <si>
    <t>Atmos to UK</t>
  </si>
  <si>
    <t>QA1085787741 delivered</t>
  </si>
  <si>
    <t>NA</t>
  </si>
  <si>
    <t>MyTrain2Wichita</t>
  </si>
  <si>
    <t>9405528206334236579838</t>
  </si>
  <si>
    <t>Delivered</t>
  </si>
  <si>
    <t>Ducks &amp; Water</t>
  </si>
  <si>
    <t>9405516901715640030972</t>
  </si>
  <si>
    <t>hobbylinc.com/</t>
  </si>
  <si>
    <t>[Poly]StyreneStrips</t>
  </si>
  <si>
    <t>1Z611Y050324267422</t>
  </si>
  <si>
    <t>GF 10</t>
  </si>
  <si>
    <t>1Z8192Y23A06139020</t>
  </si>
  <si>
    <t>112-3879061-2769042</t>
  </si>
  <si>
    <t>Bench 10 -5</t>
  </si>
  <si>
    <t>5 arrived USPS</t>
  </si>
  <si>
    <t>Cuckoo 20</t>
  </si>
  <si>
    <t>1ZA288930362145489</t>
  </si>
  <si>
    <t>Voltaren</t>
  </si>
  <si>
    <t>1ZY2F3150348582909</t>
  </si>
  <si>
    <t>112-9002993-0998615</t>
  </si>
  <si>
    <t>Woodland Scenics</t>
  </si>
  <si>
    <t>9405511899560503404985</t>
  </si>
  <si>
    <t>Couplers</t>
  </si>
  <si>
    <t>1Z8Y80950380772962</t>
  </si>
  <si>
    <t>112-1221677-9408220</t>
  </si>
  <si>
    <t>Lead shot</t>
  </si>
  <si>
    <t>1Z486W190306289977</t>
  </si>
  <si>
    <t>112-5239943-1138647</t>
  </si>
  <si>
    <t>Paint insulation</t>
  </si>
  <si>
    <t>2/16-18</t>
  </si>
  <si>
    <t>9305520111499652588487</t>
  </si>
  <si>
    <t>112-7724740-3667447</t>
  </si>
  <si>
    <t>ups labels</t>
  </si>
  <si>
    <t>Train</t>
  </si>
  <si>
    <t>1Z275889YW99733519</t>
  </si>
  <si>
    <t>modeltrainstuff.com</t>
  </si>
  <si>
    <t>Pllasticard</t>
  </si>
  <si>
    <t>1ZY2F3150348012604</t>
  </si>
  <si>
    <t>13.99-10</t>
  </si>
  <si>
    <t>112-5259725-2843464</t>
  </si>
  <si>
    <t>Author books 10</t>
  </si>
  <si>
    <t>1Z8192Y23A05003365</t>
  </si>
  <si>
    <t>Amazon Author</t>
  </si>
  <si>
    <t>112-4574257-8765847</t>
  </si>
  <si>
    <t>Scalpal Knife #3</t>
  </si>
  <si>
    <t>9400111202555369360923</t>
  </si>
  <si>
    <t>112-7051459-3568269</t>
  </si>
  <si>
    <t>DCC controller</t>
  </si>
  <si>
    <t>420675799305520207600135276937</t>
  </si>
  <si>
    <t>Blue Rail Hobbies</t>
  </si>
  <si>
    <t>Terminal Blocks</t>
  </si>
  <si>
    <t>1Z4411F50167180929</t>
  </si>
  <si>
    <t>112-3567349-2452245</t>
  </si>
  <si>
    <t>Insulating paint add</t>
  </si>
  <si>
    <t>9305520111405806225733</t>
  </si>
  <si>
    <t>112-5188143-7557828</t>
  </si>
  <si>
    <t>Book Mail boxes</t>
  </si>
  <si>
    <t>1Z81R99Y0153102793</t>
  </si>
  <si>
    <t>112-9920376-1825000</t>
  </si>
  <si>
    <t xml:space="preserve">EATON 15 breaker </t>
  </si>
  <si>
    <t>2/10-18</t>
  </si>
  <si>
    <t>112-3539958-9247431</t>
  </si>
  <si>
    <t>Smoke pencil</t>
  </si>
  <si>
    <t>1Z8Y81Y70253656736</t>
  </si>
  <si>
    <t>112-3671861-1631423</t>
  </si>
  <si>
    <t>Atmos 3</t>
  </si>
  <si>
    <t>1/28-29</t>
  </si>
  <si>
    <t>Smoke Detectors</t>
  </si>
  <si>
    <t>1Z91V5620317009784</t>
  </si>
  <si>
    <t>112-1554934-7122666</t>
  </si>
  <si>
    <t>Wire clips</t>
  </si>
  <si>
    <t>1Z91V5620317032874</t>
  </si>
  <si>
    <t>112-3660198-1781035</t>
  </si>
  <si>
    <t>Painting models</t>
  </si>
  <si>
    <t>1Z84386R0375460315</t>
  </si>
  <si>
    <t>112-7594871-7548219</t>
  </si>
  <si>
    <t>Cuckoo Only 10</t>
  </si>
  <si>
    <t>1ZA288933A04741504</t>
  </si>
  <si>
    <t>112-8286959-8183441</t>
  </si>
  <si>
    <t>matt spray varnish</t>
  </si>
  <si>
    <t>1ZW884E20301765468</t>
  </si>
  <si>
    <t>112-0225713-7070629</t>
  </si>
  <si>
    <t>Rail Joiners</t>
  </si>
  <si>
    <t>1ZY2F3150347392778</t>
  </si>
  <si>
    <t>112-2360148-2525040</t>
  </si>
  <si>
    <t>9274899993701413371943</t>
  </si>
  <si>
    <t>112-2766367-7350654</t>
  </si>
  <si>
    <t>bandsaw 3x1/8</t>
  </si>
  <si>
    <t>1Z82V6150122239874</t>
  </si>
  <si>
    <t>112-6990537-4791422</t>
  </si>
  <si>
    <t>Track Bed</t>
  </si>
  <si>
    <t>112-9912175-3677847</t>
  </si>
  <si>
    <t>Thermometer +3</t>
  </si>
  <si>
    <t>1Z81WY180337588710</t>
  </si>
  <si>
    <t>112-6723472-4161808</t>
  </si>
  <si>
    <t>10 black plates</t>
  </si>
  <si>
    <t>112-3423684-2284209</t>
  </si>
  <si>
    <t>Wire c;lips</t>
  </si>
  <si>
    <t>112-3215938-7009018</t>
  </si>
  <si>
    <t>12/26-30</t>
  </si>
  <si>
    <t>9374869901600428510327</t>
  </si>
  <si>
    <t>Stock Trading Strategies</t>
  </si>
  <si>
    <t>1Z9X26370365262217</t>
  </si>
  <si>
    <t>114-4359495-1752264</t>
  </si>
  <si>
    <t>Foil</t>
  </si>
  <si>
    <t>1Z98R51E0329015608</t>
  </si>
  <si>
    <t>114-9832189-2337841</t>
  </si>
  <si>
    <t>12/4-24</t>
  </si>
  <si>
    <t>PBXSA006525249</t>
  </si>
  <si>
    <t>113-4221689-9123415</t>
  </si>
  <si>
    <t>Atmos France</t>
  </si>
  <si>
    <t>PBXSA007231867</t>
  </si>
  <si>
    <t>026-4194012-8056345</t>
  </si>
  <si>
    <t>Bench Canada</t>
  </si>
  <si>
    <t>1/19-27</t>
  </si>
  <si>
    <t>LDLBUS011711414</t>
  </si>
  <si>
    <t>114-5240325-2427437</t>
  </si>
  <si>
    <t>Atmos Canada</t>
  </si>
  <si>
    <t>114-6567994-6575465</t>
  </si>
  <si>
    <t>Handbell 6</t>
  </si>
  <si>
    <t>1Z445Y930266006599</t>
  </si>
  <si>
    <t>113-8128639-8801810</t>
  </si>
  <si>
    <t>Bench 8</t>
  </si>
  <si>
    <t>Atmos 8</t>
  </si>
  <si>
    <t>Advair</t>
  </si>
  <si>
    <t>Cuckoo to Belgium</t>
  </si>
  <si>
    <t>026-4418001-9850730</t>
  </si>
  <si>
    <t>026-9904517-3785146</t>
  </si>
  <si>
    <t>Plumeria</t>
  </si>
  <si>
    <t>9300120111405631121948</t>
  </si>
  <si>
    <t>114-1995831-1995465</t>
  </si>
  <si>
    <t>9400111202555878257622</t>
  </si>
  <si>
    <t>Plumeria Broach</t>
  </si>
  <si>
    <t>1Z96577R0308477759</t>
  </si>
  <si>
    <t>114-9108171-1448266</t>
  </si>
  <si>
    <t>Switch Outlet Plate</t>
  </si>
  <si>
    <t>9405516901355621166841</t>
  </si>
  <si>
    <t>HOA</t>
  </si>
  <si>
    <t>690-SO2022994</t>
  </si>
  <si>
    <t>Flashlight bulbs</t>
  </si>
  <si>
    <t>12/22-24</t>
  </si>
  <si>
    <t>9374869903505987762355</t>
  </si>
  <si>
    <t>114-1193178-7231417</t>
  </si>
  <si>
    <t>phone charger</t>
  </si>
  <si>
    <t>1Z82A2Y40301576710</t>
  </si>
  <si>
    <t>114-0812603-0392238</t>
  </si>
  <si>
    <t>UPS labels</t>
  </si>
  <si>
    <t>Toner</t>
  </si>
  <si>
    <t>114-3968855-6406662</t>
  </si>
  <si>
    <t>Flex curtain rail</t>
  </si>
  <si>
    <t>1Z82A2Y40300939115</t>
  </si>
  <si>
    <t>114-3412574-3576224</t>
  </si>
  <si>
    <t>Antenna</t>
  </si>
  <si>
    <t>114-9017672-2973809</t>
  </si>
  <si>
    <t>Vanity replacement</t>
  </si>
  <si>
    <t>Wayfair.com</t>
  </si>
  <si>
    <t>290-228-7487</t>
  </si>
  <si>
    <t>Total Hours</t>
  </si>
  <si>
    <t>Circuit Breaker Locator</t>
  </si>
  <si>
    <t>113-0966764-0434649</t>
  </si>
  <si>
    <t>Mirror replacement</t>
  </si>
  <si>
    <t>Laptop lenovs E15</t>
  </si>
  <si>
    <t>1Z2F52W20291148881</t>
  </si>
  <si>
    <t>113-1681365-9773065</t>
  </si>
  <si>
    <t>Omeprezole</t>
  </si>
  <si>
    <t>9200190237265549825557</t>
  </si>
  <si>
    <t xml:space="preserve">Pull Chain Toilet </t>
  </si>
  <si>
    <t>12/7-9</t>
  </si>
  <si>
    <t>1Z0542290369902636</t>
  </si>
  <si>
    <t>Renervators de</t>
  </si>
  <si>
    <t>113-5068575-3942667</t>
  </si>
  <si>
    <t>BeginGuideToSM</t>
  </si>
  <si>
    <t>1Z08413R0220031353</t>
  </si>
  <si>
    <t>113-1773425-8445040</t>
  </si>
  <si>
    <t>bubble mailers</t>
  </si>
  <si>
    <t>o1490143744</t>
  </si>
  <si>
    <t>SPICE JUNGLE</t>
  </si>
  <si>
    <t>1Z1Y715R0394623518</t>
  </si>
  <si>
    <t>merry</t>
  </si>
  <si>
    <t>no hub 1-11/4</t>
  </si>
  <si>
    <t>supplyhouse.com</t>
  </si>
  <si>
    <t>Div Cap Strategy</t>
  </si>
  <si>
    <t>1Z9X26370354991450</t>
  </si>
  <si>
    <t>113-3524432-7811433</t>
  </si>
  <si>
    <t>Dynamite</t>
  </si>
  <si>
    <t>92748901790462543405853782</t>
  </si>
  <si>
    <t>02-06107-32911</t>
  </si>
  <si>
    <t>1Z8FY8500223246129</t>
  </si>
  <si>
    <t>113-0671454-1173024</t>
  </si>
  <si>
    <t>1Z8Y80950364868907</t>
  </si>
  <si>
    <t>113-3923189-0025854</t>
  </si>
  <si>
    <t>6 Thermometers</t>
  </si>
  <si>
    <t>9400108205497565192212</t>
  </si>
  <si>
    <t>16-06053-92300</t>
  </si>
  <si>
    <t>Striking &amp; Chiming</t>
  </si>
  <si>
    <t>9449011899564378831319</t>
  </si>
  <si>
    <t>113-6885957-5508264</t>
  </si>
  <si>
    <t>USPS box 1 &amp; 7</t>
  </si>
  <si>
    <t>o1481998897</t>
  </si>
  <si>
    <t>20 Cuckoo</t>
  </si>
  <si>
    <t>1Z804E333A07551402</t>
  </si>
  <si>
    <t>113-8471056-3417819</t>
  </si>
  <si>
    <t>Foot pedal</t>
  </si>
  <si>
    <t>1Z91V5620312701098</t>
  </si>
  <si>
    <t>113-5483737-0644264</t>
  </si>
  <si>
    <t>Fridge Filter</t>
  </si>
  <si>
    <t>1ZY2F3150344906227</t>
  </si>
  <si>
    <t>113-0204373-1814648</t>
  </si>
  <si>
    <t>Grand Striking Bok</t>
  </si>
  <si>
    <t>1Z445Y930260532987</t>
  </si>
  <si>
    <t>113-6092736-2419460</t>
  </si>
  <si>
    <t>Case &amp; Stylus</t>
  </si>
  <si>
    <t>113-5294730-9425835</t>
  </si>
  <si>
    <t>chromecast</t>
  </si>
  <si>
    <t>YouTubeTV</t>
  </si>
  <si>
    <t>GS.0930-6317-7294</t>
  </si>
  <si>
    <t>Pass thumb</t>
  </si>
  <si>
    <t>113-7385723-4862622</t>
  </si>
  <si>
    <t>iPad</t>
  </si>
  <si>
    <t>5732064-389351</t>
  </si>
  <si>
    <t>scale</t>
  </si>
  <si>
    <t>1Z6792X10341683272</t>
  </si>
  <si>
    <t>113-9413744-0292264</t>
  </si>
  <si>
    <t>watch</t>
  </si>
  <si>
    <t>9300120224000008264537</t>
  </si>
  <si>
    <t>Wireless charger</t>
  </si>
  <si>
    <t>1Z9X26370350138755</t>
  </si>
  <si>
    <t>113-9830330-7877804</t>
  </si>
  <si>
    <t>Friends</t>
  </si>
  <si>
    <t>1Z81WV110137440864</t>
  </si>
  <si>
    <t>113-8417404-7629051</t>
  </si>
  <si>
    <t>How to Pray</t>
  </si>
  <si>
    <t>GF Clock DVD</t>
  </si>
  <si>
    <t>9400108205497468184383</t>
  </si>
  <si>
    <t>20-05936-93019</t>
  </si>
  <si>
    <t>Laptop battery</t>
  </si>
  <si>
    <t>1Z83W02X0332398802</t>
  </si>
  <si>
    <t>113-2215327-0669838</t>
  </si>
  <si>
    <t>wipers boat 2</t>
  </si>
  <si>
    <t>113-0718456-7030625</t>
  </si>
  <si>
    <t>book mailer 100</t>
  </si>
  <si>
    <t>1Z2842AE0341471689</t>
  </si>
  <si>
    <t>113-8088890-8335424</t>
  </si>
  <si>
    <t>weeder crack tool</t>
  </si>
  <si>
    <t>UF279143600YP</t>
  </si>
  <si>
    <t>amazon Prime</t>
  </si>
  <si>
    <t>YANWEN</t>
  </si>
  <si>
    <t>113-3792748-0614616</t>
  </si>
  <si>
    <t>400-Day Booklet</t>
  </si>
  <si>
    <t>9449008205497986070443</t>
  </si>
  <si>
    <t>22-05366-06819</t>
  </si>
  <si>
    <t>OMEPRAZOLE</t>
  </si>
  <si>
    <t>9374869901600379097489</t>
  </si>
  <si>
    <t>CVS/Caremark</t>
  </si>
  <si>
    <t>5 Push Button Swit</t>
  </si>
  <si>
    <t>1ZT704T60377322277</t>
  </si>
  <si>
    <t>Antique HW</t>
  </si>
  <si>
    <t>682-SO1917009</t>
  </si>
  <si>
    <t>iPhone Cable 10'</t>
  </si>
  <si>
    <t>1Z973Y6F0382216317</t>
  </si>
  <si>
    <t>113-3242433-6361819</t>
  </si>
  <si>
    <t>10-N95 masks</t>
  </si>
  <si>
    <t>19-05282-38690</t>
  </si>
  <si>
    <t>10 400-Day Author</t>
  </si>
  <si>
    <t>1Z04RR223A82075976</t>
  </si>
  <si>
    <t>92419909814236581029456188</t>
  </si>
  <si>
    <t>113-3660227-2117819</t>
  </si>
  <si>
    <t>Wolf Terminator</t>
  </si>
  <si>
    <t>9405509205568691583790</t>
  </si>
  <si>
    <t>wolf</t>
  </si>
  <si>
    <t>20 cuckoo Author</t>
  </si>
  <si>
    <t>1ZE00F710315201369</t>
  </si>
  <si>
    <t>113-9579922-1573050</t>
  </si>
  <si>
    <t>2 kids wood books</t>
  </si>
  <si>
    <t>1Z973Y6F3A81156428</t>
  </si>
  <si>
    <t>114-6794787-6238625</t>
  </si>
  <si>
    <t>5 Atmos Author</t>
  </si>
  <si>
    <t>1Z04RR223A81222924</t>
  </si>
  <si>
    <t>1Z84387W0204030682</t>
  </si>
  <si>
    <t>113-4250207-0242621</t>
  </si>
  <si>
    <t>Space Bags L</t>
  </si>
  <si>
    <t>9361289702090597946868</t>
  </si>
  <si>
    <t>113-9903108-1809844</t>
  </si>
  <si>
    <t>Charisma Book</t>
  </si>
  <si>
    <t>9341989702090599008248</t>
  </si>
  <si>
    <t>113-8607666-7873051</t>
  </si>
  <si>
    <t>10 dictonary</t>
  </si>
  <si>
    <t>1Z9X5F503A61373888</t>
  </si>
  <si>
    <t>113-9418272-8266652</t>
  </si>
  <si>
    <t>ProJointPlus</t>
  </si>
  <si>
    <t>Mouse Bluetooth</t>
  </si>
  <si>
    <t>9374889702090590400974</t>
  </si>
  <si>
    <t>113-5970426-8802632</t>
  </si>
  <si>
    <t>Chandalier</t>
  </si>
  <si>
    <t>04-05074-43883</t>
  </si>
  <si>
    <t>400 dvd library</t>
  </si>
  <si>
    <t>11-day turnaround</t>
  </si>
  <si>
    <t>returned 5/28</t>
  </si>
  <si>
    <t>Belt</t>
  </si>
  <si>
    <t>9270390234828102509385</t>
  </si>
  <si>
    <t>Google Shoping</t>
  </si>
  <si>
    <t>G-SHP-8427-77-9308</t>
  </si>
  <si>
    <t>Stairs End</t>
  </si>
  <si>
    <t>author 6 Atmos</t>
  </si>
  <si>
    <t>1Z04RR223A79427468</t>
  </si>
  <si>
    <t>113-9378344-5575448</t>
  </si>
  <si>
    <t>Prep walls</t>
  </si>
  <si>
    <t>Large Travel Bag</t>
  </si>
  <si>
    <t>9405508205497688967608</t>
  </si>
  <si>
    <t>09-05051-57684</t>
  </si>
  <si>
    <t>prime walls and ceiling</t>
  </si>
  <si>
    <t>Author 2x400day</t>
  </si>
  <si>
    <t>1Z04RR223A79209935</t>
  </si>
  <si>
    <t>113-6610842-9132222</t>
  </si>
  <si>
    <t>paint walls and ceiling</t>
  </si>
  <si>
    <t>Travel Bag XL</t>
  </si>
  <si>
    <t>9405508205496309445310</t>
  </si>
  <si>
    <t>05-05007-00491</t>
  </si>
  <si>
    <t>Light</t>
  </si>
  <si>
    <t>Spring, feet, sdriv</t>
  </si>
  <si>
    <t>Timsavers</t>
  </si>
  <si>
    <t>400 assorted bks</t>
  </si>
  <si>
    <t>paint wood trim</t>
  </si>
  <si>
    <t>scrub hat</t>
  </si>
  <si>
    <t>1Z9136E90231130906</t>
  </si>
  <si>
    <t>113-2900485-1290616</t>
  </si>
  <si>
    <t>Buffing Wheels</t>
  </si>
  <si>
    <t>9374889702090573117424</t>
  </si>
  <si>
    <t>113-1870820-5345858</t>
  </si>
  <si>
    <t>Total days</t>
  </si>
  <si>
    <t>Author 10 Cuckoo</t>
  </si>
  <si>
    <t>1ZA402E50115077006</t>
  </si>
  <si>
    <t>Total Weeks</t>
  </si>
  <si>
    <t>molding plane</t>
  </si>
  <si>
    <t>9405508205496296589646</t>
  </si>
  <si>
    <t>05-04980-60334</t>
  </si>
  <si>
    <t>Mower keys</t>
  </si>
  <si>
    <t>9374889702090571915145</t>
  </si>
  <si>
    <t>113-2986204-2409820</t>
  </si>
  <si>
    <t>Detox 120</t>
  </si>
  <si>
    <t>113-1454515-9586615</t>
  </si>
  <si>
    <t>Sprinkler Full Rou</t>
  </si>
  <si>
    <t>113-5601199-3544208</t>
  </si>
  <si>
    <t>top block+book</t>
  </si>
  <si>
    <t>Ronnel Clocks</t>
  </si>
  <si>
    <t>Butterwork PivotP</t>
  </si>
  <si>
    <t>9400111699000426758332</t>
  </si>
  <si>
    <t>Butterworth</t>
  </si>
  <si>
    <t>Library DVDs  3</t>
  </si>
  <si>
    <t>1Z2558310399824370</t>
  </si>
  <si>
    <t>400dayDome+Spr</t>
  </si>
  <si>
    <t>9405509898642925136243</t>
  </si>
  <si>
    <t>Merritts</t>
  </si>
  <si>
    <t>9374869901600353286175</t>
  </si>
  <si>
    <t>400-day parts fork</t>
  </si>
  <si>
    <t>Atmos Clock DVD</t>
  </si>
  <si>
    <t>Frame Sq Stops</t>
  </si>
  <si>
    <t>9361289702090565014827</t>
  </si>
  <si>
    <t>113-1075661-0627434</t>
  </si>
  <si>
    <t>estimated end of May</t>
  </si>
  <si>
    <t>Ext DVD</t>
  </si>
  <si>
    <t>113-2252717-3599404</t>
  </si>
  <si>
    <t>1Z1110VF0232196709</t>
  </si>
  <si>
    <t>113-0311244-2769054</t>
  </si>
  <si>
    <t>400 day Ck book</t>
  </si>
  <si>
    <t>9449008205497491202605</t>
  </si>
  <si>
    <t>19-04870-62405</t>
  </si>
  <si>
    <t>400 Day Clock</t>
  </si>
  <si>
    <t>9405508205497491445812</t>
  </si>
  <si>
    <t>15-04880-96841</t>
  </si>
  <si>
    <t>ATMOS 528-8</t>
  </si>
  <si>
    <t>CN001782887CA</t>
  </si>
  <si>
    <t>CPC</t>
  </si>
  <si>
    <t>20 Bench Manual</t>
  </si>
  <si>
    <t>1ZX4069F0316215237</t>
  </si>
  <si>
    <t>Atmos Repair Nts</t>
  </si>
  <si>
    <t>Keto 90 day</t>
  </si>
  <si>
    <t>9374889702090556262943</t>
  </si>
  <si>
    <t>113-0127567-1678658</t>
  </si>
  <si>
    <t>Edger blade</t>
  </si>
  <si>
    <t>9374889702090555355523</t>
  </si>
  <si>
    <t>113-2198008-5893823</t>
  </si>
  <si>
    <t>mcwr author</t>
  </si>
  <si>
    <t>9341989702090548187468</t>
  </si>
  <si>
    <t>113-2488536-6945043</t>
  </si>
  <si>
    <t>Comp Power cord</t>
  </si>
  <si>
    <t>1ZY2F3150341624135</t>
  </si>
  <si>
    <t>113-6736361-0055456</t>
  </si>
  <si>
    <t>Z Peel Stop Gal</t>
  </si>
  <si>
    <t>1Z973Y6F0376201433</t>
  </si>
  <si>
    <t>113-5807505-6399402</t>
  </si>
  <si>
    <t>Zinsser Peel Stop</t>
  </si>
  <si>
    <t>1Z973Y6F0375961927</t>
  </si>
  <si>
    <t>113-0523339-2418637</t>
  </si>
  <si>
    <t>24 picture hooks</t>
  </si>
  <si>
    <t>9374889702090545589549</t>
  </si>
  <si>
    <t>113-7697986-9535448</t>
  </si>
  <si>
    <t>3 stretch Belts</t>
  </si>
  <si>
    <t>9270390234828102039912</t>
  </si>
  <si>
    <t>DHL</t>
  </si>
  <si>
    <t>3552007-301805</t>
  </si>
  <si>
    <t>27 Author Books</t>
  </si>
  <si>
    <t>1ZE00F710313986025</t>
  </si>
  <si>
    <t>Angle Grinder Nut</t>
  </si>
  <si>
    <t>1Z9X66Y30244822341</t>
  </si>
  <si>
    <t>Touch and Flow</t>
  </si>
  <si>
    <t>9400110202079004415296</t>
  </si>
  <si>
    <t>hobbie</t>
  </si>
  <si>
    <t>terminated 3/11</t>
  </si>
  <si>
    <t>Suzuki Bass</t>
  </si>
  <si>
    <t>9449008205496120507340</t>
  </si>
  <si>
    <t>uspsMedia Mail</t>
  </si>
  <si>
    <t>11-04628-58084</t>
  </si>
  <si>
    <t>tile leveler</t>
  </si>
  <si>
    <t>9361289702090532167211</t>
  </si>
  <si>
    <t>113-6611044-6070640</t>
  </si>
  <si>
    <t>BF Cuckoo Book</t>
  </si>
  <si>
    <t>9241990172375122838410</t>
  </si>
  <si>
    <t>113-3418594-3219424</t>
  </si>
  <si>
    <t>Sidewalk</t>
  </si>
  <si>
    <t>hobby</t>
  </si>
  <si>
    <t>Cardboard mailer</t>
  </si>
  <si>
    <t>1Z1110VF0329746057</t>
  </si>
  <si>
    <t>113-0088606-6624220</t>
  </si>
  <si>
    <t>SprayerT</t>
  </si>
  <si>
    <t>1Z973Y6F0372829746</t>
  </si>
  <si>
    <t>Author 26 Books</t>
  </si>
  <si>
    <t>9361289702090527570002</t>
  </si>
  <si>
    <t>Amazon POD</t>
  </si>
  <si>
    <t>113-5430817-7198610</t>
  </si>
  <si>
    <t>Ring doorbel</t>
  </si>
  <si>
    <t>1Z973Y6F0372561490</t>
  </si>
  <si>
    <t>113-4476037-4930663</t>
  </si>
  <si>
    <t>Ring transformer</t>
  </si>
  <si>
    <t>Sharpner</t>
  </si>
  <si>
    <t>9405510899648012255595</t>
  </si>
  <si>
    <t>113-1923079-4755467</t>
  </si>
  <si>
    <t>Won?t Run</t>
  </si>
  <si>
    <t>9341989702090522885625</t>
  </si>
  <si>
    <t>113-4914801-1343435</t>
  </si>
  <si>
    <t>Scale lumber</t>
  </si>
  <si>
    <t>1Z4T7T44YW68893802</t>
  </si>
  <si>
    <t>NWscaleLumber</t>
  </si>
  <si>
    <t>200215-152652-7019</t>
  </si>
  <si>
    <t>Moon Book</t>
  </si>
  <si>
    <t>1Z2558310399303389</t>
  </si>
  <si>
    <t>NAWCC library</t>
  </si>
  <si>
    <t>Multi meter</t>
  </si>
  <si>
    <t>2/24-3/16</t>
  </si>
  <si>
    <t>BZ040191506CN</t>
  </si>
  <si>
    <t>china</t>
  </si>
  <si>
    <t>9374869901600326219674</t>
  </si>
  <si>
    <t>1/16 pin stripe y</t>
  </si>
  <si>
    <t>9300120111404303773287</t>
  </si>
  <si>
    <t>113-3296851-6697042</t>
  </si>
  <si>
    <t>switches &amp; lock</t>
  </si>
  <si>
    <t>ground</t>
  </si>
  <si>
    <t>HO Hardware</t>
  </si>
  <si>
    <t>Poly Mailer 200</t>
  </si>
  <si>
    <t>9361289702090518663379</t>
  </si>
  <si>
    <t>113-0111158-0371456</t>
  </si>
  <si>
    <t>Shower Pan</t>
  </si>
  <si>
    <t>pick up</t>
  </si>
  <si>
    <t>Lowes PU</t>
  </si>
  <si>
    <t>Method cleaner</t>
  </si>
  <si>
    <t>1Z5RR568YW01304003</t>
  </si>
  <si>
    <t>113-0229802-1592265</t>
  </si>
  <si>
    <t>Flood alarm</t>
  </si>
  <si>
    <t>1Z805YR30103250519</t>
  </si>
  <si>
    <t>Clay Tools</t>
  </si>
  <si>
    <t>9374889702090516175108</t>
  </si>
  <si>
    <t>113-3112484-1091400</t>
  </si>
  <si>
    <t>Locks etc</t>
  </si>
  <si>
    <t>HOHW</t>
  </si>
  <si>
    <t>BackPackStraps</t>
  </si>
  <si>
    <t>9374889702090513550656</t>
  </si>
  <si>
    <t>113-6028498-2445829</t>
  </si>
  <si>
    <t>GF Clock</t>
  </si>
  <si>
    <t>Ped sink</t>
  </si>
  <si>
    <t>9 switches +1pl</t>
  </si>
  <si>
    <t>9405515901355621845091</t>
  </si>
  <si>
    <t>HOAHW</t>
  </si>
  <si>
    <t>Vegi Meals</t>
  </si>
  <si>
    <t>Merry</t>
  </si>
  <si>
    <t>Hinges 10 - 1/2"</t>
  </si>
  <si>
    <t>Hinges 10 -3/4</t>
  </si>
  <si>
    <t>1Z0W37W30133963920</t>
  </si>
  <si>
    <t>Vac Switch</t>
  </si>
  <si>
    <t>1Z445Y930244439305</t>
  </si>
  <si>
    <t>Push Stick</t>
  </si>
  <si>
    <t>Ring Bell</t>
  </si>
  <si>
    <t>1Z973Y6F0368437383</t>
  </si>
  <si>
    <t>router bits</t>
  </si>
  <si>
    <t>1Z05R2380396756642</t>
  </si>
  <si>
    <t>Toggle Clamps</t>
  </si>
  <si>
    <t>9361289702090501867180</t>
  </si>
  <si>
    <t>schulmeric spr</t>
  </si>
  <si>
    <t>switches</t>
  </si>
  <si>
    <t>9405515901355621765900</t>
  </si>
  <si>
    <t>blueblockers 3</t>
  </si>
  <si>
    <t>1Z445E130252633284</t>
  </si>
  <si>
    <t>POD</t>
  </si>
  <si>
    <t>cockoo 20</t>
  </si>
  <si>
    <t>1Z445E130252536200</t>
  </si>
  <si>
    <t>Am FireStick</t>
  </si>
  <si>
    <t>9374889702090496178427</t>
  </si>
  <si>
    <t>table saw pts</t>
  </si>
  <si>
    <t>1ZA1R862YW26332977</t>
  </si>
  <si>
    <t>Grizley</t>
  </si>
  <si>
    <t>Kreg Multi Tool</t>
  </si>
  <si>
    <t>1Z973Y6F0366857021</t>
  </si>
  <si>
    <t>bandsaw blade</t>
  </si>
  <si>
    <t>9400111298370479293803</t>
  </si>
  <si>
    <t>Baseboard</t>
  </si>
  <si>
    <t>pickup Hutch</t>
  </si>
  <si>
    <t>101 Archtect</t>
  </si>
  <si>
    <t>9341989702090492930820</t>
  </si>
  <si>
    <t>Amazon Adds</t>
  </si>
  <si>
    <t>1Z2FW9080283776083</t>
  </si>
  <si>
    <t>hacks</t>
  </si>
  <si>
    <t>N. Health #</t>
  </si>
  <si>
    <t>7/14/19+11/15</t>
  </si>
  <si>
    <t>mastering</t>
  </si>
  <si>
    <t>advert</t>
  </si>
  <si>
    <t>router collet</t>
  </si>
  <si>
    <t>Dididend retire</t>
  </si>
  <si>
    <t>1Z4411F50219905850</t>
  </si>
  <si>
    <t>clock key 16</t>
  </si>
  <si>
    <t>1Z9743XV0221332196</t>
  </si>
  <si>
    <t>9374869901600305375810</t>
  </si>
  <si>
    <t>clock key 18</t>
  </si>
  <si>
    <t>1Z0918WV0347304353</t>
  </si>
  <si>
    <t>Stud Finder</t>
  </si>
  <si>
    <t>Tues</t>
  </si>
  <si>
    <t>9361289702090479305080</t>
  </si>
  <si>
    <t>Writing Books</t>
  </si>
  <si>
    <t>Dividend Invest</t>
  </si>
  <si>
    <t>1Z04RR220368161856</t>
  </si>
  <si>
    <t>9114902307224637650557</t>
  </si>
  <si>
    <t>Fabric Tape</t>
  </si>
  <si>
    <t>Sandflex Block</t>
  </si>
  <si>
    <t>9374889702090471694607</t>
  </si>
  <si>
    <t>Fence Clamps</t>
  </si>
  <si>
    <t>9361289702090471213338</t>
  </si>
  <si>
    <t>Ring Doorbell</t>
  </si>
  <si>
    <t>Hip Parts</t>
  </si>
  <si>
    <t>mince pies</t>
  </si>
  <si>
    <t>HDMI splitter</t>
  </si>
  <si>
    <t>Light sockets</t>
  </si>
  <si>
    <t>Flue Cover</t>
  </si>
  <si>
    <t>HDMI cord</t>
  </si>
  <si>
    <t>xx</t>
  </si>
  <si>
    <t>wipers</t>
  </si>
  <si>
    <t>9405511699000163679238</t>
  </si>
  <si>
    <t>wipers123.com/</t>
  </si>
  <si>
    <t>clamps</t>
  </si>
  <si>
    <t>light sockets</t>
  </si>
  <si>
    <t>drills &amp; square</t>
  </si>
  <si>
    <t>1Z0605320342836865</t>
  </si>
  <si>
    <t>micromark</t>
  </si>
  <si>
    <t>times 2</t>
  </si>
  <si>
    <t>molding planes</t>
  </si>
  <si>
    <t>MarkingGauges</t>
  </si>
  <si>
    <t>eBay auction</t>
  </si>
  <si>
    <t>spokeshaveCap</t>
  </si>
  <si>
    <t>9400108699938880098483</t>
  </si>
  <si>
    <t>Shellac Flakes</t>
  </si>
  <si>
    <t>FedX</t>
  </si>
  <si>
    <t>2 Blast Gates</t>
  </si>
  <si>
    <t>Briefs</t>
  </si>
  <si>
    <t>1Z691053YW01759324</t>
  </si>
  <si>
    <t>JC Penny</t>
  </si>
  <si>
    <t>returning</t>
  </si>
  <si>
    <t>PullCordSwitch</t>
  </si>
  <si>
    <t>Scraper plane</t>
  </si>
  <si>
    <t>9405508699937978769499</t>
  </si>
  <si>
    <t>countersink</t>
  </si>
  <si>
    <t>T-9 rust inhibit</t>
  </si>
  <si>
    <t>Dovetail Gauge</t>
  </si>
  <si>
    <t>BandsawSwitch</t>
  </si>
  <si>
    <t>9400111206071822195292</t>
  </si>
  <si>
    <t>PtsWherehouse</t>
  </si>
  <si>
    <t>dremel</t>
  </si>
  <si>
    <t>dvr remote</t>
  </si>
  <si>
    <t>92748909900755553054464545</t>
  </si>
  <si>
    <t>Logo Shirts</t>
  </si>
  <si>
    <t>LogoSportswear</t>
  </si>
  <si>
    <t>Trash Bag Hold</t>
  </si>
  <si>
    <t>Pouches</t>
  </si>
  <si>
    <t>labels</t>
  </si>
  <si>
    <t>Bread Board</t>
  </si>
  <si>
    <t>Canal Map</t>
  </si>
  <si>
    <t>Anna-Marie</t>
  </si>
  <si>
    <t>Countertop</t>
  </si>
  <si>
    <t>3 insulated glas</t>
  </si>
  <si>
    <t>Sturgen Glass</t>
  </si>
  <si>
    <t>Rain Jacket</t>
  </si>
  <si>
    <t>Rad Cleaner</t>
  </si>
  <si>
    <t>windlass holder</t>
  </si>
  <si>
    <t>ebay to glen</t>
  </si>
  <si>
    <t>Fruit Picker</t>
  </si>
  <si>
    <t>10 light sockets</t>
  </si>
  <si>
    <t>spout eschutin</t>
  </si>
  <si>
    <t>rady 4 pu</t>
  </si>
  <si>
    <t>GoItAlone Book</t>
  </si>
  <si>
    <t>Thickness Plan</t>
  </si>
  <si>
    <t>Mail Box</t>
  </si>
  <si>
    <t>returned 10/14</t>
  </si>
  <si>
    <t>Battery Gauge</t>
  </si>
  <si>
    <t>23-25</t>
  </si>
  <si>
    <t>ShopVac Filter</t>
  </si>
  <si>
    <t>Head Bands</t>
  </si>
  <si>
    <t>RosesCastles</t>
  </si>
  <si>
    <t>amazon slow</t>
  </si>
  <si>
    <t>CRT keys etc</t>
  </si>
  <si>
    <t>semt 2 marina</t>
  </si>
  <si>
    <t>CRT</t>
  </si>
  <si>
    <t>TriPod</t>
  </si>
  <si>
    <t>Omeprazol</t>
  </si>
  <si>
    <t>Band Book</t>
  </si>
  <si>
    <t>1-2 weeks</t>
  </si>
  <si>
    <t>sheetMusicPlus</t>
  </si>
  <si>
    <t>Vacumn Bags</t>
  </si>
  <si>
    <t>usb socket</t>
  </si>
  <si>
    <t>Space Bags</t>
  </si>
  <si>
    <t>Vacumn</t>
  </si>
  <si>
    <t>Remote</t>
  </si>
  <si>
    <t>Pump Ck Valve</t>
  </si>
  <si>
    <t>Gas Valve</t>
  </si>
  <si>
    <t>hat</t>
  </si>
  <si>
    <t>TurretClockBook</t>
  </si>
  <si>
    <t>animal book</t>
  </si>
  <si>
    <t>Nickolson guide</t>
  </si>
  <si>
    <t>Tile Kit</t>
  </si>
  <si>
    <t>cobo cutters</t>
  </si>
  <si>
    <t>Shoulder plane</t>
  </si>
  <si>
    <t>Cutting gauge</t>
  </si>
  <si>
    <t>gas shutoff wre</t>
  </si>
  <si>
    <t>92748999916140583002834715</t>
  </si>
  <si>
    <t>superglue2p-10</t>
  </si>
  <si>
    <t>hitch ball reduc</t>
  </si>
  <si>
    <t>hdmi cable</t>
  </si>
  <si>
    <t>canal book</t>
  </si>
  <si>
    <t>Shovel Handle</t>
  </si>
  <si>
    <t>tin ceiling samp</t>
  </si>
  <si>
    <t>sugru</t>
  </si>
  <si>
    <t>drip fittings</t>
  </si>
  <si>
    <t>drip</t>
  </si>
  <si>
    <t>bilger books</t>
  </si>
  <si>
    <t>bilger</t>
  </si>
  <si>
    <t>Bass mute</t>
  </si>
  <si>
    <t>Meds</t>
  </si>
  <si>
    <t>ReRailer</t>
  </si>
  <si>
    <t>Wolf Knobs</t>
  </si>
  <si>
    <t>yellow ink</t>
  </si>
  <si>
    <t>1Z9V53840146877636</t>
  </si>
  <si>
    <t>1Z2FX8250252012040</t>
  </si>
  <si>
    <t>Envalopes Lg</t>
  </si>
  <si>
    <t>Toto portable</t>
  </si>
  <si>
    <t>9374889702090326262968</t>
  </si>
  <si>
    <t>phone h-phone</t>
  </si>
  <si>
    <t>9374889702090299413114</t>
  </si>
  <si>
    <t>9400111899560008390384</t>
  </si>
  <si>
    <t>Optum</t>
  </si>
  <si>
    <t>Instant Hot W 2</t>
  </si>
  <si>
    <t>9405509699937224469590</t>
  </si>
  <si>
    <t>tax free wealth</t>
  </si>
  <si>
    <t>1Z973Y6F0333208383</t>
  </si>
  <si>
    <t>Instant Hot W</t>
  </si>
  <si>
    <t>chisel set</t>
  </si>
  <si>
    <t>9405509699937216304496</t>
  </si>
  <si>
    <t>sash Cord</t>
  </si>
  <si>
    <t>9361289702090294417647</t>
  </si>
  <si>
    <t>Gas valve 2</t>
  </si>
  <si>
    <t>9400109699939622194729</t>
  </si>
  <si>
    <t>Dishwasher</t>
  </si>
  <si>
    <t>HomeD</t>
  </si>
  <si>
    <t>Radiator Key</t>
  </si>
  <si>
    <t>1Z8001V70305782744</t>
  </si>
  <si>
    <t>i Phone Case</t>
  </si>
  <si>
    <t>1Z2137YR0224595049</t>
  </si>
  <si>
    <t>4-2.25 reducer</t>
  </si>
  <si>
    <t>Gas valve</t>
  </si>
  <si>
    <t>9400109699937190775319</t>
  </si>
  <si>
    <t>Gas detector</t>
  </si>
  <si>
    <t>amazon P</t>
  </si>
  <si>
    <t>9374889702090290020724</t>
  </si>
  <si>
    <t>M swim suit</t>
  </si>
  <si>
    <t>Dust Extractor</t>
  </si>
  <si>
    <t>Harbor Freight</t>
  </si>
  <si>
    <t>9612019599286766674023</t>
  </si>
  <si>
    <t>Plate gasget</t>
  </si>
  <si>
    <t>Stripper</t>
  </si>
  <si>
    <t>Chop-it</t>
  </si>
  <si>
    <t>Micro-Mart</t>
  </si>
  <si>
    <t>1Z0605320342308962</t>
  </si>
  <si>
    <t>moon earth</t>
  </si>
  <si>
    <t>picture cleaner</t>
  </si>
  <si>
    <t>jan 3-10</t>
  </si>
  <si>
    <t>Anguler Ruler</t>
  </si>
  <si>
    <t>china post</t>
  </si>
  <si>
    <t>LT158455825CN</t>
  </si>
  <si>
    <t>Train Coaches</t>
  </si>
  <si>
    <t>offer acepted</t>
  </si>
  <si>
    <t>us</t>
  </si>
  <si>
    <t>Oliver Cromwel</t>
  </si>
  <si>
    <t>Pico Catalogue</t>
  </si>
  <si>
    <t>oo coach</t>
  </si>
  <si>
    <t>Alexa</t>
  </si>
  <si>
    <t>woodland sceni</t>
  </si>
  <si>
    <t>micro mart</t>
  </si>
  <si>
    <t>drawer guides</t>
  </si>
  <si>
    <t>homedepot mail</t>
  </si>
  <si>
    <t>hinges</t>
  </si>
  <si>
    <t>ready 12/10</t>
  </si>
  <si>
    <t>home depot pu</t>
  </si>
  <si>
    <t>Range Hood</t>
  </si>
  <si>
    <t>homedepot</t>
  </si>
  <si>
    <t>laptop</t>
  </si>
  <si>
    <t>glasses cleaner</t>
  </si>
  <si>
    <t>Mince pies</t>
  </si>
  <si>
    <t>FPU coordinat</t>
  </si>
  <si>
    <t>received wrong copy 11/20</t>
  </si>
  <si>
    <t>Picture Keeper</t>
  </si>
  <si>
    <t>Fetus in womb</t>
  </si>
  <si>
    <t>shelfDrilling Jig</t>
  </si>
  <si>
    <t>Glue 2P-10</t>
  </si>
  <si>
    <t>My 1st Clock</t>
  </si>
  <si>
    <t>scraper</t>
  </si>
  <si>
    <t>Sherling Bush</t>
  </si>
  <si>
    <t>Brewery Book</t>
  </si>
  <si>
    <t>291 Elgin</t>
  </si>
  <si>
    <t>291 Elgin Pts</t>
  </si>
  <si>
    <t>slotted screws</t>
  </si>
  <si>
    <t xml:space="preserve">sectional layout </t>
  </si>
  <si>
    <t>Rotary Switch</t>
  </si>
  <si>
    <t>insu rail joiners</t>
  </si>
  <si>
    <t>rail joiners</t>
  </si>
  <si>
    <t>Bright boy</t>
  </si>
  <si>
    <t>Rail cutters</t>
  </si>
  <si>
    <t>Track Planning</t>
  </si>
  <si>
    <t>train wiring</t>
  </si>
  <si>
    <t>Bell Gloves</t>
  </si>
  <si>
    <t>Lazer toner</t>
  </si>
  <si>
    <t>late 10th</t>
  </si>
  <si>
    <t>CompfressBib</t>
  </si>
  <si>
    <t>wallet insert</t>
  </si>
  <si>
    <t>Oven Glass</t>
  </si>
  <si>
    <t>FedEx tracking number&amp;nbsp; 460115944392</t>
  </si>
  <si>
    <t>Lazer Printer</t>
  </si>
  <si>
    <t>ego battery</t>
  </si>
  <si>
    <t>sweatbands</t>
  </si>
  <si>
    <t>iPhone return</t>
  </si>
  <si>
    <t>Chainsaw Batt</t>
  </si>
  <si>
    <t>Paper fastners</t>
  </si>
  <si>
    <t>This Old Clock</t>
  </si>
  <si>
    <t>Trimmer</t>
  </si>
  <si>
    <t>UPS 5830</t>
  </si>
  <si>
    <t>Butterflys</t>
  </si>
  <si>
    <t>fedex 129378</t>
  </si>
  <si>
    <t>Wood Burn Too</t>
  </si>
  <si>
    <t>Create Space</t>
  </si>
  <si>
    <t>Trimmer Head</t>
  </si>
  <si>
    <t>Headphones</t>
  </si>
  <si>
    <t>Sanding discs</t>
  </si>
  <si>
    <t>sun flower</t>
  </si>
  <si>
    <t>Cuckoo DVD</t>
  </si>
  <si>
    <t>swet block</t>
  </si>
  <si>
    <t>EGO trimmer H</t>
  </si>
  <si>
    <t>Panel screws</t>
  </si>
  <si>
    <t>Cuckoo Book</t>
  </si>
  <si>
    <t>Cuckoo Movem</t>
  </si>
  <si>
    <t>Money4Mobiles</t>
  </si>
  <si>
    <t>ups wed 18th</t>
  </si>
  <si>
    <r>
      <rPr>
        <strike/>
        <sz val="10"/>
        <color theme="1"/>
        <rFont val="Arial"/>
        <family val="2"/>
      </rPr>
      <t>2</t>
    </r>
    <r>
      <rPr>
        <sz val="10"/>
        <color theme="1"/>
        <rFont val="Arial"/>
        <family val="2"/>
      </rPr>
      <t xml:space="preserve"> 1 dresses</t>
    </r>
  </si>
  <si>
    <t>#1 box</t>
  </si>
  <si>
    <t>TimesaversClips</t>
  </si>
  <si>
    <t>TrailerGateLatch</t>
  </si>
  <si>
    <t xml:space="preserve"> usps</t>
  </si>
  <si>
    <t>Lawn Lights</t>
  </si>
  <si>
    <t>approx</t>
  </si>
  <si>
    <t>Flashlight bulb</t>
  </si>
  <si>
    <t>received</t>
  </si>
  <si>
    <t>Stand Clips</t>
  </si>
  <si>
    <t>wed 6/13 ups</t>
  </si>
  <si>
    <t>mail</t>
  </si>
  <si>
    <t>Allen Bits</t>
  </si>
  <si>
    <t>mail Tues 6/5</t>
  </si>
  <si>
    <t>USPS box1</t>
  </si>
  <si>
    <t>Rotary switch</t>
  </si>
  <si>
    <t>first class mail</t>
  </si>
  <si>
    <t>ego blower</t>
  </si>
  <si>
    <t>Wed 6th</t>
  </si>
  <si>
    <t>ego trimmer</t>
  </si>
  <si>
    <t>ego edger</t>
  </si>
  <si>
    <t>step bumper</t>
  </si>
  <si>
    <t>mail usps 1-6</t>
  </si>
  <si>
    <t>flashlight bulb</t>
  </si>
  <si>
    <t>amazon books</t>
  </si>
  <si>
    <t>at PO</t>
  </si>
  <si>
    <t>FarmhouseSink</t>
  </si>
  <si>
    <t>Full Name</t>
  </si>
  <si>
    <t>Address</t>
  </si>
  <si>
    <t>City</t>
  </si>
  <si>
    <t>email</t>
  </si>
  <si>
    <t>date</t>
  </si>
  <si>
    <t>Age</t>
  </si>
  <si>
    <t>Net Worth</t>
  </si>
  <si>
    <t>should</t>
  </si>
  <si>
    <t>Rod Lloyd</t>
  </si>
  <si>
    <t>128 W Main St</t>
  </si>
  <si>
    <t>Sterling</t>
  </si>
  <si>
    <t>rod@clear-lake.com</t>
  </si>
  <si>
    <t>Down</t>
  </si>
  <si>
    <t>earn/ month</t>
  </si>
  <si>
    <t>Merry Lloyd</t>
  </si>
  <si>
    <t>merry@clear-lake.com</t>
  </si>
  <si>
    <t>Donna Grizzle</t>
  </si>
  <si>
    <t>114 East Avenue North</t>
  </si>
  <si>
    <t>Lyons 67554</t>
  </si>
  <si>
    <t>donnarcca@gmail.com</t>
  </si>
  <si>
    <t>Frank Leone</t>
  </si>
  <si>
    <t>416 E Adams Ave</t>
  </si>
  <si>
    <t>leonefra@yahoo.com</t>
  </si>
  <si>
    <t>Cathy LaTourell</t>
  </si>
  <si>
    <t>34 basswood</t>
  </si>
  <si>
    <t>Cathylatourell@gmail.com</t>
  </si>
  <si>
    <t>Les Hauschild</t>
  </si>
  <si>
    <t>2260 Ave V</t>
  </si>
  <si>
    <t>Leshaus1@gmail.com</t>
  </si>
  <si>
    <t>Joyce Conard</t>
  </si>
  <si>
    <t>amjmconard@gmail.com</t>
  </si>
  <si>
    <t>Debra Rains</t>
  </si>
  <si>
    <t>109 Countries View Lane</t>
  </si>
  <si>
    <t>drains2000@yahoo.com</t>
  </si>
  <si>
    <t>Notes</t>
  </si>
  <si>
    <t>Coffee</t>
  </si>
  <si>
    <t>Advertising</t>
  </si>
  <si>
    <t>Bank Interest</t>
  </si>
  <si>
    <t>Other</t>
  </si>
  <si>
    <t>should earn/month</t>
  </si>
  <si>
    <t>Book Sales</t>
  </si>
  <si>
    <t>Jan 24</t>
  </si>
  <si>
    <t>Jan 20</t>
  </si>
  <si>
    <t>royalty/bk</t>
  </si>
  <si>
    <t>Reports</t>
  </si>
  <si>
    <t>IngramSpark LSI</t>
  </si>
  <si>
    <t>Draft 2 Digital</t>
  </si>
  <si>
    <t>Barns &amp; Noble</t>
  </si>
  <si>
    <t>Apple Books</t>
  </si>
  <si>
    <t>Google Play</t>
  </si>
  <si>
    <t>Kobo</t>
  </si>
  <si>
    <r>
      <rPr>
        <b/>
        <sz val="10"/>
        <color theme="1"/>
        <rFont val="Arial"/>
        <family val="2"/>
      </rPr>
      <t xml:space="preserve">eBay </t>
    </r>
    <r>
      <rPr>
        <sz val="8"/>
        <color theme="1"/>
        <rFont val="Arial"/>
        <family val="2"/>
      </rPr>
      <t xml:space="preserve"> [performance/summary]</t>
    </r>
  </si>
  <si>
    <r>
      <rPr>
        <b/>
        <sz val="10"/>
        <color theme="1"/>
        <rFont val="Arial"/>
        <family val="2"/>
      </rPr>
      <t xml:space="preserve">Etsy  </t>
    </r>
    <r>
      <rPr>
        <sz val="8"/>
        <color theme="1"/>
        <rFont val="Arial"/>
        <family val="2"/>
      </rPr>
      <t xml:space="preserve"> [finances/statements]</t>
    </r>
  </si>
  <si>
    <t>thickness</t>
  </si>
  <si>
    <t>1/8</t>
  </si>
  <si>
    <t>1/16</t>
  </si>
  <si>
    <t>1/4</t>
  </si>
  <si>
    <t>1/32</t>
  </si>
  <si>
    <t>3/32</t>
  </si>
  <si>
    <t>3/16</t>
  </si>
  <si>
    <t>ClockWatchBooks shopify</t>
  </si>
  <si>
    <t>Total Book Sales</t>
  </si>
  <si>
    <t>Average last 12 months</t>
  </si>
  <si>
    <t xml:space="preserve"> Payments</t>
  </si>
  <si>
    <t>kitchen</t>
  </si>
  <si>
    <t>Cuckoo paper</t>
  </si>
  <si>
    <t>Handbell Tree Plans Print</t>
  </si>
  <si>
    <t>I think still an old publish date. At least it should say 2020 edition in Description</t>
  </si>
  <si>
    <t>YrPayPal</t>
  </si>
  <si>
    <t xml:space="preserve">  Date Range Report</t>
  </si>
  <si>
    <t>Family Room</t>
  </si>
  <si>
    <t>Cuckoo Kindle</t>
  </si>
  <si>
    <t>Handbell Tree Plans Kindle</t>
  </si>
  <si>
    <t>xxx</t>
  </si>
  <si>
    <t xml:space="preserve">    Generate Report [summary]</t>
  </si>
  <si>
    <t>Dining Room</t>
  </si>
  <si>
    <t>Bench Paper</t>
  </si>
  <si>
    <t>Music Room</t>
  </si>
  <si>
    <t>Bench Kindle</t>
  </si>
  <si>
    <t>Laundromat Print</t>
  </si>
  <si>
    <t>Book</t>
  </si>
  <si>
    <t>Kindle</t>
  </si>
  <si>
    <t>Parlor</t>
  </si>
  <si>
    <t>Won?t paper</t>
  </si>
  <si>
    <t>Laundromat Kindle</t>
  </si>
  <si>
    <t>A m a z o n    S a l e s</t>
  </si>
  <si>
    <t>ASIN</t>
  </si>
  <si>
    <t>Date</t>
  </si>
  <si>
    <t>Entry Hall</t>
  </si>
  <si>
    <t>Won?t Kindle</t>
  </si>
  <si>
    <t>The Clock Repairer's Bench Manual</t>
  </si>
  <si>
    <r>
      <rPr>
        <sz val="11"/>
        <color rgb="FF0F1111"/>
        <rFont val="Arial"/>
        <family val="2"/>
        <scheme val="minor"/>
      </rPr>
      <t>B09PHHC1RK</t>
    </r>
  </si>
  <si>
    <t>1/22</t>
  </si>
  <si>
    <t>B09P6PH6D3</t>
  </si>
  <si>
    <r>
      <rPr>
        <sz val="11"/>
        <color rgb="FF0F1111"/>
        <rFont val="Arial"/>
        <family val="2"/>
        <scheme val="minor"/>
      </rPr>
      <t>B0BRBR116J</t>
    </r>
  </si>
  <si>
    <t>1/23color</t>
  </si>
  <si>
    <r>
      <rPr>
        <sz val="11"/>
        <color rgb="FF0F1111"/>
        <rFont val="Arial"/>
        <family val="2"/>
        <scheme val="minor"/>
      </rPr>
      <t>B0BS13NH6G</t>
    </r>
  </si>
  <si>
    <t>B0BNH11N8W</t>
  </si>
  <si>
    <t>11/22color</t>
  </si>
  <si>
    <t>Spanish Bench Manual</t>
  </si>
  <si>
    <r>
      <rPr>
        <sz val="11"/>
        <color rgb="FF0F1111"/>
        <rFont val="Arial"/>
        <family val="2"/>
        <scheme val="minor"/>
      </rPr>
      <t>B08Y49YDWR</t>
    </r>
  </si>
  <si>
    <t>3/21</t>
  </si>
  <si>
    <r>
      <rPr>
        <sz val="11"/>
        <color rgb="FF0F1111"/>
        <rFont val="Arial"/>
        <family val="2"/>
        <scheme val="minor"/>
      </rPr>
      <t>B08Y821Y7W</t>
    </r>
  </si>
  <si>
    <r>
      <rPr>
        <sz val="11"/>
        <color rgb="FF0F1111"/>
        <rFont val="Arial"/>
        <family val="2"/>
        <scheme val="minor"/>
      </rPr>
      <t>B0BRR2BQ1V</t>
    </r>
  </si>
  <si>
    <t>1/23</t>
  </si>
  <si>
    <t>The Cuckoo Clock Owner's Repair Manual</t>
  </si>
  <si>
    <t>B0C1J56KPC</t>
  </si>
  <si>
    <t>5/23</t>
  </si>
  <si>
    <r>
      <rPr>
        <sz val="11"/>
        <color rgb="FF0F1111"/>
        <rFont val="Arial"/>
        <family val="2"/>
        <scheme val="minor"/>
      </rPr>
      <t>B0C1KXNZV1</t>
    </r>
  </si>
  <si>
    <t>4/23</t>
  </si>
  <si>
    <t>B0BR8YT26V</t>
  </si>
  <si>
    <r>
      <rPr>
        <strike/>
        <sz val="11"/>
        <color rgb="FF0F1111"/>
        <rFont val="Arial"/>
        <family val="2"/>
        <scheme val="minor"/>
      </rPr>
      <t>B0BSS3SWXL</t>
    </r>
  </si>
  <si>
    <t>Spanish Cuckoo</t>
  </si>
  <si>
    <r>
      <rPr>
        <sz val="11"/>
        <color rgb="FF0F1111"/>
        <rFont val="Arial"/>
        <family val="2"/>
        <scheme val="minor"/>
      </rPr>
      <t>B08Y49S2B1</t>
    </r>
  </si>
  <si>
    <r>
      <rPr>
        <sz val="11"/>
        <color rgb="FF0F1111"/>
        <rFont val="Arial"/>
        <family val="2"/>
        <scheme val="minor"/>
      </rPr>
      <t>B08Y5DNLLN</t>
    </r>
  </si>
  <si>
    <t>The Grandfather Clock Owner's Repair Manual</t>
  </si>
  <si>
    <t>B08M2LMGLM</t>
  </si>
  <si>
    <t>10/20</t>
  </si>
  <si>
    <r>
      <rPr>
        <strike/>
        <sz val="11"/>
        <color rgb="FF0F1111"/>
        <rFont val="Arial"/>
        <family val="2"/>
        <scheme val="minor"/>
      </rPr>
      <t>B08M2F69V3</t>
    </r>
  </si>
  <si>
    <t>B0BR8R2DCY</t>
  </si>
  <si>
    <r>
      <rPr>
        <sz val="11"/>
        <color rgb="FF0F1111"/>
        <rFont val="Arial"/>
        <family val="2"/>
        <scheme val="minor"/>
      </rPr>
      <t>B0BSVNJ963</t>
    </r>
  </si>
  <si>
    <t>B0BRNYWV23</t>
  </si>
  <si>
    <t>The Atmos Clock Repairer's Bench Manual</t>
  </si>
  <si>
    <r>
      <rPr>
        <sz val="11"/>
        <color rgb="FF0F1111"/>
        <rFont val="Arial"/>
        <family val="2"/>
        <scheme val="minor"/>
      </rPr>
      <t>B0BRDR2M1N</t>
    </r>
  </si>
  <si>
    <r>
      <rPr>
        <sz val="11"/>
        <color rgb="FF0F1111"/>
        <rFont val="Arial"/>
        <family val="2"/>
        <scheme val="minor"/>
      </rPr>
      <t>B087J8F3R4</t>
    </r>
  </si>
  <si>
    <t>4/20</t>
  </si>
  <si>
    <r>
      <rPr>
        <sz val="11"/>
        <color rgb="FF0F1111"/>
        <rFont val="Arial"/>
        <family val="2"/>
        <scheme val="minor"/>
      </rPr>
      <t>B0BSXG2WVD</t>
    </r>
  </si>
  <si>
    <t>Wooden Works Clocks</t>
  </si>
  <si>
    <r>
      <rPr>
        <sz val="11"/>
        <color rgb="FF0F1111"/>
        <rFont val="Arial"/>
        <family val="2"/>
        <scheme val="minor"/>
      </rPr>
      <t>B09B3T66DF</t>
    </r>
  </si>
  <si>
    <t>7/21</t>
  </si>
  <si>
    <r>
      <rPr>
        <sz val="11"/>
        <color rgb="FF0F1111"/>
        <rFont val="Arial"/>
        <family val="2"/>
        <scheme val="minor"/>
      </rPr>
      <t>B09B6RJF35</t>
    </r>
  </si>
  <si>
    <t>7/23</t>
  </si>
  <si>
    <t>Happy Anniversary Clock’s</t>
  </si>
  <si>
    <r>
      <rPr>
        <sz val="11"/>
        <color rgb="FF0F1111"/>
        <rFont val="Arial"/>
        <family val="2"/>
        <scheme val="minor"/>
      </rPr>
      <t>B0BRF3XRTM</t>
    </r>
  </si>
  <si>
    <t>12/22</t>
  </si>
  <si>
    <r>
      <rPr>
        <sz val="11"/>
        <color rgb="FF0F1111"/>
        <rFont val="Arial"/>
        <family val="2"/>
        <scheme val="minor"/>
      </rPr>
      <t>B09PGPX7WX</t>
    </r>
  </si>
  <si>
    <r>
      <rPr>
        <sz val="11"/>
        <color rgb="FF0F1111"/>
        <rFont val="Arial"/>
        <family val="2"/>
        <scheme val="minor"/>
      </rPr>
      <t>B0875ZKW7D</t>
    </r>
  </si>
  <si>
    <t>Clock Repair you can follow along</t>
  </si>
  <si>
    <r>
      <rPr>
        <sz val="11"/>
        <color rgb="FF0F1111"/>
        <rFont val="Arial"/>
        <family val="2"/>
        <scheme val="minor"/>
      </rPr>
      <t>B0CPW7SJNF</t>
    </r>
  </si>
  <si>
    <t>10/23</t>
  </si>
  <si>
    <r>
      <rPr>
        <sz val="10"/>
        <color rgb="FF565959"/>
        <rFont val="Arial"/>
        <family val="2"/>
        <scheme val="minor"/>
      </rPr>
      <t>B0DFKB38PZ</t>
    </r>
  </si>
  <si>
    <t>Handbell Ringers Bible</t>
  </si>
  <si>
    <t>B0BRHDK3JP</t>
  </si>
  <si>
    <r>
      <rPr>
        <sz val="11"/>
        <color rgb="FF0F1111"/>
        <rFont val="Arial"/>
        <family val="2"/>
        <scheme val="minor"/>
      </rPr>
      <t>B0BRHRSMNP</t>
    </r>
  </si>
  <si>
    <t>B0893HZPVT</t>
  </si>
  <si>
    <t>5/20</t>
  </si>
  <si>
    <t>Handbell Ringers Bible Book 2</t>
  </si>
  <si>
    <t>B07FW6LJS2</t>
  </si>
  <si>
    <t>7/18</t>
  </si>
  <si>
    <t>Handbell Music reading course</t>
  </si>
  <si>
    <r>
      <rPr>
        <sz val="11"/>
        <color rgb="FF0F1111"/>
        <rFont val="Arial"/>
        <family val="2"/>
        <scheme val="minor"/>
      </rPr>
      <t>B0DF546WCL</t>
    </r>
  </si>
  <si>
    <t>8/24</t>
  </si>
  <si>
    <r>
      <rPr>
        <sz val="11"/>
        <color rgb="FF0F1111"/>
        <rFont val="Arial"/>
        <family val="2"/>
        <scheme val="minor"/>
      </rPr>
      <t>B0DF2J2XLQ</t>
    </r>
  </si>
  <si>
    <t>The New Handbell Conductor</t>
  </si>
  <si>
    <r>
      <rPr>
        <sz val="11"/>
        <color rgb="FF0F1111"/>
        <rFont val="Arial"/>
        <family val="2"/>
        <scheme val="minor"/>
      </rPr>
      <t>B0DF2WTDWQ</t>
    </r>
  </si>
  <si>
    <r>
      <rPr>
        <sz val="11"/>
        <color rgb="FF0F1111"/>
        <rFont val="Arial"/>
        <family val="2"/>
        <scheme val="minor"/>
      </rPr>
      <t>B0DDZZXW9Y</t>
    </r>
  </si>
  <si>
    <t>Handbell Tree Stand</t>
  </si>
  <si>
    <r>
      <rPr>
        <sz val="11"/>
        <color rgb="FF0F1111"/>
        <rFont val="Arial"/>
        <family val="2"/>
        <scheme val="minor"/>
      </rPr>
      <t>B08924DG9T</t>
    </r>
  </si>
  <si>
    <t>3/20</t>
  </si>
  <si>
    <r>
      <rPr>
        <sz val="11"/>
        <color rgb="FF0F1111"/>
        <rFont val="Arial"/>
        <family val="2"/>
        <scheme val="minor"/>
      </rPr>
      <t>B006IGCDVE</t>
    </r>
  </si>
  <si>
    <t>12/11</t>
  </si>
  <si>
    <t>My Clock Won't Run</t>
  </si>
  <si>
    <r>
      <rPr>
        <sz val="11"/>
        <color rgb="FF0F1111"/>
        <rFont val="Arial"/>
        <family val="2"/>
        <scheme val="minor"/>
      </rPr>
      <t>B084DGVCN8</t>
    </r>
  </si>
  <si>
    <t>2/20</t>
  </si>
  <si>
    <r>
      <rPr>
        <sz val="11"/>
        <color rgb="FF0F1111"/>
        <rFont val="Arial"/>
        <family val="2"/>
        <scheme val="minor"/>
      </rPr>
      <t>B084FMG2Z6</t>
    </r>
  </si>
  <si>
    <t>1/20</t>
  </si>
  <si>
    <r>
      <rPr>
        <sz val="11"/>
        <color rgb="FF0F1111"/>
        <rFont val="Arial"/>
        <family val="2"/>
        <scheme val="minor"/>
      </rPr>
      <t>B0BRNYWV23</t>
    </r>
  </si>
  <si>
    <t>not me</t>
  </si>
  <si>
    <r>
      <rPr>
        <sz val="10"/>
        <color rgb="FF565959"/>
        <rFont val="Arial"/>
        <family val="2"/>
        <scheme val="minor"/>
      </rPr>
      <t>B0DFVB8V8N</t>
    </r>
  </si>
  <si>
    <t>9/24</t>
  </si>
  <si>
    <r>
      <rPr>
        <sz val="10"/>
        <color rgb="FF565959"/>
        <rFont val="Arial"/>
        <family val="2"/>
        <scheme val="minor"/>
      </rPr>
      <t>B0DFMZQQ3W</t>
    </r>
  </si>
  <si>
    <t>A Walk in my Shoes</t>
  </si>
  <si>
    <r>
      <rPr>
        <sz val="11"/>
        <color rgb="FF0F1111"/>
        <rFont val="Arial"/>
        <family val="2"/>
        <scheme val="minor"/>
      </rPr>
      <t>B0BRHCD1X1</t>
    </r>
  </si>
  <si>
    <r>
      <rPr>
        <sz val="11"/>
        <color rgb="FF0F1111"/>
        <rFont val="Arial"/>
        <family val="2"/>
        <scheme val="minor"/>
      </rPr>
      <t>B0BRHNXBTC</t>
    </r>
  </si>
  <si>
    <r>
      <rPr>
        <sz val="11"/>
        <color rgb="FF0F1111"/>
        <rFont val="Arial"/>
        <family val="2"/>
        <scheme val="minor"/>
      </rPr>
      <t>B0BRDCPTYM</t>
    </r>
  </si>
  <si>
    <t>12/22hard</t>
  </si>
  <si>
    <r>
      <rPr>
        <sz val="11"/>
        <color rgb="FF0F1111"/>
        <rFont val="Arial"/>
        <family val="2"/>
        <scheme val="minor"/>
      </rPr>
      <t>B015LAGY6M</t>
    </r>
  </si>
  <si>
    <t>2/12</t>
  </si>
  <si>
    <r>
      <rPr>
        <sz val="11"/>
        <color rgb="FF0F1111"/>
        <rFont val="Arial"/>
        <family val="2"/>
        <scheme val="minor"/>
      </rPr>
      <t>B007B1LRO4</t>
    </r>
  </si>
  <si>
    <t>Laundromat Operations &amp; Maintenance Manual</t>
  </si>
  <si>
    <t>createSpace</t>
  </si>
  <si>
    <t>4/15</t>
  </si>
  <si>
    <r>
      <rPr>
        <sz val="11"/>
        <color rgb="FF0F1111"/>
        <rFont val="Arial"/>
        <family val="2"/>
        <scheme val="minor"/>
      </rPr>
      <t>B00WOXCTIC</t>
    </r>
  </si>
  <si>
    <r>
      <rPr>
        <sz val="11"/>
        <color rgb="FF0F1111"/>
        <rFont val="Arial"/>
        <family val="2"/>
        <scheme val="minor"/>
      </rPr>
      <t>B0BSMXMMFQ</t>
    </r>
  </si>
  <si>
    <r>
      <rPr>
        <sz val="10"/>
        <color rgb="FF565959"/>
        <rFont val="Arial"/>
        <family val="2"/>
        <scheme val="minor"/>
      </rPr>
      <t>1536832863</t>
    </r>
  </si>
  <si>
    <t>Money from Mobiles</t>
  </si>
  <si>
    <t>9/19</t>
  </si>
  <si>
    <r>
      <rPr>
        <sz val="11"/>
        <color rgb="FF0F1111"/>
        <rFont val="Arial"/>
        <family val="2"/>
        <scheme val="minor"/>
      </rPr>
      <t>B07FLPNQ9V</t>
    </r>
  </si>
  <si>
    <r>
      <rPr>
        <sz val="11"/>
        <color rgb="FF0F1111"/>
        <rFont val="Arial"/>
        <family val="2"/>
        <scheme val="minor"/>
      </rPr>
      <t>B0BSX51ZYJ</t>
    </r>
  </si>
  <si>
    <t>Home Inspection and Mold Testing Business</t>
  </si>
  <si>
    <r>
      <rPr>
        <sz val="11"/>
        <color rgb="FF0F1111"/>
        <rFont val="Arial"/>
        <family val="2"/>
        <scheme val="minor"/>
      </rPr>
      <t>B083HMZYV2</t>
    </r>
  </si>
  <si>
    <t>House Flipping for Big Profits by an Old Pro</t>
  </si>
  <si>
    <r>
      <rPr>
        <sz val="11"/>
        <color rgb="FF0F1111"/>
        <rFont val="Arial"/>
        <family val="2"/>
        <scheme val="minor"/>
      </rPr>
      <t>B083HM4VB6</t>
    </r>
  </si>
  <si>
    <t>Profitable Rental Property Investing</t>
  </si>
  <si>
    <t>2/17</t>
  </si>
  <si>
    <r>
      <rPr>
        <sz val="11"/>
        <color rgb="FF0F1111"/>
        <rFont val="Arial"/>
        <family val="2"/>
        <scheme val="minor"/>
      </rPr>
      <t>B06XCYRMML</t>
    </r>
  </si>
  <si>
    <r>
      <rPr>
        <sz val="11"/>
        <color rgb="FF0F1111"/>
        <rFont val="Arial"/>
        <family val="2"/>
        <scheme val="minor"/>
      </rPr>
      <t>B0BV67NF6Z</t>
    </r>
  </si>
  <si>
    <t>How to get rid of MOLD</t>
  </si>
  <si>
    <t>12/16</t>
  </si>
  <si>
    <r>
      <rPr>
        <sz val="11"/>
        <color rgb="FF0F1111"/>
        <rFont val="Arial"/>
        <family val="2"/>
        <scheme val="minor"/>
      </rPr>
      <t>B01N6MCJFR</t>
    </r>
  </si>
  <si>
    <t>How to re-hair your Violin, Viola, Cello or Bass bow</t>
  </si>
  <si>
    <r>
      <rPr>
        <sz val="11"/>
        <color rgb="FF0F1111"/>
        <rFont val="Arial"/>
        <family val="2"/>
        <scheme val="minor"/>
      </rPr>
      <t>B016CNRPC4</t>
    </r>
  </si>
  <si>
    <t>10/15</t>
  </si>
  <si>
    <r>
      <rPr>
        <sz val="11"/>
        <color rgb="FF0F1111"/>
        <rFont val="Arial"/>
        <family val="2"/>
        <scheme val="minor"/>
      </rPr>
      <t>B06X1GLP2S</t>
    </r>
  </si>
  <si>
    <t>British to American Dictionary</t>
  </si>
  <si>
    <r>
      <rPr>
        <sz val="11"/>
        <color rgb="FF0F1111"/>
        <rFont val="Arial"/>
        <family val="2"/>
        <scheme val="minor"/>
      </rPr>
      <t>B08924D2YV</t>
    </r>
  </si>
  <si>
    <r>
      <rPr>
        <sz val="11"/>
        <color rgb="FF0F1111"/>
        <rFont val="Arial"/>
        <family val="2"/>
        <scheme val="minor"/>
      </rPr>
      <t>B0893RRQLS</t>
    </r>
  </si>
  <si>
    <t>10% interest</t>
  </si>
  <si>
    <r>
      <rPr>
        <sz val="11"/>
        <color rgb="FF0F1111"/>
        <rFont val="Arial"/>
        <family val="2"/>
        <scheme val="minor"/>
      </rPr>
      <t>B083HM4VB6</t>
    </r>
  </si>
  <si>
    <t>12/19</t>
  </si>
  <si>
    <r>
      <rPr>
        <sz val="11"/>
        <color rgb="FF0F1111"/>
        <rFont val="Arial"/>
        <family val="2"/>
        <scheme val="minor"/>
      </rPr>
      <t>B0829CRTY9</t>
    </r>
  </si>
  <si>
    <t>The Care and Feeding of Economy Rental Property</t>
  </si>
  <si>
    <t>9/15</t>
  </si>
  <si>
    <r>
      <rPr>
        <sz val="11"/>
        <color rgb="FF0F1111"/>
        <rFont val="Arial"/>
        <family val="2"/>
        <scheme val="minor"/>
      </rPr>
      <t>B015LAGY6M</t>
    </r>
  </si>
  <si>
    <t>Toilet Repair</t>
  </si>
  <si>
    <r>
      <rPr>
        <sz val="11"/>
        <color rgb="FF0F1111"/>
        <rFont val="Arial"/>
        <family val="2"/>
        <scheme val="minor"/>
      </rPr>
      <t>B085JZZF3R</t>
    </r>
  </si>
  <si>
    <r>
      <rPr>
        <sz val="11"/>
        <color rgb="FF0F1111"/>
        <rFont val="Arial"/>
        <family val="2"/>
        <scheme val="minor"/>
      </rPr>
      <t>B016CNRPC4</t>
    </r>
  </si>
  <si>
    <t>Instant Hot Water</t>
  </si>
  <si>
    <r>
      <rPr>
        <sz val="11"/>
        <color rgb="FF0F1111"/>
        <rFont val="Arial"/>
        <family val="2"/>
        <scheme val="minor"/>
      </rPr>
      <t>B0892HWZGQ</t>
    </r>
  </si>
  <si>
    <r>
      <rPr>
        <sz val="11"/>
        <color rgb="FF0F1111"/>
        <rFont val="Arial"/>
        <family val="2"/>
        <scheme val="minor"/>
      </rPr>
      <t>B016ASCLK2</t>
    </r>
  </si>
  <si>
    <t>To Make End$ Meet</t>
  </si>
  <si>
    <r>
      <rPr>
        <sz val="11"/>
        <color rgb="FF0F1111"/>
        <rFont val="Arial"/>
        <family val="2"/>
        <scheme val="minor"/>
      </rPr>
      <t>B016FTEQ6S</t>
    </r>
  </si>
  <si>
    <t>World Cruise with a Twist</t>
  </si>
  <si>
    <r>
      <rPr>
        <sz val="11"/>
        <color rgb="FF0F1111"/>
        <rFont val="Arial"/>
        <family val="2"/>
        <scheme val="minor"/>
      </rPr>
      <t>B0B6Q529Y6</t>
    </r>
  </si>
  <si>
    <t>7/22</t>
  </si>
  <si>
    <r>
      <rPr>
        <sz val="11"/>
        <color rgb="FF0F1111"/>
        <rFont val="Arial"/>
        <family val="2"/>
        <scheme val="minor"/>
      </rPr>
      <t>B0B6RXXYSL</t>
    </r>
  </si>
  <si>
    <r>
      <rPr>
        <sz val="11"/>
        <color rgb="FF0F1111"/>
        <rFont val="Arial"/>
        <family val="2"/>
        <scheme val="minor"/>
      </rPr>
      <t>B0BSVRRTKG</t>
    </r>
  </si>
  <si>
    <t>Frederick II - Classic English Narrowboat</t>
  </si>
  <si>
    <r>
      <rPr>
        <sz val="11"/>
        <color rgb="FF0F1111"/>
        <rFont val="Arial"/>
        <family val="2"/>
        <scheme val="minor"/>
      </rPr>
      <t>B099BYQWBD</t>
    </r>
  </si>
  <si>
    <r>
      <rPr>
        <sz val="11"/>
        <color rgb="FF0F1111"/>
        <rFont val="Arial"/>
        <family val="2"/>
        <scheme val="minor"/>
      </rPr>
      <t>B09B6PXX9R</t>
    </r>
  </si>
  <si>
    <t>2024 Five Month Blog</t>
  </si>
  <si>
    <r>
      <rPr>
        <sz val="11"/>
        <color rgb="FF0F1111"/>
        <rFont val="Arial"/>
        <family val="2"/>
        <scheme val="minor"/>
      </rPr>
      <t>B0DDJNK72R</t>
    </r>
  </si>
  <si>
    <r>
      <rPr>
        <sz val="11"/>
        <color rgb="FF0F1111"/>
        <rFont val="Arial"/>
        <family val="2"/>
        <scheme val="minor"/>
      </rPr>
      <t>B0DDJ1WZJ2</t>
    </r>
  </si>
  <si>
    <r>
      <rPr>
        <sz val="10"/>
        <color rgb="FF565959"/>
        <rFont val="Arial"/>
        <family val="2"/>
        <scheme val="minor"/>
      </rPr>
      <t>B0DDJNK72R</t>
    </r>
  </si>
  <si>
    <r>
      <rPr>
        <sz val="10"/>
        <color rgb="FF565959"/>
        <rFont val="Arial"/>
        <family val="2"/>
        <scheme val="minor"/>
      </rPr>
      <t>B0DDJ1WZJ2</t>
    </r>
  </si>
  <si>
    <r>
      <rPr>
        <sz val="10"/>
        <color rgb="FF565959"/>
        <rFont val="Arial"/>
        <family val="2"/>
        <scheme val="minor"/>
      </rPr>
      <t>B0DH8BJZ5K</t>
    </r>
  </si>
  <si>
    <t>9/24 color</t>
  </si>
  <si>
    <t>build your own garage</t>
  </si>
  <si>
    <t>eBook</t>
  </si>
  <si>
    <t>Draft 2 Digital Sales</t>
  </si>
  <si>
    <t>ISBN</t>
  </si>
  <si>
    <t>x</t>
  </si>
  <si>
    <t>submitted</t>
  </si>
  <si>
    <t>Ingraham Spark Sales</t>
  </si>
  <si>
    <t>32 Titles</t>
  </si>
  <si>
    <r>
      <rPr>
        <strike/>
        <sz val="10"/>
        <color theme="1"/>
        <rFont val="Arial"/>
        <family val="2"/>
      </rPr>
      <t>2</t>
    </r>
    <r>
      <rPr>
        <sz val="10"/>
        <color theme="1"/>
        <rFont val="Arial"/>
        <family val="2"/>
      </rPr>
      <t xml:space="preserve"> 1 dresses</t>
    </r>
  </si>
  <si>
    <t>Bench</t>
  </si>
  <si>
    <t>cardboard</t>
  </si>
  <si>
    <t>extra</t>
  </si>
  <si>
    <t>D   e   b   t   [credit cards, unpaid taxes, medical, auto, college, consumer, etc]</t>
  </si>
  <si>
    <t>A   S   S   E   T   S      [cash, savings, investments, Real Estate]</t>
  </si>
  <si>
    <t>-35,000 or more</t>
  </si>
  <si>
    <t>zero</t>
  </si>
  <si>
    <t>1 mil+</t>
  </si>
  <si>
    <t>POOR</t>
  </si>
  <si>
    <t>RICH</t>
  </si>
  <si>
    <t>Pts Wherehouse</t>
  </si>
  <si>
    <t>Name</t>
  </si>
  <si>
    <t>DOB</t>
  </si>
  <si>
    <t>US Cruise</t>
  </si>
  <si>
    <t>UK Cruise</t>
  </si>
  <si>
    <t>Grand Kids</t>
  </si>
  <si>
    <t>Great Grand</t>
  </si>
  <si>
    <t>nephew /neice</t>
  </si>
  <si>
    <t>Great Nephew</t>
  </si>
  <si>
    <t>26 Jellystone</t>
  </si>
  <si>
    <t>1/7th of 50%</t>
  </si>
  <si>
    <t>1/26th of 40%</t>
  </si>
  <si>
    <t>10% to charity</t>
  </si>
  <si>
    <t>Jonathan Lloyd</t>
  </si>
  <si>
    <t>19166 Ravenhill Rd, Hidden Valley Lake, CA 95467</t>
  </si>
  <si>
    <r>
      <rPr>
        <b/>
        <sz val="12"/>
        <color theme="1"/>
        <rFont val="Arial"/>
        <family val="2"/>
      </rPr>
      <t>Garret</t>
    </r>
    <r>
      <rPr>
        <sz val="12"/>
        <color theme="1"/>
        <rFont val="Arial"/>
        <family val="2"/>
      </rPr>
      <t xml:space="preserve"> Eastes</t>
    </r>
  </si>
  <si>
    <t>riviera grade sc</t>
  </si>
  <si>
    <t>Gina Davis</t>
  </si>
  <si>
    <t>Vincent Davis</t>
  </si>
  <si>
    <t>8050 Hyw 175, kel 95453</t>
  </si>
  <si>
    <t>Caroline Lloyd</t>
  </si>
  <si>
    <t>Lien Lloyd</t>
  </si>
  <si>
    <t>Trica Ramsey</t>
  </si>
  <si>
    <t>Glen Ramsey</t>
  </si>
  <si>
    <t>Lindsay Ramsey</t>
  </si>
  <si>
    <t>Oliver Ramsey</t>
  </si>
  <si>
    <t>Max Ramsey</t>
  </si>
  <si>
    <t>Hannah Jefferson</t>
  </si>
  <si>
    <t>Rob Jefferson</t>
  </si>
  <si>
    <t>Dylan Jefferson</t>
  </si>
  <si>
    <t>Kristen Austin</t>
  </si>
  <si>
    <t>Matt Austin</t>
  </si>
  <si>
    <t>Jack</t>
  </si>
  <si>
    <t>Maisie</t>
  </si>
  <si>
    <t>Esme</t>
  </si>
  <si>
    <t>Harry</t>
  </si>
  <si>
    <t>Eddy</t>
  </si>
  <si>
    <t>Pauline Potts</t>
  </si>
  <si>
    <t>Steve Potts</t>
  </si>
  <si>
    <t>Paul Swift</t>
  </si>
  <si>
    <t>Emma Swift</t>
  </si>
  <si>
    <t>Jack Swift</t>
  </si>
  <si>
    <t>Arlo Swift</t>
  </si>
  <si>
    <t>Brenda Lloyd date?</t>
  </si>
  <si>
    <t>Patty Davies</t>
  </si>
  <si>
    <t>Jeff Divies</t>
  </si>
  <si>
    <t>Katie Peterson</t>
  </si>
  <si>
    <t>1021 SW 117th St</t>
  </si>
  <si>
    <t>Kevin Peterson</t>
  </si>
  <si>
    <t>Burien WA 98146</t>
  </si>
  <si>
    <t>Morgan Peterson</t>
  </si>
  <si>
    <t>Hazel Peterson</t>
  </si>
  <si>
    <t>Marina Rushing</t>
  </si>
  <si>
    <t>Marina Rushing 12/20</t>
  </si>
  <si>
    <t>Kyle Rushing</t>
  </si>
  <si>
    <t>3607 35th Ave SW</t>
  </si>
  <si>
    <t>Maddie Rushing</t>
  </si>
  <si>
    <t>Seattle WA 98126</t>
  </si>
  <si>
    <t>Noah Rushing</t>
  </si>
  <si>
    <t>?</t>
  </si>
  <si>
    <t>Logan Rushing</t>
  </si>
  <si>
    <t>Levi Rushing</t>
  </si>
  <si>
    <t>Laura Moes</t>
  </si>
  <si>
    <t>Doug Pittman</t>
  </si>
  <si>
    <t>Shawn Moes</t>
  </si>
  <si>
    <t>Megan Hamre</t>
  </si>
  <si>
    <t>17616 26th Dr SE</t>
  </si>
  <si>
    <t>Chris Hamre</t>
  </si>
  <si>
    <t>Bothell WA 98012</t>
  </si>
  <si>
    <t>Coulson Lee Hamre</t>
  </si>
  <si>
    <t>5lb, 12 oz</t>
  </si>
  <si>
    <t>Daliah? Hammre</t>
  </si>
  <si>
    <t>Laurel Sherry</t>
  </si>
  <si>
    <t>Mark Sherry</t>
  </si>
  <si>
    <t>Krystina Heiser</t>
  </si>
  <si>
    <t>Michael Heiser</t>
  </si>
  <si>
    <t>Logan Heiser</t>
  </si>
  <si>
    <t>Aaron Sherry</t>
  </si>
  <si>
    <t xml:space="preserve">1326 Trimborne, </t>
  </si>
  <si>
    <t>Brooke Mittag</t>
  </si>
  <si>
    <t xml:space="preserve">April 5, </t>
  </si>
  <si>
    <t>New Holstien WI</t>
  </si>
  <si>
    <t>Michelle Middleton</t>
  </si>
  <si>
    <t>Totals</t>
  </si>
  <si>
    <t>Michael Aaron</t>
  </si>
  <si>
    <t>Claire Aaron</t>
  </si>
  <si>
    <t>You may be able to keep your inheritance and still retain eligibility for SSI even if the amount of the inheritance would otherwise put you over the statutory limit of $2,000 for individuals by setting up a special needs trust.</t>
  </si>
  <si>
    <t>9/28</t>
  </si>
  <si>
    <t>9/23</t>
  </si>
  <si>
    <t>Maisie Austin</t>
  </si>
  <si>
    <t>8/31</t>
  </si>
  <si>
    <t>Krystina Sherry</t>
  </si>
  <si>
    <t>8/11</t>
  </si>
  <si>
    <t>8/1</t>
  </si>
  <si>
    <r>
      <rPr>
        <b/>
        <sz val="12"/>
        <color theme="1"/>
        <rFont val="Arial"/>
        <family val="2"/>
      </rPr>
      <t>Garret</t>
    </r>
    <r>
      <rPr>
        <b/>
        <sz val="12"/>
        <color theme="1"/>
        <rFont val="Arial"/>
        <family val="2"/>
      </rPr>
      <t xml:space="preserve"> Eastes</t>
    </r>
  </si>
  <si>
    <t>7/30</t>
  </si>
  <si>
    <t>7/17</t>
  </si>
  <si>
    <t>7/11</t>
  </si>
  <si>
    <t>6/20</t>
  </si>
  <si>
    <t>6/2</t>
  </si>
  <si>
    <t>6/19</t>
  </si>
  <si>
    <t>6/11</t>
  </si>
  <si>
    <t>5/7</t>
  </si>
  <si>
    <t>5/31</t>
  </si>
  <si>
    <t>5/30</t>
  </si>
  <si>
    <t>4/7</t>
  </si>
  <si>
    <t>4/5</t>
  </si>
  <si>
    <t>4/29</t>
  </si>
  <si>
    <t>4/17</t>
  </si>
  <si>
    <t>4/11</t>
  </si>
  <si>
    <t>3/31</t>
  </si>
  <si>
    <t>3/15</t>
  </si>
  <si>
    <t>3/14</t>
  </si>
  <si>
    <t>3/1</t>
  </si>
  <si>
    <t>2/5</t>
  </si>
  <si>
    <t>2/23</t>
  </si>
  <si>
    <t>2/19</t>
  </si>
  <si>
    <t>2/1</t>
  </si>
  <si>
    <t>12/8</t>
  </si>
  <si>
    <t>12/7</t>
  </si>
  <si>
    <t>12/31</t>
  </si>
  <si>
    <t>12/3</t>
  </si>
  <si>
    <t>12/20</t>
  </si>
  <si>
    <t>12/12</t>
  </si>
  <si>
    <t>12/1</t>
  </si>
  <si>
    <t>11/9</t>
  </si>
  <si>
    <t>11/27</t>
  </si>
  <si>
    <t>11/14</t>
  </si>
  <si>
    <t>10/28</t>
  </si>
  <si>
    <t>10/24</t>
  </si>
  <si>
    <t>10/22</t>
  </si>
  <si>
    <t>10/21</t>
  </si>
  <si>
    <t>Jack Austin</t>
  </si>
  <si>
    <t>10/18</t>
  </si>
  <si>
    <t>10/13</t>
  </si>
  <si>
    <t>Hazel peterson</t>
  </si>
  <si>
    <t>10/12</t>
  </si>
  <si>
    <t>10/11</t>
  </si>
  <si>
    <t>1/31</t>
  </si>
  <si>
    <t>1/27</t>
  </si>
  <si>
    <t>Esme Austin</t>
  </si>
  <si>
    <t>1/26</t>
  </si>
  <si>
    <t>Harry Austin</t>
  </si>
  <si>
    <t>Eddy Austin</t>
  </si>
  <si>
    <t>1/10</t>
  </si>
  <si>
    <t>Ario</t>
  </si>
  <si>
    <t>Max</t>
  </si>
  <si>
    <t>Levi</t>
  </si>
  <si>
    <t>Oliver</t>
  </si>
  <si>
    <t>Dylan</t>
  </si>
  <si>
    <t>Logan</t>
  </si>
  <si>
    <t>Morgan</t>
  </si>
  <si>
    <t>Claire</t>
  </si>
  <si>
    <t>Maddie</t>
  </si>
  <si>
    <t>Noah</t>
  </si>
  <si>
    <t>Hazel</t>
  </si>
  <si>
    <t>User name</t>
  </si>
  <si>
    <t>Password/Pin</t>
  </si>
  <si>
    <t>Apple ID Rod 11/2021</t>
  </si>
  <si>
    <t>rlloyd@clear-lake.com</t>
  </si>
  <si>
    <t>!!11QQqq2816  12/23</t>
  </si>
  <si>
    <t>Rodney, Lydiate  281628</t>
  </si>
  <si>
    <r>
      <rPr>
        <sz val="10"/>
        <color rgb="FF000000"/>
        <rFont val="Arial"/>
        <family val="2"/>
        <scheme val="minor"/>
      </rPr>
      <t xml:space="preserve">Apple Password </t>
    </r>
    <r>
      <rPr>
        <sz val="10"/>
        <color rgb="FF000000"/>
        <rFont val="Arial"/>
        <family val="2"/>
        <scheme val="minor"/>
      </rPr>
      <t>Rod</t>
    </r>
  </si>
  <si>
    <t>drodlloyd@gmail.com</t>
  </si>
  <si>
    <t>!!11QQqq2816  4/23</t>
  </si>
  <si>
    <t>robert, rodney, lydiate</t>
  </si>
  <si>
    <t>Apple ID correct 6/14/20</t>
  </si>
  <si>
    <t>drodlloyd@me.com</t>
  </si>
  <si>
    <t>ID=drodlloyd@me.com</t>
  </si>
  <si>
    <t>Apple Pay</t>
  </si>
  <si>
    <t>Apple ID Rod    9829 88265</t>
  </si>
  <si>
    <t>passcode    2816Rodney2816</t>
  </si>
  <si>
    <t>Apple ID iphone 6sPlus England</t>
  </si>
  <si>
    <t>!!11QQqq</t>
  </si>
  <si>
    <t>robert, mgbgt, zetland</t>
  </si>
  <si>
    <r>
      <rPr>
        <sz val="10"/>
        <color theme="1"/>
        <rFont val="Arial"/>
        <family val="2"/>
      </rPr>
      <t xml:space="preserve">Itunes Apple ID    </t>
    </r>
    <r>
      <rPr>
        <b/>
        <sz val="10"/>
        <color theme="1"/>
        <rFont val="Arial"/>
        <family val="2"/>
      </rPr>
      <t>Merry</t>
    </r>
  </si>
  <si>
    <t>11Lansdowne</t>
  </si>
  <si>
    <t>iClould Rod</t>
  </si>
  <si>
    <t>Microsoft Office 365</t>
  </si>
  <si>
    <t>2816rodney2816 [5/10/2023]</t>
  </si>
  <si>
    <t>office 2013 Home&amp;Student product key</t>
  </si>
  <si>
    <t>JX9W8-9N8XG-7XCPP-7F84P-D67D4</t>
  </si>
  <si>
    <t>merry laptop microsoft and Word, inc startup</t>
  </si>
  <si>
    <t>merrylloyd@gmail.com</t>
  </si>
  <si>
    <t>aaron126aaron126 ???</t>
  </si>
  <si>
    <t>pin 2816</t>
  </si>
  <si>
    <t>Microsoft Office 2010 Rod Desk and laptop</t>
  </si>
  <si>
    <t>Proffessional Plus</t>
  </si>
  <si>
    <t>33R3V-YM6CR-MBVQK-426YV-7HMBV</t>
  </si>
  <si>
    <t>http://softicle.com/office-professional-plus-2010/</t>
  </si>
  <si>
    <t>Microsoft Account  Rod</t>
  </si>
  <si>
    <t>rodney!!11QQqq   8/27/23</t>
  </si>
  <si>
    <t>also for OneNote SkyDrive OneDrive</t>
  </si>
  <si>
    <r>
      <rPr>
        <sz val="10"/>
        <color theme="1"/>
        <rFont val="Arial"/>
        <family val="2"/>
      </rPr>
      <t>Google account</t>
    </r>
    <r>
      <rPr>
        <sz val="10"/>
        <color theme="1"/>
        <rFont val="Arial"/>
        <family val="2"/>
      </rPr>
      <t xml:space="preserve"> </t>
    </r>
    <r>
      <rPr>
        <sz val="10"/>
        <color theme="1"/>
        <rFont val="Arial"/>
        <family val="2"/>
      </rPr>
      <t xml:space="preserve">Rod </t>
    </r>
    <r>
      <rPr>
        <sz val="10"/>
        <color theme="1"/>
        <rFont val="Arial"/>
        <family val="2"/>
      </rPr>
      <t xml:space="preserve">    rlloyd@clear-lake.com</t>
    </r>
  </si>
  <si>
    <t>rodney28162816</t>
  </si>
  <si>
    <r>
      <rPr>
        <sz val="9"/>
        <color rgb="FF666666"/>
        <rFont val="Arial"/>
        <family val="2"/>
        <scheme val="minor"/>
      </rPr>
      <t xml:space="preserve">4/3/23   </t>
    </r>
    <r>
      <rPr>
        <b/>
        <sz val="9"/>
        <color rgb="FF666666"/>
        <rFont val="Arial"/>
        <family val="2"/>
        <scheme val="minor"/>
      </rPr>
      <t>NOT THE PRIMARY ACCOUNT</t>
    </r>
  </si>
  <si>
    <t>Google account Merry  [chromebook]</t>
  </si>
  <si>
    <t>Aaron126!!    11-2023</t>
  </si>
  <si>
    <t>Merrylloyd@gmail.com   pin 281628</t>
  </si>
  <si>
    <r>
      <rPr>
        <b/>
        <sz val="10"/>
        <color theme="1"/>
        <rFont val="Arial"/>
        <family val="2"/>
      </rPr>
      <t xml:space="preserve">Google account </t>
    </r>
    <r>
      <rPr>
        <b/>
        <sz val="10"/>
        <color theme="1"/>
        <rFont val="Arial"/>
        <family val="2"/>
      </rPr>
      <t xml:space="preserve">Rod </t>
    </r>
    <r>
      <rPr>
        <b/>
        <sz val="10"/>
        <color theme="1"/>
        <rFont val="Arial"/>
        <family val="2"/>
      </rPr>
      <t xml:space="preserve">    drodlloyd@gmail.com</t>
    </r>
  </si>
  <si>
    <t>Merry Gmail</t>
  </si>
  <si>
    <t>Aaron126!</t>
  </si>
  <si>
    <t>Mail.Google.com   [gmail]</t>
  </si>
  <si>
    <t>!!11QQqq  ?</t>
  </si>
  <si>
    <t>‪(913) 585-0426‬</t>
  </si>
  <si>
    <t>Google Merchant Center</t>
  </si>
  <si>
    <t>Google Adwords</t>
  </si>
  <si>
    <t>548-975-3194</t>
  </si>
  <si>
    <t>Rodney2816Rodney</t>
  </si>
  <si>
    <t>Google Voice LongviewLaundry@gmail.com  360 818 4084</t>
  </si>
  <si>
    <t>360 818 4084</t>
  </si>
  <si>
    <t>Google Voice Symphony</t>
  </si>
  <si>
    <t>(360) 783-6165</t>
  </si>
  <si>
    <t>talk to David agreed to abandon using this number 1/6/19</t>
  </si>
  <si>
    <t>Google Voice Mail - 503 395 8151</t>
  </si>
  <si>
    <t>Google Voice phone ‪(913) 585-0426‬</t>
  </si>
  <si>
    <t>voice.google.com</t>
  </si>
  <si>
    <t>Google Apps</t>
  </si>
  <si>
    <t>Webmaster</t>
  </si>
  <si>
    <t>FTP URL: ftp://97048.info</t>
  </si>
  <si>
    <t>Order Number RN119042851</t>
  </si>
  <si>
    <t>Tesla Moto Club</t>
  </si>
  <si>
    <t>rodlloyd</t>
  </si>
  <si>
    <t>!!11QQqqqq</t>
  </si>
  <si>
    <t>Yahoo.com</t>
  </si>
  <si>
    <r>
      <rPr>
        <sz val="11"/>
        <color rgb="FF1D2228"/>
        <rFont val="&quot;Yahoo Sans CR4&quot;, Arial"/>
      </rPr>
      <t>rodlloyd@myyahoo.com</t>
    </r>
  </si>
  <si>
    <t>Financial-Coach-Kansas.com</t>
  </si>
  <si>
    <t>Account ID 66d9057ce1b688690b65e5de</t>
  </si>
  <si>
    <t>https://account.squarespace.com/domains</t>
  </si>
  <si>
    <r>
      <t xml:space="preserve">MEDS        </t>
    </r>
    <r>
      <rPr>
        <u/>
        <sz val="10"/>
        <color rgb="FF1155CC"/>
        <rFont val="Arial"/>
        <family val="2"/>
      </rPr>
      <t>www.express-scripts.com</t>
    </r>
  </si>
  <si>
    <t>Sterling Medical Center, Rice County Portal</t>
  </si>
  <si>
    <t>DouglasLloyd1954</t>
  </si>
  <si>
    <t>Rodney2816!</t>
  </si>
  <si>
    <t>ChatGPT app</t>
  </si>
  <si>
    <t>rodney!!11QQqq</t>
  </si>
  <si>
    <t>Elips Life Insurance Co - Suppliment</t>
  </si>
  <si>
    <t>Rodney</t>
  </si>
  <si>
    <t>2015405466    https://service.iasadmin.com/</t>
  </si>
  <si>
    <t>Capital one shopping</t>
  </si>
  <si>
    <t>Facebook Rod</t>
  </si>
  <si>
    <t>!!11QQqqq  Sep 2024</t>
  </si>
  <si>
    <t>5/2020= Rodney2816Rodney</t>
  </si>
  <si>
    <t xml:space="preserve">Facebook </t>
  </si>
  <si>
    <t>Facebook Merry</t>
  </si>
  <si>
    <t>aaron [2024]</t>
  </si>
  <si>
    <t>changed 6/2020</t>
  </si>
  <si>
    <t>Rodney!!11QQqq</t>
  </si>
  <si>
    <t>Youtube merry</t>
  </si>
  <si>
    <t>merrylloyd</t>
  </si>
  <si>
    <t>aaron126</t>
  </si>
  <si>
    <t>password same as google</t>
  </si>
  <si>
    <t>Youtube  Rod</t>
  </si>
  <si>
    <t>1111qqqq</t>
  </si>
  <si>
    <t>IngramSpark.com</t>
  </si>
  <si>
    <t>!!11QQqq!!11    2024</t>
  </si>
  <si>
    <t>Acc #9339784, Lansdowne</t>
  </si>
  <si>
    <t>Ernets</t>
  </si>
  <si>
    <t>American Airlines   Rod</t>
  </si>
  <si>
    <t>Advantage # 4AX31X2</t>
  </si>
  <si>
    <t>USA, Southport, Los Angeles</t>
  </si>
  <si>
    <t>American Airlines    Merry</t>
  </si>
  <si>
    <t>Advantage # R9KP529</t>
  </si>
  <si>
    <t>Alaska Airlines Rod    308093796</t>
  </si>
  <si>
    <t>Drodlloyd</t>
  </si>
  <si>
    <t>Alaska Airlines Merry    308094021</t>
  </si>
  <si>
    <r>
      <rPr>
        <sz val="10"/>
        <color rgb="FF000000"/>
        <rFont val="Arial"/>
        <family val="2"/>
        <scheme val="minor"/>
      </rPr>
      <t xml:space="preserve">United Airlines MileagePlus Number: </t>
    </r>
    <r>
      <rPr>
        <b/>
        <sz val="10"/>
        <color rgb="FF000000"/>
        <rFont val="Arial"/>
        <family val="2"/>
        <scheme val="minor"/>
      </rPr>
      <t>YU806893</t>
    </r>
  </si>
  <si>
    <t>MileagePlus Number: YU806893</t>
  </si>
  <si>
    <t>History soccer classical, vanilla, science</t>
  </si>
  <si>
    <r>
      <rPr>
        <sz val="10"/>
        <color rgb="FF000000"/>
        <rFont val="Arial"/>
        <family val="2"/>
        <scheme val="minor"/>
      </rPr>
      <t xml:space="preserve">United Airlines Merry "Milage Plus United" </t>
    </r>
    <r>
      <rPr>
        <b/>
        <sz val="10"/>
        <color rgb="FF000000"/>
        <rFont val="Arial"/>
        <family val="2"/>
        <scheme val="minor"/>
      </rPr>
      <t>RL038389</t>
    </r>
  </si>
  <si>
    <t>RL038389</t>
  </si>
  <si>
    <t>classical, chocolate, Harp, Ice Skating, Music</t>
  </si>
  <si>
    <t>Slacker Radio</t>
  </si>
  <si>
    <t>CenterWell   Merry centerwellpharmacy.com</t>
  </si>
  <si>
    <t>AAron126@</t>
  </si>
  <si>
    <t>Instagram</t>
  </si>
  <si>
    <t>d_rod_lloyd</t>
  </si>
  <si>
    <t>Dashlane.com</t>
  </si>
  <si>
    <t>Matt Par YouTube Monitization   11/26/22</t>
  </si>
  <si>
    <t>{nK7=)_N}q -  !!11QQqq</t>
  </si>
  <si>
    <t>60-day risk free trial ends Jan 25, 2023</t>
  </si>
  <si>
    <t>https://members.mattpar.com/</t>
  </si>
  <si>
    <t>MTC fiber internet  www.mtc4me.com</t>
  </si>
  <si>
    <t>Service account: 0000003758</t>
  </si>
  <si>
    <t>Alexa, [eco puck] cortana [PC], Siri [apple]</t>
  </si>
  <si>
    <t>Imore Marketplace Forum</t>
  </si>
  <si>
    <t>Hack Forums</t>
  </si>
  <si>
    <t>!!11QQqq!!11QQqq</t>
  </si>
  <si>
    <t>AAA</t>
  </si>
  <si>
    <t>TIX</t>
  </si>
  <si>
    <t>Paramount+</t>
  </si>
  <si>
    <t>canceled 11/2/22</t>
  </si>
  <si>
    <t>NowTV   United Live  https://www.nowtv.com</t>
  </si>
  <si>
    <t>canceled 11/3/22</t>
  </si>
  <si>
    <t>NowTV renews 21st £25</t>
  </si>
  <si>
    <t>Premier league sky sports</t>
  </si>
  <si>
    <t>CBS ALL access</t>
  </si>
  <si>
    <t>Peacock sports</t>
  </si>
  <si>
    <t>rodney2816</t>
  </si>
  <si>
    <t>ESPN +</t>
  </si>
  <si>
    <t>LG</t>
  </si>
  <si>
    <t>does not work on TV but did TV registered</t>
  </si>
  <si>
    <t>works on TV</t>
  </si>
  <si>
    <t>Enterprize car rental</t>
  </si>
  <si>
    <t>79P9CCN</t>
  </si>
  <si>
    <t>Ida</t>
  </si>
  <si>
    <t>Quora</t>
  </si>
  <si>
    <t>DRodneyLloyd</t>
  </si>
  <si>
    <t>NoFearBridge.com</t>
  </si>
  <si>
    <t>2 weeks free from 6/28</t>
  </si>
  <si>
    <t>Better Investing . org</t>
  </si>
  <si>
    <t>Amtrack  Member Number: 9010452994</t>
  </si>
  <si>
    <t>rod lloyd  rlloyd@clear-lake.com</t>
  </si>
  <si>
    <t>!!!111QQQqqq</t>
  </si>
  <si>
    <t>ExpressVPN</t>
  </si>
  <si>
    <t>EH9XBG4NDTHPP8E7RNFDTT2</t>
  </si>
  <si>
    <t>Tinkercad</t>
  </si>
  <si>
    <t>rlloydl2kyb</t>
  </si>
  <si>
    <t>Humana Merry Advantage plan</t>
  </si>
  <si>
    <t>Aaron126</t>
  </si>
  <si>
    <t>nickname  micki</t>
  </si>
  <si>
    <t>Smart Life [auto lights] iPhone App</t>
  </si>
  <si>
    <t>Eurofins LabPort</t>
  </si>
  <si>
    <t>https://mia.eurofins-mylabport.com/</t>
  </si>
  <si>
    <t>Oceania Cruises</t>
  </si>
  <si>
    <r>
      <rPr>
        <u/>
        <sz val="10"/>
        <color rgb="FF1155CC"/>
        <rFont val="Arial"/>
        <family val="2"/>
      </rPr>
      <t>WordPress.com</t>
    </r>
    <r>
      <rPr>
        <u/>
        <sz val="10"/>
        <color rgb="FF000000"/>
        <rFont val="Arial"/>
        <family val="2"/>
      </rPr>
      <t xml:space="preserve">   Rod</t>
    </r>
  </si>
  <si>
    <t>!!11QQqq  [2021]</t>
  </si>
  <si>
    <t>rodlloyd123</t>
  </si>
  <si>
    <r>
      <rPr>
        <u/>
        <sz val="10"/>
        <color rgb="FF1155CC"/>
        <rFont val="Arial"/>
        <family val="2"/>
      </rPr>
      <t>WordPress.com</t>
    </r>
    <r>
      <rPr>
        <u/>
        <sz val="10"/>
        <color rgb="FF000000"/>
        <rFont val="Arial"/>
        <family val="2"/>
      </rPr>
      <t xml:space="preserve">   Merry</t>
    </r>
  </si>
  <si>
    <t>Travelers Insurance Auto and House</t>
  </si>
  <si>
    <t>!1Qq!1Qq</t>
  </si>
  <si>
    <t>https://wordpress.com/page/rodmerrytravels.wordpress.com/7</t>
  </si>
  <si>
    <t>NETXinvestor   37B008417   37C</t>
  </si>
  <si>
    <t>RODLLOYD  rod@clear-lake.com</t>
  </si>
  <si>
    <t>2816!!11QQqq</t>
  </si>
  <si>
    <t>www.netxinvestor.com</t>
  </si>
  <si>
    <t>Kristy Berger, Caitlan Sweet</t>
  </si>
  <si>
    <t>Boots Covid Testing</t>
  </si>
  <si>
    <t>!!11QQqq2816</t>
  </si>
  <si>
    <t>Invester Business Daily Swing Trader</t>
  </si>
  <si>
    <t>Payment Date: 6/25/2021 4 weeks free</t>
  </si>
  <si>
    <t>Cruise Critic</t>
  </si>
  <si>
    <t>Rod &amp; Merry</t>
  </si>
  <si>
    <t>Rod Laptop Hotspot</t>
  </si>
  <si>
    <t>DESKTOP-DRL</t>
  </si>
  <si>
    <t>https://ikan.ks.gov/</t>
  </si>
  <si>
    <t>DMV license KS</t>
  </si>
  <si>
    <t>GJW Direct - Freddy insurance</t>
  </si>
  <si>
    <t>stevefpotts@gmail.com   NewEndeavour2</t>
  </si>
  <si>
    <t>Linked in</t>
  </si>
  <si>
    <t>iPhone Photograhy Club</t>
  </si>
  <si>
    <t>https://www.iphonephotographyclub.com/login</t>
  </si>
  <si>
    <t>AbobeScan</t>
  </si>
  <si>
    <t>!!11QQqqq</t>
  </si>
  <si>
    <t>three q</t>
  </si>
  <si>
    <t>Rodlloyd</t>
  </si>
  <si>
    <t>Pandora</t>
  </si>
  <si>
    <t>vimeo</t>
  </si>
  <si>
    <r>
      <rPr>
        <u/>
        <sz val="10"/>
        <color rgb="FF1155CC"/>
        <rFont val="Arial"/>
        <family val="2"/>
      </rPr>
      <t xml:space="preserve">Project303  </t>
    </r>
    <r>
      <rPr>
        <u/>
        <sz val="10"/>
        <color rgb="FF1155CC"/>
        <rFont val="Arial"/>
        <family val="2"/>
      </rPr>
      <t>1450club.com</t>
    </r>
  </si>
  <si>
    <r>
      <rPr>
        <strike/>
        <sz val="12"/>
        <color rgb="FF1155CC"/>
        <rFont val="Arial"/>
        <family val="2"/>
      </rPr>
      <t>rodlloyd</t>
    </r>
    <r>
      <rPr>
        <sz val="12"/>
        <color rgb="FF1155CC"/>
        <rFont val="Arial"/>
        <family val="2"/>
      </rPr>
      <t xml:space="preserve">  rlloyd@clear-lake.com</t>
    </r>
  </si>
  <si>
    <t>Hutchinson Hospital Pacient Portal</t>
  </si>
  <si>
    <t>School friend  Robert</t>
  </si>
  <si>
    <t>https://myhealthhutch.iqhealth.com</t>
  </si>
  <si>
    <t>cybervision.com   NAWCC31 domain</t>
  </si>
  <si>
    <r>
      <t xml:space="preserve">renewal through   </t>
    </r>
    <r>
      <rPr>
        <u/>
        <sz val="10"/>
        <color rgb="FF1155CC"/>
        <rFont val="Arial"/>
        <family val="2"/>
      </rPr>
      <t>aaces.com</t>
    </r>
  </si>
  <si>
    <t>Thrivent 142243525 medicare suppliment</t>
  </si>
  <si>
    <t>username is: rodlloyd</t>
  </si>
  <si>
    <t>&amp;&amp;77QQqq</t>
  </si>
  <si>
    <t>Sleep Cycle Use Apple password</t>
  </si>
  <si>
    <t>Wheel of Fortune</t>
  </si>
  <si>
    <t>unknown</t>
  </si>
  <si>
    <t>ML8882605</t>
  </si>
  <si>
    <t>Merrylloyd@gmail.com</t>
  </si>
  <si>
    <t>Macys  [merry]</t>
  </si>
  <si>
    <t>Toyota app</t>
  </si>
  <si>
    <t>NBC.com</t>
  </si>
  <si>
    <t>Drodlloyd@gmail.com</t>
  </si>
  <si>
    <t>https://stockaholics.net/</t>
  </si>
  <si>
    <t>dividendswingtrade.com</t>
  </si>
  <si>
    <t>Invoice #D6D4689909 on November 29, 2020</t>
  </si>
  <si>
    <t>Profile ID: I-KESTCAUAK3S6</t>
  </si>
  <si>
    <t>MarketBeat</t>
  </si>
  <si>
    <t>Dividend Detective</t>
  </si>
  <si>
    <t>Kandrive.org</t>
  </si>
  <si>
    <t>Dropbox</t>
  </si>
  <si>
    <t>Freelance [Translations]</t>
  </si>
  <si>
    <t>YoutubeTV and sports plus</t>
  </si>
  <si>
    <t>BBC iPlayer       https://www.bbc.co.uk/iplayer</t>
  </si>
  <si>
    <t>RLLOYD@CLEAR-LAKE.COM</t>
  </si>
  <si>
    <t>post code ST15 8LQ</t>
  </si>
  <si>
    <t>CodePen</t>
  </si>
  <si>
    <t>TD Ameritrade    Acc# 275-797-774</t>
  </si>
  <si>
    <t>drodlloyd</t>
  </si>
  <si>
    <t>Lowe, Southport, Sandy, Robert pin 2816</t>
  </si>
  <si>
    <t>Schwab account # 9202-9954</t>
  </si>
  <si>
    <t>TD Ameritrade    Acc# 238-422-979  Schwab</t>
  </si>
  <si>
    <t>Rodneylloyd</t>
  </si>
  <si>
    <t>Rodney!!11QQqq 10/23</t>
  </si>
  <si>
    <t>Meols Cop, Robert, Sandy, Hollywood</t>
  </si>
  <si>
    <t>VOXI Vodafone 2021 in the name Rod Lloyd</t>
  </si>
  <si>
    <t>RODLLOYD [all caps]</t>
  </si>
  <si>
    <t>!!!111QQQqqq 2021</t>
  </si>
  <si>
    <r>
      <rPr>
        <u/>
        <sz val="10"/>
        <color rgb="FF1155CC"/>
        <rFont val="Arial"/>
        <family val="2"/>
      </rPr>
      <t>https://www.voxi.co.uk/</t>
    </r>
    <r>
      <rPr>
        <u/>
        <sz val="10"/>
        <color rgb="FF000000"/>
        <rFont val="Arial"/>
        <family val="2"/>
      </rPr>
      <t xml:space="preserve">    2816</t>
    </r>
  </si>
  <si>
    <t>Password DRODLLOYD  changed to RODLLOYD 8/21</t>
  </si>
  <si>
    <t>trasnfer to the voxi team</t>
  </si>
  <si>
    <t>https://www.voxi.co.uk/</t>
  </si>
  <si>
    <t>Vodafone   07503-596997   2019</t>
  </si>
  <si>
    <t>Rodney2816</t>
  </si>
  <si>
    <t>pin 2816    trifle [dessert]</t>
  </si>
  <si>
    <t>change plan on 21st of month</t>
  </si>
  <si>
    <t>VOXI  Sept 2020</t>
  </si>
  <si>
    <t>RODLLOYD</t>
  </si>
  <si>
    <t>https://topup.vodafone.co.uk/topup</t>
  </si>
  <si>
    <t>https://help.voxi.co.uk/Roaming-and-International/Roaming/</t>
  </si>
  <si>
    <t>blueline taxis ormskirk</t>
  </si>
  <si>
    <t>Trimble [sketchup extensions]</t>
  </si>
  <si>
    <t>Join.Me.com</t>
  </si>
  <si>
    <t>rlloyd167</t>
  </si>
  <si>
    <t>Contact Tracing</t>
  </si>
  <si>
    <t>Home Router WIFI</t>
  </si>
  <si>
    <t>Lloyd 5GHz</t>
  </si>
  <si>
    <t>IP address Router</t>
  </si>
  <si>
    <t>50.115.145.143</t>
  </si>
  <si>
    <t>edge browser</t>
  </si>
  <si>
    <t>windows system</t>
  </si>
  <si>
    <t>PaintTalk</t>
  </si>
  <si>
    <t>!!11QQqq2020</t>
  </si>
  <si>
    <t>2020 standard</t>
  </si>
  <si>
    <t>Zoom</t>
  </si>
  <si>
    <t>Lloyd</t>
  </si>
  <si>
    <t>Longview Orthopedic Associates</t>
  </si>
  <si>
    <t>Grammerly Premium</t>
  </si>
  <si>
    <t>1111qqqq   [I think]</t>
  </si>
  <si>
    <t>Hutchinson Clinic FollowMyHealth</t>
  </si>
  <si>
    <t>https://www.hutchclinic.com/myhealthhc</t>
  </si>
  <si>
    <t>Flood Alarm  - Tuya Smart</t>
  </si>
  <si>
    <t>Angies List</t>
  </si>
  <si>
    <t>House of Hardware</t>
  </si>
  <si>
    <t>Steam</t>
  </si>
  <si>
    <t>https://www.mercari.com</t>
  </si>
  <si>
    <t>Contrarian Income Report</t>
  </si>
  <si>
    <t>Webull</t>
  </si>
  <si>
    <t>Robert, USA, LA      pass 281628</t>
  </si>
  <si>
    <t>Robinhood   RodL80827       990092157</t>
  </si>
  <si>
    <t xml:space="preserve">Robinhood   Merry  </t>
  </si>
  <si>
    <t>aaron126!!</t>
  </si>
  <si>
    <t>www.dividendinvestor.com</t>
  </si>
  <si>
    <t>f8dc1d10</t>
  </si>
  <si>
    <t>CVS wellcare   https://www.caremark.com/</t>
  </si>
  <si>
    <t>!!!!1111QQQQqqqq   7/2024</t>
  </si>
  <si>
    <t>Southport   meols cop   correct 12/2020</t>
  </si>
  <si>
    <t>Wellcare Rod</t>
  </si>
  <si>
    <t>Wellcare Merry</t>
  </si>
  <si>
    <t>Aaron126126!</t>
  </si>
  <si>
    <t>Smart Music</t>
  </si>
  <si>
    <t>smartmusic.zendesk.com</t>
  </si>
  <si>
    <t>https://us.astfinancial.com/   AST</t>
  </si>
  <si>
    <t>pin 2816: account 9000022098</t>
  </si>
  <si>
    <t>Marshall, sandy, mgbgt</t>
  </si>
  <si>
    <t>NetFlix</t>
  </si>
  <si>
    <t>free 30 day ends Dec 16. 2019</t>
  </si>
  <si>
    <t>National Insurance UK Government Gateway user ID</t>
  </si>
  <si>
    <t>62 39 01 87 35 10</t>
  </si>
  <si>
    <t>Nat Ins Number YW 67 93 32 A</t>
  </si>
  <si>
    <t>pass Rodney2816</t>
  </si>
  <si>
    <t>recovery word = ?  pin  281628</t>
  </si>
  <si>
    <t>Butcher Block</t>
  </si>
  <si>
    <t>aaron</t>
  </si>
  <si>
    <t>Instagram    rlloyd@clear-lake.com</t>
  </si>
  <si>
    <t>Rotary 5680 ClubRunner   https://rotary5680.org</t>
  </si>
  <si>
    <t>Rod.Lloyd.6208</t>
  </si>
  <si>
    <t>Rotary - My Rotary</t>
  </si>
  <si>
    <t>drodlloyd@clear-lake.com</t>
  </si>
  <si>
    <t>Club =Rotary Club of Sterling #1573</t>
  </si>
  <si>
    <t>https://live.bleacherreport.com</t>
  </si>
  <si>
    <t>live Europa games 9.99 per month start 10/3/19</t>
  </si>
  <si>
    <t>Patient Portal Rod  [healow]  App on iPhone</t>
  </si>
  <si>
    <t>1111qqqq    12/2020</t>
  </si>
  <si>
    <t>www.https //health.healow.com     Pass 281628</t>
  </si>
  <si>
    <t>Delta Skymiles   9236667094</t>
  </si>
  <si>
    <t>merryllloyd</t>
  </si>
  <si>
    <t>Delta Skymiles   9236666575</t>
  </si>
  <si>
    <t>Vanguard    88039946995</t>
  </si>
  <si>
    <t>Gov.uk   ID 62 39 01 87 35 10</t>
  </si>
  <si>
    <t>Recovery word "lansdowne"</t>
  </si>
  <si>
    <t>Smokstack    www.smokstak.com</t>
  </si>
  <si>
    <t>AT&amp;T   merry phone</t>
  </si>
  <si>
    <t>aaron126$</t>
  </si>
  <si>
    <t>medicare  Rod  https://www.medicare.gov</t>
  </si>
  <si>
    <t>R!!11QQqq</t>
  </si>
  <si>
    <t>3RJ7DY9CY74   birch</t>
  </si>
  <si>
    <r>
      <rPr>
        <u/>
        <sz val="10"/>
        <color rgb="FF1155CC"/>
        <rFont val="Arial"/>
        <family val="2"/>
        <scheme val="minor"/>
      </rPr>
      <t>CanalRiverTrust.org</t>
    </r>
    <r>
      <rPr>
        <sz val="10"/>
        <color rgb="FF000000"/>
        <rFont val="Arial"/>
        <family val="2"/>
        <scheme val="minor"/>
      </rPr>
      <t xml:space="preserve">   License</t>
    </r>
  </si>
  <si>
    <t>CanalRiverTrust.org</t>
  </si>
  <si>
    <t>1111qqqqaa</t>
  </si>
  <si>
    <t>Router forum</t>
  </si>
  <si>
    <t>57(iM:AdP-</t>
  </si>
  <si>
    <t>Air BnB</t>
  </si>
  <si>
    <t>Black Hills Energy Gas [3758063026]</t>
  </si>
  <si>
    <t>OneDrive</t>
  </si>
  <si>
    <t>rodney228162816</t>
  </si>
  <si>
    <t>pin?</t>
  </si>
  <si>
    <t>Netviewer 2.0 Laundry Camera's</t>
  </si>
  <si>
    <t>admin</t>
  </si>
  <si>
    <t>IP Address    209.180.172.59</t>
  </si>
  <si>
    <t>port 3000, bitrate sub stream</t>
  </si>
  <si>
    <t>NAWCC national</t>
  </si>
  <si>
    <t>member # 171880</t>
  </si>
  <si>
    <t>BlueCross Merry</t>
  </si>
  <si>
    <t>Stanley, Daly</t>
  </si>
  <si>
    <t>Sketchup program</t>
  </si>
  <si>
    <t>!!11qqQQ</t>
  </si>
  <si>
    <t>Sketchup Forum   https://forums.sketchup.com</t>
  </si>
  <si>
    <t>2816rodney</t>
  </si>
  <si>
    <t>American Family Services Insurance [Laundry]</t>
  </si>
  <si>
    <t>57/month laundry Insurance   nell, riverside</t>
  </si>
  <si>
    <t>Model Railroader Magazine</t>
  </si>
  <si>
    <t>PineconeResearch.com [survey company]</t>
  </si>
  <si>
    <t>Handbell world</t>
  </si>
  <si>
    <t>https://www.nbcsportsgold.com</t>
  </si>
  <si>
    <t>MUTV</t>
  </si>
  <si>
    <t>Brother Printer</t>
  </si>
  <si>
    <t>2816Rodney</t>
  </si>
  <si>
    <t>Amazon Merry account [kindle]</t>
  </si>
  <si>
    <t>aaronn</t>
  </si>
  <si>
    <t>Amazon Paul Swift</t>
  </si>
  <si>
    <t>ps!!11QQqq</t>
  </si>
  <si>
    <t>Rodney!!11QQqq  10/23</t>
  </si>
  <si>
    <t>PIN 2816</t>
  </si>
  <si>
    <t>HM Revenue &amp; Customs</t>
  </si>
  <si>
    <t>5385 3393 1415   user ID</t>
  </si>
  <si>
    <t>https://support.virped.org/forums/</t>
  </si>
  <si>
    <t>glen</t>
  </si>
  <si>
    <t>nawcc63.org</t>
  </si>
  <si>
    <t>nawcc63</t>
  </si>
  <si>
    <t>zc,qq.com   mail.qq.com</t>
  </si>
  <si>
    <t>2268686094@qq.com</t>
  </si>
  <si>
    <t>Nex-Tech Classified    https://www.nextechclassifieds.com</t>
  </si>
  <si>
    <t>Etsy Rod</t>
  </si>
  <si>
    <t>PackagingSuppliesByMail.com</t>
  </si>
  <si>
    <t>poly mailer</t>
  </si>
  <si>
    <t>Merry Dr Patient Portal [eClinicWorks]</t>
  </si>
  <si>
    <t>MerryLloyd1936</t>
  </si>
  <si>
    <t>Aaron126!   [correct 9/2023]</t>
  </si>
  <si>
    <t>1st phone=3077</t>
  </si>
  <si>
    <t>https://mycw87.ecwcloud.com/portal11594/jsp/100mp/login_otp.jsp</t>
  </si>
  <si>
    <r>
      <rPr>
        <sz val="10"/>
        <rFont val="Arial"/>
        <family val="2"/>
      </rPr>
      <t xml:space="preserve">Rod </t>
    </r>
    <r>
      <rPr>
        <u/>
        <sz val="10"/>
        <color rgb="FF1155CC"/>
        <rFont val="Arial"/>
        <family val="2"/>
      </rPr>
      <t>FollowMyHealth.com</t>
    </r>
    <r>
      <rPr>
        <sz val="10"/>
        <rFont val="Arial"/>
        <family val="2"/>
      </rPr>
      <t xml:space="preserve"> Dr Decker Sterling</t>
    </r>
  </si>
  <si>
    <t>Merry FollowMyHealth.com</t>
  </si>
  <si>
    <t>Your Vintage Wire &amp; Supply</t>
  </si>
  <si>
    <t>[3q's]</t>
  </si>
  <si>
    <t>Verizon</t>
  </si>
  <si>
    <t>account pin 2816  robert</t>
  </si>
  <si>
    <t>Gmail  Rod 2018</t>
  </si>
  <si>
    <t>2816rodney2816</t>
  </si>
  <si>
    <t>Liberty Mutual house and auto</t>
  </si>
  <si>
    <t>merrylloyd  username</t>
  </si>
  <si>
    <t>NAWCC31 domain</t>
  </si>
  <si>
    <t>Internet Services &lt;Support@aaces.com&gt;</t>
  </si>
  <si>
    <t>Washington LLC annual report 4 Laundromat April</t>
  </si>
  <si>
    <t>603 607 642</t>
  </si>
  <si>
    <t>603-435-952</t>
  </si>
  <si>
    <t>https://ccfs.sos.wa.gov/#/oneClickARSearch/BusinessSearch</t>
  </si>
  <si>
    <t>bonanza</t>
  </si>
  <si>
    <t>ESTY</t>
  </si>
  <si>
    <t>Dishanywhere.com</t>
  </si>
  <si>
    <t>8255909385331373   rlloyd@clear-lake.com   2816</t>
  </si>
  <si>
    <t>Dish Network    ID 8255 9093 8533 1373 ?</t>
  </si>
  <si>
    <t>receiver R191-180-3087-03   [as of 9/22/2018]</t>
  </si>
  <si>
    <t>620-278-6905</t>
  </si>
  <si>
    <t>Alden State Bank of the Plains      www.aldenst8.com</t>
  </si>
  <si>
    <t>!!11QQqqqq [10/4/24]</t>
  </si>
  <si>
    <t>account 381442   Routing  101107093</t>
  </si>
  <si>
    <t>debit 5143</t>
  </si>
  <si>
    <t>MLDCPA.com    Cindy Braito</t>
  </si>
  <si>
    <t>Host GoDaddy via WordPress</t>
  </si>
  <si>
    <t>Sterling Bulitin</t>
  </si>
  <si>
    <t>usps shipping supplies</t>
  </si>
  <si>
    <t>rodlloyd2816</t>
  </si>
  <si>
    <t>box #7=8"x12"x12"</t>
  </si>
  <si>
    <t>West America Merry Checking 356 023 721 = 4373</t>
  </si>
  <si>
    <t>West America Merry Savings 23521-34296 = 4373</t>
  </si>
  <si>
    <t>West America Caroline 352 141 238</t>
  </si>
  <si>
    <t>National Handbell GUild</t>
  </si>
  <si>
    <t>Porto Theme</t>
  </si>
  <si>
    <t>&amp;m1mzxUxB+$</t>
  </si>
  <si>
    <t>ver</t>
  </si>
  <si>
    <t>AE5A-2B62-CE63-9BEE-8EFE-0EAB-1E51-009E</t>
  </si>
  <si>
    <t>Vir-teen</t>
  </si>
  <si>
    <t>Etsy [merry]</t>
  </si>
  <si>
    <t>Uber</t>
  </si>
  <si>
    <t>https://secure.efrontcloud.com/broadmark</t>
  </si>
  <si>
    <t>smart music</t>
  </si>
  <si>
    <t>FHCUVK9R</t>
  </si>
  <si>
    <t>Norton Supply laundry soap</t>
  </si>
  <si>
    <t>HollandAmerica [austrailia]</t>
  </si>
  <si>
    <t>southport    la   booking # vvwvhk</t>
  </si>
  <si>
    <t>2018 wmgnmh</t>
  </si>
  <si>
    <t>Bank of America</t>
  </si>
  <si>
    <t>england in 2000</t>
  </si>
  <si>
    <t>Fred Meyer Rewards, Kroger, Dillons</t>
  </si>
  <si>
    <t>Intuit Mint</t>
  </si>
  <si>
    <t>Chase Rod credit card</t>
  </si>
  <si>
    <t>Chase Merry</t>
  </si>
  <si>
    <t>Aaron126! [7/24]</t>
  </si>
  <si>
    <t>midnight, red  4147-2024-0053-2576</t>
  </si>
  <si>
    <t>Craigslist</t>
  </si>
  <si>
    <t>2816Rodney2816</t>
  </si>
  <si>
    <t>Chrome remote desktop Merry</t>
  </si>
  <si>
    <t>Chrome Remote Desktop</t>
  </si>
  <si>
    <t>Chrome Remote Desktop    Rod + Chromecast</t>
  </si>
  <si>
    <t>Rodney2816   12/2020</t>
  </si>
  <si>
    <t>Finale 2009</t>
  </si>
  <si>
    <t>Serial Number: HPNR-XXHBFCJK</t>
  </si>
  <si>
    <t>User Code: 3PJYDGCB</t>
  </si>
  <si>
    <t>Authorization Code: 32NB-7ZMEPVB</t>
  </si>
  <si>
    <t>rlloyd@clear-lake.com   1111qqqq   Computer Location: Primary User Code: U8EUEHCB Authorization Code: 34SHHCD66UY</t>
  </si>
  <si>
    <t>Finale full</t>
  </si>
  <si>
    <t>From Serial# HFEA-KWHQ22Q5</t>
  </si>
  <si>
    <t>Finale v27 Upgrade 2021  serial HFEA-KWHQ22Q5</t>
  </si>
  <si>
    <t>Serial Number: HFEA-KWHQ22Q5</t>
  </si>
  <si>
    <t>Computer Rod-Laptop</t>
  </si>
  <si>
    <t>User Code: ECYNLPMY</t>
  </si>
  <si>
    <t>Authorization Code: 9DAF2A7F8X</t>
  </si>
  <si>
    <t>Adobe [photoshop elements 14]</t>
  </si>
  <si>
    <t>1057-1425-2066-1769-4235-6726</t>
  </si>
  <si>
    <t>Douglas!1Qq</t>
  </si>
  <si>
    <t>Adobe [photoshop elements 18]</t>
  </si>
  <si>
    <t>1057-1557-9360-0732-2710-9843</t>
  </si>
  <si>
    <t>Adobe photoshop 9</t>
  </si>
  <si>
    <t>WordPress.org</t>
  </si>
  <si>
    <t>GoDaddy Domain   drodlloyd.com   5809615</t>
  </si>
  <si>
    <t>GoDaddy drodlloyd -5809615</t>
  </si>
  <si>
    <t>28162816Rodney</t>
  </si>
  <si>
    <t>Nameservers:</t>
  </si>
  <si>
    <t>ns57.domaincontrol.com -  ns58.domaincontrol.com</t>
  </si>
  <si>
    <t>http://cadetelectricheat.com/</t>
  </si>
  <si>
    <t>GoDaddy DeFrancisco, Lampitt &amp; Brado account 869087</t>
  </si>
  <si>
    <t>EQ0NY00pzKue99Ez</t>
  </si>
  <si>
    <t>pin 4512   [or 2816]</t>
  </si>
  <si>
    <t>SSL only - see main GoDaddy account</t>
  </si>
  <si>
    <t>WA State Department of Revenue Laundry Taxes DOR</t>
  </si>
  <si>
    <t>M8W9Q$Q7I4</t>
  </si>
  <si>
    <t>603435952-001-0001</t>
  </si>
  <si>
    <t>Washington SAW</t>
  </si>
  <si>
    <t xml:space="preserve">Cascade Natural Gas - Laundry </t>
  </si>
  <si>
    <t>account #  215 809 9616 9</t>
  </si>
  <si>
    <t>Tascione forums   http://clockrepairtips.com/forum</t>
  </si>
  <si>
    <t>User Name: customer2422</t>
  </si>
  <si>
    <t>Password: track2422ip</t>
  </si>
  <si>
    <t>Discover Card</t>
  </si>
  <si>
    <t>#1aaron</t>
  </si>
  <si>
    <t>aaron126  [12/2021]</t>
  </si>
  <si>
    <t>Social Security - Re-entry Number: 91866359</t>
  </si>
  <si>
    <t>earnest, hollywood, 55875 [2021]</t>
  </si>
  <si>
    <t>$376 a month -benefits will begin on 09/2016.</t>
  </si>
  <si>
    <t>Social Security - Merry</t>
  </si>
  <si>
    <t>MICQI123</t>
  </si>
  <si>
    <t>Aaron126?Vallee    2024</t>
  </si>
  <si>
    <t>Lee, Summitt, Blue</t>
  </si>
  <si>
    <t xml:space="preserve">Prosper 2016 </t>
  </si>
  <si>
    <t>Prosper 2015</t>
  </si>
  <si>
    <t>URL: http://login.social-tap.com</t>
  </si>
  <si>
    <t>Username: swws</t>
  </si>
  <si>
    <t>Password: 2015swws</t>
  </si>
  <si>
    <t>Natwest.com    online pin 2427  atm pin2816</t>
  </si>
  <si>
    <t>Cust #1008540017</t>
  </si>
  <si>
    <t>Password 1111qqqq</t>
  </si>
  <si>
    <t>Natwest.com       online pin 2427  atm pin2816</t>
  </si>
  <si>
    <t>sort 60-20-11  acc 86237608 app p28162816</t>
  </si>
  <si>
    <t>natwest iphone app</t>
  </si>
  <si>
    <t>281628**</t>
  </si>
  <si>
    <t>home depot pro</t>
  </si>
  <si>
    <t>https://hdapps.homedepot.com/CustRecogPortal/#/purchases</t>
  </si>
  <si>
    <t>PayPal     Primary   ---  rodlloyd</t>
  </si>
  <si>
    <t>RodLloyd@clear-lake.com</t>
  </si>
  <si>
    <t>!!11QQqqq  10/23</t>
  </si>
  <si>
    <t>3q</t>
  </si>
  <si>
    <t>PayPal Nawcc31</t>
  </si>
  <si>
    <t>nawccpdx31@gmail.com</t>
  </si>
  <si>
    <t>HLI393l$AcvK</t>
  </si>
  <si>
    <t>sandy, jona</t>
  </si>
  <si>
    <t>PayPal Rod Rainier Senior</t>
  </si>
  <si>
    <t>cpi@clear-lake.com</t>
  </si>
  <si>
    <t>norwood, sandy, usa</t>
  </si>
  <si>
    <t>PayPal - Rainier Senior Center</t>
  </si>
  <si>
    <t>RainierSrCtr@yahoo.com</t>
  </si>
  <si>
    <t xml:space="preserve">Sailing$ </t>
  </si>
  <si>
    <t>PayPal KelsoKids</t>
  </si>
  <si>
    <t>kelsopublicschoolsfoundation@gmail.com</t>
  </si>
  <si>
    <t>555playpen</t>
  </si>
  <si>
    <t>[restaurant:sizzler;historyPerson:lincoln]</t>
  </si>
  <si>
    <t>PayPal Symphony</t>
  </si>
  <si>
    <t>symphony@clear-lake.com</t>
  </si>
  <si>
    <t>1234Violin</t>
  </si>
  <si>
    <t>[capital V] birch, pierce</t>
  </si>
  <si>
    <t>PayPal here</t>
  </si>
  <si>
    <t>rodlloyd@clear-lake.com</t>
  </si>
  <si>
    <t>PayPal  http://www.PayPal.com</t>
  </si>
  <si>
    <t>lloyd@clear-lake.com</t>
  </si>
  <si>
    <t>2*162*16</t>
  </si>
  <si>
    <t>PayPal   --- rlloyd</t>
  </si>
  <si>
    <t>PayPal Merry</t>
  </si>
  <si>
    <t>snoopy@clear-lake.com</t>
  </si>
  <si>
    <t>PayPal UK   pin 281628</t>
  </si>
  <si>
    <t>noorwood, sandy</t>
  </si>
  <si>
    <t>Square up SWWA Auxiliary</t>
  </si>
  <si>
    <t>micqi@clear-lake.com</t>
  </si>
  <si>
    <t>Square up Symphony</t>
  </si>
  <si>
    <t>Square up Rod</t>
  </si>
  <si>
    <t>!!11QQqq    4/23</t>
  </si>
  <si>
    <t>Fibre Laundry</t>
  </si>
  <si>
    <t>!!11QQqqrodney</t>
  </si>
  <si>
    <t>sandy, birch, pierce</t>
  </si>
  <si>
    <t>rose, mgbgt, snider, clocks, zetland</t>
  </si>
  <si>
    <t>Fibre Laundry Billpay</t>
  </si>
  <si>
    <t>rodlloyd3</t>
  </si>
  <si>
    <t>1111qqqqRodney  [2021]</t>
  </si>
  <si>
    <t>laundry:  cornet, davidson, spence</t>
  </si>
  <si>
    <t>snider, mgbgt, rose, clocks, zetland</t>
  </si>
  <si>
    <t>Fibre Merry  1300041</t>
  </si>
  <si>
    <t>merrylloyd1936</t>
  </si>
  <si>
    <t>hobby-handbells, mother maden-Daly, pet-frosty</t>
  </si>
  <si>
    <t>Father middle Stanley, born-hollywood</t>
  </si>
  <si>
    <t>Fibre Merry BillPay 2016</t>
  </si>
  <si>
    <t>secret word - aaron</t>
  </si>
  <si>
    <t>piano, mrsdoubtfire, dusty, handbells, wisconsin</t>
  </si>
  <si>
    <t>Fibre Property [routing 323380766]</t>
  </si>
  <si>
    <t>rlloyd@clear-lake1</t>
  </si>
  <si>
    <t>!!1111QQqqqq [2024]</t>
  </si>
  <si>
    <t>lowe, manchester, sandy</t>
  </si>
  <si>
    <t>Fibre Property Billpay 425279</t>
  </si>
  <si>
    <t>mgbgt</t>
  </si>
  <si>
    <t>Fibre Persoanl Rod [routing 323380766] 541364</t>
  </si>
  <si>
    <t>douglasrodney1954</t>
  </si>
  <si>
    <t>laundromat</t>
  </si>
  <si>
    <t>Fibre Rod Billpay 541364</t>
  </si>
  <si>
    <t>rodlloyd1954</t>
  </si>
  <si>
    <t>!!!!1111QQQQqqqq</t>
  </si>
  <si>
    <t>cornet, snider</t>
  </si>
  <si>
    <t>Snagit</t>
  </si>
  <si>
    <t>9HLLC-LDAXC-Z295Y-4HT79-8MF38 - 2018.2.2 upgrade AKCEM-N5AVA-CLCKD-KLGNC-5B2B7</t>
  </si>
  <si>
    <t>HUCM5-77HME-N8XDM-CPBJJ-5RRBA                                              2021  ADBVC-RSWAC-C6CVT-EHMQP-757E9</t>
  </si>
  <si>
    <t>Gmail   LongviewLaundry@gmail.com</t>
  </si>
  <si>
    <t>LongviewLaundry@gmail.com</t>
  </si>
  <si>
    <t>iClould</t>
  </si>
  <si>
    <t>!!11QQqqRodney</t>
  </si>
  <si>
    <t>does not appear correct 10/2019</t>
  </si>
  <si>
    <t xml:space="preserve">Century Link 20th Ave    360-423-2216  rod lloyd  </t>
  </si>
  <si>
    <t>374a4a7d8a86fa    wifi password   lansdowne</t>
  </si>
  <si>
    <t>account # 3604232216644 updated 3/25/19</t>
  </si>
  <si>
    <t>Dept of Revenue</t>
  </si>
  <si>
    <t>Rodney2816?</t>
  </si>
  <si>
    <t>SnapChat</t>
  </si>
  <si>
    <t>$Rodney123</t>
  </si>
  <si>
    <t>Live Watch Alarm 417 20th Ave  Ph786-236-5399</t>
  </si>
  <si>
    <t>Central Station account # SF01725031</t>
  </si>
  <si>
    <t>my.brinkshome.com</t>
  </si>
  <si>
    <t>Brinks Home Security    Alarm 417 20th Ave</t>
  </si>
  <si>
    <t>account # 7625 65031</t>
  </si>
  <si>
    <t>Pass code 2020</t>
  </si>
  <si>
    <t>Start8 Stardock</t>
  </si>
  <si>
    <t>A7C02-9E457-2D6F0-02DF5-8F881-69CED</t>
  </si>
  <si>
    <t>iTunes   Rod</t>
  </si>
  <si>
    <t>Royal Caribian</t>
  </si>
  <si>
    <t>Rodney12</t>
  </si>
  <si>
    <t>eBay Rod</t>
  </si>
  <si>
    <t>Rodd</t>
  </si>
  <si>
    <t>Ebay Merry</t>
  </si>
  <si>
    <t>mum</t>
  </si>
  <si>
    <t>2 cap AA</t>
  </si>
  <si>
    <t>WA State Vendor</t>
  </si>
  <si>
    <t>PAYEE number</t>
  </si>
  <si>
    <t>SWV0174597-00</t>
  </si>
  <si>
    <t>rlloyd@clear-lake.com   !!!111QQQqqq</t>
  </si>
  <si>
    <t>Symphony SW Washington</t>
  </si>
  <si>
    <t>EIN is 911078525</t>
  </si>
  <si>
    <t>YAHOO.COM</t>
  </si>
  <si>
    <t>merry@yahoo.com</t>
  </si>
  <si>
    <t>maybe</t>
  </si>
  <si>
    <t>Salem Garden Club</t>
  </si>
  <si>
    <t>sagcor</t>
  </si>
  <si>
    <t>playpen</t>
  </si>
  <si>
    <t>http://cpanel.sagc-or.org/</t>
  </si>
  <si>
    <t>Host:  ftp.sagc-or.org</t>
  </si>
  <si>
    <t>----------- Laveryne Gray Treasurer</t>
  </si>
  <si>
    <t>roselady04@comcast.net</t>
  </si>
  <si>
    <t>http://www.sagc-or.org/</t>
  </si>
  <si>
    <t xml:space="preserve">ftp login will be sagcor@ftp.sagc-or.org </t>
  </si>
  <si>
    <t>Wordpress</t>
  </si>
  <si>
    <t>rlloydblog</t>
  </si>
  <si>
    <t>Prolab Reliable lab</t>
  </si>
  <si>
    <t>compre4</t>
  </si>
  <si>
    <t>Pioneer District</t>
  </si>
  <si>
    <t>bruna</t>
  </si>
  <si>
    <t>iris2010</t>
  </si>
  <si>
    <t>admin     1111qqqq</t>
  </si>
  <si>
    <t>swwasymphony@gmail.com</t>
  </si>
  <si>
    <t>swwasymphony@gmail.com.</t>
  </si>
  <si>
    <t>twitter</t>
  </si>
  <si>
    <t>merry@clear-lake.com ?</t>
  </si>
  <si>
    <t>!!11QQqqqq      2024</t>
  </si>
  <si>
    <t xml:space="preserve"> Beacon PEPERB NOAA</t>
  </si>
  <si>
    <t>ADCE0 8BEDC 4086D</t>
  </si>
  <si>
    <t>POWER DNN - - -     rlloyd@clear-lake.com</t>
  </si>
  <si>
    <t>admin or host</t>
  </si>
  <si>
    <t>NSA.PowerDNN.com</t>
  </si>
  <si>
    <t>NSB.PowerDNN.com</t>
  </si>
  <si>
    <t>Managed.com</t>
  </si>
  <si>
    <t>http://www.d13cgaux.com</t>
  </si>
  <si>
    <t>FTP Username: 97048info</t>
  </si>
  <si>
    <t>DNN4free</t>
  </si>
  <si>
    <t>Domain</t>
  </si>
  <si>
    <t>FTP Password: 1111qqqq</t>
  </si>
  <si>
    <t>Jing</t>
  </si>
  <si>
    <t>Domain 97048.info, Username 7335rodlloyd97048inf</t>
  </si>
  <si>
    <t>NSA.POWERDNN.COM</t>
  </si>
  <si>
    <t>DotNetNuke   DNN</t>
  </si>
  <si>
    <t>Plesk</t>
  </si>
  <si>
    <t>DNNcommunity [forum]</t>
  </si>
  <si>
    <t>Dr</t>
  </si>
  <si>
    <t>ITX web mail</t>
  </si>
  <si>
    <t>https://server200.serverange.net:2096/logout/?locale=en</t>
  </si>
  <si>
    <t>ITX Design updated 3/21/23</t>
  </si>
  <si>
    <t>http://72.9.135.10/cpanel</t>
  </si>
  <si>
    <t>ITX design merry mailbox</t>
  </si>
  <si>
    <t>!!aaron126</t>
  </si>
  <si>
    <t>ITX Design 7/28/18</t>
  </si>
  <si>
    <t>Eap8d5_2</t>
  </si>
  <si>
    <t>ITX Design  account 169295</t>
  </si>
  <si>
    <t>paid through 3/19/17</t>
  </si>
  <si>
    <t>all email pass bN~74k1j</t>
  </si>
  <si>
    <t>ftp password</t>
  </si>
  <si>
    <t>@Hvwi461</t>
  </si>
  <si>
    <t>FTP Hostname: www.clear-lake.com</t>
  </si>
  <si>
    <t>rlloyd@ pass !!11QQqq</t>
  </si>
  <si>
    <t>clear-lake.com   registerd by Networksolutions</t>
  </si>
  <si>
    <t>2015 exp</t>
  </si>
  <si>
    <t>All Email Addresses except merry</t>
  </si>
  <si>
    <t>*@clear-lake.com</t>
  </si>
  <si>
    <t>bN~74k1j</t>
  </si>
  <si>
    <t>webmail</t>
  </si>
  <si>
    <t>https://host63.secureserver777.com:8443/</t>
  </si>
  <si>
    <t>Control Panel URL</t>
  </si>
  <si>
    <t>merry email !Aaron126</t>
  </si>
  <si>
    <t xml:space="preserve">You Tube </t>
  </si>
  <si>
    <t>Rod11oyd</t>
  </si>
  <si>
    <t>2*161*16</t>
  </si>
  <si>
    <t>Caroline email</t>
  </si>
  <si>
    <t>Caroline95451@yahoo.com</t>
  </si>
  <si>
    <t>Annalee95451</t>
  </si>
  <si>
    <t>Cute FTP reg SERIAL NUMBER: [8]</t>
  </si>
  <si>
    <t>ADZDX7TFHHKZY3</t>
  </si>
  <si>
    <t>Prolab     http://www.reliablelab.com</t>
  </si>
  <si>
    <t>2*16</t>
  </si>
  <si>
    <t>eric sales manager</t>
  </si>
  <si>
    <t>Auto pay</t>
  </si>
  <si>
    <t>th</t>
  </si>
  <si>
    <t>how paid</t>
  </si>
  <si>
    <t>128 W Main St, Sterling KS</t>
  </si>
  <si>
    <t>Google Play 200 MB storage</t>
  </si>
  <si>
    <t>2 0 2 4</t>
  </si>
  <si>
    <t>average</t>
  </si>
  <si>
    <t>Dividend Swing Trade</t>
  </si>
  <si>
    <t>paypal rodlloyd</t>
  </si>
  <si>
    <t>Gross Income [7th]</t>
  </si>
  <si>
    <t>VIACOMCBS STREAMING</t>
  </si>
  <si>
    <t>EXPENSES</t>
  </si>
  <si>
    <t>ESPN Plus 800-7271800 NY</t>
  </si>
  <si>
    <t>Property Tax</t>
  </si>
  <si>
    <t>Peacock 75A28 Premium 212-6640138 NY</t>
  </si>
  <si>
    <t>BN Burn Site</t>
  </si>
  <si>
    <t>Dividend detetective</t>
  </si>
  <si>
    <t>EL Electric</t>
  </si>
  <si>
    <t>Contrarian Outlook about February</t>
  </si>
  <si>
    <t>yearly</t>
  </si>
  <si>
    <t>FA Fuel Adjustment</t>
  </si>
  <si>
    <t>monthl</t>
  </si>
  <si>
    <t>RF Refuse</t>
  </si>
  <si>
    <t>Book Report</t>
  </si>
  <si>
    <t>BOA 7740</t>
  </si>
  <si>
    <t>SW Sewer</t>
  </si>
  <si>
    <t>Vodafone UK phone</t>
  </si>
  <si>
    <t>Paypal rod</t>
  </si>
  <si>
    <t>WA Water</t>
  </si>
  <si>
    <t>verizon US phones</t>
  </si>
  <si>
    <t>WF Water Protection Fee</t>
  </si>
  <si>
    <t>TX Tax</t>
  </si>
  <si>
    <r>
      <rPr>
        <b/>
        <sz val="10"/>
        <color rgb="FF000000"/>
        <rFont val="Arial"/>
        <family val="2"/>
      </rPr>
      <t xml:space="preserve">Total City Utility </t>
    </r>
    <r>
      <rPr>
        <i/>
        <sz val="10"/>
        <color rgb="FF000000"/>
        <rFont val="Arial"/>
        <family val="2"/>
      </rPr>
      <t>10th</t>
    </r>
  </si>
  <si>
    <t>Black Hills Energy GAS</t>
  </si>
  <si>
    <t>Upland Mutual Insurance</t>
  </si>
  <si>
    <t>Total Utilitie's</t>
  </si>
  <si>
    <t>rewards on property tax 1.5%</t>
  </si>
  <si>
    <t>Web Pages</t>
  </si>
  <si>
    <t>INCOME</t>
  </si>
  <si>
    <t>Hutch Band  NA</t>
  </si>
  <si>
    <t>Rainier Seniors</t>
  </si>
  <si>
    <t>Sterling Seniors</t>
  </si>
  <si>
    <t>NAWCC63 Aug</t>
  </si>
  <si>
    <t>Sterling Rotary</t>
  </si>
  <si>
    <t>lisa@mdlcpa.com</t>
  </si>
  <si>
    <t>domain 131.88</t>
  </si>
  <si>
    <t>Multnomah District</t>
  </si>
  <si>
    <t>Expense Other</t>
  </si>
  <si>
    <t>Expenses - PowerDNN</t>
  </si>
  <si>
    <t>Net Income</t>
  </si>
  <si>
    <t>Net Per month</t>
  </si>
  <si>
    <t>2 0 2 3</t>
  </si>
  <si>
    <r>
      <rPr>
        <b/>
        <sz val="10"/>
        <color rgb="FF000000"/>
        <rFont val="Arial"/>
        <family val="2"/>
      </rPr>
      <t xml:space="preserve">Total City Utility </t>
    </r>
    <r>
      <rPr>
        <i/>
        <sz val="10"/>
        <color rgb="FF000000"/>
        <rFont val="Arial"/>
        <family val="2"/>
      </rPr>
      <t>10th</t>
    </r>
  </si>
  <si>
    <t>Hutch Band</t>
  </si>
  <si>
    <t>NAWCC63</t>
  </si>
  <si>
    <t>DeFranciscoLampittBrado</t>
  </si>
  <si>
    <t>Investing Expenses</t>
  </si>
  <si>
    <t>DividendInvestor.com</t>
  </si>
  <si>
    <t>Contrarian Investor report</t>
  </si>
  <si>
    <t>DididendSwing Trader</t>
  </si>
  <si>
    <t>A PRACTICAL COURSE IN HOROLOGY</t>
  </si>
  <si>
    <t>Adjust Hermle &amp; Seth Thomas Ship Bell Clocks eBook</t>
  </si>
  <si>
    <t>Adjust Seth Thomas's Open Bell Ship's Clock eBook</t>
  </si>
  <si>
    <t>Adjust the 400-day Ebook</t>
  </si>
  <si>
    <t>Adjust the Hermle Automatic Night Shut Off eBook</t>
  </si>
  <si>
    <t>Adjustable Cuckoo Clock Test Stand eBook</t>
  </si>
  <si>
    <t>American Count Wheel System eBook</t>
  </si>
  <si>
    <t>American Pocket Watches</t>
  </si>
  <si>
    <t>Artificial Clock-maker</t>
  </si>
  <si>
    <t>Atmos Repaire DVD set</t>
  </si>
  <si>
    <t>Bow Hair - Cello - Bass</t>
  </si>
  <si>
    <t>Bow Hair Violin - Viola</t>
  </si>
  <si>
    <t>Build a Mainspring Winder eBook</t>
  </si>
  <si>
    <t>Cello &amp; Bass Bow Hair with Instructions</t>
  </si>
  <si>
    <t>Clock Cleaning 101 eBOOK</t>
  </si>
  <si>
    <t>Clock Repair Basics</t>
  </si>
  <si>
    <t>CraigsListBusiness</t>
  </si>
  <si>
    <t>Cuckoo Clock Music Box eBook</t>
  </si>
  <si>
    <t>Cuckoo Clock Owner/s Repair Manual</t>
  </si>
  <si>
    <t>Cuckoo Clock Owner/s Repair Manual PDF Download Copy</t>
  </si>
  <si>
    <t>Cuckoo Clock Repair Manual Bilger eBook</t>
  </si>
  <si>
    <t>Extreme Restoration PDF Download</t>
  </si>
  <si>
    <t>Getting Started in Clock Repair eBook</t>
  </si>
  <si>
    <t>Grandfather Clock manual Printed Copy</t>
  </si>
  <si>
    <t>Grandfathers Clocks -Digital Copy</t>
  </si>
  <si>
    <t>Handbell Ringers Bible -Book Bound</t>
  </si>
  <si>
    <t>Handbell Ringers Bible 10 copy Download Version</t>
  </si>
  <si>
    <t>Handbell Ringers Bible Single Download Version</t>
  </si>
  <si>
    <t>Handbell Ringers Bible Spiral Bound</t>
  </si>
  <si>
    <t>Handbell Tree Stand Plans</t>
  </si>
  <si>
    <t>Happy Anniversary Clock?s -Digital Copy</t>
  </si>
  <si>
    <t>Happy Anniversary Clock?s Printed Copy</t>
  </si>
  <si>
    <t>Herschede-Tubular-Manual</t>
  </si>
  <si>
    <t>Home Inspection Course</t>
  </si>
  <si>
    <t>How to Adjust a Schatz Cuckoo Clock eBook</t>
  </si>
  <si>
    <t>How to Adjust Stop Works eBook</t>
  </si>
  <si>
    <t>How to Adjust the American Count Wheel System eBook</t>
  </si>
  <si>
    <t>How to Disassemble, Clean &amp; Reassemble a Pocket</t>
  </si>
  <si>
    <t>How to Make an Inexpensive Clock Depthing eBook</t>
  </si>
  <si>
    <t>How to Make Money on eBay with Clocks &amp; Watches ebook</t>
  </si>
  <si>
    <t>How to Make Watch &amp; Clockmaker's Bench EBOOK</t>
  </si>
  <si>
    <t>How to Repair Alarm Clocks Ebook</t>
  </si>
  <si>
    <t>How to Repair Jefferson Golden Hour Clock eBook</t>
  </si>
  <si>
    <t>My Clock Won?t Run Download Copy</t>
  </si>
  <si>
    <t>My Clock Won?t Run Printed Copy</t>
  </si>
  <si>
    <t>Ordnance Maintenance- Watches and Clocks</t>
  </si>
  <si>
    <t>Pocket Watches and Why the Work</t>
  </si>
  <si>
    <t>Practical Clock and Watch Servicing eBOOK</t>
  </si>
  <si>
    <t>Practical Clock Escapements</t>
  </si>
  <si>
    <t>Proper Use of the Watchmakers Graver eBook</t>
  </si>
  <si>
    <t>Rent-Book-Rental Property Bookkeeping System</t>
  </si>
  <si>
    <t>Repairing Watches Beginners Course eBOOK</t>
  </si>
  <si>
    <t>Servicing the Ships Bell Clock eBook</t>
  </si>
  <si>
    <t>Shop Made Tools for the Clockmaker</t>
  </si>
  <si>
    <t>Striking &amp; Chiming - The Complete Guide Ebook</t>
  </si>
  <si>
    <t>Ten Essential Tools for the Repair of Hermle Movements</t>
  </si>
  <si>
    <t>The Atmos Clock Repairer?s Bench Manual -Digital Copy</t>
  </si>
  <si>
    <t>The Atmos Clock Repairer?s Bench Manual Printed Copy</t>
  </si>
  <si>
    <t>The Clock Repairers Bench Manual eBook</t>
  </si>
  <si>
    <t>The Clock Repairers Bench Manual Printed Copy</t>
  </si>
  <si>
    <t>The Turret Clock Keeper's Handbook</t>
  </si>
  <si>
    <t>This Old Clock EBOOK</t>
  </si>
  <si>
    <t>Title: Complete Guide to American Pocket Watches</t>
  </si>
  <si>
    <t>Understanding Chiming Clocks eBook</t>
  </si>
  <si>
    <t>Understanding the Rack and Snail System eBook</t>
  </si>
  <si>
    <t>Violin &amp; Viola Bow Hair with Instructions</t>
  </si>
  <si>
    <t>Watch and Clock Making and Repairing eBOOK</t>
  </si>
  <si>
    <t>WATCH JOBBER'S HANDYBOOK</t>
  </si>
  <si>
    <t>Watch Repairer's Handbook</t>
  </si>
  <si>
    <t>Wooden Work?s Clock Movement Restoration Printed</t>
  </si>
  <si>
    <t>22a</t>
  </si>
  <si>
    <t>Wooden Works Clock Movement Restoration EBOOK</t>
  </si>
  <si>
    <t>sku</t>
  </si>
  <si>
    <t>Country</t>
  </si>
  <si>
    <t>Population
(2020)</t>
  </si>
  <si>
    <t>World
Share</t>
  </si>
  <si>
    <t>Land Area
(Km²)</t>
  </si>
  <si>
    <t>VISITED</t>
  </si>
  <si>
    <t>Afghanistan</t>
  </si>
  <si>
    <t>0.5 %</t>
  </si>
  <si>
    <t>Albania</t>
  </si>
  <si>
    <t>0 %</t>
  </si>
  <si>
    <t>Algeria</t>
  </si>
  <si>
    <t>0.6 %</t>
  </si>
  <si>
    <t>Andorra</t>
  </si>
  <si>
    <t>Angola</t>
  </si>
  <si>
    <t>0.4 %</t>
  </si>
  <si>
    <t>Antigua and Barbuda</t>
  </si>
  <si>
    <t>Argentina</t>
  </si>
  <si>
    <t>Armenia</t>
  </si>
  <si>
    <t>Australia</t>
  </si>
  <si>
    <t>0.3 %</t>
  </si>
  <si>
    <t>Austria</t>
  </si>
  <si>
    <t>0.1 %</t>
  </si>
  <si>
    <t>Azerbaijan</t>
  </si>
  <si>
    <t>Bahamas</t>
  </si>
  <si>
    <t>Bahrain</t>
  </si>
  <si>
    <t>Bangladesh</t>
  </si>
  <si>
    <t>2.1 %</t>
  </si>
  <si>
    <t>Barbados</t>
  </si>
  <si>
    <t>Belarus</t>
  </si>
  <si>
    <t>Belgium</t>
  </si>
  <si>
    <t>Belize</t>
  </si>
  <si>
    <t>Benin</t>
  </si>
  <si>
    <t>0.2 %</t>
  </si>
  <si>
    <t>Bhutan</t>
  </si>
  <si>
    <t>Bolivia</t>
  </si>
  <si>
    <t>Bosnia and Herzegovina</t>
  </si>
  <si>
    <t>Botswana</t>
  </si>
  <si>
    <t>Brazil</t>
  </si>
  <si>
    <t>2.7 %</t>
  </si>
  <si>
    <t>Brunei [Borneo Island]</t>
  </si>
  <si>
    <t>Bulgaria</t>
  </si>
  <si>
    <t>Burkina Faso</t>
  </si>
  <si>
    <t>Burundi</t>
  </si>
  <si>
    <t>Cabo Verde</t>
  </si>
  <si>
    <t>Cambodia</t>
  </si>
  <si>
    <t>Cameroon</t>
  </si>
  <si>
    <t>Canada</t>
  </si>
  <si>
    <t>Central African Republic</t>
  </si>
  <si>
    <t>Chad</t>
  </si>
  <si>
    <t>Chile</t>
  </si>
  <si>
    <t>China</t>
  </si>
  <si>
    <t>18.5 %</t>
  </si>
  <si>
    <t>Colombia</t>
  </si>
  <si>
    <t>0.7 %</t>
  </si>
  <si>
    <t>Comoros</t>
  </si>
  <si>
    <t>Congo</t>
  </si>
  <si>
    <t>Costa Rica</t>
  </si>
  <si>
    <t>Croatia</t>
  </si>
  <si>
    <t>Cuba</t>
  </si>
  <si>
    <t>Cyprus</t>
  </si>
  <si>
    <t>???</t>
  </si>
  <si>
    <t>Czech Republic (Czechia)</t>
  </si>
  <si>
    <t>Côte d'Ivoire</t>
  </si>
  <si>
    <t>Denmark</t>
  </si>
  <si>
    <t>Djibouti</t>
  </si>
  <si>
    <t>Dominica</t>
  </si>
  <si>
    <t>Dominican Republic</t>
  </si>
  <si>
    <t>DR Congo</t>
  </si>
  <si>
    <t>1.1 %</t>
  </si>
  <si>
    <t>Ecuador</t>
  </si>
  <si>
    <t>Egypt</t>
  </si>
  <si>
    <t>1.3 %</t>
  </si>
  <si>
    <t>El Salvador</t>
  </si>
  <si>
    <t>Equatorial Guinea</t>
  </si>
  <si>
    <t>Eritrea</t>
  </si>
  <si>
    <t>Estonia</t>
  </si>
  <si>
    <t>Eswatini</t>
  </si>
  <si>
    <t>Ethiopia</t>
  </si>
  <si>
    <t>1.5 %</t>
  </si>
  <si>
    <t>Fiji</t>
  </si>
  <si>
    <t>Finland</t>
  </si>
  <si>
    <t>France</t>
  </si>
  <si>
    <t>0.8 %</t>
  </si>
  <si>
    <t>Gabon</t>
  </si>
  <si>
    <t>Gambia</t>
  </si>
  <si>
    <t>Georgia</t>
  </si>
  <si>
    <t>Germany</t>
  </si>
  <si>
    <t>Ghana</t>
  </si>
  <si>
    <t>Greece</t>
  </si>
  <si>
    <t>Grenada</t>
  </si>
  <si>
    <t>Guatemala</t>
  </si>
  <si>
    <t>Guinea</t>
  </si>
  <si>
    <t>Guinea-Bissau</t>
  </si>
  <si>
    <t>Guyana</t>
  </si>
  <si>
    <t>Haiti</t>
  </si>
  <si>
    <t>Holy See</t>
  </si>
  <si>
    <t>Honduras</t>
  </si>
  <si>
    <t>Hungary</t>
  </si>
  <si>
    <t>Iceland</t>
  </si>
  <si>
    <t>India</t>
  </si>
  <si>
    <t>17.7 %</t>
  </si>
  <si>
    <t>Indonesia</t>
  </si>
  <si>
    <t>3.5 %</t>
  </si>
  <si>
    <t>Iran</t>
  </si>
  <si>
    <t>Iraq</t>
  </si>
  <si>
    <t>Ireland</t>
  </si>
  <si>
    <t>Israel</t>
  </si>
  <si>
    <t>Italy</t>
  </si>
  <si>
    <t>Jamaica</t>
  </si>
  <si>
    <t>1.6 %</t>
  </si>
  <si>
    <t>Jordan</t>
  </si>
  <si>
    <t>Kazakhstan</t>
  </si>
  <si>
    <t>Kenya</t>
  </si>
  <si>
    <t>Kiribati</t>
  </si>
  <si>
    <t>Kuwait</t>
  </si>
  <si>
    <t>Kyrgyzstan</t>
  </si>
  <si>
    <t>Laos</t>
  </si>
  <si>
    <t>Latvia</t>
  </si>
  <si>
    <t>Lebanon</t>
  </si>
  <si>
    <t>Lesotho</t>
  </si>
  <si>
    <t>Liberia</t>
  </si>
  <si>
    <t>Libya</t>
  </si>
  <si>
    <t>Liechtenstein</t>
  </si>
  <si>
    <t>Lithuania</t>
  </si>
  <si>
    <t>Luxembourg</t>
  </si>
  <si>
    <t>Madagascar</t>
  </si>
  <si>
    <t>Malawi</t>
  </si>
  <si>
    <t>Malaysia</t>
  </si>
  <si>
    <t>Maldives</t>
  </si>
  <si>
    <t>Mali</t>
  </si>
  <si>
    <t>Malta</t>
  </si>
  <si>
    <t>Marshall Islands</t>
  </si>
  <si>
    <t>Mauritania</t>
  </si>
  <si>
    <t>Mauritius</t>
  </si>
  <si>
    <t>Mexico</t>
  </si>
  <si>
    <t>1.7 %</t>
  </si>
  <si>
    <t>Micronesia</t>
  </si>
  <si>
    <t>Moldova</t>
  </si>
  <si>
    <t>Monaco</t>
  </si>
  <si>
    <t>Mongolia</t>
  </si>
  <si>
    <t>Montenegro</t>
  </si>
  <si>
    <t>Morocco</t>
  </si>
  <si>
    <t>Mozambique</t>
  </si>
  <si>
    <t>Myanmar</t>
  </si>
  <si>
    <t>Namibia</t>
  </si>
  <si>
    <t>Nauru</t>
  </si>
  <si>
    <t>Nepal</t>
  </si>
  <si>
    <t>Netherlands</t>
  </si>
  <si>
    <t>New Zealand</t>
  </si>
  <si>
    <t>Nicaragua</t>
  </si>
  <si>
    <t>Niger</t>
  </si>
  <si>
    <t>Nigeria</t>
  </si>
  <si>
    <t>2.6 %</t>
  </si>
  <si>
    <t>North Korea</t>
  </si>
  <si>
    <t>North Macedonia</t>
  </si>
  <si>
    <t>Norway</t>
  </si>
  <si>
    <t>Oman</t>
  </si>
  <si>
    <t>Pakistan</t>
  </si>
  <si>
    <t>2.8 %</t>
  </si>
  <si>
    <t>Palau</t>
  </si>
  <si>
    <t>Panama</t>
  </si>
  <si>
    <t>Papua New Guinea</t>
  </si>
  <si>
    <t>Paraguay</t>
  </si>
  <si>
    <t>Peru</t>
  </si>
  <si>
    <t>Philippines</t>
  </si>
  <si>
    <t>1.4 %</t>
  </si>
  <si>
    <t>Poland</t>
  </si>
  <si>
    <t>Portugal</t>
  </si>
  <si>
    <t>Qatar</t>
  </si>
  <si>
    <t>Romania</t>
  </si>
  <si>
    <t>Russia</t>
  </si>
  <si>
    <t>1.9 %</t>
  </si>
  <si>
    <t>Rwanda</t>
  </si>
  <si>
    <t>Saint Kitts &amp; Nevis</t>
  </si>
  <si>
    <t>Saint Lucia</t>
  </si>
  <si>
    <t>Samoa</t>
  </si>
  <si>
    <t>San Marino</t>
  </si>
  <si>
    <t>Sao Tome &amp; Principe</t>
  </si>
  <si>
    <t>Saudi Arabia</t>
  </si>
  <si>
    <t>Senegal</t>
  </si>
  <si>
    <t>Serbia</t>
  </si>
  <si>
    <t>Seychelles</t>
  </si>
  <si>
    <t>Sierra Leone</t>
  </si>
  <si>
    <t>Singapore</t>
  </si>
  <si>
    <t>Slovakia</t>
  </si>
  <si>
    <t>Slovenia</t>
  </si>
  <si>
    <t>Solomon Islands</t>
  </si>
  <si>
    <t>Somalia</t>
  </si>
  <si>
    <t>South Africa</t>
  </si>
  <si>
    <t>South Korea</t>
  </si>
  <si>
    <t>South Sudan</t>
  </si>
  <si>
    <t>Spain</t>
  </si>
  <si>
    <t>Sri Lanka</t>
  </si>
  <si>
    <t>St. Vincent &amp; Grenadines</t>
  </si>
  <si>
    <t>State of Palestine</t>
  </si>
  <si>
    <t>Sudan</t>
  </si>
  <si>
    <t>Suriname</t>
  </si>
  <si>
    <t>Sweden</t>
  </si>
  <si>
    <t>Switzerland</t>
  </si>
  <si>
    <t>Syria</t>
  </si>
  <si>
    <t>Tajikistan</t>
  </si>
  <si>
    <t>Tanzania</t>
  </si>
  <si>
    <t>Thailand</t>
  </si>
  <si>
    <t>0.9 %</t>
  </si>
  <si>
    <t>Taiwan</t>
  </si>
  <si>
    <t>Timor-Leste</t>
  </si>
  <si>
    <t>Togo</t>
  </si>
  <si>
    <t>Tonga</t>
  </si>
  <si>
    <t>Trinidad and Tobago</t>
  </si>
  <si>
    <t>Tunisia</t>
  </si>
  <si>
    <t>Turkey</t>
  </si>
  <si>
    <t>Turkmenistan</t>
  </si>
  <si>
    <t>Tuvalu</t>
  </si>
  <si>
    <t>Uganda</t>
  </si>
  <si>
    <t>Ukraine</t>
  </si>
  <si>
    <t>United Arab Emirates</t>
  </si>
  <si>
    <t>United Kingdom</t>
  </si>
  <si>
    <t>United States</t>
  </si>
  <si>
    <t>4.2 %</t>
  </si>
  <si>
    <t>Uruguay</t>
  </si>
  <si>
    <t>Uzbekistan</t>
  </si>
  <si>
    <t>Vanuatu</t>
  </si>
  <si>
    <t>Vatican city</t>
  </si>
  <si>
    <t>Venezuela</t>
  </si>
  <si>
    <t>Vietnam</t>
  </si>
  <si>
    <t>1.2 %</t>
  </si>
  <si>
    <t>Yemen</t>
  </si>
  <si>
    <t>Zambia</t>
  </si>
  <si>
    <t>Zimbabwe</t>
  </si>
  <si>
    <t>TOTAL</t>
  </si>
  <si>
    <t>new total</t>
  </si>
  <si>
    <t>voxi phone account</t>
  </si>
  <si>
    <t>Devices</t>
  </si>
  <si>
    <t>B sure to take home 2021</t>
  </si>
  <si>
    <t>Bring / Take 23</t>
  </si>
  <si>
    <t>packed</t>
  </si>
  <si>
    <t>Canal Boat Take 20</t>
  </si>
  <si>
    <t>Tool Kit</t>
  </si>
  <si>
    <t>day1</t>
  </si>
  <si>
    <t>Carry-on</t>
  </si>
  <si>
    <t>VOXI 12GB Plan 10</t>
  </si>
  <si>
    <t>Repair costs</t>
  </si>
  <si>
    <t>£</t>
  </si>
  <si>
    <t>change to unlimited d</t>
  </si>
  <si>
    <t>ALL charger cords</t>
  </si>
  <si>
    <t>New check book</t>
  </si>
  <si>
    <t>√</t>
  </si>
  <si>
    <t>canal maps</t>
  </si>
  <si>
    <t>multimeter</t>
  </si>
  <si>
    <t>Your number</t>
  </si>
  <si>
    <t>plan 1 month before</t>
  </si>
  <si>
    <t>door bells</t>
  </si>
  <si>
    <t>Jamies</t>
  </si>
  <si>
    <t>2 working C cards</t>
  </si>
  <si>
    <t>Sweatbands</t>
  </si>
  <si>
    <t>drill bits</t>
  </si>
  <si>
    <t>coat lightweight red</t>
  </si>
  <si>
    <t>44-7503-596997</t>
  </si>
  <si>
    <t>arrive</t>
  </si>
  <si>
    <t>boosters</t>
  </si>
  <si>
    <t>One change of clothes</t>
  </si>
  <si>
    <t>magnifier</t>
  </si>
  <si>
    <t>wire coat hangers 2</t>
  </si>
  <si>
    <t>razor blades</t>
  </si>
  <si>
    <t>check book UK</t>
  </si>
  <si>
    <t>voxi.co.uk</t>
  </si>
  <si>
    <t>2 iphones</t>
  </si>
  <si>
    <t>needlenose</t>
  </si>
  <si>
    <t>zip lock bags</t>
  </si>
  <si>
    <t>sanding block</t>
  </si>
  <si>
    <t>UK wallet</t>
  </si>
  <si>
    <t>Oct 20 solar</t>
  </si>
  <si>
    <t>Rope</t>
  </si>
  <si>
    <t>green scrub pads</t>
  </si>
  <si>
    <t>Backup phone batteries</t>
  </si>
  <si>
    <t>Boat Invantory 2021</t>
  </si>
  <si>
    <t>Miscellaneous</t>
  </si>
  <si>
    <t>Tools</t>
  </si>
  <si>
    <t>Boat Invantory</t>
  </si>
  <si>
    <t>sunglasses</t>
  </si>
  <si>
    <t>gloves work</t>
  </si>
  <si>
    <t>2 clamps</t>
  </si>
  <si>
    <t>Travel Folder</t>
  </si>
  <si>
    <t>Tweezers Fine</t>
  </si>
  <si>
    <t>Hammer</t>
  </si>
  <si>
    <t>upgrade voxi</t>
  </si>
  <si>
    <t>Rags</t>
  </si>
  <si>
    <t>flat bar</t>
  </si>
  <si>
    <t>Shirts 8</t>
  </si>
  <si>
    <t>OptiVisor</t>
  </si>
  <si>
    <t>Needle-nose</t>
  </si>
  <si>
    <t>Shirts  12</t>
  </si>
  <si>
    <t>M Sweater</t>
  </si>
  <si>
    <t>mirror</t>
  </si>
  <si>
    <t>screw box</t>
  </si>
  <si>
    <t>Boat keys</t>
  </si>
  <si>
    <t>CRT license</t>
  </si>
  <si>
    <t>Dress Shirt 1</t>
  </si>
  <si>
    <t>Sissors x3</t>
  </si>
  <si>
    <t>Pliers</t>
  </si>
  <si>
    <t>Pants 2</t>
  </si>
  <si>
    <t>M Scarf cold</t>
  </si>
  <si>
    <t>pliers  lineman</t>
  </si>
  <si>
    <t>charging cords</t>
  </si>
  <si>
    <t>Insurance</t>
  </si>
  <si>
    <t>Jeans 1</t>
  </si>
  <si>
    <t>Comb &amp; Brush</t>
  </si>
  <si>
    <t>Bosch Drill</t>
  </si>
  <si>
    <t>Shorts 1</t>
  </si>
  <si>
    <t>Family book</t>
  </si>
  <si>
    <t>health thermometer</t>
  </si>
  <si>
    <t>Marina</t>
  </si>
  <si>
    <t>Socks White 3</t>
  </si>
  <si>
    <t>Card Reader NW</t>
  </si>
  <si>
    <t>Spade bits</t>
  </si>
  <si>
    <t>Socks White 4</t>
  </si>
  <si>
    <t>Boat License</t>
  </si>
  <si>
    <t>laptop &amp; Cord</t>
  </si>
  <si>
    <t>Socks Dark 6</t>
  </si>
  <si>
    <t>Sun Glasses Rod</t>
  </si>
  <si>
    <t>Metal bits</t>
  </si>
  <si>
    <t>Socks Dark 5</t>
  </si>
  <si>
    <t>Do Before</t>
  </si>
  <si>
    <t>lock and chain Solar</t>
  </si>
  <si>
    <t>thumb</t>
  </si>
  <si>
    <t>Sweater Hooded 1</t>
  </si>
  <si>
    <t>Exacto knife</t>
  </si>
  <si>
    <t>Sweater 1</t>
  </si>
  <si>
    <t>Haircut</t>
  </si>
  <si>
    <t>wipes</t>
  </si>
  <si>
    <t>digital watch</t>
  </si>
  <si>
    <t>Jacket Warmer 1</t>
  </si>
  <si>
    <t>Socket set</t>
  </si>
  <si>
    <t>Jacket Light 1</t>
  </si>
  <si>
    <t>phone prep</t>
  </si>
  <si>
    <t>black book</t>
  </si>
  <si>
    <t>Jacket Light waterproof</t>
  </si>
  <si>
    <t>Vice grips</t>
  </si>
  <si>
    <t>Jacket Heavy 1</t>
  </si>
  <si>
    <t>transfer money</t>
  </si>
  <si>
    <t>Big Map</t>
  </si>
  <si>
    <t>sharpening stone</t>
  </si>
  <si>
    <t>Slacks 1 &amp; Belt</t>
  </si>
  <si>
    <t>Squeeze clamp 1</t>
  </si>
  <si>
    <t>Brar's 4</t>
  </si>
  <si>
    <t>Hat Floppy and Flat</t>
  </si>
  <si>
    <t>Screwdriver Multi</t>
  </si>
  <si>
    <t>Shoes 2</t>
  </si>
  <si>
    <t>Wellies 1 long?, 1short</t>
  </si>
  <si>
    <t>Screwdriver slot</t>
  </si>
  <si>
    <t>Towels 8</t>
  </si>
  <si>
    <t>Flip flops Leather</t>
  </si>
  <si>
    <t>Screwdriver smal</t>
  </si>
  <si>
    <t>Bedding plenty</t>
  </si>
  <si>
    <t>petrol price</t>
  </si>
  <si>
    <t>sq inches</t>
  </si>
  <si>
    <t>Tee Shirts 2</t>
  </si>
  <si>
    <t>Hangers metal</t>
  </si>
  <si>
    <t>Scarves-1 doz+</t>
  </si>
  <si>
    <t>uk price per litre pounds</t>
  </si>
  <si>
    <t>sq ft</t>
  </si>
  <si>
    <t>Work Shirt 2</t>
  </si>
  <si>
    <t>Hand saw</t>
  </si>
  <si>
    <t>uk price per us gal pounds</t>
  </si>
  <si>
    <t>wich</t>
  </si>
  <si>
    <t>Short Jeans 1</t>
  </si>
  <si>
    <t>Countersink bit</t>
  </si>
  <si>
    <t>uk price per us gal dollars</t>
  </si>
  <si>
    <t>Work Shorts 1</t>
  </si>
  <si>
    <t>Dremel corded</t>
  </si>
  <si>
    <t>us price</t>
  </si>
  <si>
    <t>Underpants 8</t>
  </si>
  <si>
    <t>Dremel Bits</t>
  </si>
  <si>
    <t>how much higher</t>
  </si>
  <si>
    <t>backsplash</t>
  </si>
  <si>
    <t>Headbands 3</t>
  </si>
  <si>
    <t>Metal file</t>
  </si>
  <si>
    <t>uk equiverlent</t>
  </si>
  <si>
    <t>Heal socks 3</t>
  </si>
  <si>
    <t>Wood Rasp</t>
  </si>
  <si>
    <t>Hankies 3</t>
  </si>
  <si>
    <t>1/2" chisel</t>
  </si>
  <si>
    <t>Block plane</t>
  </si>
  <si>
    <t>Notouch eletester</t>
  </si>
  <si>
    <t>Home Bargains</t>
  </si>
  <si>
    <t>Cash Money</t>
  </si>
  <si>
    <t>wire brushes</t>
  </si>
  <si>
    <t>Aldi</t>
  </si>
  <si>
    <t>SpannerWrenches</t>
  </si>
  <si>
    <t>Lidl</t>
  </si>
  <si>
    <t>B&amp;M</t>
  </si>
  <si>
    <t>Pound stretcher</t>
  </si>
  <si>
    <t>Wilko</t>
  </si>
  <si>
    <t>Original Factory Shop Middlewich</t>
  </si>
  <si>
    <t>TO DO's</t>
  </si>
  <si>
    <t>Screwfix</t>
  </si>
  <si>
    <t>Prep laptop</t>
  </si>
  <si>
    <t>Browns</t>
  </si>
  <si>
    <t>Backup home LapT</t>
  </si>
  <si>
    <t>Debanams</t>
  </si>
  <si>
    <t>Powder Room Cost</t>
  </si>
  <si>
    <t>Ride to airport</t>
  </si>
  <si>
    <t>mins</t>
  </si>
  <si>
    <t>shower pan tiles floor</t>
  </si>
  <si>
    <t>Sweater [vests]</t>
  </si>
  <si>
    <t>hold mail</t>
  </si>
  <si>
    <t>Fri</t>
  </si>
  <si>
    <t>B&amp;Q</t>
  </si>
  <si>
    <t>toilet</t>
  </si>
  <si>
    <t>laptop small, mouse, HD</t>
  </si>
  <si>
    <t>set up laundry sale</t>
  </si>
  <si>
    <t>sink</t>
  </si>
  <si>
    <t>Basic tools I have extra &gt;&gt;</t>
  </si>
  <si>
    <t>printout passw</t>
  </si>
  <si>
    <t>wed</t>
  </si>
  <si>
    <t>Passports</t>
  </si>
  <si>
    <t>rotary web form</t>
  </si>
  <si>
    <t>fri</t>
  </si>
  <si>
    <t>other ?</t>
  </si>
  <si>
    <t>Revise Ads</t>
  </si>
  <si>
    <t>M hairbrush</t>
  </si>
  <si>
    <t>confirm mow kid</t>
  </si>
  <si>
    <t>sat</t>
  </si>
  <si>
    <t>confirm flight sun</t>
  </si>
  <si>
    <t>sun after 11.13a</t>
  </si>
  <si>
    <t>Water pipe</t>
  </si>
  <si>
    <t>Sun</t>
  </si>
  <si>
    <t>a</t>
  </si>
  <si>
    <t>Call Credit Cards</t>
  </si>
  <si>
    <t>1497 Disc, boa</t>
  </si>
  <si>
    <t>Bread</t>
  </si>
  <si>
    <t>prep travel folder</t>
  </si>
  <si>
    <t>sun</t>
  </si>
  <si>
    <t>Butter</t>
  </si>
  <si>
    <t>Sandwich meat</t>
  </si>
  <si>
    <t>hair</t>
  </si>
  <si>
    <t>Tomatoes</t>
  </si>
  <si>
    <t>mow sunday am</t>
  </si>
  <si>
    <t>Salad mixed</t>
  </si>
  <si>
    <t>charge stuff</t>
  </si>
  <si>
    <t>Peanut butter</t>
  </si>
  <si>
    <t>shower</t>
  </si>
  <si>
    <t>Sun late</t>
  </si>
  <si>
    <t>Jelly</t>
  </si>
  <si>
    <t>Canned goods</t>
  </si>
  <si>
    <t>Mayonnaise</t>
  </si>
  <si>
    <t xml:space="preserve">Power off not TV, </t>
  </si>
  <si>
    <t>Eggs</t>
  </si>
  <si>
    <t xml:space="preserve">    sump pump</t>
  </si>
  <si>
    <t>Chease</t>
  </si>
  <si>
    <t>freezer</t>
  </si>
  <si>
    <t>Pickle relish sweet</t>
  </si>
  <si>
    <t>Milk boxed [2]</t>
  </si>
  <si>
    <t>OJ</t>
  </si>
  <si>
    <t>Chocolate drink powder</t>
  </si>
  <si>
    <t>extra batteries 2</t>
  </si>
  <si>
    <t>Sugar</t>
  </si>
  <si>
    <t>iphone old</t>
  </si>
  <si>
    <t>Tea</t>
  </si>
  <si>
    <t>Cookie biscuits</t>
  </si>
  <si>
    <t xml:space="preserve">Ceareal </t>
  </si>
  <si>
    <t>Grapenuts &amp; oil &amp; vinigar</t>
  </si>
  <si>
    <t>coat hangers</t>
  </si>
  <si>
    <t>TP</t>
  </si>
  <si>
    <t>Muffins</t>
  </si>
  <si>
    <t>Trifle</t>
  </si>
  <si>
    <t>Kitchen</t>
  </si>
  <si>
    <t>Food</t>
  </si>
  <si>
    <t>Need in 2021</t>
  </si>
  <si>
    <t>Boats Owned</t>
  </si>
  <si>
    <t>Tuna</t>
  </si>
  <si>
    <t>Knives Pearing</t>
  </si>
  <si>
    <t>Canal boat wood</t>
  </si>
  <si>
    <t>ChickSoup</t>
  </si>
  <si>
    <t>Mattress Topper ?</t>
  </si>
  <si>
    <t>Sail boat 24 ft McGreggor</t>
  </si>
  <si>
    <t>Merry Underwear</t>
  </si>
  <si>
    <t>40ft power boat</t>
  </si>
  <si>
    <t>Merry Sweater</t>
  </si>
  <si>
    <t>Ewing boat runabout</t>
  </si>
  <si>
    <t>Little Frying Pan</t>
  </si>
  <si>
    <t>Ponga</t>
  </si>
  <si>
    <t>Tooth Brush new each time</t>
  </si>
  <si>
    <t>Jet ski</t>
  </si>
  <si>
    <t>Plastic ?</t>
  </si>
  <si>
    <t>New boat C-Dory</t>
  </si>
  <si>
    <t>Mouse computer</t>
  </si>
  <si>
    <t>Fishing boat Gwendolin</t>
  </si>
  <si>
    <t>12v car laptop charger</t>
  </si>
  <si>
    <t>Canal boat Fred</t>
  </si>
  <si>
    <t>Showerproof Pants Rod</t>
  </si>
  <si>
    <t>Plastic Trash Bags</t>
  </si>
  <si>
    <t>Bed Sheet bottom</t>
  </si>
  <si>
    <t>Swetter Vest Rod</t>
  </si>
  <si>
    <t>White Sockes Rod</t>
  </si>
  <si>
    <t>Laptop Programs</t>
  </si>
  <si>
    <t>Priority</t>
  </si>
  <si>
    <t>Bookmarks</t>
  </si>
  <si>
    <t>Chrome</t>
  </si>
  <si>
    <t>Mail Inbox</t>
  </si>
  <si>
    <t>MS Office [word etc]</t>
  </si>
  <si>
    <t>One Drive</t>
  </si>
  <si>
    <t>Excel</t>
  </si>
  <si>
    <t>Snagit 21</t>
  </si>
  <si>
    <t>Accounts</t>
  </si>
  <si>
    <t>Gramerly   ???</t>
  </si>
  <si>
    <t>Mortgage</t>
  </si>
  <si>
    <t>Photo Gallery</t>
  </si>
  <si>
    <t>Calendar</t>
  </si>
  <si>
    <t>Media Player 10</t>
  </si>
  <si>
    <t>TDAmerica</t>
  </si>
  <si>
    <t>Think or swim</t>
  </si>
  <si>
    <t>Paypal shipping</t>
  </si>
  <si>
    <t>Photoshop Elements 18</t>
  </si>
  <si>
    <t>eBay Seller</t>
  </si>
  <si>
    <t>Photos Google</t>
  </si>
  <si>
    <t>Canal Trip Dislikes</t>
  </si>
  <si>
    <t>Finale Print Music 14</t>
  </si>
  <si>
    <t>DividendDetective</t>
  </si>
  <si>
    <t>Tight quarters &amp; Mobility, especially bedroom, bath and stairs</t>
  </si>
  <si>
    <t>Inkscape</t>
  </si>
  <si>
    <t>Entertainment challenges - TV receition, Internet reception, and service</t>
  </si>
  <si>
    <t>IrfanView</t>
  </si>
  <si>
    <t>Walking - long distances to everywhere</t>
  </si>
  <si>
    <t>Sketchup 17 Make</t>
  </si>
  <si>
    <t>Keeping everything working - diesel, water, gas, sewer, batteries, laundry</t>
  </si>
  <si>
    <t>WhatsApp</t>
  </si>
  <si>
    <t>Close quarters leads for partner frustration/anger</t>
  </si>
  <si>
    <t>Zoom Meetings</t>
  </si>
  <si>
    <t>Comfort - sofa and bed</t>
  </si>
  <si>
    <t>Dyplicate Cleaner</t>
  </si>
  <si>
    <t>Bed Backace</t>
  </si>
  <si>
    <t>Dymo</t>
  </si>
  <si>
    <t>MovieMaker</t>
  </si>
  <si>
    <t>Handbrake</t>
  </si>
  <si>
    <t>Narrowboat Simulator</t>
  </si>
  <si>
    <t>2 0 2 2</t>
  </si>
  <si>
    <r>
      <rPr>
        <b/>
        <sz val="10"/>
        <color rgb="FF000000"/>
        <rFont val="Arial"/>
        <family val="2"/>
      </rPr>
      <t xml:space="preserve">Total City Utility </t>
    </r>
    <r>
      <rPr>
        <i/>
        <sz val="10"/>
        <color rgb="FF000000"/>
        <rFont val="Arial"/>
        <family val="2"/>
      </rPr>
      <t>10th</t>
    </r>
  </si>
  <si>
    <t>SWW symphony</t>
  </si>
  <si>
    <t>NAWCC31</t>
  </si>
  <si>
    <t>expired</t>
  </si>
  <si>
    <t>Amazon Print</t>
  </si>
  <si>
    <t>KDP Kindle</t>
  </si>
  <si>
    <t>Etsy PDF</t>
  </si>
  <si>
    <t>Ingram Print</t>
  </si>
  <si>
    <t>Ingram Ebook</t>
  </si>
  <si>
    <t>D2D print</t>
  </si>
  <si>
    <t>D2D Ebook</t>
  </si>
  <si>
    <t>Google Play E</t>
  </si>
  <si>
    <t>B&amp;N Book</t>
  </si>
  <si>
    <t>B&amp;N eBook</t>
  </si>
  <si>
    <t>XXX</t>
  </si>
  <si>
    <t>spanish bench manual</t>
  </si>
  <si>
    <t>spanish cuckoo</t>
  </si>
  <si>
    <t>Build Your own Handbell Tree</t>
  </si>
  <si>
    <t>Announce
Date</t>
  </si>
  <si>
    <t>Dividend $</t>
  </si>
  <si>
    <t>Announce
Price</t>
  </si>
  <si>
    <t>Announce Yld</t>
  </si>
  <si>
    <t>T. Rowe Price</t>
  </si>
  <si>
    <t>FutureFuel</t>
  </si>
  <si>
    <t>Moelis &amp; Co.</t>
  </si>
  <si>
    <t>*15.00</t>
  </si>
  <si>
    <t>*</t>
  </si>
  <si>
    <t>B. Riley Financial</t>
  </si>
  <si>
    <t>AMCON Distributing</t>
  </si>
  <si>
    <t>Americo</t>
  </si>
  <si>
    <t>Landstar System</t>
  </si>
  <si>
    <t>Systemax</t>
  </si>
  <si>
    <t>Cognex</t>
  </si>
  <si>
    <t>Tredegar</t>
  </si>
  <si>
    <t>Texas Pacific Land</t>
  </si>
  <si>
    <t>Costco</t>
  </si>
  <si>
    <t>A-Mark Precious Metals</t>
  </si>
  <si>
    <t>AMRK</t>
  </si>
  <si>
    <t>Investors Title</t>
  </si>
  <si>
    <t>Haverty Furniture</t>
  </si>
  <si>
    <t>HVT</t>
  </si>
  <si>
    <t>Wingstop</t>
  </si>
  <si>
    <t>WING</t>
  </si>
  <si>
    <t>Federated Hermes</t>
  </si>
  <si>
    <t>FHI</t>
  </si>
  <si>
    <t>Amerisafe</t>
  </si>
  <si>
    <t>Equity Commonwealth</t>
  </si>
  <si>
    <t>EQC</t>
  </si>
  <si>
    <t>Verso</t>
  </si>
  <si>
    <t>VRS</t>
  </si>
  <si>
    <t>Sturm, Ruger &amp; Co.</t>
  </si>
  <si>
    <t>Scotts Miracle-Gro</t>
  </si>
  <si>
    <t>SMG</t>
  </si>
  <si>
    <t>Bluegreen Vacations</t>
  </si>
  <si>
    <t>BXG</t>
  </si>
  <si>
    <t>18.8#</t>
  </si>
  <si>
    <t>Argan</t>
  </si>
  <si>
    <t>AGX</t>
  </si>
  <si>
    <t>VirnetX Holding</t>
  </si>
  <si>
    <t>VHC</t>
  </si>
  <si>
    <t>Loral Space &amp; Commun.</t>
  </si>
  <si>
    <t>LORL</t>
  </si>
  <si>
    <t>OneMain Holdings</t>
  </si>
  <si>
    <t>Tillys</t>
  </si>
  <si>
    <t>Norton Lifelock</t>
  </si>
  <si>
    <t>NLOK</t>
  </si>
  <si>
    <t>Silversun Tech.</t>
  </si>
  <si>
    <t>TransDigm Group</t>
  </si>
  <si>
    <t>Vornado Realty</t>
  </si>
  <si>
    <t>VNO</t>
  </si>
  <si>
    <t>Omega Flex</t>
  </si>
  <si>
    <t>OFLX</t>
  </si>
  <si>
    <t>PACCAR</t>
  </si>
  <si>
    <t>Patriot Transport.</t>
  </si>
  <si>
    <t>PATI</t>
  </si>
  <si>
    <t>Merrimack Pharma</t>
  </si>
  <si>
    <t>MACK</t>
  </si>
  <si>
    <t>GlobalSCAPE</t>
  </si>
  <si>
    <t>GSB</t>
  </si>
  <si>
    <t>Vericity</t>
  </si>
  <si>
    <t>VERY</t>
  </si>
  <si>
    <t>JB Sanfilippo</t>
  </si>
  <si>
    <t>Times Publishing</t>
  </si>
  <si>
    <t>TPCO</t>
  </si>
  <si>
    <t>Werner Enterprises</t>
  </si>
  <si>
    <t>WERN</t>
  </si>
  <si>
    <t>Warrior Met Coal</t>
  </si>
  <si>
    <t>HCC</t>
  </si>
  <si>
    <t>TheStreet</t>
  </si>
  <si>
    <t>TST</t>
  </si>
  <si>
    <t>J. Jill</t>
  </si>
  <si>
    <t>JILL</t>
  </si>
  <si>
    <t>CNA Financial</t>
  </si>
  <si>
    <t>CNA</t>
  </si>
  <si>
    <t>HFF, Inc.</t>
  </si>
  <si>
    <t>HFF</t>
  </si>
  <si>
    <t>Park Electrochemical</t>
  </si>
  <si>
    <t>PKE</t>
  </si>
  <si>
    <t>Source Capital</t>
  </si>
  <si>
    <t>SOR</t>
  </si>
  <si>
    <t>Cohen &amp; Steers</t>
  </si>
  <si>
    <t>CNS</t>
  </si>
  <si>
    <t>Gorman-Rupp</t>
  </si>
  <si>
    <t>GRC</t>
  </si>
  <si>
    <t>Pico Holdings</t>
  </si>
  <si>
    <t>PICO</t>
  </si>
  <si>
    <t>GWG Holdings</t>
  </si>
  <si>
    <t>GWGH</t>
  </si>
  <si>
    <t>ATA, Inc.</t>
  </si>
  <si>
    <t>ATAI</t>
  </si>
  <si>
    <t>Shutterstock</t>
  </si>
  <si>
    <t>SSTK</t>
  </si>
  <si>
    <t>United Fire Group</t>
  </si>
  <si>
    <t>UFCS</t>
  </si>
  <si>
    <t>TSR, Inc.</t>
  </si>
  <si>
    <t>TSRI</t>
  </si>
  <si>
    <t>Cracker Barrel</t>
  </si>
  <si>
    <t>CBRL</t>
  </si>
  <si>
    <t>*5.00</t>
  </si>
  <si>
    <t>*3.2%</t>
  </si>
  <si>
    <t>Altice USA</t>
  </si>
  <si>
    <t>ATUS</t>
  </si>
  <si>
    <t>Franklin Resources</t>
  </si>
  <si>
    <t>BEN</t>
  </si>
  <si>
    <t>Asta Funding</t>
  </si>
  <si>
    <t>ASFI</t>
  </si>
  <si>
    <t>Marchex</t>
  </si>
  <si>
    <t>MCHX</t>
  </si>
  <si>
    <t>RCM Technologies</t>
  </si>
  <si>
    <t>RCMT</t>
  </si>
  <si>
    <t>ProAssurance</t>
  </si>
  <si>
    <t>PRA</t>
  </si>
  <si>
    <t>Nathan's Famous</t>
  </si>
  <si>
    <t>NATH</t>
  </si>
  <si>
    <t>Bioptix</t>
  </si>
  <si>
    <t>BIOP</t>
  </si>
  <si>
    <t>Enduro Royalty Trust</t>
  </si>
  <si>
    <t>NDRO</t>
  </si>
  <si>
    <t>J.B. Sanfilippo</t>
  </si>
  <si>
    <t>YuMe</t>
  </si>
  <si>
    <t>YUME</t>
  </si>
  <si>
    <t>Bob Evans Farm</t>
  </si>
  <si>
    <t>BOBE</t>
  </si>
  <si>
    <t>HF</t>
  </si>
  <si>
    <t>Mueller Industries</t>
  </si>
  <si>
    <t>MLI</t>
  </si>
  <si>
    <t>*7.4%</t>
  </si>
  <si>
    <t>Melco Crown Ent.</t>
  </si>
  <si>
    <t>MPEL</t>
  </si>
  <si>
    <t>Tribune Media</t>
  </si>
  <si>
    <t>TRCO</t>
  </si>
  <si>
    <t>PharmAthene</t>
  </si>
  <si>
    <t>PIP</t>
  </si>
  <si>
    <t>PlanetFitness</t>
  </si>
  <si>
    <t>PLNT</t>
  </si>
  <si>
    <t>RLI Corp</t>
  </si>
  <si>
    <t>Equity Residential</t>
  </si>
  <si>
    <t>EQR</t>
  </si>
  <si>
    <t>Camden Property</t>
  </si>
  <si>
    <t>CPT</t>
  </si>
  <si>
    <t>Syntel</t>
  </si>
  <si>
    <t>SYNT</t>
  </si>
  <si>
    <t>Gyrodyne</t>
  </si>
  <si>
    <t>GYRO</t>
  </si>
  <si>
    <t>Stanley Furn.</t>
  </si>
  <si>
    <t>STLY</t>
  </si>
  <si>
    <t>EMCORE</t>
  </si>
  <si>
    <t>EMKR</t>
  </si>
  <si>
    <t>Ennis</t>
  </si>
  <si>
    <t>EBF</t>
  </si>
  <si>
    <t>Golden Entertain.</t>
  </si>
  <si>
    <t>GDEN</t>
  </si>
  <si>
    <t>MasterCraft</t>
  </si>
  <si>
    <t>MCFT</t>
  </si>
  <si>
    <t>Visteon</t>
  </si>
  <si>
    <t>VC</t>
  </si>
  <si>
    <t>Lancaster Colony</t>
  </si>
  <si>
    <t>LANC</t>
  </si>
  <si>
    <t>RLI Corp.</t>
  </si>
  <si>
    <t>Macerich</t>
  </si>
  <si>
    <t>MAC</t>
  </si>
  <si>
    <t>Universal American</t>
  </si>
  <si>
    <t>UAM</t>
  </si>
  <si>
    <t>Nordstrom</t>
  </si>
  <si>
    <t>JWN</t>
  </si>
  <si>
    <t>Equinix</t>
  </si>
  <si>
    <t>EQIX</t>
  </si>
  <si>
    <t>Marlin Business</t>
  </si>
  <si>
    <t>MRLN</t>
  </si>
  <si>
    <t>AMERCO</t>
  </si>
  <si>
    <t>Kayne Ander. Midstr.</t>
  </si>
  <si>
    <t>KMF</t>
  </si>
  <si>
    <t>Alteva</t>
  </si>
  <si>
    <t>ALTV</t>
  </si>
  <si>
    <t>Drew Industries</t>
  </si>
  <si>
    <t>DW</t>
  </si>
  <si>
    <t>RE/MAX Holdings</t>
  </si>
  <si>
    <t>RMAX</t>
  </si>
  <si>
    <t>National Presto</t>
  </si>
  <si>
    <t>NPK</t>
  </si>
  <si>
    <t>Stein Mart</t>
  </si>
  <si>
    <t>SMRT</t>
  </si>
  <si>
    <t>HSN, Inc.</t>
  </si>
  <si>
    <t>HSNI</t>
  </si>
  <si>
    <t>Taomee</t>
  </si>
  <si>
    <t>TAOM</t>
  </si>
  <si>
    <t>NVE Corp.</t>
  </si>
  <si>
    <t>NVEC</t>
  </si>
  <si>
    <t>Pilgrim's Pride</t>
  </si>
  <si>
    <t>PPC</t>
  </si>
  <si>
    <t>Winthrop Realty Tr.</t>
  </si>
  <si>
    <t>FUR</t>
  </si>
  <si>
    <t>STR Holdings</t>
  </si>
  <si>
    <t>STRI</t>
  </si>
  <si>
    <t>A.H. Belo</t>
  </si>
  <si>
    <t>AHC</t>
  </si>
  <si>
    <t>Boston Properties</t>
  </si>
  <si>
    <t>BXP</t>
  </si>
  <si>
    <t>Allegiant Travel</t>
  </si>
  <si>
    <t>ALGT</t>
  </si>
  <si>
    <t>Western Refining</t>
  </si>
  <si>
    <t>WNR</t>
  </si>
  <si>
    <t>MSC Industrial</t>
  </si>
  <si>
    <t>KLA-Tencor</t>
  </si>
  <si>
    <t>KLAC</t>
  </si>
  <si>
    <t>Firsthand Tech. Value</t>
  </si>
  <si>
    <t>SVVC</t>
  </si>
  <si>
    <t>KongZhong</t>
  </si>
  <si>
    <t>KZ</t>
  </si>
  <si>
    <t>Jiayuan.com</t>
  </si>
  <si>
    <t>Emerson Radio</t>
  </si>
  <si>
    <t>MSN</t>
  </si>
  <si>
    <t>Booz Allen</t>
  </si>
  <si>
    <t>BAH</t>
  </si>
  <si>
    <t>Aware</t>
  </si>
  <si>
    <t>AWRE</t>
  </si>
  <si>
    <t>Transcept Pharma</t>
  </si>
  <si>
    <t>TSPT</t>
  </si>
  <si>
    <t>Mercantile Bank</t>
  </si>
  <si>
    <t>MBWM</t>
  </si>
  <si>
    <t>G&amp;K Services</t>
  </si>
  <si>
    <t>GK</t>
  </si>
  <si>
    <t>China Digital TV</t>
  </si>
  <si>
    <t>STV</t>
  </si>
  <si>
    <t>Winmark</t>
  </si>
  <si>
    <t>Sotheby's</t>
  </si>
  <si>
    <t>BID</t>
  </si>
  <si>
    <t>Viad</t>
  </si>
  <si>
    <t>VVI</t>
  </si>
  <si>
    <t>Concord Medical</t>
  </si>
  <si>
    <t>CCM</t>
  </si>
  <si>
    <t>CME Group</t>
  </si>
  <si>
    <t>Anixter Intl.</t>
  </si>
  <si>
    <t>AXE</t>
  </si>
  <si>
    <t>Diamond Hill Invest.</t>
  </si>
  <si>
    <t>Pozen</t>
  </si>
  <si>
    <t>POZN</t>
  </si>
  <si>
    <t>Wynn Resorts</t>
  </si>
  <si>
    <t>WYNN</t>
  </si>
  <si>
    <t>Saratoga Investment</t>
  </si>
  <si>
    <t>SAR</t>
  </si>
  <si>
    <t>Clear Channel Outdoor</t>
  </si>
  <si>
    <t>CCO</t>
  </si>
  <si>
    <t>Gordmans Stores</t>
  </si>
  <si>
    <t>GMAN</t>
  </si>
  <si>
    <t>FBL Financial</t>
  </si>
  <si>
    <t>FFG</t>
  </si>
  <si>
    <t>Natures Sunshine</t>
  </si>
  <si>
    <t>NATR</t>
  </si>
  <si>
    <t>Primus Telecom</t>
  </si>
  <si>
    <t>PTGI</t>
  </si>
  <si>
    <t>Advent Software</t>
  </si>
  <si>
    <t>ADVS</t>
  </si>
  <si>
    <t>Generac Holdings</t>
  </si>
  <si>
    <t>GNRC</t>
  </si>
  <si>
    <t>Freeport-McMoRan</t>
  </si>
  <si>
    <t>FCX</t>
  </si>
  <si>
    <t>Intelequent</t>
  </si>
  <si>
    <t>IQNT</t>
  </si>
  <si>
    <t>Plains Exploration</t>
  </si>
  <si>
    <t>PXP</t>
  </si>
  <si>
    <t>U.S. Cellular</t>
  </si>
  <si>
    <t>USM</t>
  </si>
  <si>
    <t>OfficeMax</t>
  </si>
  <si>
    <t>OMX</t>
  </si>
  <si>
    <t>Enzon Pharma.</t>
  </si>
  <si>
    <t>ENZN</t>
  </si>
  <si>
    <t>VimpelCom</t>
  </si>
  <si>
    <t>VIP</t>
  </si>
  <si>
    <t>QLT Inc.</t>
  </si>
  <si>
    <t>QLTI</t>
  </si>
  <si>
    <t>SAIC, Inc.</t>
  </si>
  <si>
    <t>SAI</t>
  </si>
  <si>
    <t>Charm Communications</t>
  </si>
  <si>
    <t>CHRM</t>
  </si>
  <si>
    <t>Capital Southwest</t>
  </si>
  <si>
    <t>Myrexis</t>
  </si>
  <si>
    <t>MYRX</t>
  </si>
  <si>
    <t>Xyratex</t>
  </si>
  <si>
    <t>XRTX</t>
  </si>
  <si>
    <t>CNH Global NV</t>
  </si>
  <si>
    <t>CNH</t>
  </si>
  <si>
    <t>Quad/Graphics</t>
  </si>
  <si>
    <t>QUAD</t>
  </si>
  <si>
    <t>SoundBite</t>
  </si>
  <si>
    <t>SDBT</t>
  </si>
  <si>
    <t>Concurrent Computer</t>
  </si>
  <si>
    <t>CCUR</t>
  </si>
  <si>
    <t>Dolby Labs</t>
  </si>
  <si>
    <t>DLB</t>
  </si>
  <si>
    <t>Nicolas Financial</t>
  </si>
  <si>
    <t>NICK</t>
  </si>
  <si>
    <t>Almost Family</t>
  </si>
  <si>
    <t>AFAM</t>
  </si>
  <si>
    <t>Air Methods</t>
  </si>
  <si>
    <t>AIRM</t>
  </si>
  <si>
    <t>Cypress Sharpridge</t>
  </si>
  <si>
    <t>CYS</t>
  </si>
  <si>
    <t>Limited Brands</t>
  </si>
  <si>
    <t>LTD</t>
  </si>
  <si>
    <t>Seacor</t>
  </si>
  <si>
    <t>CKH</t>
  </si>
  <si>
    <t>Innovative Solutions</t>
  </si>
  <si>
    <t>Kforce</t>
  </si>
  <si>
    <t>KFRC</t>
  </si>
  <si>
    <t>Pain Therapeutics</t>
  </si>
  <si>
    <t>PTIE</t>
  </si>
  <si>
    <t>Seaboard</t>
  </si>
  <si>
    <t>SEB</t>
  </si>
  <si>
    <t>Washington Post</t>
  </si>
  <si>
    <t>WPO</t>
  </si>
  <si>
    <t>Hyster-Yale Materials</t>
  </si>
  <si>
    <t>HY</t>
  </si>
  <si>
    <t>Einstein Noah</t>
  </si>
  <si>
    <t>BAGL</t>
  </si>
  <si>
    <t>HEICO</t>
  </si>
  <si>
    <t>HIE</t>
  </si>
  <si>
    <t>Marcus Group</t>
  </si>
  <si>
    <t>MCS</t>
  </si>
  <si>
    <t>MCGraw-Hill</t>
  </si>
  <si>
    <t>MHP</t>
  </si>
  <si>
    <t>P.A.M. Transp.</t>
  </si>
  <si>
    <t>PTSI</t>
  </si>
  <si>
    <t>Dick's Sporting Goods</t>
  </si>
  <si>
    <t>Pike Electric</t>
  </si>
  <si>
    <t>PIKE</t>
  </si>
  <si>
    <t>ePlus</t>
  </si>
  <si>
    <t>PLUS</t>
  </si>
  <si>
    <t>Electro Scientific</t>
  </si>
  <si>
    <t>ESIO</t>
  </si>
  <si>
    <t>PetMed Express</t>
  </si>
  <si>
    <t>PETS</t>
  </si>
  <si>
    <t>HCA Holdings</t>
  </si>
  <si>
    <t>HCA</t>
  </si>
  <si>
    <t>Innospec</t>
  </si>
  <si>
    <t>IOSP</t>
  </si>
  <si>
    <t>Mastech Holdings</t>
  </si>
  <si>
    <t>MHH</t>
  </si>
  <si>
    <t>Tellabs</t>
  </si>
  <si>
    <t>TLAB</t>
  </si>
  <si>
    <t>Whole Foods</t>
  </si>
  <si>
    <t>WFM</t>
  </si>
  <si>
    <t>Electro Rent</t>
  </si>
  <si>
    <t>ELRC</t>
  </si>
  <si>
    <t>KBW, Inc.</t>
  </si>
  <si>
    <t>KBW</t>
  </si>
  <si>
    <t>KapStone Paper</t>
  </si>
  <si>
    <t>KS</t>
  </si>
  <si>
    <t>Brown Forman</t>
  </si>
  <si>
    <t>BF-A</t>
  </si>
  <si>
    <t>SL Industries</t>
  </si>
  <si>
    <t>SLI</t>
  </si>
  <si>
    <t>Las Vegas Sands</t>
  </si>
  <si>
    <t>LVS</t>
  </si>
  <si>
    <t>Arden Group</t>
  </si>
  <si>
    <t>ARDNA</t>
  </si>
  <si>
    <t>Erie Indemnity</t>
  </si>
  <si>
    <t>ERIE</t>
  </si>
  <si>
    <t>Sturm, Ruger</t>
  </si>
  <si>
    <t>Westlake Chemical</t>
  </si>
  <si>
    <t>WLK</t>
  </si>
  <si>
    <t>Xueda Education</t>
  </si>
  <si>
    <t>XUE</t>
  </si>
  <si>
    <t>Boise</t>
  </si>
  <si>
    <t>BZ</t>
  </si>
  <si>
    <t>Town Sports</t>
  </si>
  <si>
    <t>CLUB</t>
  </si>
  <si>
    <t>Heartland Express</t>
  </si>
  <si>
    <t>HTLD</t>
  </si>
  <si>
    <t>NAACO Industries</t>
  </si>
  <si>
    <t>NC</t>
  </si>
  <si>
    <t>Atrion</t>
  </si>
  <si>
    <t>ATRI</t>
  </si>
  <si>
    <t>Crown Crafts</t>
  </si>
  <si>
    <t>CRWS</t>
  </si>
  <si>
    <t>National Interstate</t>
  </si>
  <si>
    <t>NATL</t>
  </si>
  <si>
    <t>AOL</t>
  </si>
  <si>
    <t>Ryman Hospitality</t>
  </si>
  <si>
    <t>RHP</t>
  </si>
  <si>
    <t>Sinclair Broadcast</t>
  </si>
  <si>
    <t>SBGI</t>
  </si>
  <si>
    <t>Select Medical</t>
  </si>
  <si>
    <t>SEM</t>
  </si>
  <si>
    <t>Lyondell Basell</t>
  </si>
  <si>
    <t>LYB</t>
  </si>
  <si>
    <t>NewMarket</t>
  </si>
  <si>
    <t>NEU</t>
  </si>
  <si>
    <t>Federated Investors</t>
  </si>
  <si>
    <t>FII</t>
  </si>
  <si>
    <t>Marine Products</t>
  </si>
  <si>
    <t>MPX</t>
  </si>
  <si>
    <t>Murphy Oil</t>
  </si>
  <si>
    <t>MUR</t>
  </si>
  <si>
    <t>Inteliquent</t>
  </si>
  <si>
    <t>Watsco</t>
  </si>
  <si>
    <t>WSO</t>
  </si>
  <si>
    <t>Capital Trust</t>
  </si>
  <si>
    <t>CT</t>
  </si>
  <si>
    <t>Sycamore Networks</t>
  </si>
  <si>
    <t>SCMR</t>
  </si>
  <si>
    <t>RDA Microelectronics</t>
  </si>
  <si>
    <t>RDA</t>
  </si>
  <si>
    <t>American Eagle</t>
  </si>
  <si>
    <t>AEO</t>
  </si>
  <si>
    <t>DSW Inc.</t>
  </si>
  <si>
    <t>DSW</t>
  </si>
  <si>
    <t>Genpact</t>
  </si>
  <si>
    <t>G</t>
  </si>
  <si>
    <t>Bassett Furniture</t>
  </si>
  <si>
    <t>BSET</t>
  </si>
  <si>
    <t>SouFun Holdings</t>
  </si>
  <si>
    <t>SFUN</t>
  </si>
  <si>
    <t>Fisher Communications</t>
  </si>
  <si>
    <t>FSCI</t>
  </si>
  <si>
    <t>H&amp;E Equipment Services</t>
  </si>
  <si>
    <t>HEES</t>
  </si>
  <si>
    <t>Warner Chilcott</t>
  </si>
  <si>
    <t>WCRX</t>
  </si>
  <si>
    <t>Global-Tech</t>
  </si>
  <si>
    <t>GAI</t>
  </si>
  <si>
    <t>Maxygen</t>
  </si>
  <si>
    <t>MAXY</t>
  </si>
  <si>
    <t>Changyou.com</t>
  </si>
  <si>
    <t>CYOU</t>
  </si>
  <si>
    <t>Frisch's Restaurants</t>
  </si>
  <si>
    <t>FRS</t>
  </si>
  <si>
    <t>Choice Hotels</t>
  </si>
  <si>
    <t>CHH</t>
  </si>
  <si>
    <t>Logitech Intl.</t>
  </si>
  <si>
    <t>LOGI</t>
  </si>
  <si>
    <t>Sara Lee Spin-Off*</t>
  </si>
  <si>
    <t>SLE</t>
  </si>
  <si>
    <t>Evolving Systems</t>
  </si>
  <si>
    <t>EVOL</t>
  </si>
  <si>
    <t>China Nepstar</t>
  </si>
  <si>
    <t>NPD</t>
  </si>
  <si>
    <t>GKSR</t>
  </si>
  <si>
    <t>LPL Investment</t>
  </si>
  <si>
    <t>LPLA</t>
  </si>
  <si>
    <t>Loral Space &amp; Comm.</t>
  </si>
  <si>
    <t>Armstrong World</t>
  </si>
  <si>
    <t>AWI</t>
  </si>
  <si>
    <t>P.A.M. Transport</t>
  </si>
  <si>
    <t>Domino's Pizza</t>
  </si>
  <si>
    <t>DPZ</t>
  </si>
  <si>
    <t>Noranda Aluminum</t>
  </si>
  <si>
    <t>NOR</t>
  </si>
  <si>
    <t>Kaydon</t>
  </si>
  <si>
    <t>KDN</t>
  </si>
  <si>
    <t>Cabot Microelectronics</t>
  </si>
  <si>
    <t>CCMP</t>
  </si>
  <si>
    <t>Quality Products</t>
  </si>
  <si>
    <t>QPDC</t>
  </si>
  <si>
    <t>Internet Patents</t>
  </si>
  <si>
    <t>PTNT</t>
  </si>
  <si>
    <t>SouFun</t>
  </si>
  <si>
    <t>GAINSCO</t>
  </si>
  <si>
    <t>GANS</t>
  </si>
  <si>
    <t>Eagle Capital Growth</t>
  </si>
  <si>
    <t>GRF</t>
  </si>
  <si>
    <t>White River Capital</t>
  </si>
  <si>
    <t>RVR</t>
  </si>
  <si>
    <t>Shanda Games</t>
  </si>
  <si>
    <t>GAME</t>
  </si>
  <si>
    <t>Bolt Technology</t>
  </si>
  <si>
    <t>BOLT</t>
  </si>
  <si>
    <t>DISH Network</t>
  </si>
  <si>
    <t>DISH</t>
  </si>
  <si>
    <t>MRV Communications</t>
  </si>
  <si>
    <t>MRVC</t>
  </si>
  <si>
    <t>Universal Truckload</t>
  </si>
  <si>
    <t>UACL</t>
  </si>
  <si>
    <t>Giant Interactive</t>
  </si>
  <si>
    <t>GA</t>
  </si>
  <si>
    <t>International Wire</t>
  </si>
  <si>
    <t>ITWG</t>
  </si>
  <si>
    <t>OneBeacon</t>
  </si>
  <si>
    <t>OB</t>
  </si>
  <si>
    <t>China Digital Tv</t>
  </si>
  <si>
    <t>VeriSign</t>
  </si>
  <si>
    <t>VRSN</t>
  </si>
  <si>
    <t>Insignia Systems</t>
  </si>
  <si>
    <t>ISIG</t>
  </si>
  <si>
    <t>Emergent Group</t>
  </si>
  <si>
    <t>LZR</t>
  </si>
  <si>
    <t>Altrion</t>
  </si>
  <si>
    <t>Regal Entertainment</t>
  </si>
  <si>
    <t>RGC</t>
  </si>
  <si>
    <t>Interactive Brokers</t>
  </si>
  <si>
    <t>IBKR</t>
  </si>
  <si>
    <t>OptionsXpress</t>
  </si>
  <si>
    <t>OXPS</t>
  </si>
  <si>
    <t>Farmers &amp; Merchants</t>
  </si>
  <si>
    <t>Abovenet</t>
  </si>
  <si>
    <t>ABVT</t>
  </si>
  <si>
    <t>Guess?</t>
  </si>
  <si>
    <t>GES</t>
  </si>
  <si>
    <t>SEACOR</t>
  </si>
  <si>
    <t>MEDTOX Scientific</t>
  </si>
  <si>
    <t>MTOX</t>
  </si>
  <si>
    <t>Telular</t>
  </si>
  <si>
    <t>WRLS</t>
  </si>
  <si>
    <t>Forrester Research</t>
  </si>
  <si>
    <t>FORR</t>
  </si>
  <si>
    <t>GAN</t>
  </si>
  <si>
    <t>Stamps.com</t>
  </si>
  <si>
    <t>STMP</t>
  </si>
  <si>
    <t>Renaissance Learning</t>
  </si>
  <si>
    <t>RLRN</t>
  </si>
  <si>
    <t>USA Mobility</t>
  </si>
  <si>
    <t>USMO</t>
  </si>
  <si>
    <t>Ameron</t>
  </si>
  <si>
    <t>AMN</t>
  </si>
  <si>
    <t>Value Line</t>
  </si>
  <si>
    <t>VALU</t>
  </si>
  <si>
    <t>MedQuist</t>
  </si>
  <si>
    <t>MEDQ</t>
  </si>
  <si>
    <t>FinishMaster</t>
  </si>
  <si>
    <t>FMST</t>
  </si>
  <si>
    <t>Valeant Pharma</t>
  </si>
  <si>
    <t>VRX</t>
  </si>
  <si>
    <t>Schiff Nutrition</t>
  </si>
  <si>
    <t>WNI</t>
  </si>
  <si>
    <t>OPTi</t>
  </si>
  <si>
    <t>OPTI</t>
  </si>
  <si>
    <t>bebe Stores</t>
  </si>
  <si>
    <t>BEBE</t>
  </si>
  <si>
    <t>Williams Controls</t>
  </si>
  <si>
    <t>WMCO</t>
  </si>
  <si>
    <t>Covanta Holding</t>
  </si>
  <si>
    <t>CVA</t>
  </si>
  <si>
    <t>Tandy Leather</t>
  </si>
  <si>
    <t>TLF</t>
  </si>
  <si>
    <t>Hot Topic</t>
  </si>
  <si>
    <t>HOTT</t>
  </si>
  <si>
    <t>First Mercury Fin.</t>
  </si>
  <si>
    <t>FMR</t>
  </si>
  <si>
    <t>Masimo</t>
  </si>
  <si>
    <t>MASI</t>
  </si>
  <si>
    <t>Partner Communic.</t>
  </si>
  <si>
    <t>PTNR</t>
  </si>
  <si>
    <t>Ituran Location &amp; Ctl.</t>
  </si>
  <si>
    <t>ITRN</t>
  </si>
  <si>
    <t>PDL BioPharma</t>
  </si>
  <si>
    <t>PDLI</t>
  </si>
  <si>
    <t>Magic Software</t>
  </si>
  <si>
    <t>MGIC</t>
  </si>
  <si>
    <t>Indonesia Fund</t>
  </si>
  <si>
    <t>IF</t>
  </si>
  <si>
    <t>CompuCredit Holdings</t>
  </si>
  <si>
    <t>CCRT</t>
  </si>
  <si>
    <t>YoCream</t>
  </si>
  <si>
    <t>YOCM</t>
  </si>
  <si>
    <t>iPass</t>
  </si>
  <si>
    <t>IPAS</t>
  </si>
  <si>
    <t>Steris</t>
  </si>
  <si>
    <t>STE</t>
  </si>
  <si>
    <t>Terra Industries</t>
  </si>
  <si>
    <t>TRA</t>
  </si>
  <si>
    <t>**6.00</t>
  </si>
  <si>
    <t>D   E   B   T</t>
  </si>
  <si>
    <t>A S S E T S</t>
  </si>
  <si>
    <t>[Credit Cards, Unpaid Taxes, Medical, Auto, College, Consumer, etc]</t>
  </si>
  <si>
    <t xml:space="preserve"> [Cash, Savings, Investments, Retirement, Real Estate]</t>
  </si>
  <si>
    <t>-35k+</t>
  </si>
  <si>
    <t>-30k</t>
  </si>
  <si>
    <t>-25k</t>
  </si>
  <si>
    <t>-20k</t>
  </si>
  <si>
    <t>-15k</t>
  </si>
  <si>
    <t>10k</t>
  </si>
  <si>
    <t>20k</t>
  </si>
  <si>
    <t>50k</t>
  </si>
  <si>
    <t>100k</t>
  </si>
  <si>
    <t>250k</t>
  </si>
  <si>
    <t>500k</t>
  </si>
  <si>
    <t>Every time you borrow money or take on a loan, you get further away from becoming RICH</t>
  </si>
  <si>
    <t>Every time you save money, you get closer to becoming RICH</t>
  </si>
  <si>
    <t>Build a Mainspring Winder</t>
  </si>
  <si>
    <t>Getting Started in Clock Repair 6.99</t>
  </si>
  <si>
    <t>How to Adjust a Schatz Cuckoo Clock 5.99</t>
  </si>
  <si>
    <t>How to Adjust Cuckoo Clock Music Box 5.99</t>
  </si>
  <si>
    <t>How to Adjust Hermle &amp; Seth Thomas Ship Bell Clocks</t>
  </si>
  <si>
    <t>How to Adjust Hermle 132-071 &amp;amp; Seth Thomas 207-005 5.99</t>
  </si>
  <si>
    <t>How to Adjust Hermle Automatic Night Shut Off 6.99</t>
  </si>
  <si>
    <t>How to Adjust Schatz&amp;#39;s Ship Bell Clock 6.99</t>
  </si>
  <si>
    <t>How to Adjust Seth Thomas Open Bell Ship&amp;#39;s Clock 6.99</t>
  </si>
  <si>
    <t>How to Adjust Stop Works for the Hermle, Kleninger and Seth Thomas Movements</t>
  </si>
  <si>
    <t>How to Adjust Stop Works, Kieninger, Hermle, etc 5.99</t>
  </si>
  <si>
    <t>How to Adjust the 400-Day Anniversary Clock 5.99</t>
  </si>
  <si>
    <t>How to Adjust the American Count Wheel System</t>
  </si>
  <si>
    <t>How to Adjust the Cuckoo Clock Music Box</t>
  </si>
  <si>
    <t>How to Adjust the Hermle Automatic Night Shut Off</t>
  </si>
  <si>
    <t>How to Disassemble Clean &amp;amp; Reassemble PW 19.99</t>
  </si>
  <si>
    <t>How to Make a Ship’s bell Clock from an American Made Time &amp; Strike Movement.  $19.99.</t>
  </si>
  <si>
    <t>How to make a Watchmaker’s Clockmaker’s Bench</t>
  </si>
  <si>
    <t>How to Make an Adjustable Cuckoo Clock Test Stand 5.99</t>
  </si>
  <si>
    <t>How to Make an Inexpensive Depthing Tool 5.99</t>
  </si>
  <si>
    <t>How to Make Money on eBay w/ clocks and Watches 5.99</t>
  </si>
  <si>
    <t>How to Make Ship&amp;#39;s Bell Clock from American T&amp;amp;S 19.99</t>
  </si>
  <si>
    <t>How to Make Watchmaker&amp;#39;s Clockmaker&amp;#39;s bench 5.99</t>
  </si>
  <si>
    <t>How to Repair Alarm Clocks 5.99</t>
  </si>
  <si>
    <t>How to Repair Jefferson Golden Hour Clock 5.99</t>
  </si>
  <si>
    <t>Proper Use of Watchmaker&amp;#39;s Graver 5.99</t>
  </si>
  <si>
    <t>Shop Made Tools for the Clockmaker 19.99</t>
  </si>
  <si>
    <t>The Cuckoo Clock Repair Manual 29.99</t>
  </si>
  <si>
    <t>Understanding Chiming Clocks &amp;amp; Automatic Synchronization 5.99</t>
  </si>
  <si>
    <t>Understanding the Rack &amp;amp; Snail System 5.99</t>
  </si>
  <si>
    <t>Watchmaker's &amp; Clockmaker's Work Bench</t>
  </si>
  <si>
    <t>Property Insurance</t>
  </si>
  <si>
    <t>Insurance company</t>
  </si>
  <si>
    <t>Policy #</t>
  </si>
  <si>
    <t>Amount</t>
  </si>
  <si>
    <t>Renewal</t>
  </si>
  <si>
    <t>notes</t>
  </si>
  <si>
    <t>Auto Renew</t>
  </si>
  <si>
    <t>Personal Property</t>
  </si>
  <si>
    <t>16-B1-H569-8 F</t>
  </si>
  <si>
    <t>yes BOA</t>
  </si>
  <si>
    <t>Tipp, Tory B 126 East Ave S Lyons, KS 67554-2720 (620) 257-3106 tory.tipp.wj0u@statefarm.com  may 2024</t>
  </si>
  <si>
    <t>Canal Boat</t>
  </si>
  <si>
    <t>GJW Direct Endeavour</t>
  </si>
  <si>
    <t>BN-1049329</t>
  </si>
  <si>
    <t>£190.83</t>
  </si>
  <si>
    <t>Auto &amp; Home 2021</t>
  </si>
  <si>
    <t>Katie Krautzenheiser  Kansas Life 620-665-1490</t>
  </si>
  <si>
    <t>821-754-800</t>
  </si>
  <si>
    <t>Auto Pay setup</t>
  </si>
  <si>
    <t>yes</t>
  </si>
  <si>
    <t>610805823 633 1</t>
  </si>
  <si>
    <t>3 vehicles    kathyb@kslifepc.com</t>
  </si>
  <si>
    <t>was 2104 in 2021</t>
  </si>
  <si>
    <t>128 w Main $1,000 deductable but wind and hail is $2,500</t>
  </si>
  <si>
    <t>was 2896 in 2021</t>
  </si>
  <si>
    <t>(800) 295-3753. Liberty Mutual</t>
  </si>
  <si>
    <t>H37-248-220676-70</t>
  </si>
  <si>
    <t>was 2,831</t>
  </si>
  <si>
    <t>NO</t>
  </si>
  <si>
    <t>Adriana will pass on to commercial</t>
  </si>
  <si>
    <t>Tracy Yang Sac office,</t>
  </si>
  <si>
    <t>916-293-7451   1420 Rocky Ridge Dr., Suite 300 Roseville CA 95661</t>
  </si>
  <si>
    <t>Laundry 417 20th</t>
  </si>
  <si>
    <t>Hartford   1 (860) 547-5000-   HUD international [commercial]</t>
  </si>
  <si>
    <t>57SBAID5070</t>
  </si>
  <si>
    <t>confirmed 12/18</t>
  </si>
  <si>
    <t>925-609-6500</t>
  </si>
  <si>
    <t>agent = HUD inter 877-974-7800</t>
  </si>
  <si>
    <t>HUB International</t>
  </si>
  <si>
    <t xml:space="preserve">water damage claim reported 12/3/18 claim # CP0018140188,  </t>
  </si>
  <si>
    <t>Adjuster - Christopher Nutter 1800-236-0398- ext 2303372</t>
  </si>
  <si>
    <t>3/11/19 128 claim</t>
  </si>
  <si>
    <t>Burst Water Pipe, cabinet fell   10:15am pacific</t>
  </si>
  <si>
    <t>039-430-924 claim #</t>
  </si>
  <si>
    <t>Adjuster Patric Kimmel 816-288-8371</t>
  </si>
  <si>
    <t>Claim #039430924</t>
  </si>
  <si>
    <t>MICHAEL WICKENHAUSER   Claims Resolution Team</t>
  </si>
  <si>
    <t>umbrella liability  policy 1 million carmen</t>
  </si>
  <si>
    <t>dec 21, ends</t>
  </si>
  <si>
    <t>terminated 12/19/18</t>
  </si>
  <si>
    <t>Upland Mutual Insurance   Linda - First Group Insurance  1-620-278-2191</t>
  </si>
  <si>
    <t>confirmed</t>
  </si>
  <si>
    <t>Fair Plan</t>
  </si>
  <si>
    <t>128 W main St</t>
  </si>
  <si>
    <t>State Farm Trop Tipp 620- 257-5432</t>
  </si>
  <si>
    <t>put on your list please to call Tory Tipp, he is in Lyons, for take-over of this policy</t>
  </si>
  <si>
    <t>Tory Tipp, in Lyons  620 257 3106. he is also with state farm and we can transfer the policy to him. saves any need of value on paintings etc, tho I will ask home owners what they would charge for a rider and IF they are lower if they need value etc...</t>
  </si>
  <si>
    <t>State Farm   Bob Beal   360-425-5432</t>
  </si>
  <si>
    <t>Personal Property home</t>
  </si>
  <si>
    <t>405 Washington   Don parsons 360 642-4587</t>
  </si>
  <si>
    <t>344 25th Ave</t>
  </si>
  <si>
    <t>Allstate  Jim Debruler   360-636-3710</t>
  </si>
  <si>
    <t>224 &amp; 228 25th</t>
  </si>
  <si>
    <t>243 18th Ave</t>
  </si>
  <si>
    <t>297 26th Ave</t>
  </si>
  <si>
    <t>Liberty Mutual   800-295-3753</t>
  </si>
  <si>
    <t>Auto</t>
  </si>
  <si>
    <t>74430 Laurel Wood Rd</t>
  </si>
  <si>
    <t>357 20th Ave</t>
  </si>
  <si>
    <t>282 23rd Ave    H3526114816570</t>
  </si>
  <si>
    <t>HUB</t>
  </si>
  <si>
    <t>Laundry</t>
  </si>
  <si>
    <t>Farmers</t>
  </si>
  <si>
    <t>American Family Insurance   360-425-4000</t>
  </si>
  <si>
    <t>827 B Ocean Beach Hwy.</t>
  </si>
  <si>
    <t>Longview, WA 98632</t>
  </si>
  <si>
    <t>282 23rd Ave   CLOSED</t>
  </si>
  <si>
    <t xml:space="preserve">293 28th Ave, Active </t>
  </si>
  <si>
    <t>Personal Property State Farm $198.89 June 6</t>
  </si>
  <si>
    <t>hartford</t>
  </si>
  <si>
    <t>417 20th Ave Laundry</t>
  </si>
  <si>
    <t>74430 Laurel Wood</t>
  </si>
  <si>
    <t>Liberty Mutual approx July 2014   (800) 295-3753.</t>
  </si>
  <si>
    <t>h3726803818070</t>
  </si>
  <si>
    <t>Paid on 4/17/17</t>
  </si>
  <si>
    <t>Dates</t>
  </si>
  <si>
    <t>jon born</t>
  </si>
  <si>
    <t>Zetland St</t>
  </si>
  <si>
    <t>7 years</t>
  </si>
  <si>
    <t>Moved to Lansdowne Rd</t>
  </si>
  <si>
    <t>April</t>
  </si>
  <si>
    <t>Lansdowne Rd</t>
  </si>
  <si>
    <t>20 years</t>
  </si>
  <si>
    <t>Graduated Meols Cop</t>
  </si>
  <si>
    <t>caroline born</t>
  </si>
  <si>
    <t>Los Angeles</t>
  </si>
  <si>
    <t>11 years</t>
  </si>
  <si>
    <t>Completed 5 Year Appentiship</t>
  </si>
  <si>
    <t>Wight Way</t>
  </si>
  <si>
    <t>10 years</t>
  </si>
  <si>
    <t>Dad Died</t>
  </si>
  <si>
    <t>Soda Bay</t>
  </si>
  <si>
    <t>6 years</t>
  </si>
  <si>
    <t>Moved to US</t>
  </si>
  <si>
    <t>Sept 22</t>
  </si>
  <si>
    <t>lien born</t>
  </si>
  <si>
    <t>Rainier oregon</t>
  </si>
  <si>
    <t>Married</t>
  </si>
  <si>
    <t>Kansas</t>
  </si>
  <si>
    <t>5 years &amp; counting</t>
  </si>
  <si>
    <t>Moved to Wheatland</t>
  </si>
  <si>
    <t>glen visit</t>
  </si>
  <si>
    <t>nov 96</t>
  </si>
  <si>
    <t>Richie Little Brother approx</t>
  </si>
  <si>
    <t>Chritsmas England surprize</t>
  </si>
  <si>
    <t>Asthma started approx</t>
  </si>
  <si>
    <t>Owned two Laundromats LA</t>
  </si>
  <si>
    <t>Started Refereeing</t>
  </si>
  <si>
    <t>mom born</t>
  </si>
  <si>
    <t>1915 about</t>
  </si>
  <si>
    <t>Joined the Coast Gaurd Auxiliary</t>
  </si>
  <si>
    <t>Moved to Wight Way, Kelseyville</t>
  </si>
  <si>
    <t>sold sunland cl</t>
  </si>
  <si>
    <t>2/92</t>
  </si>
  <si>
    <t>Merry Met Laurel</t>
  </si>
  <si>
    <t>Dad born</t>
  </si>
  <si>
    <t>Bells started playing in UK</t>
  </si>
  <si>
    <t>England 1 year - clock course</t>
  </si>
  <si>
    <t>1995/6</t>
  </si>
  <si>
    <t>England 6 months</t>
  </si>
  <si>
    <t>Start Bells of the Lake</t>
  </si>
  <si>
    <t>Moved to Soda Bay</t>
  </si>
  <si>
    <t>Started playing Bass</t>
  </si>
  <si>
    <t>Moved to Rainier</t>
  </si>
  <si>
    <t>Cruise Med, Costa Concordia</t>
  </si>
  <si>
    <t>White Christmas</t>
  </si>
  <si>
    <t>Dum Died</t>
  </si>
  <si>
    <t>Hip Surgery Right</t>
  </si>
  <si>
    <t>March 8</t>
  </si>
  <si>
    <t>hip aged 55-1/2</t>
  </si>
  <si>
    <t>Start CRHB</t>
  </si>
  <si>
    <t>Start symphony</t>
  </si>
  <si>
    <t>Retired Coast Gaurd Auxiliary</t>
  </si>
  <si>
    <t>Start band Longview</t>
  </si>
  <si>
    <t>Cruise Oasis of the Seas Carabean</t>
  </si>
  <si>
    <t>2 weeks</t>
  </si>
  <si>
    <t>Bought 20 Ave Laundry</t>
  </si>
  <si>
    <t>Hip revision Right</t>
  </si>
  <si>
    <t>June</t>
  </si>
  <si>
    <t>Cruise New Zealand, Nordam</t>
  </si>
  <si>
    <t>Norwegean</t>
  </si>
  <si>
    <t>Sterling Closed Escrow</t>
  </si>
  <si>
    <t>Move to Sterling</t>
  </si>
  <si>
    <t>Hip Surgery Left</t>
  </si>
  <si>
    <t>Bought Freddy Narrowboat</t>
  </si>
  <si>
    <t>August</t>
  </si>
  <si>
    <t>Sold 20th Ave laundry</t>
  </si>
  <si>
    <t>Covid 19 Pendemic</t>
  </si>
  <si>
    <t>Stent</t>
  </si>
  <si>
    <t>World [western] Cruise Insignia</t>
  </si>
  <si>
    <t>Jan-July</t>
  </si>
  <si>
    <t>2 0 2 1</t>
  </si>
  <si>
    <r>
      <rPr>
        <b/>
        <sz val="10"/>
        <color rgb="FF000000"/>
        <rFont val="Arial"/>
        <family val="2"/>
      </rPr>
      <t xml:space="preserve">Total City Utility </t>
    </r>
    <r>
      <rPr>
        <i/>
        <sz val="10"/>
        <color rgb="FF000000"/>
        <rFont val="Arial"/>
        <family val="2"/>
      </rPr>
      <t>10th</t>
    </r>
  </si>
  <si>
    <r>
      <rPr>
        <b/>
        <sz val="10"/>
        <color rgb="FF000000"/>
        <rFont val="Arial"/>
        <family val="2"/>
      </rPr>
      <t xml:space="preserve">Total City Utility </t>
    </r>
    <r>
      <rPr>
        <i/>
        <sz val="10"/>
        <color rgb="FF000000"/>
        <rFont val="Arial"/>
        <family val="2"/>
      </rPr>
      <t>10th</t>
    </r>
  </si>
  <si>
    <t>tatal Insignia charges over booking</t>
  </si>
  <si>
    <t>DAY</t>
  </si>
  <si>
    <t>PORT</t>
  </si>
  <si>
    <t>ARRIVE</t>
  </si>
  <si>
    <t>DEPARTURE</t>
  </si>
  <si>
    <t>Sea Days</t>
  </si>
  <si>
    <t>Ports</t>
  </si>
  <si>
    <t>Clothes Checked detail</t>
  </si>
  <si>
    <t>Last Minute Pack</t>
  </si>
  <si>
    <t>Overnight Packing</t>
  </si>
  <si>
    <t>TO DO while At Sea</t>
  </si>
  <si>
    <t>England Canal</t>
  </si>
  <si>
    <t>Take to Custer</t>
  </si>
  <si>
    <t>Los Angeles, California</t>
  </si>
  <si>
    <t>Embark 1:00 PM</t>
  </si>
  <si>
    <t>Nice shirts</t>
  </si>
  <si>
    <t>Vacination card</t>
  </si>
  <si>
    <t>Facemasks</t>
  </si>
  <si>
    <t>cabinet books</t>
  </si>
  <si>
    <t>USB thumb</t>
  </si>
  <si>
    <t>Laptop</t>
  </si>
  <si>
    <t>San Diego, California</t>
  </si>
  <si>
    <t>Specialty shirts - thin, flower</t>
  </si>
  <si>
    <t>Trip Folder</t>
  </si>
  <si>
    <t>Extra charging cords</t>
  </si>
  <si>
    <t>biography update</t>
  </si>
  <si>
    <t>Passports &amp; Vax card &amp; locator</t>
  </si>
  <si>
    <t>Cruising the Pacific Ocean</t>
  </si>
  <si>
    <t>Pants dress nice blue</t>
  </si>
  <si>
    <t>book create youtube ads</t>
  </si>
  <si>
    <t>Spiral book</t>
  </si>
  <si>
    <t>fan</t>
  </si>
  <si>
    <t>Cabo San Lucas, Mexico</t>
  </si>
  <si>
    <t>Pants Light weight</t>
  </si>
  <si>
    <t>Mouse and Laptop</t>
  </si>
  <si>
    <t>Toenail clippers</t>
  </si>
  <si>
    <t>Ida book</t>
  </si>
  <si>
    <t>Directions</t>
  </si>
  <si>
    <t>folding chairs</t>
  </si>
  <si>
    <t>Mazatlan, Mexico</t>
  </si>
  <si>
    <t>Jeans</t>
  </si>
  <si>
    <t>Sweater &amp; Vest wear</t>
  </si>
  <si>
    <t>Bench Manual Making Wheels</t>
  </si>
  <si>
    <t>Shaver</t>
  </si>
  <si>
    <t>Socks Black</t>
  </si>
  <si>
    <t>Jamies x1</t>
  </si>
  <si>
    <t>Turn on water after freeze April 21</t>
  </si>
  <si>
    <t>Balsa Wood 1 by 1</t>
  </si>
  <si>
    <t>water cooler</t>
  </si>
  <si>
    <t>Acapulco, Mexico</t>
  </si>
  <si>
    <t>Socks white</t>
  </si>
  <si>
    <t>Chargers by recliner</t>
  </si>
  <si>
    <t>Turn off heater</t>
  </si>
  <si>
    <t>coat</t>
  </si>
  <si>
    <t>undies</t>
  </si>
  <si>
    <t>extra sweater</t>
  </si>
  <si>
    <t>Start mowing</t>
  </si>
  <si>
    <t>Wipers etc</t>
  </si>
  <si>
    <t>Belts</t>
  </si>
  <si>
    <t>Study and documeny Inkscape</t>
  </si>
  <si>
    <t>PrePurchase items [wipers etc]</t>
  </si>
  <si>
    <t>Walking Shoes</t>
  </si>
  <si>
    <t>Puntarenas, Costa Rica</t>
  </si>
  <si>
    <t>Seater heavy [carryon?]</t>
  </si>
  <si>
    <t>Merry's Headphones</t>
  </si>
  <si>
    <t>Review and update kindle formating</t>
  </si>
  <si>
    <t>2 days clothes</t>
  </si>
  <si>
    <t>mirror sissors</t>
  </si>
  <si>
    <t>Cruising the Arafura Sea</t>
  </si>
  <si>
    <t>Shaver x 1</t>
  </si>
  <si>
    <t>Change Cardiologist Appointment</t>
  </si>
  <si>
    <t>1x Jamies</t>
  </si>
  <si>
    <t>UPS store drop-off</t>
  </si>
  <si>
    <t>Panama City, Panama</t>
  </si>
  <si>
    <t>Shoes dress</t>
  </si>
  <si>
    <t>watch bedside charger</t>
  </si>
  <si>
    <t>Tweezers</t>
  </si>
  <si>
    <t>Web page billing</t>
  </si>
  <si>
    <t>sweater vest</t>
  </si>
  <si>
    <t>Panama Canal Daylight Transit</t>
  </si>
  <si>
    <t>Shoes casual [backup]</t>
  </si>
  <si>
    <t>Iphone pen - free flow</t>
  </si>
  <si>
    <t>Ear Buds</t>
  </si>
  <si>
    <t>Notify Hutch Orchestra 1 at time</t>
  </si>
  <si>
    <t>Cruising the Caribbean Sea</t>
  </si>
  <si>
    <t>Rain pants</t>
  </si>
  <si>
    <t>light, mirror</t>
  </si>
  <si>
    <t>1 day clothes</t>
  </si>
  <si>
    <t>lock windows Merry's room</t>
  </si>
  <si>
    <t>To Do Before</t>
  </si>
  <si>
    <t>Oranjestad, Aruba</t>
  </si>
  <si>
    <t xml:space="preserve">Shorts </t>
  </si>
  <si>
    <t>Meds and med box</t>
  </si>
  <si>
    <t>Trash out Tues 0.25</t>
  </si>
  <si>
    <t>Hair Sunday</t>
  </si>
  <si>
    <t>Kralendijk, Bonaire</t>
  </si>
  <si>
    <t>Swim shorts</t>
  </si>
  <si>
    <t>Last Minute Do</t>
  </si>
  <si>
    <t>Password Printout</t>
  </si>
  <si>
    <t>Ship for pickup</t>
  </si>
  <si>
    <t>Book to Michael Sun</t>
  </si>
  <si>
    <t>Willemstad, Curacao</t>
  </si>
  <si>
    <t>Jacket with hood water proof</t>
  </si>
  <si>
    <t>Set heater to 50 degrees Wed</t>
  </si>
  <si>
    <t>Thin Coat</t>
  </si>
  <si>
    <t>Plumber</t>
  </si>
  <si>
    <t>Jacket thin</t>
  </si>
  <si>
    <t>electric off most wed</t>
  </si>
  <si>
    <t>Checkbook Alden &amp; Natwest</t>
  </si>
  <si>
    <t>Maxine</t>
  </si>
  <si>
    <t>Covid Test 1.30pm Mon</t>
  </si>
  <si>
    <t>Scarborough, Tobago</t>
  </si>
  <si>
    <t>button down shirt</t>
  </si>
  <si>
    <t>Water off [except 4 heater] Wed</t>
  </si>
  <si>
    <t>Sea Siick pressure patches Merry</t>
  </si>
  <si>
    <t>Amtrak</t>
  </si>
  <si>
    <t>Set up mowing Mon PM</t>
  </si>
  <si>
    <t>mow</t>
  </si>
  <si>
    <t>Kingstown, St.Vincent</t>
  </si>
  <si>
    <t>ties 2</t>
  </si>
  <si>
    <t>old passport if china visa</t>
  </si>
  <si>
    <t>Take down xmas dec's Mon 1hr</t>
  </si>
  <si>
    <t>Notify marina Mon PM</t>
  </si>
  <si>
    <t>Bridgetown, Barbados</t>
  </si>
  <si>
    <t>Thick sweater [LA in winter] ?</t>
  </si>
  <si>
    <t>Mini Splits off Wed  0.1</t>
  </si>
  <si>
    <t>Walgreens Covid Test Mon</t>
  </si>
  <si>
    <t>Bank for passports Mon PM</t>
  </si>
  <si>
    <t>pack</t>
  </si>
  <si>
    <t>Sink instant hot off Wed</t>
  </si>
  <si>
    <t>USB thumb x2</t>
  </si>
  <si>
    <t xml:space="preserve">Contact Police  (620) 278-2100 </t>
  </si>
  <si>
    <t>Atmos Mail out Monday</t>
  </si>
  <si>
    <t>Castries, St. Lucia</t>
  </si>
  <si>
    <t>Blog Notify</t>
  </si>
  <si>
    <t>Glasses 1 pair</t>
  </si>
  <si>
    <t>Charge Battery Boosters Tue 0.25</t>
  </si>
  <si>
    <t>Glens Puzzel Monday AM</t>
  </si>
  <si>
    <t>coolers off</t>
  </si>
  <si>
    <t>St. John's, Antigua</t>
  </si>
  <si>
    <t>Patty, Laura, Michelle</t>
  </si>
  <si>
    <t>Car charger plug double</t>
  </si>
  <si>
    <t>Charge Doorbells Tue 0.25</t>
  </si>
  <si>
    <t>Call High Reach Mon PM</t>
  </si>
  <si>
    <t>gas off</t>
  </si>
  <si>
    <t>Roseau, Dominica</t>
  </si>
  <si>
    <t>Jon, Caroline, Lien</t>
  </si>
  <si>
    <t>Watch charger</t>
  </si>
  <si>
    <t>Basement heater on 0.1</t>
  </si>
  <si>
    <t>Pay Rotary &amp; Laura Mon 12</t>
  </si>
  <si>
    <t>Change eBay</t>
  </si>
  <si>
    <t>Basseterre, St. Kitts, Nevis</t>
  </si>
  <si>
    <t>Kevin Clock</t>
  </si>
  <si>
    <t>Box Wine in LA</t>
  </si>
  <si>
    <t>UK Walet</t>
  </si>
  <si>
    <t>Put away iPad</t>
  </si>
  <si>
    <t>water plants</t>
  </si>
  <si>
    <t>Charlotte Amalie, St. Thomas</t>
  </si>
  <si>
    <t>Cello Phillis Hopper</t>
  </si>
  <si>
    <t>Car Insurance down to min SF</t>
  </si>
  <si>
    <t>Sewing kit</t>
  </si>
  <si>
    <t>House Sitter Plan</t>
  </si>
  <si>
    <t>Locator Form Tuesday AM</t>
  </si>
  <si>
    <t>Punta Cana, Dominican Republic</t>
  </si>
  <si>
    <t>Rotarians</t>
  </si>
  <si>
    <t>AAA on hold SF</t>
  </si>
  <si>
    <t>Turn off phone alarms Mon</t>
  </si>
  <si>
    <t>Change Ebay Tuesday</t>
  </si>
  <si>
    <t>Santo Domingo</t>
  </si>
  <si>
    <t>Church Friends</t>
  </si>
  <si>
    <t>Change cell phone messages</t>
  </si>
  <si>
    <t>pay credit cards Fri</t>
  </si>
  <si>
    <t>Clip Toe Nails Tuesday</t>
  </si>
  <si>
    <t>Pauline, Trica, Glen, Kristen, Phillip Brenda</t>
  </si>
  <si>
    <t>Publish Books Fri evening</t>
  </si>
  <si>
    <t>Mow Tue PM check weather</t>
  </si>
  <si>
    <t>Donna &amp; Brian</t>
  </si>
  <si>
    <t>Phones wed</t>
  </si>
  <si>
    <t>photo house Fri</t>
  </si>
  <si>
    <t>Set Up World Payments Tue</t>
  </si>
  <si>
    <t>Big house rental</t>
  </si>
  <si>
    <t>Port Antonio, Jamaica</t>
  </si>
  <si>
    <t>Prep Basement Machines Fri</t>
  </si>
  <si>
    <t>Window stick</t>
  </si>
  <si>
    <t>2nd house</t>
  </si>
  <si>
    <t>James Decker</t>
  </si>
  <si>
    <t>Transfer any $ from Fibre to Alden Tue</t>
  </si>
  <si>
    <t>Estimated Taxes</t>
  </si>
  <si>
    <t>Roatan, Honduras</t>
  </si>
  <si>
    <t>Joleen Train Club</t>
  </si>
  <si>
    <t>pay Humana</t>
  </si>
  <si>
    <t>glasses</t>
  </si>
  <si>
    <t xml:space="preserve">Hay Ride </t>
  </si>
  <si>
    <t>Santo Tomas, Guatemala</t>
  </si>
  <si>
    <t>Maxine Edison</t>
  </si>
  <si>
    <t>Blow etc outside Sun before party</t>
  </si>
  <si>
    <t>Hold Mail Tuesday</t>
  </si>
  <si>
    <t>Hotel room</t>
  </si>
  <si>
    <t>Harvest Caye, Belize</t>
  </si>
  <si>
    <t>milissa Krabby</t>
  </si>
  <si>
    <t>Give Cheryl loan accounting</t>
  </si>
  <si>
    <t>remind ride + directions tue</t>
  </si>
  <si>
    <t>Jon travel</t>
  </si>
  <si>
    <t>Costa Maya, Mexico</t>
  </si>
  <si>
    <t>Margret Caldwell</t>
  </si>
  <si>
    <t>4" @1/2</t>
  </si>
  <si>
    <t>Pay Property Tax</t>
  </si>
  <si>
    <t>Confirm flight pm Tues 11.30+</t>
  </si>
  <si>
    <t>Michelle</t>
  </si>
  <si>
    <t>Cozumel, Mexico</t>
  </si>
  <si>
    <t>Karla</t>
  </si>
  <si>
    <t>@5/8</t>
  </si>
  <si>
    <t>set up auto pay on travel card</t>
  </si>
  <si>
    <t>shower 4.30pm</t>
  </si>
  <si>
    <t>Cruising the Straits of Florida</t>
  </si>
  <si>
    <t>House histry to carley</t>
  </si>
  <si>
    <t>talk to Brandon Tow Boom 3.30p</t>
  </si>
  <si>
    <t>Miami, Florida, United States</t>
  </si>
  <si>
    <t>Embark 1 PM</t>
  </si>
  <si>
    <t>Cruising the Atlantic Ocean</t>
  </si>
  <si>
    <t>Hamilton, Bermuda</t>
  </si>
  <si>
    <t>so far</t>
  </si>
  <si>
    <t>to go</t>
  </si>
  <si>
    <t>Ponta Delgada (Azores), Portugal</t>
  </si>
  <si>
    <t>Tangier, Morocco</t>
  </si>
  <si>
    <t>canceled</t>
  </si>
  <si>
    <t>Melilla, Spain</t>
  </si>
  <si>
    <t>Cruising the Mediterranean Sea</t>
  </si>
  <si>
    <t>Trapani (Sicily), Italy</t>
  </si>
  <si>
    <t>Gozo, Malta</t>
  </si>
  <si>
    <t>Jerusalem (Ashdod), Israel</t>
  </si>
  <si>
    <t>Jerusalem (Haifa), Israel</t>
  </si>
  <si>
    <t>Izmir, Turkey</t>
  </si>
  <si>
    <t>Istanbul, Turkey</t>
  </si>
  <si>
    <t>Mitilini (Lesbos), Greece</t>
  </si>
  <si>
    <t>Athens (Piraeus), Greece</t>
  </si>
  <si>
    <t>Disembark 8 AM</t>
  </si>
  <si>
    <t>Santorini, Greece</t>
  </si>
  <si>
    <t>Cruising the Ionian Sea</t>
  </si>
  <si>
    <t>Dubrovnik, Croatia</t>
  </si>
  <si>
    <t>Umbria (Ancona), Italy</t>
  </si>
  <si>
    <t>Kotor, Montenegro</t>
  </si>
  <si>
    <t>Tirana (Durres), Albania</t>
  </si>
  <si>
    <t>Crotone, Italy</t>
  </si>
  <si>
    <t>Messina (Sicily), Italy</t>
  </si>
  <si>
    <t>Salerno, Italy</t>
  </si>
  <si>
    <t>Rome (Civitavecchia), Italy</t>
  </si>
  <si>
    <t>Florence/Pisa/Tuscany (Livorno), Italy</t>
  </si>
  <si>
    <t>Toulon, France</t>
  </si>
  <si>
    <t>Barcelona, Spain</t>
  </si>
  <si>
    <t>Inoculation yellow fever waver</t>
  </si>
  <si>
    <r>
      <rPr>
        <strike/>
        <sz val="10"/>
        <color theme="1"/>
        <rFont val="Arial"/>
        <family val="2"/>
      </rPr>
      <t xml:space="preserve">Trash Out 4pm </t>
    </r>
    <r>
      <rPr>
        <strike/>
        <sz val="10"/>
        <color theme="1"/>
        <rFont val="Arial"/>
        <family val="2"/>
      </rPr>
      <t>notify Donna</t>
    </r>
  </si>
  <si>
    <t>Get Passports n loan docs from bank</t>
  </si>
  <si>
    <t>Charge Doorbells Tues 9am++</t>
  </si>
  <si>
    <t>Valencia, Spain</t>
  </si>
  <si>
    <t>Give Cheryl Mortgage notes</t>
  </si>
  <si>
    <t>Cartagena, Spain</t>
  </si>
  <si>
    <t>Pay Jan 18 estimated tax early</t>
  </si>
  <si>
    <t>Wednesday last Thing</t>
  </si>
  <si>
    <t>Gibraltar, UK</t>
  </si>
  <si>
    <t>cash various 500x20, 200x5 new</t>
  </si>
  <si>
    <t>Charge 3 phones</t>
  </si>
  <si>
    <t>Seville, Spain</t>
  </si>
  <si>
    <t>reinstall down pipes</t>
  </si>
  <si>
    <t>Coolers off 8am</t>
  </si>
  <si>
    <t>Venza Service Wed 11am</t>
  </si>
  <si>
    <t>Gas off Wed 8.00</t>
  </si>
  <si>
    <t>Portimao, Portugal</t>
  </si>
  <si>
    <t>Suitcases Locks Wed</t>
  </si>
  <si>
    <t>phones</t>
  </si>
  <si>
    <t>Pick up Covid home test Wed</t>
  </si>
  <si>
    <t>Mirror &amp; Light &amp; cord</t>
  </si>
  <si>
    <t>Santiago de Compostela (Vigo),Spain</t>
  </si>
  <si>
    <t>ChangeEBay,Etsy,Mecari,CWbooksMON</t>
  </si>
  <si>
    <t>Request wheelchair</t>
  </si>
  <si>
    <t>Cruising the Bay of Biscay</t>
  </si>
  <si>
    <t>Change facebook marketplace 0.5</t>
  </si>
  <si>
    <t>Brest, France</t>
  </si>
  <si>
    <t>Photo License Plates</t>
  </si>
  <si>
    <t>Charger cords</t>
  </si>
  <si>
    <t>Saint-Malo, France</t>
  </si>
  <si>
    <t>Kitchen windows</t>
  </si>
  <si>
    <r>
      <rPr>
        <sz val="12"/>
        <color rgb="FF212529"/>
        <rFont val="Arial"/>
        <family val="2"/>
      </rPr>
      <t>English Ch</t>
    </r>
    <r>
      <rPr>
        <sz val="12"/>
        <color rgb="FF212529"/>
        <rFont val="Arial"/>
        <family val="2"/>
      </rPr>
      <t>annel &amp; North Se</t>
    </r>
    <r>
      <rPr>
        <sz val="12"/>
        <color rgb="FF212529"/>
        <rFont val="Arial"/>
        <family val="2"/>
      </rPr>
      <t>a</t>
    </r>
  </si>
  <si>
    <t>Kristiansand, Norway</t>
  </si>
  <si>
    <t>Update Estate to Bank Box Tue .50</t>
  </si>
  <si>
    <t>Oslo, Norway</t>
  </si>
  <si>
    <t>Hold mail Monday 0.25</t>
  </si>
  <si>
    <t>Copenhagen, Denmark</t>
  </si>
  <si>
    <t>Mail Auz letter</t>
  </si>
  <si>
    <t>Gordon</t>
  </si>
  <si>
    <t>Water off [except 4 plants] 8.30</t>
  </si>
  <si>
    <t>Donna</t>
  </si>
  <si>
    <t>electric off most wed 8.50</t>
  </si>
  <si>
    <t>Travemunde, Germany</t>
  </si>
  <si>
    <t>Warnemunde, Germany</t>
  </si>
  <si>
    <t>Sea</t>
  </si>
  <si>
    <t>Gdansk, Poland</t>
  </si>
  <si>
    <t>Klaipeda, Lithuania</t>
  </si>
  <si>
    <t>Riga, Latvia</t>
  </si>
  <si>
    <t>Tallinn, Estonia</t>
  </si>
  <si>
    <t>Erma</t>
  </si>
  <si>
    <t>620-680-0481</t>
  </si>
  <si>
    <t>Helsinki, Finland</t>
  </si>
  <si>
    <t>Jacque</t>
  </si>
  <si>
    <t>620-680-0369</t>
  </si>
  <si>
    <t>Mariehamn, Finland</t>
  </si>
  <si>
    <t>Vickie Lynn Burgess</t>
  </si>
  <si>
    <t>620-728-9387</t>
  </si>
  <si>
    <t>Stockholm, Sweden</t>
  </si>
  <si>
    <t>Visby, Sweden</t>
  </si>
  <si>
    <t>Ronne (Bornholm), Denmark</t>
  </si>
  <si>
    <t>Kiel, Germany</t>
  </si>
  <si>
    <t>Kiel Canal Transit</t>
  </si>
  <si>
    <t>Rotterdam, Netherlands</t>
  </si>
  <si>
    <t>Bruges (Zeebrugge), Belgium</t>
  </si>
  <si>
    <t>Paris (Honfleur), France</t>
  </si>
  <si>
    <t>Cruising English Channel &amp; Bay of Biscay</t>
  </si>
  <si>
    <t>La Rochelle, France</t>
  </si>
  <si>
    <t>Bordeaux, France</t>
  </si>
  <si>
    <t>San Sebastian, Spain</t>
  </si>
  <si>
    <t>Gijon, Spain</t>
  </si>
  <si>
    <t>Lisbon, Portugal</t>
  </si>
  <si>
    <t>Disembark 8:00 AM</t>
  </si>
  <si>
    <t>Oporto, Portugal</t>
  </si>
  <si>
    <t>La Coruna, Spain</t>
  </si>
  <si>
    <t>World Cruise Notes Shipped Luggage</t>
  </si>
  <si>
    <t>Walking Stick</t>
  </si>
  <si>
    <t>Snorkle</t>
  </si>
  <si>
    <t>London</t>
  </si>
  <si>
    <t>Bathing suit</t>
  </si>
  <si>
    <t>Suntan Lotion</t>
  </si>
  <si>
    <t>Amsterdam</t>
  </si>
  <si>
    <t>hanger pole</t>
  </si>
  <si>
    <t>Jamies x 1</t>
  </si>
  <si>
    <t>White socks</t>
  </si>
  <si>
    <t>Waterford, Ireland</t>
  </si>
  <si>
    <t>changed to Cobh</t>
  </si>
  <si>
    <t>Binoculars</t>
  </si>
  <si>
    <t>Dublin, Ireland</t>
  </si>
  <si>
    <t>tuppawear for shore snacks</t>
  </si>
  <si>
    <t>Belfast, N. Ireland</t>
  </si>
  <si>
    <t>coffee Mug</t>
  </si>
  <si>
    <t>post it notes</t>
  </si>
  <si>
    <t>Bug spray</t>
  </si>
  <si>
    <t>Dirty laundry bags</t>
  </si>
  <si>
    <t>Floppy Hat</t>
  </si>
  <si>
    <t>St John's, Newfoundland</t>
  </si>
  <si>
    <t>Reading Glasses extra</t>
  </si>
  <si>
    <t>New York</t>
  </si>
  <si>
    <t>Heal sock</t>
  </si>
  <si>
    <t>Dvd /cd player</t>
  </si>
  <si>
    <t>Green shirts for St Patricks Day</t>
  </si>
  <si>
    <t>Library Book, walk in my shoes</t>
  </si>
  <si>
    <t>Tape Measure</t>
  </si>
  <si>
    <t>Sun Glasses x2</t>
  </si>
  <si>
    <t>Name Labels</t>
  </si>
  <si>
    <t>UK Phone</t>
  </si>
  <si>
    <t>Bandaids / first aid</t>
  </si>
  <si>
    <t>Tile Rummy cube</t>
  </si>
  <si>
    <t>Tooth Pin</t>
  </si>
  <si>
    <t>Two Extension cords</t>
  </si>
  <si>
    <t>Pencils, pens &amp; notebooks, highlighter</t>
  </si>
  <si>
    <t>Sports Jacket and Button up shirts</t>
  </si>
  <si>
    <t>Cabo St LKucas</t>
  </si>
  <si>
    <t>Most Clothes</t>
  </si>
  <si>
    <t>Matzalan</t>
  </si>
  <si>
    <t>Scales</t>
  </si>
  <si>
    <t>Acapulco</t>
  </si>
  <si>
    <t>Ziplock bags</t>
  </si>
  <si>
    <t>Oranjestad, aruba</t>
  </si>
  <si>
    <t>belts</t>
  </si>
  <si>
    <t>kralendijk, bonaire carabean</t>
  </si>
  <si>
    <t>Reading Books</t>
  </si>
  <si>
    <t>St george</t>
  </si>
  <si>
    <t>tobago</t>
  </si>
  <si>
    <t>zip ties</t>
  </si>
  <si>
    <t>st vincent ?</t>
  </si>
  <si>
    <t>barbados</t>
  </si>
  <si>
    <t>St lucia ?</t>
  </si>
  <si>
    <t>St john, antigua</t>
  </si>
  <si>
    <t>St kitts</t>
  </si>
  <si>
    <t>Dominion Republic</t>
  </si>
  <si>
    <t>honduras</t>
  </si>
  <si>
    <t>belize</t>
  </si>
  <si>
    <t>costa maya</t>
  </si>
  <si>
    <t>cozumel</t>
  </si>
  <si>
    <t>bermuda</t>
  </si>
  <si>
    <t>azores</t>
  </si>
  <si>
    <t>morocco</t>
  </si>
  <si>
    <t>spain</t>
  </si>
  <si>
    <t>sicily</t>
  </si>
  <si>
    <t>malta</t>
  </si>
  <si>
    <t>jerusalem</t>
  </si>
  <si>
    <t>istanbul turkey</t>
  </si>
  <si>
    <t>greece</t>
  </si>
  <si>
    <t>croatia</t>
  </si>
  <si>
    <t>umbria, italy</t>
  </si>
  <si>
    <t>montenegro</t>
  </si>
  <si>
    <t>albania</t>
  </si>
  <si>
    <t>calabria italy</t>
  </si>
  <si>
    <t>salemo</t>
  </si>
  <si>
    <t>toulon france</t>
  </si>
  <si>
    <t>barcelona spain</t>
  </si>
  <si>
    <t>valencia spain</t>
  </si>
  <si>
    <t>carlagena spain</t>
  </si>
  <si>
    <t>gibraltar</t>
  </si>
  <si>
    <t>seville spain</t>
  </si>
  <si>
    <t>portugal</t>
  </si>
  <si>
    <t>vigo spain</t>
  </si>
  <si>
    <t>brest france</t>
  </si>
  <si>
    <t>saint malo france</t>
  </si>
  <si>
    <t>norway</t>
  </si>
  <si>
    <t>oslo</t>
  </si>
  <si>
    <t>denmark</t>
  </si>
  <si>
    <t>berlin germany</t>
  </si>
  <si>
    <t>poland</t>
  </si>
  <si>
    <t>lithuania</t>
  </si>
  <si>
    <t>latvia</t>
  </si>
  <si>
    <t>estonia</t>
  </si>
  <si>
    <t>st petersberg russa</t>
  </si>
  <si>
    <t>finland</t>
  </si>
  <si>
    <t>sweeden</t>
  </si>
  <si>
    <t>netherlands</t>
  </si>
  <si>
    <t>Island</t>
  </si>
  <si>
    <t>Total Population</t>
  </si>
  <si>
    <t>Males</t>
  </si>
  <si>
    <t>Females</t>
  </si>
  <si>
    <t># of Households</t>
  </si>
  <si>
    <t>ALL BAHAMAS</t>
  </si>
  <si>
    <t>NEW PROVIDENCE</t>
  </si>
  <si>
    <t>18 miles long by 6 miles accross.  The most populous island, containing more than 70% of the total population. National capital city of Nassau.   Too populated and probably expensive.  Probly the esiest island to get to and the best for shopping and mabe medical.</t>
  </si>
  <si>
    <t>GRAND BAHAMA</t>
  </si>
  <si>
    <t>The northernmost island, known for its beaches, reef-lined coves and mangrove swamps,  all-inclusive resorts and golf courses. Freeport, the largest city,   Busy island and probaly hard to find a beachfront home at reasonable price.</t>
  </si>
  <si>
    <t>ABACO</t>
  </si>
  <si>
    <t>Devistated by Huricane, see below.  A group of islands and barrier cays in the northern Bahamas. Dive sites with its underwater caves and colourful coral reefs. Turtles, eagle rays and sharks. Numerous marinas dot the coast, offering boat access to the Sea of Abaco’s shallow, navigable waters.  A good mix not too populated but enough.  Looks like reasonal price for Beach Property.</t>
  </si>
  <si>
    <t>ELEUTHERA</t>
  </si>
  <si>
    <t>Good Infrastructure.  Very Long, thin island. It's known for pink sand beaches. Close to Gregory Town, Surfer’s Beach offers big waves.  Ten Bay Beach has shallow waters and a nearby cave. Surrounded by trees, Ocean Hole is a natural inland swimming spot with tropical fish and turtles. Edwin's Turtle Lake Marine Reserve shelters green sea turtles.  Eleuthera is one of the safest islands in the Bahamas.  Long travel distance.  Might have property potential.</t>
  </si>
  <si>
    <t>ANDROS</t>
  </si>
  <si>
    <t>The largest of the Bahamian Islands. Pinaple Capitoal and good surfing.  Andros in total has an area greater than all the other 700 Bahamian islands combined.  Cunky shape.  worth a look. very sparce interior.  104 mi long by 40 mi wide at the widest</t>
  </si>
  <si>
    <t>EXUMA AND CAYS</t>
  </si>
  <si>
    <t>LONG ISLAND</t>
  </si>
  <si>
    <t>BIMINIS</t>
  </si>
  <si>
    <t>CAT ISLAND</t>
  </si>
  <si>
    <t>HARBOUR ISLAND</t>
  </si>
  <si>
    <t>SPANISH WELLS</t>
  </si>
  <si>
    <t>SAN SALVADOR</t>
  </si>
  <si>
    <t>INAGUA</t>
  </si>
  <si>
    <t>BERRY ISLANDS</t>
  </si>
  <si>
    <t>ACKLINS</t>
  </si>
  <si>
    <t>CROOKED ISLAND</t>
  </si>
  <si>
    <t>MAYAGUANA</t>
  </si>
  <si>
    <t>RUM CAY</t>
  </si>
  <si>
    <t>RAGGED ISLAND</t>
  </si>
  <si>
    <t>On September 1, the eye of Hurricane Dorian made landfall on the Abaco Islands</t>
  </si>
  <si>
    <t>travel from ict to selected property</t>
  </si>
  <si>
    <t>Hurricane Dorian was an extremely powerful and catastrophic Category 5 Atlantic hurricane, which became the most intense tropical cyclone on record to strike the Bahamas, and tied for strongest landfall in the Atlantic basin. It is also regarded as the worst natural disaster in The Bahamas' recorded history. Wikipedia</t>
  </si>
  <si>
    <t>travel between islands</t>
  </si>
  <si>
    <t>Highest wind speed: 185 mph</t>
  </si>
  <si>
    <t>grocery shopping</t>
  </si>
  <si>
    <t>Date: August 24, 2019 – September 10, 2019</t>
  </si>
  <si>
    <t>oher shopping, hardware, lumber, electronics, furnature, etc</t>
  </si>
  <si>
    <t>Fatalities: 84 total, 245 missing</t>
  </si>
  <si>
    <t>symphony</t>
  </si>
  <si>
    <t>Condo Priorities</t>
  </si>
  <si>
    <t>Shorft Term Rental Permitted</t>
  </si>
  <si>
    <t>VIEW VIEW VIEW</t>
  </si>
  <si>
    <t>Balcony</t>
  </si>
  <si>
    <t>Washer &amp; Dryer</t>
  </si>
  <si>
    <t>Furnished</t>
  </si>
  <si>
    <t>AC</t>
  </si>
  <si>
    <t>Backup Generator</t>
  </si>
  <si>
    <t>Huricane windows and doors</t>
  </si>
  <si>
    <t>Sunset view ideal</t>
  </si>
  <si>
    <t>calculation made 5/12/22</t>
  </si>
  <si>
    <r>
      <rPr>
        <b/>
        <sz val="10"/>
        <color rgb="FF000000"/>
        <rFont val="Arial"/>
        <family val="2"/>
      </rPr>
      <t xml:space="preserve">Total City Utility </t>
    </r>
    <r>
      <rPr>
        <i/>
        <sz val="10"/>
        <color rgb="FF000000"/>
        <rFont val="Arial"/>
        <family val="2"/>
      </rPr>
      <t>10th</t>
    </r>
  </si>
  <si>
    <t>Total Repairs</t>
  </si>
  <si>
    <t>ON HOLD</t>
  </si>
  <si>
    <t>B a s e m e n t   B r e a k e r    P a n e l   B a s e m e n t</t>
  </si>
  <si>
    <t>AMPS</t>
  </si>
  <si>
    <t>blank</t>
  </si>
  <si>
    <t>family room tv only 4 plex</t>
  </si>
  <si>
    <t>replaced old k&amp;t unknown</t>
  </si>
  <si>
    <t>front door bell</t>
  </si>
  <si>
    <t>1st floor outlets maybe</t>
  </si>
  <si>
    <t>fibre power supply ?</t>
  </si>
  <si>
    <t>Furnace only</t>
  </si>
  <si>
    <t>unknown looks upstairs bath</t>
  </si>
  <si>
    <t>downstairs bath ceiling light</t>
  </si>
  <si>
    <t>PUMP</t>
  </si>
  <si>
    <t>DRYER</t>
  </si>
  <si>
    <t>wh basement room post outlet</t>
  </si>
  <si>
    <t>workshop lights</t>
  </si>
  <si>
    <t>FRIDGE</t>
  </si>
  <si>
    <t>PRINTER</t>
  </si>
  <si>
    <t>Parlor east wall outlet 4 plex</t>
  </si>
  <si>
    <t>KITCHEN REAR OUTLET</t>
  </si>
  <si>
    <t>MUSIC ROOM BAY OUTLETS</t>
  </si>
  <si>
    <t>REAR OUTSIDE LIGHT</t>
  </si>
  <si>
    <t>parlor bay outlets</t>
  </si>
  <si>
    <t>old outlet behind secretary</t>
  </si>
  <si>
    <t>AC  HEATER FAMILY ROOM</t>
  </si>
  <si>
    <t>AC HEATERS UPSTARIS</t>
  </si>
  <si>
    <t>AC HEATER FAMILY ROOM</t>
  </si>
  <si>
    <t>AC HEATERS UPSTAIRS</t>
  </si>
  <si>
    <t>FREEZER</t>
  </si>
  <si>
    <t>OVENS</t>
  </si>
  <si>
    <t>KITCHEN SINK LIGHT</t>
  </si>
  <si>
    <t>KITCHEN</t>
  </si>
  <si>
    <t>LAUNDRY</t>
  </si>
  <si>
    <t>2ND FLOOR SUB</t>
  </si>
  <si>
    <t>OUTSIDE OUTLET EAST SIDE</t>
  </si>
  <si>
    <t>basement lights wh room</t>
  </si>
  <si>
    <t>SUMP PUMP</t>
  </si>
  <si>
    <t>Family room by kitchen door outlet</t>
  </si>
  <si>
    <t>wifi outlet dining</t>
  </si>
  <si>
    <t>back hall and porch light</t>
  </si>
  <si>
    <t>top of basement stairs light</t>
  </si>
  <si>
    <t>DISH WASHER</t>
  </si>
  <si>
    <t>shop machines</t>
  </si>
  <si>
    <t>DISPOSAL</t>
  </si>
  <si>
    <t>DINING AC HEATER</t>
  </si>
  <si>
    <t>GARAGE</t>
  </si>
  <si>
    <t>Stocks</t>
  </si>
  <si>
    <t>Mort</t>
  </si>
  <si>
    <t>2021 income other</t>
  </si>
  <si>
    <t>HelenAv</t>
  </si>
  <si>
    <t>Pension</t>
  </si>
  <si>
    <t>webPage</t>
  </si>
  <si>
    <t>UK Pension</t>
  </si>
  <si>
    <t>per Yrar</t>
  </si>
  <si>
    <t>Sharp</t>
  </si>
  <si>
    <t>Return</t>
  </si>
  <si>
    <t>PropDraw</t>
  </si>
  <si>
    <t>Lakewood</t>
  </si>
  <si>
    <t>Gross</t>
  </si>
  <si>
    <t>Man</t>
  </si>
  <si>
    <t>LongProp</t>
  </si>
  <si>
    <t>Both</t>
  </si>
  <si>
    <t>Handbell 101 stats</t>
  </si>
  <si>
    <t>Jan 16</t>
  </si>
  <si>
    <t>History</t>
  </si>
  <si>
    <t>Draw</t>
  </si>
  <si>
    <t>Fee</t>
  </si>
  <si>
    <t>Feb 16</t>
  </si>
  <si>
    <t>Jan 13</t>
  </si>
  <si>
    <t>Mar 16</t>
  </si>
  <si>
    <t>Feb 13</t>
  </si>
  <si>
    <t>Apr 16</t>
  </si>
  <si>
    <t>Mar 13</t>
  </si>
  <si>
    <t>May 16</t>
  </si>
  <si>
    <t>Apr 13</t>
  </si>
  <si>
    <t>Jun 16</t>
  </si>
  <si>
    <t>May 13</t>
  </si>
  <si>
    <t>Jul 16</t>
  </si>
  <si>
    <t>Jun 13</t>
  </si>
  <si>
    <t>Jul 13</t>
  </si>
  <si>
    <t>Sep 16</t>
  </si>
  <si>
    <t>Aug 13</t>
  </si>
  <si>
    <t>Sep 13</t>
  </si>
  <si>
    <t>Nov 16</t>
  </si>
  <si>
    <t>Oct 13</t>
  </si>
  <si>
    <t>Dec 16</t>
  </si>
  <si>
    <t>Nov 13</t>
  </si>
  <si>
    <t>Asset Alocation Table</t>
  </si>
  <si>
    <t>Jan 17</t>
  </si>
  <si>
    <t>Dec 13</t>
  </si>
  <si>
    <t>history</t>
  </si>
  <si>
    <t>Ratio</t>
  </si>
  <si>
    <t>Current</t>
  </si>
  <si>
    <t>Shoul be</t>
  </si>
  <si>
    <t>too Much</t>
  </si>
  <si>
    <t>Feb 17</t>
  </si>
  <si>
    <t>VTSMX</t>
  </si>
  <si>
    <t>US Stock</t>
  </si>
  <si>
    <t>Mar 17</t>
  </si>
  <si>
    <t>year total</t>
  </si>
  <si>
    <t>VGTSX</t>
  </si>
  <si>
    <t>Int Stock</t>
  </si>
  <si>
    <t>Apr 17</t>
  </si>
  <si>
    <t>Jan 14</t>
  </si>
  <si>
    <t>VBMFX</t>
  </si>
  <si>
    <t>Bond</t>
  </si>
  <si>
    <t>May 17</t>
  </si>
  <si>
    <t>Feb 14</t>
  </si>
  <si>
    <t>Jun 17</t>
  </si>
  <si>
    <t>Mar 14</t>
  </si>
  <si>
    <t>Jul 17</t>
  </si>
  <si>
    <t>Apr 14</t>
  </si>
  <si>
    <t>Aug 17</t>
  </si>
  <si>
    <t>May 14</t>
  </si>
  <si>
    <t>Sep 17</t>
  </si>
  <si>
    <t>Jun 14</t>
  </si>
  <si>
    <t>2018 income</t>
  </si>
  <si>
    <t>Oct 17</t>
  </si>
  <si>
    <t>July 14</t>
  </si>
  <si>
    <t>Nov 17</t>
  </si>
  <si>
    <t>Aug 14</t>
  </si>
  <si>
    <t>laundry</t>
  </si>
  <si>
    <t>Dec 17</t>
  </si>
  <si>
    <t>Sep 14</t>
  </si>
  <si>
    <t>Broadm</t>
  </si>
  <si>
    <t>Oct 14</t>
  </si>
  <si>
    <t>Longview</t>
  </si>
  <si>
    <t>357 20t</t>
  </si>
  <si>
    <t>Nov 14</t>
  </si>
  <si>
    <t>Dec 14</t>
  </si>
  <si>
    <t>23rd</t>
  </si>
  <si>
    <t>Year Total</t>
  </si>
  <si>
    <t>pension</t>
  </si>
  <si>
    <t>Jan 15</t>
  </si>
  <si>
    <t>Feb 15</t>
  </si>
  <si>
    <t>Mar 15</t>
  </si>
  <si>
    <t>Apr 15</t>
  </si>
  <si>
    <t>May 15</t>
  </si>
  <si>
    <t>Jun 15</t>
  </si>
  <si>
    <t>Jul 15</t>
  </si>
  <si>
    <t>Aug 15</t>
  </si>
  <si>
    <t>Sep 15</t>
  </si>
  <si>
    <t>Loan Inco</t>
  </si>
  <si>
    <t>Oct 15</t>
  </si>
  <si>
    <t>Nov 15</t>
  </si>
  <si>
    <t>Dec 15</t>
  </si>
  <si>
    <t>see top left</t>
  </si>
  <si>
    <t>8.30</t>
  </si>
  <si>
    <t>3.30</t>
  </si>
  <si>
    <t>central</t>
  </si>
  <si>
    <t>Subscriptions to cancil</t>
  </si>
  <si>
    <t>YouTube TV</t>
  </si>
  <si>
    <t>Apple TV   one year free from 11/1/20</t>
  </si>
  <si>
    <t>av</t>
  </si>
  <si>
    <t>Dividen</t>
  </si>
  <si>
    <t>Peacock TV cup football games</t>
  </si>
  <si>
    <t>CBS All Access TV - Premier League Games</t>
  </si>
  <si>
    <t>ForScore Advanced $10 per year for page turn not working4me</t>
  </si>
  <si>
    <t>ESPN plus</t>
  </si>
  <si>
    <t>/ft</t>
  </si>
  <si>
    <t>this year</t>
  </si>
  <si>
    <t>Jan 09</t>
  </si>
  <si>
    <t>Feb 09</t>
  </si>
  <si>
    <t>build cost</t>
  </si>
  <si>
    <t>Mar 09</t>
  </si>
  <si>
    <t>Apr 09</t>
  </si>
  <si>
    <t>May 09</t>
  </si>
  <si>
    <t>Jun 09</t>
  </si>
  <si>
    <t>Jul 09</t>
  </si>
  <si>
    <t>Original BRMK</t>
  </si>
  <si>
    <t>Aug 09</t>
  </si>
  <si>
    <t>Robinhood BRMK</t>
  </si>
  <si>
    <t>Sep 09</t>
  </si>
  <si>
    <t>av 09</t>
  </si>
  <si>
    <t>mac</t>
  </si>
  <si>
    <t>iron</t>
  </si>
  <si>
    <t>ctl</t>
  </si>
  <si>
    <t>AmeratradeBRMK</t>
  </si>
  <si>
    <t>Oct 09</t>
  </si>
  <si>
    <t>trading</t>
  </si>
  <si>
    <t>Nov 09</t>
  </si>
  <si>
    <t>totNet09</t>
  </si>
  <si>
    <t>TotGross09</t>
  </si>
  <si>
    <t>dividend</t>
  </si>
  <si>
    <t>TOTAL BRMK</t>
  </si>
  <si>
    <t>Dec 09</t>
  </si>
  <si>
    <t>Jan 10</t>
  </si>
  <si>
    <t>return/qrtr</t>
  </si>
  <si>
    <t>Feb 10</t>
  </si>
  <si>
    <t>Mar 10</t>
  </si>
  <si>
    <t># shares</t>
  </si>
  <si>
    <t>Apr 10</t>
  </si>
  <si>
    <t>monthly inc</t>
  </si>
  <si>
    <t>May 10</t>
  </si>
  <si>
    <t>roi</t>
  </si>
  <si>
    <t>Jun 10</t>
  </si>
  <si>
    <t>Jul 10</t>
  </si>
  <si>
    <t>Aug 10</t>
  </si>
  <si>
    <t>Sep 10</t>
  </si>
  <si>
    <t>Oct 10</t>
  </si>
  <si>
    <t>Nov 10</t>
  </si>
  <si>
    <t>Ave 2010</t>
  </si>
  <si>
    <t>Dec 10</t>
  </si>
  <si>
    <t>totNet10</t>
  </si>
  <si>
    <t>TotGross10</t>
  </si>
  <si>
    <t>Jan 11</t>
  </si>
  <si>
    <t>Feb 11</t>
  </si>
  <si>
    <t xml:space="preserve"> Mar 11</t>
  </si>
  <si>
    <t>Apr 11</t>
  </si>
  <si>
    <t>rPen70</t>
  </si>
  <si>
    <t>in3.5yr</t>
  </si>
  <si>
    <t>May 11</t>
  </si>
  <si>
    <t>Jun 11</t>
  </si>
  <si>
    <t>Jul 11</t>
  </si>
  <si>
    <t>Aug 11</t>
  </si>
  <si>
    <t>av 2011</t>
  </si>
  <si>
    <t>Sep 11</t>
  </si>
  <si>
    <t>harry yr</t>
  </si>
  <si>
    <t>Oct 11</t>
  </si>
  <si>
    <t>2mil iin brmk</t>
  </si>
  <si>
    <t>Nov 11</t>
  </si>
  <si>
    <t>Dec 11</t>
  </si>
  <si>
    <t>total net yr 11</t>
  </si>
  <si>
    <t>Total gross 11</t>
  </si>
  <si>
    <t>Jan 12</t>
  </si>
  <si>
    <t>Feb 12</t>
  </si>
  <si>
    <t>Mar 12</t>
  </si>
  <si>
    <t>Apr 12</t>
  </si>
  <si>
    <t>May 12</t>
  </si>
  <si>
    <t>Jun 12</t>
  </si>
  <si>
    <t>Jul 12</t>
  </si>
  <si>
    <t>Aug 12</t>
  </si>
  <si>
    <t>Sep 12</t>
  </si>
  <si>
    <t>Oct 12</t>
  </si>
  <si>
    <t>av net</t>
  </si>
  <si>
    <t>Nov 12</t>
  </si>
  <si>
    <t>Dec 12</t>
  </si>
  <si>
    <t>Sterling Rotary Calendar Timeline</t>
  </si>
  <si>
    <t>Membership Report    Sterling KS Rotary</t>
  </si>
  <si>
    <t>9/31/2020</t>
  </si>
  <si>
    <t>Club Id : 1573</t>
  </si>
  <si>
    <t>March +/-</t>
  </si>
  <si>
    <t>Christmas party</t>
  </si>
  <si>
    <t>attending social</t>
  </si>
  <si>
    <t>Member ID</t>
  </si>
  <si>
    <t>State</t>
  </si>
  <si>
    <t>Zip</t>
  </si>
  <si>
    <t>Business Phone</t>
  </si>
  <si>
    <t>Residence Phone</t>
  </si>
  <si>
    <t>Mobile Phone</t>
  </si>
  <si>
    <t>Email</t>
  </si>
  <si>
    <t>Past Pres</t>
  </si>
  <si>
    <t>Anthony, Kent</t>
  </si>
  <si>
    <t>136 S. Broadway Ave.</t>
  </si>
  <si>
    <t>620-278-2191</t>
  </si>
  <si>
    <t>k-anthony@insurewithus.net</t>
  </si>
  <si>
    <t>Y</t>
  </si>
  <si>
    <t>RYLA.  start work in March</t>
  </si>
  <si>
    <t>Booth, Bob</t>
  </si>
  <si>
    <t>P.O. Box 252</t>
  </si>
  <si>
    <t>bbooth1@cox.net</t>
  </si>
  <si>
    <t>Crossette, Craig</t>
  </si>
  <si>
    <t>13 Timber Ln</t>
  </si>
  <si>
    <t>316-706-8706</t>
  </si>
  <si>
    <t>ccrossette@Sterling-Kansas.com</t>
  </si>
  <si>
    <t>Diasio, Marcia</t>
  </si>
  <si>
    <t>211 N. 4th St.</t>
  </si>
  <si>
    <t>316-278-2161</t>
  </si>
  <si>
    <t>316-278-3785</t>
  </si>
  <si>
    <t>marciad@first-bank.net</t>
  </si>
  <si>
    <t>Edwards, Bill</t>
  </si>
  <si>
    <t>111 S. 5th St.</t>
  </si>
  <si>
    <t>620-278-2161</t>
  </si>
  <si>
    <t>620-278-2534</t>
  </si>
  <si>
    <t>wae111dle@gmail.com</t>
  </si>
  <si>
    <t>Sept 17</t>
  </si>
  <si>
    <t>Joint social with Lyons Rotary</t>
  </si>
  <si>
    <t>Goracke, Jim</t>
  </si>
  <si>
    <t>536 N. Broadway</t>
  </si>
  <si>
    <t>620-204-1987</t>
  </si>
  <si>
    <t>Gorackej@usd376.com</t>
  </si>
  <si>
    <t>Kling, Gordon</t>
  </si>
  <si>
    <t>211 N 8th</t>
  </si>
  <si>
    <t>620-278-4265</t>
  </si>
  <si>
    <t>620-278-3336</t>
  </si>
  <si>
    <t>gkling@sterling.edu</t>
  </si>
  <si>
    <t>Laudermilk, Jeff</t>
  </si>
  <si>
    <t>310 N.4th</t>
  </si>
  <si>
    <t>316-2782161</t>
  </si>
  <si>
    <t>620-278-2876</t>
  </si>
  <si>
    <t>jeffl@first-bank.net</t>
  </si>
  <si>
    <t>community chest</t>
  </si>
  <si>
    <t>Lloyd, Rod</t>
  </si>
  <si>
    <t>128 W. Main St.</t>
  </si>
  <si>
    <t>CA</t>
  </si>
  <si>
    <t>620-278-2524</t>
  </si>
  <si>
    <t>Turkey Carving</t>
  </si>
  <si>
    <t>Lloyd, Merry</t>
  </si>
  <si>
    <t>128 W. Main St</t>
  </si>
  <si>
    <t>707-349-1089</t>
  </si>
  <si>
    <t>Marshall, Ben</t>
  </si>
  <si>
    <t>310 N. 3rd St.</t>
  </si>
  <si>
    <t>620-278-6035</t>
  </si>
  <si>
    <t>bmarshall31@cox.net / dbmku63@gmail.com</t>
  </si>
  <si>
    <t>December</t>
  </si>
  <si>
    <t>Annual Meeting to elect officers</t>
  </si>
  <si>
    <t>Martin, Blair</t>
  </si>
  <si>
    <t>120 S. 1st St</t>
  </si>
  <si>
    <t>620-204-1991</t>
  </si>
  <si>
    <t>blairmartin@kslifeinc.com</t>
  </si>
  <si>
    <t>Dictionary grade school</t>
  </si>
  <si>
    <t>Martin, Mary</t>
  </si>
  <si>
    <t>620-204-0696</t>
  </si>
  <si>
    <t>mlmartin2u@gmail.com</t>
  </si>
  <si>
    <t>Ploutz, Derrick</t>
  </si>
  <si>
    <t>539 N. 6th</t>
  </si>
  <si>
    <t>dploutz@sterling-kansas.com</t>
  </si>
  <si>
    <t>VP</t>
  </si>
  <si>
    <t>Club Christmas Dinner</t>
  </si>
  <si>
    <t>Sankey, Lee</t>
  </si>
  <si>
    <t>P.O. Box 304</t>
  </si>
  <si>
    <t>lsankey54@gmail.com</t>
  </si>
  <si>
    <t>Smith, Karen E</t>
  </si>
  <si>
    <t>1001 Tobias Drive</t>
  </si>
  <si>
    <t>Lyons</t>
  </si>
  <si>
    <t>620-708-3547</t>
  </si>
  <si>
    <t>Karen@sterlingvillage.org</t>
  </si>
  <si>
    <t>Valentine, Lisa</t>
  </si>
  <si>
    <t>204 Blue Spruce Rd</t>
  </si>
  <si>
    <t>Hutchinson</t>
  </si>
  <si>
    <t>620-278-3651</t>
  </si>
  <si>
    <t>lisa@sterlingvillage.org</t>
  </si>
  <si>
    <t>Weber Aaron</t>
  </si>
  <si>
    <t>120 North 7th Street</t>
  </si>
  <si>
    <t>620-960-4433</t>
  </si>
  <si>
    <t>aaron.weber@sterling.edu</t>
  </si>
  <si>
    <t>Weber, Diana</t>
  </si>
  <si>
    <t>428 N 3rd St</t>
  </si>
  <si>
    <t>785-735-4443</t>
  </si>
  <si>
    <t>dianaw72@gmail.com</t>
  </si>
  <si>
    <t>Young, Kyle</t>
  </si>
  <si>
    <t>7 Crescent Blvd</t>
  </si>
  <si>
    <t>k-young@insurewithus.net</t>
  </si>
  <si>
    <t>Bingle, Paul</t>
  </si>
  <si>
    <t>322 N. Broadway</t>
  </si>
  <si>
    <t>316-278-3621</t>
  </si>
  <si>
    <t>binglep@sterling.edu</t>
  </si>
  <si>
    <t>Reed, Don</t>
  </si>
  <si>
    <t>425 N. 7th</t>
  </si>
  <si>
    <t>620-278-2786</t>
  </si>
  <si>
    <t>dreed1945@gmail.com</t>
  </si>
  <si>
    <t>Rotary Quarterly Dues</t>
  </si>
  <si>
    <t>quarter</t>
  </si>
  <si>
    <t>International</t>
  </si>
  <si>
    <t>Committee / Chairs</t>
  </si>
  <si>
    <t>District</t>
  </si>
  <si>
    <t>Secretary</t>
  </si>
  <si>
    <t>Bill Edwards</t>
  </si>
  <si>
    <t>Club</t>
  </si>
  <si>
    <t>Treaturer</t>
  </si>
  <si>
    <t>Community</t>
  </si>
  <si>
    <t>Chest</t>
  </si>
  <si>
    <t>Marsha Diasio, Gordon Kling</t>
  </si>
  <si>
    <t>Cafaterier</t>
  </si>
  <si>
    <t>per meal</t>
  </si>
  <si>
    <t>Dictionary</t>
  </si>
  <si>
    <t>Marsha Diasio</t>
  </si>
  <si>
    <t>Summer Meals</t>
  </si>
  <si>
    <t>total cost split between all members</t>
  </si>
  <si>
    <t>Scolarship</t>
  </si>
  <si>
    <t>Derrick Ploutz</t>
  </si>
  <si>
    <t>Foundation</t>
  </si>
  <si>
    <t>vacant</t>
  </si>
  <si>
    <t>Youth</t>
  </si>
  <si>
    <t>Rotoract</t>
  </si>
  <si>
    <t>Aaron Webber</t>
  </si>
  <si>
    <t>Ben Marshall ?</t>
  </si>
  <si>
    <t>Sunshine</t>
  </si>
  <si>
    <t>Birthdays, Illness, thank speaker</t>
  </si>
  <si>
    <t>Nominating</t>
  </si>
  <si>
    <t>Jeff, Kent</t>
  </si>
  <si>
    <t>Program</t>
  </si>
  <si>
    <t>sets up rotarian</t>
  </si>
  <si>
    <t>Kent Anthony &lt;k-anthony@insurewithus.net&gt;,</t>
  </si>
  <si>
    <t>Bob Booth &lt;bbooth1@cox.net&gt;,</t>
  </si>
  <si>
    <t>Craig Crossette &lt;ccrossette@sterling-kansas.com&gt;,</t>
  </si>
  <si>
    <t>Marcia Diasio &lt;marciad@first-bank.net&gt;,</t>
  </si>
  <si>
    <t>Bill Edwards &lt;wae111dle@gmail.com&gt;,</t>
  </si>
  <si>
    <t>Jim Goracke &lt;Gorackej@usd376.com&gt;,</t>
  </si>
  <si>
    <t>accounts</t>
  </si>
  <si>
    <t>Gordon Kling &lt;gordon.kling@gmail.com&gt;,</t>
  </si>
  <si>
    <t>business</t>
  </si>
  <si>
    <t>Jeff Laudermilk &lt;jeffl@first-bank.net&gt;,</t>
  </si>
  <si>
    <t>cd</t>
  </si>
  <si>
    <t>Rod Lloyd &lt;rlloyd@clear-lake.com&gt;,</t>
  </si>
  <si>
    <t>Merry Lloyd &lt;merry@clear-lake.com&gt;,</t>
  </si>
  <si>
    <t>Ben Marshall &lt;dbmku63@gmail.com&gt;,</t>
  </si>
  <si>
    <t>project</t>
  </si>
  <si>
    <t>Blair Martin &lt;blairmartin@kslifeinc.com&gt;,</t>
  </si>
  <si>
    <t>Derrick Ploutz &lt;dploutz@sterling-kansas.com&gt;,</t>
  </si>
  <si>
    <t>silver bowl</t>
  </si>
  <si>
    <t>schalarship</t>
  </si>
  <si>
    <t>Lee Sankey &lt;lsankey54@gmail.com&gt;,</t>
  </si>
  <si>
    <t>Karen Smith &lt;karen@sterlingvillage.org&gt;,</t>
  </si>
  <si>
    <t>Karen Smith &lt;ksmith2@pmma.org&gt;,</t>
  </si>
  <si>
    <t>Lisa Valentine &lt;lisa@sterlingvillage.org&gt;,</t>
  </si>
  <si>
    <t>Aaron Weber &lt;aaron.weber@sterling.edu&gt;,</t>
  </si>
  <si>
    <t>Diana Weber &lt;dianaw72@gmail.com&gt;,</t>
  </si>
  <si>
    <t>Kyle Young &lt;k-young@insurewithus.net&gt;,</t>
  </si>
  <si>
    <t>Community Chest carry</t>
  </si>
  <si>
    <t>Paul Bingle &lt;binglenet@gmail.com&gt;,</t>
  </si>
  <si>
    <t>Speakers</t>
  </si>
  <si>
    <t>Blair Martin</t>
  </si>
  <si>
    <t>Jim Goracke</t>
  </si>
  <si>
    <t>Bob Booth</t>
  </si>
  <si>
    <t>Don Reed</t>
  </si>
  <si>
    <t>Gordon K/Jeff L</t>
  </si>
  <si>
    <t>Lee Sankey</t>
  </si>
  <si>
    <t>Aaron Weber</t>
  </si>
  <si>
    <t>Marcia D</t>
  </si>
  <si>
    <t>Bill E /Derrick P</t>
  </si>
  <si>
    <t>Ben marshall/Karen S</t>
  </si>
  <si>
    <t>Kent Anthony</t>
  </si>
  <si>
    <t>Motions</t>
  </si>
  <si>
    <t>No meeting Nov 11 Veterans Day</t>
  </si>
  <si>
    <t>Oct late</t>
  </si>
  <si>
    <t>No meeting Sept 7, Labor Day</t>
  </si>
  <si>
    <t>late Aug</t>
  </si>
  <si>
    <t>No meeting Nov 25 Thanksgiving week</t>
  </si>
  <si>
    <t>begin nov</t>
  </si>
  <si>
    <t>Paul Bingle membership changed to Honarary</t>
  </si>
  <si>
    <t>Selina Rea Schararship 500</t>
  </si>
  <si>
    <t>approve constitution and bylaws</t>
  </si>
  <si>
    <t>split cost of shelter box with Ellinsworth and Lyons</t>
  </si>
  <si>
    <t>No meeting Dec 20and 27 Christmas breaak</t>
  </si>
  <si>
    <t>beginning dec</t>
  </si>
  <si>
    <t>Karen Smith VP elect</t>
  </si>
  <si>
    <t xml:space="preserve">interim </t>
  </si>
  <si>
    <t>Merry  Interim Secretary; Marcia Interim Treasurer</t>
  </si>
  <si>
    <t>mid December</t>
  </si>
  <si>
    <t>Approve the list of community chest recipicants</t>
  </si>
  <si>
    <t>Nov early</t>
  </si>
  <si>
    <t>Modify Hospice donation to Sterling Village, Karen</t>
  </si>
  <si>
    <t>Approve the process of starting a College Rotaract club</t>
  </si>
  <si>
    <t>early Nov</t>
  </si>
  <si>
    <t>No meeting presidents day Feb 17</t>
  </si>
  <si>
    <t>early feb</t>
  </si>
  <si>
    <t>President suspends Rotary meeting per Covid-19</t>
  </si>
  <si>
    <t>Motion Blair, second x Mary Secretary, Karen Treasurer</t>
  </si>
  <si>
    <t>suggestions for Blair</t>
  </si>
  <si>
    <t>motions / minutes</t>
  </si>
  <si>
    <t>list of spouces</t>
  </si>
  <si>
    <t>list of birthdays / aniversaries for Sunsine</t>
  </si>
  <si>
    <t>work towards Foundation donations from members</t>
  </si>
  <si>
    <t>community chest donations a little more specific</t>
  </si>
  <si>
    <t>rotary sign relocation</t>
  </si>
  <si>
    <t>Rotarian contact info more than business</t>
  </si>
  <si>
    <t>poor attendance</t>
  </si>
  <si>
    <t>only 9 members attend regully</t>
  </si>
  <si>
    <t>Ben Marshall</t>
  </si>
  <si>
    <t>Major Cities</t>
  </si>
  <si>
    <t>Countries</t>
  </si>
  <si>
    <t>London Eng</t>
  </si>
  <si>
    <t>England</t>
  </si>
  <si>
    <t>Paris Fr</t>
  </si>
  <si>
    <t>Florance it</t>
  </si>
  <si>
    <t>Scotland</t>
  </si>
  <si>
    <t>Rome It</t>
  </si>
  <si>
    <t>Wales</t>
  </si>
  <si>
    <t>Venice It</t>
  </si>
  <si>
    <t>Geniva Sw</t>
  </si>
  <si>
    <t>Brussels Bel</t>
  </si>
  <si>
    <t>Amsterdam Nl</t>
  </si>
  <si>
    <t>Monico</t>
  </si>
  <si>
    <t>Ednibougher Sc</t>
  </si>
  <si>
    <t>Andora</t>
  </si>
  <si>
    <t>Dublin Ire</t>
  </si>
  <si>
    <t>Frankfurt Ger</t>
  </si>
  <si>
    <t>Turin It</t>
  </si>
  <si>
    <t>Panama City</t>
  </si>
  <si>
    <t>Cabo San Lucus</t>
  </si>
  <si>
    <t>Egipt</t>
  </si>
  <si>
    <t>San Diego US</t>
  </si>
  <si>
    <t>New York US</t>
  </si>
  <si>
    <t>Chicago US</t>
  </si>
  <si>
    <t>LA US</t>
  </si>
  <si>
    <t>Florda US</t>
  </si>
  <si>
    <t>San Francisco US</t>
  </si>
  <si>
    <t>Seattle US</t>
  </si>
  <si>
    <t>Las Vegas US</t>
  </si>
  <si>
    <t>Guetamala</t>
  </si>
  <si>
    <t>Vancouver Can</t>
  </si>
  <si>
    <t>Alaska US</t>
  </si>
  <si>
    <t>Beijing China</t>
  </si>
  <si>
    <t>Shanghai Ch</t>
  </si>
  <si>
    <t>Tasmaina</t>
  </si>
  <si>
    <t>Auckland</t>
  </si>
  <si>
    <t>new Zealand</t>
  </si>
  <si>
    <t>Hawaii</t>
  </si>
  <si>
    <t>Miami US</t>
  </si>
  <si>
    <t>Vanuata</t>
  </si>
  <si>
    <t>Honolulu US</t>
  </si>
  <si>
    <t>Geneva</t>
  </si>
  <si>
    <t>Jamaca</t>
  </si>
  <si>
    <t>Monte Carlo</t>
  </si>
  <si>
    <t>St John</t>
  </si>
  <si>
    <t>US Virgin Is</t>
  </si>
  <si>
    <t>Nassau Bahamas</t>
  </si>
  <si>
    <t>Saint Maarten</t>
  </si>
  <si>
    <t>Saint Thomas</t>
  </si>
  <si>
    <t>Holland</t>
  </si>
  <si>
    <t>344 21st</t>
  </si>
  <si>
    <t>357 20th</t>
  </si>
  <si>
    <t>243 18th</t>
  </si>
  <si>
    <t>224-8 25th</t>
  </si>
  <si>
    <t>297 26th</t>
  </si>
  <si>
    <t>405 Wash</t>
  </si>
  <si>
    <t>282 23rd</t>
  </si>
  <si>
    <t>293 28th</t>
  </si>
  <si>
    <t>Web</t>
  </si>
  <si>
    <t>LaurelWood</t>
  </si>
  <si>
    <t>Laundry    417 20th Avenue, Longview WA</t>
  </si>
  <si>
    <t>2 0 1 9</t>
  </si>
  <si>
    <t>Gross Income</t>
  </si>
  <si>
    <t>State Tax</t>
  </si>
  <si>
    <t>Water Trash Sewer</t>
  </si>
  <si>
    <t>PUD electric</t>
  </si>
  <si>
    <t>Cascade Gas</t>
  </si>
  <si>
    <t>Legal / license</t>
  </si>
  <si>
    <t>Personal Property Tax</t>
  </si>
  <si>
    <t>State of WA tax</t>
  </si>
  <si>
    <t>Security</t>
  </si>
  <si>
    <t>Open/Close</t>
  </si>
  <si>
    <t>Insurance Hartford</t>
  </si>
  <si>
    <t>Supplies &amp; Soaps</t>
  </si>
  <si>
    <t>Maintenance &amp; Repairs</t>
  </si>
  <si>
    <t>---Capitol Improvemts</t>
  </si>
  <si>
    <t>2nd NET</t>
  </si>
  <si>
    <t>Hanover due 9/17 $1194</t>
  </si>
  <si>
    <r>
      <rPr>
        <b/>
        <sz val="10"/>
        <color rgb="FF000000"/>
        <rFont val="Arial"/>
        <family val="2"/>
      </rPr>
      <t xml:space="preserve">Total City Utility </t>
    </r>
    <r>
      <rPr>
        <i/>
        <sz val="10"/>
        <color rgb="FF000000"/>
        <rFont val="Arial"/>
        <family val="2"/>
      </rPr>
      <t>10th</t>
    </r>
  </si>
  <si>
    <t>Salem Garden Club ?</t>
  </si>
  <si>
    <t>Kelso Kids</t>
  </si>
  <si>
    <t>Terminated 9/15/19</t>
  </si>
  <si>
    <t>move back</t>
  </si>
  <si>
    <t>Personal Property State Farm $198.89 June 8</t>
  </si>
  <si>
    <t>Rotary 5680 ClubRunner</t>
  </si>
  <si>
    <t>Pass 2816</t>
  </si>
  <si>
    <t>Apple ID correct 10/9/19</t>
  </si>
  <si>
    <t>ID=</t>
  </si>
  <si>
    <t>Apple Password</t>
  </si>
  <si>
    <t>passcode    rodney</t>
  </si>
  <si>
    <t>Itunes Apple ID    Merry</t>
  </si>
  <si>
    <t>Apple ID</t>
  </si>
  <si>
    <t>Rodney, Lydiate</t>
  </si>
  <si>
    <t>aaron126!</t>
  </si>
  <si>
    <r>
      <rPr>
        <u/>
        <sz val="10"/>
        <color rgb="FF1155CC"/>
        <rFont val="Arial"/>
        <family val="2"/>
        <scheme val="minor"/>
      </rPr>
      <t>CanalRiverTrust.org</t>
    </r>
    <r>
      <rPr>
        <sz val="10"/>
        <color rgb="FF000000"/>
        <rFont val="Arial"/>
        <family val="2"/>
        <scheme val="minor"/>
      </rPr>
      <t xml:space="preserve">   License</t>
    </r>
  </si>
  <si>
    <t>United Airlines MileagePlus Number: YU806893</t>
  </si>
  <si>
    <t>Merry United Frequent Flyer "Milage Plus United"</t>
  </si>
  <si>
    <t>amps</t>
  </si>
  <si>
    <t>Fiberead</t>
  </si>
  <si>
    <t>volts</t>
  </si>
  <si>
    <t>Babelcube</t>
  </si>
  <si>
    <t>watts</t>
  </si>
  <si>
    <t>Merry Dr Portal [eClinicWorks]</t>
  </si>
  <si>
    <t>account pin 2816</t>
  </si>
  <si>
    <t>centurylink Sterling phone and internet</t>
  </si>
  <si>
    <t>account # 469-138-529   bobpierce</t>
  </si>
  <si>
    <t>469138529    1-800-244-1111.</t>
  </si>
  <si>
    <t>David Hughey tax pin</t>
  </si>
  <si>
    <t>Alden State Bank      www.aldenst8.com</t>
  </si>
  <si>
    <t>West America</t>
  </si>
  <si>
    <t>OE3 Trust Fund Health Insurance</t>
  </si>
  <si>
    <t>36BA-9C47-85D1-65BE-89F4-96B9-6AD6-011E</t>
  </si>
  <si>
    <t>Hudson Garbage    www.wcicustomer.com</t>
  </si>
  <si>
    <t>Stripe</t>
  </si>
  <si>
    <t>Fred Meyer Rewards</t>
  </si>
  <si>
    <t>Chase Rod</t>
  </si>
  <si>
    <t>CSScreator.com Forum</t>
  </si>
  <si>
    <t>merry chrome remote desktop</t>
  </si>
  <si>
    <t>pin 4512</t>
  </si>
  <si>
    <t>earnest, hollywood, 55875</t>
  </si>
  <si>
    <t>sort 60-20-11  acc 86237608</t>
  </si>
  <si>
    <t>Chrome Remote Desktop    Rod</t>
  </si>
  <si>
    <t>Fibre Merry</t>
  </si>
  <si>
    <t>Fibre Persoanl Rod [routing 323380766]</t>
  </si>
  <si>
    <t>https://www.virtualbranchservices.com/PaymentCenter/fibre/</t>
  </si>
  <si>
    <t>[bill pay direct]</t>
  </si>
  <si>
    <t>rodney28162816 [12/2018]</t>
  </si>
  <si>
    <t>HUCM5-77HME-N8XDM-CPBJJ-5RRBA</t>
  </si>
  <si>
    <t>Google account Merry</t>
  </si>
  <si>
    <t>Google account</t>
  </si>
  <si>
    <t>rodney2816   7-1-19</t>
  </si>
  <si>
    <t>drodlloyd@gmail.com   rodney2816 [5/2019]</t>
  </si>
  <si>
    <t>PUD laundry meter   www.myusage.com</t>
  </si>
  <si>
    <t>account # 510 96 93</t>
  </si>
  <si>
    <t xml:space="preserve">Symphony </t>
  </si>
  <si>
    <t>or might be rlloyd@clear-lake.com</t>
  </si>
  <si>
    <t>aaron126aaron126 [2019]</t>
  </si>
  <si>
    <t>aaronn! [2008]</t>
  </si>
  <si>
    <t>aaron126 [old]</t>
  </si>
  <si>
    <t>Facebook Rod UK</t>
  </si>
  <si>
    <t>merry laptop microsoft and Word</t>
  </si>
  <si>
    <t>aaron126aaron126</t>
  </si>
  <si>
    <t>OptumRX</t>
  </si>
  <si>
    <t>rodlloyd   or rlloyd@clear-lake.com</t>
  </si>
  <si>
    <t>utd, blue, lowe, sandy</t>
  </si>
  <si>
    <t>Red Canoe Symphony</t>
  </si>
  <si>
    <t>1violin</t>
  </si>
  <si>
    <t>Red Canoe account no   167523</t>
  </si>
  <si>
    <t>KelsoKidz email</t>
  </si>
  <si>
    <t>president@kelsokidz.org</t>
  </si>
  <si>
    <t>foundation</t>
  </si>
  <si>
    <t>DNN aux.97048.info</t>
  </si>
  <si>
    <t>auxiliary</t>
  </si>
  <si>
    <t>district13</t>
  </si>
  <si>
    <t>NSB.POWERDNN.COM</t>
  </si>
  <si>
    <t>youtube merry</t>
  </si>
  <si>
    <t>youtube</t>
  </si>
  <si>
    <t>ITX Design updated 3/14/19</t>
  </si>
  <si>
    <t>clearlake</t>
  </si>
  <si>
    <t>en~!bi&amp;[}s2y</t>
  </si>
  <si>
    <t>Item/price</t>
  </si>
  <si>
    <t>Jan15</t>
  </si>
  <si>
    <t>Dec14</t>
  </si>
  <si>
    <t>Jan14</t>
  </si>
  <si>
    <t>Dec13</t>
  </si>
  <si>
    <t>Jan13</t>
  </si>
  <si>
    <t>Dec12</t>
  </si>
  <si>
    <t>Jan12</t>
  </si>
  <si>
    <t>Dec11</t>
  </si>
  <si>
    <t>Jan11</t>
  </si>
  <si>
    <t>Learn Handbells $5</t>
  </si>
  <si>
    <t>yes + kindle</t>
  </si>
  <si>
    <t>AutoBiography $5</t>
  </si>
  <si>
    <t>Handbell Tree Plans $6</t>
  </si>
  <si>
    <t>yes + Kindle</t>
  </si>
  <si>
    <t>Handbell Tree Plans $5</t>
  </si>
  <si>
    <t>Clock Bench Manual</t>
  </si>
  <si>
    <t>Mobile Home $5</t>
  </si>
  <si>
    <t>Handbell Bible $7net</t>
  </si>
  <si>
    <t>Mold Testing $10</t>
  </si>
  <si>
    <t xml:space="preserve">Mold get rid of </t>
  </si>
  <si>
    <t>Bow Hair $10</t>
  </si>
  <si>
    <t>Rental Bookkeeping</t>
  </si>
  <si>
    <t>Home Inspection $10</t>
  </si>
  <si>
    <t>yes + Kindle + book</t>
  </si>
  <si>
    <t>English Dictionary $5</t>
  </si>
  <si>
    <t>book</t>
  </si>
  <si>
    <t>Clock Bench Pins</t>
  </si>
  <si>
    <t>Cuckoo Clock</t>
  </si>
  <si>
    <t>Fiver Home Inspect</t>
  </si>
  <si>
    <t>CraigsList 3ad</t>
  </si>
  <si>
    <t>Misc eBay</t>
  </si>
  <si>
    <t>Ultimate CraigsList</t>
  </si>
  <si>
    <t>Web Pages DNN $10</t>
  </si>
  <si>
    <t>Laundry $8</t>
  </si>
  <si>
    <t>Skinning $10</t>
  </si>
  <si>
    <t>Instant Hot Water $5</t>
  </si>
  <si>
    <t>Totals Units Sold</t>
  </si>
  <si>
    <t>Total $ Sold</t>
  </si>
  <si>
    <t>kindle payments</t>
  </si>
  <si>
    <t>Watch Donation</t>
  </si>
  <si>
    <t>Kindle Project</t>
  </si>
  <si>
    <t>DNN</t>
  </si>
  <si>
    <t>craigslist</t>
  </si>
  <si>
    <t>rent book</t>
  </si>
  <si>
    <t>hip surgery</t>
  </si>
  <si>
    <t>Start Double Bass</t>
  </si>
  <si>
    <t>draw plans</t>
  </si>
  <si>
    <t>publish on amazon</t>
  </si>
  <si>
    <t>toy racing car pinederby</t>
  </si>
  <si>
    <t>Elegant vanity</t>
  </si>
  <si>
    <t>fostering</t>
  </si>
  <si>
    <t>Laundry business</t>
  </si>
  <si>
    <t>Already Kindle Live</t>
  </si>
  <si>
    <t>Handbell Bible</t>
  </si>
  <si>
    <t>My clock wont run</t>
  </si>
  <si>
    <t>Money from Mobile</t>
  </si>
  <si>
    <t>Walk in my Shoes</t>
  </si>
  <si>
    <t>Rental property</t>
  </si>
  <si>
    <t>Brit Dictionary</t>
  </si>
  <si>
    <t>Laundromat</t>
  </si>
  <si>
    <t>Mold Homeinspection</t>
  </si>
  <si>
    <t>Handbell Tree Plans</t>
  </si>
  <si>
    <t>bow hair</t>
  </si>
  <si>
    <t>Toilet repair</t>
  </si>
  <si>
    <t>To Make Ends Meet</t>
  </si>
  <si>
    <t>Live Amazon Bound</t>
  </si>
  <si>
    <t>Handbell</t>
  </si>
  <si>
    <t>Clock</t>
  </si>
  <si>
    <t>Home Inspection</t>
  </si>
  <si>
    <t>Handbell Tree</t>
  </si>
  <si>
    <t>Money Mobiles</t>
  </si>
  <si>
    <t>2 0 1 8</t>
  </si>
  <si>
    <t>Total City Utility</t>
  </si>
  <si>
    <t>Legal</t>
  </si>
  <si>
    <t>Cool Sea</t>
  </si>
  <si>
    <t>heat season</t>
  </si>
  <si>
    <t>Mid Oct</t>
  </si>
  <si>
    <t>mid may</t>
  </si>
  <si>
    <t>7 months</t>
  </si>
  <si>
    <t>5 months</t>
  </si>
  <si>
    <t>357 20th Avenue, Longview WA</t>
  </si>
  <si>
    <t>Rent 357 A</t>
  </si>
  <si>
    <t>Utilities 357 A</t>
  </si>
  <si>
    <t>Rent 357 B</t>
  </si>
  <si>
    <t>Utilities 357 B</t>
  </si>
  <si>
    <t>Water &amp; Trash</t>
  </si>
  <si>
    <t>Legal/Office</t>
  </si>
  <si>
    <t>Bank Fees</t>
  </si>
  <si>
    <t>Insurance LibertyMutual</t>
  </si>
  <si>
    <t>---General Repairs</t>
  </si>
  <si>
    <t>---Expenses Other</t>
  </si>
  <si>
    <t>Insurance - Liberty Mutual Expires  $632</t>
  </si>
  <si>
    <t>357 Water &amp; Trash</t>
  </si>
  <si>
    <t>357 Electric</t>
  </si>
  <si>
    <t>Utilities Income</t>
  </si>
  <si>
    <t>243 18th Avenue, Longview WA</t>
  </si>
  <si>
    <t>PUD electric &amp; gas</t>
  </si>
  <si>
    <t>Insurance Allstate</t>
  </si>
  <si>
    <t>Insurance Allstate 7/24/14 ~ 7/24/15  $500.86 Jim Debruler  360 636 3710</t>
  </si>
  <si>
    <t>293 28th Avenue, Longview WA</t>
  </si>
  <si>
    <t>Insurance Liberty Mutual</t>
  </si>
  <si>
    <t>OSFGC</t>
  </si>
  <si>
    <t>due July1</t>
  </si>
  <si>
    <t>Santiam District</t>
  </si>
  <si>
    <t>Terminated</t>
  </si>
  <si>
    <t>74430 Laurel Wood Rd, Rainier</t>
  </si>
  <si>
    <t>Phone &amp; Internet</t>
  </si>
  <si>
    <t>TV Satalite Dish Net</t>
  </si>
  <si>
    <t>Rod Health Insurance</t>
  </si>
  <si>
    <t>Cell Phone ATT Rod</t>
  </si>
  <si>
    <t>Prius Loan</t>
  </si>
  <si>
    <t>Garbage</t>
  </si>
  <si>
    <t>128 West Main St, Sterling Kansas</t>
  </si>
  <si>
    <t>2019 Calendar</t>
  </si>
  <si>
    <t>San Diego Cruise</t>
  </si>
  <si>
    <t>Italy plus</t>
  </si>
  <si>
    <t>January</t>
  </si>
  <si>
    <t>February</t>
  </si>
  <si>
    <t>March</t>
  </si>
  <si>
    <t>Su</t>
  </si>
  <si>
    <t>Mo</t>
  </si>
  <si>
    <t>Tu</t>
  </si>
  <si>
    <t>We</t>
  </si>
  <si>
    <t>Th</t>
  </si>
  <si>
    <t>Fr</t>
  </si>
  <si>
    <t>Sa</t>
  </si>
  <si>
    <t>Tentative</t>
  </si>
  <si>
    <t>fly out</t>
  </si>
  <si>
    <t>fly back</t>
  </si>
  <si>
    <t>Band last Year</t>
  </si>
  <si>
    <t>Italy Bells</t>
  </si>
  <si>
    <t>September</t>
  </si>
  <si>
    <t>October</t>
  </si>
  <si>
    <t>November</t>
  </si>
  <si>
    <t>Vagas</t>
  </si>
  <si>
    <t>2020 Calendar</t>
  </si>
  <si>
    <t>Symphony</t>
  </si>
  <si>
    <t>Canal</t>
  </si>
  <si>
    <t>Band</t>
  </si>
  <si>
    <t>September 20 Symphony tent start</t>
  </si>
  <si>
    <t>Federal Holidays 2020</t>
  </si>
  <si>
    <t>New Year's Day</t>
  </si>
  <si>
    <t>Memorial Day</t>
  </si>
  <si>
    <t>Labor Day</t>
  </si>
  <si>
    <t>Thanksgiving Day</t>
  </si>
  <si>
    <t>Martin Luther King Day</t>
  </si>
  <si>
    <t>Independence Day (obs.)</t>
  </si>
  <si>
    <t>Columbus Day</t>
  </si>
  <si>
    <t>Christmas Day</t>
  </si>
  <si>
    <t>Presidents' Day</t>
  </si>
  <si>
    <t>Independence Day</t>
  </si>
  <si>
    <t>Veterans Day</t>
  </si>
  <si>
    <t>© Calendarpedia® www.calendarpedia.com</t>
  </si>
  <si>
    <t>Data provided 'as is' without warranty</t>
  </si>
  <si>
    <t>Long Beach</t>
  </si>
  <si>
    <t>Clock Class</t>
  </si>
  <si>
    <t>Concert</t>
  </si>
  <si>
    <t>Rehearsal</t>
  </si>
  <si>
    <t>Laura &amp; Doug</t>
  </si>
  <si>
    <t>Dodge City</t>
  </si>
  <si>
    <t>January 1: New Year's Day, January 15: Martin Luther King Day, February 19: Presidents' Day, May 28: Memorial Day, July 4: Independence Day, September 3: Labor Day,</t>
  </si>
  <si>
    <t>October 8: Columbus Day, November 11: Veterans Day, November 12: Veterans Day (observed), November 22: Thanksgiving Day, December 25: Christmas Day</t>
  </si>
  <si>
    <t>symphony concert</t>
  </si>
  <si>
    <t>Italy Trip Notes</t>
  </si>
  <si>
    <t>fire permits</t>
  </si>
  <si>
    <t>order windows</t>
  </si>
  <si>
    <t>venice best western</t>
  </si>
  <si>
    <t>I T A L Y    T R I P</t>
  </si>
  <si>
    <t>Airline</t>
  </si>
  <si>
    <t>From</t>
  </si>
  <si>
    <t>To</t>
  </si>
  <si>
    <t>Flight #</t>
  </si>
  <si>
    <t>Depart</t>
  </si>
  <si>
    <t>Arrive</t>
  </si>
  <si>
    <t>4:00pm</t>
  </si>
  <si>
    <t>6.15am</t>
  </si>
  <si>
    <t>8.00am</t>
  </si>
  <si>
    <t>11.30a</t>
  </si>
  <si>
    <t>CarRent</t>
  </si>
  <si>
    <t>/24</t>
  </si>
  <si>
    <r>
      <rPr>
        <b/>
        <sz val="10"/>
        <color theme="1"/>
        <rFont val="Arial"/>
        <family val="2"/>
      </rPr>
      <t>Car Rental</t>
    </r>
    <r>
      <rPr>
        <sz val="10"/>
        <color theme="1"/>
        <rFont val="Arial"/>
        <family val="2"/>
      </rPr>
      <t xml:space="preserve"> UK   SIXT  Peugeot 308  res code 9851040079</t>
    </r>
  </si>
  <si>
    <t>Brussels air</t>
  </si>
  <si>
    <t>Brussels</t>
  </si>
  <si>
    <t>5.45pm</t>
  </si>
  <si>
    <t>8.00pm</t>
  </si>
  <si>
    <t>Brussel</t>
  </si>
  <si>
    <t>Bremmen</t>
  </si>
  <si>
    <t>9.00pm</t>
  </si>
  <si>
    <t>10.05p</t>
  </si>
  <si>
    <t>Utd cup final Aixa 7.45</t>
  </si>
  <si>
    <t>KLM</t>
  </si>
  <si>
    <t>Bremen</t>
  </si>
  <si>
    <t>7.10am</t>
  </si>
  <si>
    <t>Floramce</t>
  </si>
  <si>
    <t>8.45am</t>
  </si>
  <si>
    <t>10.40a</t>
  </si>
  <si>
    <t>Handbells</t>
  </si>
  <si>
    <t>Lucca</t>
  </si>
  <si>
    <t>to</t>
  </si>
  <si>
    <t>Ljubljana pronounced "Lu Bi Ana"</t>
  </si>
  <si>
    <t>Florance</t>
  </si>
  <si>
    <t>Venice</t>
  </si>
  <si>
    <t>Venice AirBnB June 4-6 Casa Nova, Venezia, Veneto, Italy</t>
  </si>
  <si>
    <t xml:space="preserve">   Corte Moretta, 3170, Venezia, Veneto 30124, Italy HMMMXEBTKQ</t>
  </si>
  <si>
    <t>Turkish</t>
  </si>
  <si>
    <t>Ljubljana</t>
  </si>
  <si>
    <t>Sol</t>
  </si>
  <si>
    <t>Istanbul</t>
  </si>
  <si>
    <t>9.10am</t>
  </si>
  <si>
    <t>12.25p</t>
  </si>
  <si>
    <t>Chaiago</t>
  </si>
  <si>
    <t>2.10pm</t>
  </si>
  <si>
    <t>5.35pm</t>
  </si>
  <si>
    <t>United</t>
  </si>
  <si>
    <t>Chaicgo</t>
  </si>
  <si>
    <t>7.35pm</t>
  </si>
  <si>
    <t>10.03p</t>
  </si>
  <si>
    <t>train flo to venice</t>
  </si>
  <si>
    <t>train venice to slovania</t>
  </si>
  <si>
    <t>Austrailia Flights</t>
  </si>
  <si>
    <t>flight</t>
  </si>
  <si>
    <t>Time out</t>
  </si>
  <si>
    <t>Time in</t>
  </si>
  <si>
    <t>Cost pp</t>
  </si>
  <si>
    <t>Booked</t>
  </si>
  <si>
    <t>time</t>
  </si>
  <si>
    <t>3/20 mon</t>
  </si>
  <si>
    <t>8.50am</t>
  </si>
  <si>
    <t>12.15pm</t>
  </si>
  <si>
    <t>Hawaiian</t>
  </si>
  <si>
    <t>HA21</t>
  </si>
  <si>
    <t>Seattle</t>
  </si>
  <si>
    <t>Honolulu</t>
  </si>
  <si>
    <t>2 1/2 days in Honolulu  FNQVIC</t>
  </si>
  <si>
    <t>6.:20</t>
  </si>
  <si>
    <t>Expedia</t>
  </si>
  <si>
    <t>3/23 thu</t>
  </si>
  <si>
    <t>9.30am</t>
  </si>
  <si>
    <t>5.15pm</t>
  </si>
  <si>
    <t>3/24          NZ Air</t>
  </si>
  <si>
    <t>NZ9</t>
  </si>
  <si>
    <t>Auckland NZ</t>
  </si>
  <si>
    <t>Auckland 1 full day 8A6SYH</t>
  </si>
  <si>
    <t>3/26 sun</t>
  </si>
  <si>
    <t>4/23 sun</t>
  </si>
  <si>
    <t>Cruise Ship</t>
  </si>
  <si>
    <t>10.27am</t>
  </si>
  <si>
    <t>11.17am</t>
  </si>
  <si>
    <t>Island Air</t>
  </si>
  <si>
    <t>Kauai</t>
  </si>
  <si>
    <t>AKD77X</t>
  </si>
  <si>
    <t>island hop - 4 days in Kauai 5.7 miles</t>
  </si>
  <si>
    <t>5/1 mon</t>
  </si>
  <si>
    <t>11.35am</t>
  </si>
  <si>
    <t>12.10pm</t>
  </si>
  <si>
    <t>HA144</t>
  </si>
  <si>
    <t>AWNTOC</t>
  </si>
  <si>
    <t>Island Hop</t>
  </si>
  <si>
    <t>1.25pm</t>
  </si>
  <si>
    <t>10.00pm</t>
  </si>
  <si>
    <t>HA22</t>
  </si>
  <si>
    <t>Main Flight</t>
  </si>
  <si>
    <t>Hotels</t>
  </si>
  <si>
    <t>Douglas Lloyd</t>
  </si>
  <si>
    <t>Mariner ID #104727557</t>
  </si>
  <si>
    <t>Waikiki</t>
  </si>
  <si>
    <t>Saranya</t>
  </si>
  <si>
    <t>booked - confirmed</t>
  </si>
  <si>
    <t>20 n kuakini st</t>
  </si>
  <si>
    <t>Booking #VVWVHK</t>
  </si>
  <si>
    <t>Yann's Place</t>
  </si>
  <si>
    <t>4a fitzroy st</t>
  </si>
  <si>
    <t>&lt;sfox@tpi.ca&gt;   her name is Sharmaine.   cruise consultant Travel Agent</t>
  </si>
  <si>
    <t>I T A L Y    T R I P   2 0 1 9</t>
  </si>
  <si>
    <t>American</t>
  </si>
  <si>
    <t>Wichita</t>
  </si>
  <si>
    <t>Chicago</t>
  </si>
  <si>
    <t>5.38p</t>
  </si>
  <si>
    <t>7.37p</t>
  </si>
  <si>
    <t>Boston</t>
  </si>
  <si>
    <t>8.35p</t>
  </si>
  <si>
    <t>11.55p</t>
  </si>
  <si>
    <t>AirBnB</t>
  </si>
  <si>
    <t>May 6 to May 8</t>
  </si>
  <si>
    <t>617-787-1860</t>
  </si>
  <si>
    <t>The Farrington Inn, 1704, 23 Farrington Ave, Boston</t>
  </si>
  <si>
    <t>JetBlue</t>
  </si>
  <si>
    <t>JF Ken</t>
  </si>
  <si>
    <t>B6417</t>
  </si>
  <si>
    <t>6.55p</t>
  </si>
  <si>
    <t>8.30p</t>
  </si>
  <si>
    <t>ThomasCook</t>
  </si>
  <si>
    <t>Manchester</t>
  </si>
  <si>
    <t>MT2853</t>
  </si>
  <si>
    <t>10.00p</t>
  </si>
  <si>
    <t>09.55a</t>
  </si>
  <si>
    <t>Car Rental</t>
  </si>
  <si>
    <t>Manchester Airport    NOT YET BOOKED</t>
  </si>
  <si>
    <t xml:space="preserve">Canal Boat, The Warf, Brewood, Stafford 01902-850166  Fri May 10, 2pm </t>
  </si>
  <si>
    <t>EZ Jet</t>
  </si>
  <si>
    <t>pisa</t>
  </si>
  <si>
    <t>EZY1847</t>
  </si>
  <si>
    <t>3.50p</t>
  </si>
  <si>
    <t>booking EWTTVH2</t>
  </si>
  <si>
    <t>car Floance to Rome</t>
  </si>
  <si>
    <t>NOT</t>
  </si>
  <si>
    <t>YET</t>
  </si>
  <si>
    <t>BOOKED</t>
  </si>
  <si>
    <t>Rome</t>
  </si>
  <si>
    <t>may 23 to 25</t>
  </si>
  <si>
    <t>6 Via XXIV Maggio, Pisa</t>
  </si>
  <si>
    <t xml:space="preserve">booking </t>
  </si>
  <si>
    <t>Car Rental Florence to Rome</t>
  </si>
  <si>
    <t xml:space="preserve">Air BnB May 6 to May 8   617-787-1860   The Farrington Inn, 1704, 23 Farrington Ave, Boston </t>
  </si>
  <si>
    <t>INCOME Taxes</t>
  </si>
  <si>
    <t>Schedule E's</t>
  </si>
  <si>
    <t>Bought</t>
  </si>
  <si>
    <t>Property Tax Home</t>
  </si>
  <si>
    <t>Sched C</t>
  </si>
  <si>
    <t>Mortgage Int Home</t>
  </si>
  <si>
    <t>293 28th Ave</t>
  </si>
  <si>
    <t>74430 Laurel</t>
  </si>
  <si>
    <t>344 21st Ave</t>
  </si>
  <si>
    <t>224 25th Ave</t>
  </si>
  <si>
    <t>228 25th Ave</t>
  </si>
  <si>
    <t>405 Washing</t>
  </si>
  <si>
    <t>Clock Repair</t>
  </si>
  <si>
    <t>Prop Taxes Luna Co</t>
  </si>
  <si>
    <t>Income Rents</t>
  </si>
  <si>
    <t>Estimated Tax Paid</t>
  </si>
  <si>
    <t>advil</t>
  </si>
  <si>
    <t>M&amp;I Trust</t>
  </si>
  <si>
    <t>Vanguard</t>
  </si>
  <si>
    <t>Auto / Travel</t>
  </si>
  <si>
    <t>81 miles</t>
  </si>
  <si>
    <t>67 miles</t>
  </si>
  <si>
    <t>175 miles</t>
  </si>
  <si>
    <t>192 miles</t>
  </si>
  <si>
    <t>416 miles</t>
  </si>
  <si>
    <t>194 miles</t>
  </si>
  <si>
    <t>1680 miles</t>
  </si>
  <si>
    <t>Workshops</t>
  </si>
  <si>
    <t>Social Security m</t>
  </si>
  <si>
    <t>Cleaning/Maintenance</t>
  </si>
  <si>
    <t>Travel - mil</t>
  </si>
  <si>
    <t>Social Security r</t>
  </si>
  <si>
    <t>Legal &amp; Professional</t>
  </si>
  <si>
    <t>office Supp</t>
  </si>
  <si>
    <t>Management</t>
  </si>
  <si>
    <t>supplies</t>
  </si>
  <si>
    <t>ass dues</t>
  </si>
  <si>
    <t>Health</t>
  </si>
  <si>
    <t>Supplies</t>
  </si>
  <si>
    <t>Priscriptions Rod</t>
  </si>
  <si>
    <t>Priscriptions Merry</t>
  </si>
  <si>
    <t>Total Utilities</t>
  </si>
  <si>
    <t>Health Travel miles R</t>
  </si>
  <si>
    <t>closing costs</t>
  </si>
  <si>
    <t>Estimated Taxes 2018</t>
  </si>
  <si>
    <t>medical premium R</t>
  </si>
  <si>
    <t>Purchase Price</t>
  </si>
  <si>
    <t>Sept Fed</t>
  </si>
  <si>
    <t>medical premium M</t>
  </si>
  <si>
    <t>Land Value</t>
  </si>
  <si>
    <t>Dec Fed</t>
  </si>
  <si>
    <t>Glasses</t>
  </si>
  <si>
    <t>Sold on</t>
  </si>
  <si>
    <t>Dental</t>
  </si>
  <si>
    <t>Sales Price</t>
  </si>
  <si>
    <t>Health Travel miles M</t>
  </si>
  <si>
    <t>Cloaing costs</t>
  </si>
  <si>
    <t>trailer</t>
  </si>
  <si>
    <t>medicare merry</t>
  </si>
  <si>
    <t>1065 Partnership Return K1</t>
  </si>
  <si>
    <t>need</t>
  </si>
  <si>
    <t>closing</t>
  </si>
  <si>
    <t>tax at 20%</t>
  </si>
  <si>
    <t>28th</t>
  </si>
  <si>
    <t>laurelwood</t>
  </si>
  <si>
    <t>Donations:</t>
  </si>
  <si>
    <t>Original</t>
  </si>
  <si>
    <t>Property</t>
  </si>
  <si>
    <t>buy price</t>
  </si>
  <si>
    <t>fixup cost</t>
  </si>
  <si>
    <t>sale price</t>
  </si>
  <si>
    <t>loan</t>
  </si>
  <si>
    <t>Close Costs</t>
  </si>
  <si>
    <t>net gain</t>
  </si>
  <si>
    <t>cash out</t>
  </si>
  <si>
    <t>-Symphony</t>
  </si>
  <si>
    <t>-Comm Church</t>
  </si>
  <si>
    <t>26th ave</t>
  </si>
  <si>
    <t>-UCP church</t>
  </si>
  <si>
    <t>-Goodwill non cash</t>
  </si>
  <si>
    <t>-Mercy Corps Nepal</t>
  </si>
  <si>
    <t>282 23rd Ave</t>
  </si>
  <si>
    <t>405 Washington</t>
  </si>
  <si>
    <t>-other donations</t>
  </si>
  <si>
    <t>-Hope - bread</t>
  </si>
  <si>
    <t>18th Ave</t>
  </si>
  <si>
    <t>Laurel Wood Rd</t>
  </si>
  <si>
    <t>hope miles</t>
  </si>
  <si>
    <t>1099's needed</t>
  </si>
  <si>
    <t>M&amp;I [K1]</t>
  </si>
  <si>
    <t>Royalties</t>
  </si>
  <si>
    <t>Depreciation</t>
  </si>
  <si>
    <t xml:space="preserve"> 2016 cost</t>
  </si>
  <si>
    <t xml:space="preserve"> 2015 cost</t>
  </si>
  <si>
    <t>Social Security</t>
  </si>
  <si>
    <t>On-Demand</t>
  </si>
  <si>
    <t>amazon 4</t>
  </si>
  <si>
    <t>Laundromat Equipment Original Purchased in 2016</t>
  </si>
  <si>
    <t>new/used</t>
  </si>
  <si>
    <t>21 front</t>
  </si>
  <si>
    <t>aug</t>
  </si>
  <si>
    <t>new</t>
  </si>
  <si>
    <t>floor</t>
  </si>
  <si>
    <t>nov</t>
  </si>
  <si>
    <t>Tables 4</t>
  </si>
  <si>
    <t>sept</t>
  </si>
  <si>
    <t>14 top</t>
  </si>
  <si>
    <t>june</t>
  </si>
  <si>
    <t>Doctor</t>
  </si>
  <si>
    <t>Clock Class 2016</t>
  </si>
  <si>
    <t>Sparling follow-up</t>
  </si>
  <si>
    <t>Nawcc dues</t>
  </si>
  <si>
    <t>chapter dues</t>
  </si>
  <si>
    <t>travel [70]</t>
  </si>
  <si>
    <t>Spring Winder</t>
  </si>
  <si>
    <t>Al's Tools</t>
  </si>
  <si>
    <t>Tooth kit</t>
  </si>
  <si>
    <t>profit/loss</t>
  </si>
  <si>
    <t>Total Miles</t>
  </si>
  <si>
    <t>Taxable Income</t>
  </si>
  <si>
    <t>2022 1099</t>
  </si>
  <si>
    <t>social security</t>
  </si>
  <si>
    <t>Etsy Books</t>
  </si>
  <si>
    <t>RE loans</t>
  </si>
  <si>
    <t>Kristie Berger</t>
  </si>
  <si>
    <t>2 0 1 7</t>
  </si>
  <si>
    <t>344 21st Avenue, Longview WA</t>
  </si>
  <si>
    <t>Insurance State Farm</t>
  </si>
  <si>
    <t>Insurance State Farm, Bob Beal, 360 425 5432, Expires Nov 8</t>
  </si>
  <si>
    <t>224 &amp; 228 25th Avenue, Longview WA</t>
  </si>
  <si>
    <t>Property Tax 224</t>
  </si>
  <si>
    <t>Property Tax 228</t>
  </si>
  <si>
    <t>Office</t>
  </si>
  <si>
    <t>224 Insurance Allstate 11/26 Jim DeBruler 360 636 3710 $1462.67</t>
  </si>
  <si>
    <t>228 Insurance Allstate 6/9   Jim Debruler 360 636 3710</t>
  </si>
  <si>
    <t>297 26th Avenue, Longview WA</t>
  </si>
  <si>
    <t>Insurance Allstate 10/21/15 ~ 10/20/16  $454.86 Jim Debruler  360 636 3710</t>
  </si>
  <si>
    <t>405 Washington Avenue N, Long Beach WA</t>
  </si>
  <si>
    <t>Insurance State Farm 7/15/16 ~ 7/14/17  $411 Don Parsons  (360) 642-4587</t>
  </si>
  <si>
    <t>282 23rd Avenue, Longview WA</t>
  </si>
  <si>
    <t>Insurance Liberty Mutual $60 per month</t>
  </si>
  <si>
    <t>Sandy Gun Works</t>
  </si>
  <si>
    <t>David Hughey</t>
  </si>
  <si>
    <t>384 miles</t>
  </si>
  <si>
    <t>190 miles</t>
  </si>
  <si>
    <t>Carry</t>
  </si>
  <si>
    <t>total net</t>
  </si>
  <si>
    <t>Tax person, experiance with partnerships, can do all states</t>
  </si>
  <si>
    <t>net cash</t>
  </si>
  <si>
    <t>2 0 1 6</t>
  </si>
  <si>
    <t>report</t>
  </si>
  <si>
    <t>168 miles</t>
  </si>
  <si>
    <t>Utilities -Water &amp; Trash</t>
  </si>
  <si>
    <t>504 miles</t>
  </si>
  <si>
    <t>1456 miles</t>
  </si>
  <si>
    <t>1408 miles</t>
  </si>
  <si>
    <t>1120 miles</t>
  </si>
  <si>
    <t>billed</t>
  </si>
  <si>
    <t>Rainier Garden Club</t>
  </si>
  <si>
    <t>Bank</t>
  </si>
  <si>
    <t>Number</t>
  </si>
  <si>
    <t>Used for</t>
  </si>
  <si>
    <t>Paid From</t>
  </si>
  <si>
    <t>Comments</t>
  </si>
  <si>
    <t>Pays on</t>
  </si>
  <si>
    <t>Online Account</t>
  </si>
  <si>
    <t>last Charge</t>
  </si>
  <si>
    <t>Chase Saphire</t>
  </si>
  <si>
    <t>4147-2022-0220-9126</t>
  </si>
  <si>
    <t>Merry Travel, Rest</t>
  </si>
  <si>
    <t xml:space="preserve">1300041 Fibre   merry </t>
  </si>
  <si>
    <t>2% cash back</t>
  </si>
  <si>
    <t>merry chase</t>
  </si>
  <si>
    <t>2576 new card</t>
  </si>
  <si>
    <t>Chase Freedom</t>
  </si>
  <si>
    <t>4185-8616-3918-7982</t>
  </si>
  <si>
    <t>Merry Personal</t>
  </si>
  <si>
    <t>merry &amp; rod chase</t>
  </si>
  <si>
    <t>4147-2024-0053-2576</t>
  </si>
  <si>
    <t>6011-0007-9784-5306</t>
  </si>
  <si>
    <t>Alden 1442</t>
  </si>
  <si>
    <t>dept store &amp; Amazon</t>
  </si>
  <si>
    <t>4400-6681-8384-7724</t>
  </si>
  <si>
    <t>Rod Personal</t>
  </si>
  <si>
    <t>$42,800 limit</t>
  </si>
  <si>
    <t>BoA</t>
  </si>
  <si>
    <t>4185-5056-0904-1497</t>
  </si>
  <si>
    <t>alden 1442</t>
  </si>
  <si>
    <t>travel</t>
  </si>
  <si>
    <t>Chase Fredom</t>
  </si>
  <si>
    <t>4147-2022-9670-4263</t>
  </si>
  <si>
    <t>425279 Fibre   property</t>
  </si>
  <si>
    <t>RETIRE</t>
  </si>
  <si>
    <t>going to terminate by bank for inactivity</t>
  </si>
  <si>
    <t>4266-8415-9216-5458</t>
  </si>
  <si>
    <t>1305916 Fibre laundry account</t>
  </si>
  <si>
    <t>Chase Slate</t>
  </si>
  <si>
    <t>4266-8413-3785-6600</t>
  </si>
  <si>
    <t>1364 Fibre   rod</t>
  </si>
  <si>
    <t>rod chase</t>
  </si>
  <si>
    <t>Chase Sapphire</t>
  </si>
  <si>
    <t>4147-2023-1710-9674</t>
  </si>
  <si>
    <t>Project</t>
  </si>
  <si>
    <t>Millimeters</t>
  </si>
  <si>
    <t>Inches</t>
  </si>
  <si>
    <t>Designation</t>
  </si>
  <si>
    <t>.3429mm</t>
  </si>
  <si>
    <t>.0135"</t>
  </si>
  <si>
    <t>#80</t>
  </si>
  <si>
    <t>1mm</t>
  </si>
  <si>
    <t>.0394"</t>
  </si>
  <si>
    <t>2.05mm</t>
  </si>
  <si>
    <t>.0807"</t>
  </si>
  <si>
    <t>.3683mm</t>
  </si>
  <si>
    <t>.0145"</t>
  </si>
  <si>
    <t>#79</t>
  </si>
  <si>
    <t>1.016mm</t>
  </si>
  <si>
    <t>.04"</t>
  </si>
  <si>
    <t>#60</t>
  </si>
  <si>
    <t>2.0574mm</t>
  </si>
  <si>
    <t>.081"</t>
  </si>
  <si>
    <t>#46</t>
  </si>
  <si>
    <t>.3969mm</t>
  </si>
  <si>
    <t>.015625"</t>
  </si>
  <si>
    <t>1/64"</t>
  </si>
  <si>
    <t>1.0414mm</t>
  </si>
  <si>
    <t>.041"</t>
  </si>
  <si>
    <t>#59</t>
  </si>
  <si>
    <t>2.0828mm</t>
  </si>
  <si>
    <t>.082"</t>
  </si>
  <si>
    <t>#45</t>
  </si>
  <si>
    <t>.4064mm</t>
  </si>
  <si>
    <t>.016"</t>
  </si>
  <si>
    <t>#78</t>
  </si>
  <si>
    <t>1.0668mm</t>
  </si>
  <si>
    <t>.042"</t>
  </si>
  <si>
    <t>#58</t>
  </si>
  <si>
    <t>2.1844mm</t>
  </si>
  <si>
    <t>.086"</t>
  </si>
  <si>
    <t>#44</t>
  </si>
  <si>
    <t>.4572mm</t>
  </si>
  <si>
    <t>.018"</t>
  </si>
  <si>
    <t>#77</t>
  </si>
  <si>
    <t>1.0922mm</t>
  </si>
  <si>
    <t>.043"</t>
  </si>
  <si>
    <t>#57</t>
  </si>
  <si>
    <t>2.2606mm</t>
  </si>
  <si>
    <t>.089"</t>
  </si>
  <si>
    <t>#43</t>
  </si>
  <si>
    <t>.5mm</t>
  </si>
  <si>
    <t>.0197"</t>
  </si>
  <si>
    <t>1.1mm</t>
  </si>
  <si>
    <t>.0433"</t>
  </si>
  <si>
    <t>2.3749mm</t>
  </si>
  <si>
    <t>.0935"</t>
  </si>
  <si>
    <t>#42</t>
  </si>
  <si>
    <t>.508mm</t>
  </si>
  <si>
    <t>.02"</t>
  </si>
  <si>
    <t>#76</t>
  </si>
  <si>
    <t>1.1811mm</t>
  </si>
  <si>
    <t>.0465"</t>
  </si>
  <si>
    <t>#56</t>
  </si>
  <si>
    <t>2.3813mm</t>
  </si>
  <si>
    <t>.09375"</t>
  </si>
  <si>
    <t>3/32"</t>
  </si>
  <si>
    <t>.5334mm</t>
  </si>
  <si>
    <t>.021"</t>
  </si>
  <si>
    <t>#75</t>
  </si>
  <si>
    <t>1.1906mm</t>
  </si>
  <si>
    <t>.046875"</t>
  </si>
  <si>
    <t>3/64"</t>
  </si>
  <si>
    <t>2.4384mm</t>
  </si>
  <si>
    <t>.096"</t>
  </si>
  <si>
    <t>#41</t>
  </si>
  <si>
    <t>.5715mm</t>
  </si>
  <si>
    <t>.0225"</t>
  </si>
  <si>
    <t>#74</t>
  </si>
  <si>
    <t>1.25mm</t>
  </si>
  <si>
    <t>.0492"</t>
  </si>
  <si>
    <t>2.4892mm</t>
  </si>
  <si>
    <t>.098"</t>
  </si>
  <si>
    <t>#40</t>
  </si>
  <si>
    <t>.6096mm</t>
  </si>
  <si>
    <t>.024"</t>
  </si>
  <si>
    <t>#73</t>
  </si>
  <si>
    <t>1.3mm</t>
  </si>
  <si>
    <t>.0512"</t>
  </si>
  <si>
    <t>2.5mm</t>
  </si>
  <si>
    <t>.0984"</t>
  </si>
  <si>
    <t>.635mm</t>
  </si>
  <si>
    <t>.025"</t>
  </si>
  <si>
    <t>#72</t>
  </si>
  <si>
    <t>1.3208mm</t>
  </si>
  <si>
    <t>.052"</t>
  </si>
  <si>
    <t>#55</t>
  </si>
  <si>
    <t>2.5273mm</t>
  </si>
  <si>
    <t>.0995"</t>
  </si>
  <si>
    <t>#39</t>
  </si>
  <si>
    <t>.6604mm</t>
  </si>
  <si>
    <t>.026"</t>
  </si>
  <si>
    <t>#71</t>
  </si>
  <si>
    <t>1.397mm</t>
  </si>
  <si>
    <t>.055"</t>
  </si>
  <si>
    <t>#54</t>
  </si>
  <si>
    <t>2.5781mm</t>
  </si>
  <si>
    <t>.1015"</t>
  </si>
  <si>
    <t>#38</t>
  </si>
  <si>
    <t>.7112mm</t>
  </si>
  <si>
    <t>.028"</t>
  </si>
  <si>
    <t>#70</t>
  </si>
  <si>
    <t>1.45mm</t>
  </si>
  <si>
    <t>.0571"</t>
  </si>
  <si>
    <t>2.6416mm</t>
  </si>
  <si>
    <t>.104"</t>
  </si>
  <si>
    <t>#37</t>
  </si>
  <si>
    <t>.74168mm</t>
  </si>
  <si>
    <t>.0292"</t>
  </si>
  <si>
    <t>#69</t>
  </si>
  <si>
    <t>1.5mm</t>
  </si>
  <si>
    <t>.0591"</t>
  </si>
  <si>
    <t>2.7051mm</t>
  </si>
  <si>
    <t>.1065"</t>
  </si>
  <si>
    <t>#36</t>
  </si>
  <si>
    <t>.75mm</t>
  </si>
  <si>
    <t>.0295"</t>
  </si>
  <si>
    <t>1.5113mm</t>
  </si>
  <si>
    <t>.0595"</t>
  </si>
  <si>
    <t>#53</t>
  </si>
  <si>
    <t>2.7781mm</t>
  </si>
  <si>
    <t>.109375"</t>
  </si>
  <si>
    <t>7/64"</t>
  </si>
  <si>
    <t>.7874mm</t>
  </si>
  <si>
    <t>.031"</t>
  </si>
  <si>
    <t>#68</t>
  </si>
  <si>
    <t>1.5875mm</t>
  </si>
  <si>
    <t>.0625"</t>
  </si>
  <si>
    <t>1/16"</t>
  </si>
  <si>
    <t>2.794mm</t>
  </si>
  <si>
    <t>.11"</t>
  </si>
  <si>
    <t>#35</t>
  </si>
  <si>
    <t>.7938mm</t>
  </si>
  <si>
    <t>.03125"</t>
  </si>
  <si>
    <t>1/32"</t>
  </si>
  <si>
    <t>1.6mm</t>
  </si>
  <si>
    <t>.063"</t>
  </si>
  <si>
    <t>2.8194mm</t>
  </si>
  <si>
    <t>.111"</t>
  </si>
  <si>
    <t>#34</t>
  </si>
  <si>
    <t>.8128mm</t>
  </si>
  <si>
    <t>.032"</t>
  </si>
  <si>
    <t>#67</t>
  </si>
  <si>
    <t>1.6129mm</t>
  </si>
  <si>
    <t>.0635"</t>
  </si>
  <si>
    <t>#52</t>
  </si>
  <si>
    <t>2.8702mm</t>
  </si>
  <si>
    <t>.113"</t>
  </si>
  <si>
    <t>#33</t>
  </si>
  <si>
    <t>.8382mm</t>
  </si>
  <si>
    <t>.033"</t>
  </si>
  <si>
    <t>#66</t>
  </si>
  <si>
    <t>1.7018mm</t>
  </si>
  <si>
    <t>.067"</t>
  </si>
  <si>
    <t>#51</t>
  </si>
  <si>
    <t>2.9mm</t>
  </si>
  <si>
    <t>.1142"</t>
  </si>
  <si>
    <t>.85mm</t>
  </si>
  <si>
    <t>.0335"</t>
  </si>
  <si>
    <t>1.75mm</t>
  </si>
  <si>
    <t>.0689"</t>
  </si>
  <si>
    <t>2.9464mm</t>
  </si>
  <si>
    <t>.116"</t>
  </si>
  <si>
    <t>#32</t>
  </si>
  <si>
    <t>.889mm</t>
  </si>
  <si>
    <t>.035"</t>
  </si>
  <si>
    <t>#65</t>
  </si>
  <si>
    <t>1.778mm</t>
  </si>
  <si>
    <t>.07"</t>
  </si>
  <si>
    <t>#50</t>
  </si>
  <si>
    <t>3mm</t>
  </si>
  <si>
    <t>.1181"</t>
  </si>
  <si>
    <t>.9144mm</t>
  </si>
  <si>
    <t>.036"</t>
  </si>
  <si>
    <t>#64</t>
  </si>
  <si>
    <t>1.8542mm</t>
  </si>
  <si>
    <t>.073"</t>
  </si>
  <si>
    <t>#49</t>
  </si>
  <si>
    <t>3.048mm</t>
  </si>
  <si>
    <t>.12"</t>
  </si>
  <si>
    <t>#31</t>
  </si>
  <si>
    <t>.9398mm</t>
  </si>
  <si>
    <t>.037"</t>
  </si>
  <si>
    <t>#63</t>
  </si>
  <si>
    <t>1.9304mm</t>
  </si>
  <si>
    <t>.076"</t>
  </si>
  <si>
    <t>#48</t>
  </si>
  <si>
    <t>3.175mm</t>
  </si>
  <si>
    <t>.125"</t>
  </si>
  <si>
    <t>1/8"</t>
  </si>
  <si>
    <t>.95mm</t>
  </si>
  <si>
    <t>.0374"</t>
  </si>
  <si>
    <t>1.9844mm</t>
  </si>
  <si>
    <t>.078125"</t>
  </si>
  <si>
    <t>5/64"</t>
  </si>
  <si>
    <t>3.2639mm</t>
  </si>
  <si>
    <t>.1285"</t>
  </si>
  <si>
    <t>#30</t>
  </si>
  <si>
    <t>.9652mm</t>
  </si>
  <si>
    <t>.038"</t>
  </si>
  <si>
    <t>#62</t>
  </si>
  <si>
    <t>1.9939mm</t>
  </si>
  <si>
    <t>.0785"</t>
  </si>
  <si>
    <t>#47</t>
  </si>
  <si>
    <t>.9906mm</t>
  </si>
  <si>
    <t>.039"</t>
  </si>
  <si>
    <t>#61</t>
  </si>
  <si>
    <t>2mm</t>
  </si>
  <si>
    <t>.0787"</t>
  </si>
  <si>
    <t>Rod's Skills</t>
  </si>
  <si>
    <t>Skill Level %</t>
  </si>
  <si>
    <t>Carpenter Cabinette Maker</t>
  </si>
  <si>
    <t>Home Inspector</t>
  </si>
  <si>
    <t>Handbell Director</t>
  </si>
  <si>
    <t>City Building Inspector</t>
  </si>
  <si>
    <t>Plumbing</t>
  </si>
  <si>
    <t>Electrical</t>
  </si>
  <si>
    <t>Paint</t>
  </si>
  <si>
    <t>Glazing</t>
  </si>
  <si>
    <t>Stained Glass</t>
  </si>
  <si>
    <t>Roofing</t>
  </si>
  <si>
    <t>Drywall</t>
  </si>
  <si>
    <t>Tree Pruning</t>
  </si>
  <si>
    <t>Handbell Ringer</t>
  </si>
  <si>
    <t>String Bass Player</t>
  </si>
  <si>
    <t>Horn Player</t>
  </si>
  <si>
    <t>Property Investor</t>
  </si>
  <si>
    <t>Boat Coxswain - River</t>
  </si>
  <si>
    <t>Soccer Referee [when fit]</t>
  </si>
  <si>
    <t>Writer - How to</t>
  </si>
  <si>
    <t>Wood Carving</t>
  </si>
  <si>
    <t>Draftsman</t>
  </si>
  <si>
    <t>Appliance Repair - Laundry</t>
  </si>
  <si>
    <t>Locksmith</t>
  </si>
  <si>
    <t>Badminton</t>
  </si>
  <si>
    <t>WellCarePdp.com Priscription Drug Coverage</t>
  </si>
  <si>
    <t>MyMedicare.gov</t>
  </si>
  <si>
    <t>3RJ7DY9CY74</t>
  </si>
  <si>
    <t>Thrivent.com</t>
  </si>
  <si>
    <t>Century link Phone landline Sterling</t>
  </si>
  <si>
    <t>account ending in 8529</t>
  </si>
  <si>
    <t>Century link internet Sterling</t>
  </si>
  <si>
    <t>Vir teen</t>
  </si>
  <si>
    <t>drl13</t>
  </si>
  <si>
    <t>2LsTphXL</t>
  </si>
  <si>
    <t>southport    la</t>
  </si>
  <si>
    <t>norwegon   [ncl.com]</t>
  </si>
  <si>
    <t>rodlloydcaroline</t>
  </si>
  <si>
    <t>norwegon Jon &amp; Autumn</t>
  </si>
  <si>
    <t>norwegon</t>
  </si>
  <si>
    <t>Trinity WiFi</t>
  </si>
  <si>
    <t>linksys</t>
  </si>
  <si>
    <t>trinity112358</t>
  </si>
  <si>
    <t>Oregon Government Ethics Commission</t>
  </si>
  <si>
    <t>Longview City Permits</t>
  </si>
  <si>
    <t>linden</t>
  </si>
  <si>
    <t>Evernote</t>
  </si>
  <si>
    <t>West Linn Parks and Rec</t>
  </si>
  <si>
    <t>[extra q] Nameservers:</t>
  </si>
  <si>
    <t>adefran</t>
  </si>
  <si>
    <t>grump</t>
  </si>
  <si>
    <t>WordPress</t>
  </si>
  <si>
    <t>WA State Department of Revenue Laundry Taxes</t>
  </si>
  <si>
    <t>thursday1$</t>
  </si>
  <si>
    <t>!!!111QQQqqq [three]</t>
  </si>
  <si>
    <t>http://www.SchoolOfTime.com/</t>
  </si>
  <si>
    <t>Stewart Tilte</t>
  </si>
  <si>
    <t>RodLloyd1110</t>
  </si>
  <si>
    <t>1111QQqq</t>
  </si>
  <si>
    <t>2nd life</t>
  </si>
  <si>
    <t>drodl</t>
  </si>
  <si>
    <t>Natwest.com            pin 2616</t>
  </si>
  <si>
    <t>rod.l@itechs.com</t>
  </si>
  <si>
    <t>Rebound - - www.nextmd.com</t>
  </si>
  <si>
    <t>Sh8awmdd</t>
  </si>
  <si>
    <t>Square up iTech</t>
  </si>
  <si>
    <t>McAfee Family Plan</t>
  </si>
  <si>
    <t>Serial number: H8S8ACGX3YX4LKB</t>
  </si>
  <si>
    <t>Chase Credit Card -7982 fredom- new 1/30/15</t>
  </si>
  <si>
    <t>good for forien travel</t>
  </si>
  <si>
    <t>Laura Wifi</t>
  </si>
  <si>
    <t>8DF50C6EDADBFDB02BF4193C22</t>
  </si>
  <si>
    <t>Jan 2015</t>
  </si>
  <si>
    <t>snider, mgbgt</t>
  </si>
  <si>
    <t>Fibre Payment Center for Property 425279</t>
  </si>
  <si>
    <t>Fibre Payment Center for Rod Personal 541364</t>
  </si>
  <si>
    <t>rodlloyd2</t>
  </si>
  <si>
    <t>9HLLC-LDAXC-Z295Y-4HT79-8MF38</t>
  </si>
  <si>
    <t>Google Voice LongviewLaundry.com  360 818 4084</t>
  </si>
  <si>
    <t>Century Link 20th Ave    360-423-2216  rod lloyd</t>
  </si>
  <si>
    <t>rodlloyd@centurylink.net</t>
  </si>
  <si>
    <t>374a4a7d8a86fa    wifi password</t>
  </si>
  <si>
    <t>Live watch</t>
  </si>
  <si>
    <t>phone cancil 800-443-8865.</t>
  </si>
  <si>
    <t>iTunes</t>
  </si>
  <si>
    <t>Rodney28162816</t>
  </si>
  <si>
    <t>Itunes Apple ID</t>
  </si>
  <si>
    <t>11Lansdown</t>
  </si>
  <si>
    <t>Office Depot</t>
  </si>
  <si>
    <t>Rodney123</t>
  </si>
  <si>
    <t>Office 2010 Home &amp; Student Edition -Laptop Rod</t>
  </si>
  <si>
    <t>PNV9H-BD3YF-97Q27-T7GDX-2YQ67</t>
  </si>
  <si>
    <t>http://www.smartsoftwaresupport.com/index.php#chrome64</t>
  </si>
  <si>
    <t>Columbia PUD</t>
  </si>
  <si>
    <t>Sirius xm</t>
  </si>
  <si>
    <t>sandy</t>
  </si>
  <si>
    <t>Account Number: 1-23119694016</t>
  </si>
  <si>
    <t>Century Link   97229</t>
  </si>
  <si>
    <t>meols cop</t>
  </si>
  <si>
    <t>Flickr</t>
  </si>
  <si>
    <t>drodlloyd@yahoo.com</t>
  </si>
  <si>
    <t>merry laptop microsoft</t>
  </si>
  <si>
    <t>SOCband GoDaddy</t>
  </si>
  <si>
    <t>SOCBAND</t>
  </si>
  <si>
    <t>Musicnow1</t>
  </si>
  <si>
    <t>pin 8634</t>
  </si>
  <si>
    <t>customer # 23553617</t>
  </si>
  <si>
    <t>SOCband FTP</t>
  </si>
  <si>
    <t>socband</t>
  </si>
  <si>
    <t>Swing777</t>
  </si>
  <si>
    <t>Aloha - user Kathy Sukhun</t>
  </si>
  <si>
    <t>kathysukhun</t>
  </si>
  <si>
    <t>rosethorn</t>
  </si>
  <si>
    <t>Bank of America -rainier garden club</t>
  </si>
  <si>
    <t>A394738F</t>
  </si>
  <si>
    <t>Rainier97048</t>
  </si>
  <si>
    <t xml:space="preserve">pet sandy; manager pierce; </t>
  </si>
  <si>
    <t>friend birch</t>
  </si>
  <si>
    <t>Joomla Portland</t>
  </si>
  <si>
    <t>Lucy</t>
  </si>
  <si>
    <t>lily2011</t>
  </si>
  <si>
    <t>admin SQL pass Rodney!23</t>
  </si>
  <si>
    <t>Joomla</t>
  </si>
  <si>
    <t>Pioneer_Admin</t>
  </si>
  <si>
    <t>fuschsia</t>
  </si>
  <si>
    <t>superadmin=superuser/playpen</t>
  </si>
  <si>
    <t>oregongardenclubs.org</t>
  </si>
  <si>
    <t>psorensen</t>
  </si>
  <si>
    <t>colin1981</t>
  </si>
  <si>
    <t>GoDaddy 5809615 pass Rodney2816</t>
  </si>
  <si>
    <t>GoDaddy pin 2816, hint loveyear</t>
  </si>
  <si>
    <t>oregongardenclubs.org    email at Godaddy</t>
  </si>
  <si>
    <t>info@oregongardenclubs.org</t>
  </si>
  <si>
    <t>flower</t>
  </si>
  <si>
    <t>all accounts merged to this account # 10-15</t>
  </si>
  <si>
    <t>QuickCheckCredit</t>
  </si>
  <si>
    <t>lloyd74430</t>
  </si>
  <si>
    <t>AcAfee anti virus bought 1yr on 4/18/13</t>
  </si>
  <si>
    <t>Microsoft Office</t>
  </si>
  <si>
    <t>PUD 357 20th Ave Longview</t>
  </si>
  <si>
    <t>www.d13cgaux.com/sites</t>
  </si>
  <si>
    <t>Sherlock\rodlloyd</t>
  </si>
  <si>
    <t>skinit</t>
  </si>
  <si>
    <t>AT&amp;T</t>
  </si>
  <si>
    <t>1111qqqqdrl</t>
  </si>
  <si>
    <t>gmail area-10</t>
  </si>
  <si>
    <t>webmaster.area10@handbellmusicians.org</t>
  </si>
  <si>
    <t>webmasterarea10</t>
  </si>
  <si>
    <t>-------------------</t>
  </si>
  <si>
    <t>Symphony1*</t>
  </si>
  <si>
    <t>manchester united, chocolate,</t>
  </si>
  <si>
    <t>almore</t>
  </si>
  <si>
    <t>Login ID 192131</t>
  </si>
  <si>
    <t>Username   nepa1146</t>
  </si>
  <si>
    <t>Password   1111qqqq</t>
  </si>
  <si>
    <t>Password terminal 12345</t>
  </si>
  <si>
    <t>1. Install the module Salaro_iPhoneRedirect Module</t>
  </si>
  <si>
    <t>Loopnet</t>
  </si>
  <si>
    <t>LinkedIn</t>
  </si>
  <si>
    <t>http://rodlloyd.blogspot.com</t>
  </si>
  <si>
    <t>google   drodlloyd</t>
  </si>
  <si>
    <t>AAron126126</t>
  </si>
  <si>
    <t xml:space="preserve">merry@gmail.com      </t>
  </si>
  <si>
    <t>Dish Network    ID 8255 9093 8533 1373</t>
  </si>
  <si>
    <t>rec R0084244435</t>
  </si>
  <si>
    <t>ATT    contract ends 2/5/11</t>
  </si>
  <si>
    <t>Rod2816</t>
  </si>
  <si>
    <t>1111playpen</t>
  </si>
  <si>
    <t>https://50.28.18.118:8443/login_up.php3</t>
  </si>
  <si>
    <t>https://50.28.18.118:8443/</t>
  </si>
  <si>
    <t>https://win77.secureserver777.com:8443/</t>
  </si>
  <si>
    <t>K1qgz!65</t>
  </si>
  <si>
    <t>all email pass 1111qqqq</t>
  </si>
  <si>
    <t>https://win77.secureserver777.com:8443/smb/</t>
  </si>
  <si>
    <t>All Email Addresses</t>
  </si>
  <si>
    <t>Quest</t>
  </si>
  <si>
    <t>Quest Security Code</t>
  </si>
  <si>
    <t>Meols Cop</t>
  </si>
  <si>
    <t xml:space="preserve">Qwest Modem </t>
  </si>
  <si>
    <t>Annalee</t>
  </si>
  <si>
    <t>Avery.com</t>
  </si>
  <si>
    <t>NoteWorthy Composer</t>
  </si>
  <si>
    <t>000-478-112575</t>
  </si>
  <si>
    <t>D. Rod Lloyd</t>
  </si>
  <si>
    <t>Linda - Jackson Hewlet</t>
  </si>
  <si>
    <t>Southmin</t>
  </si>
  <si>
    <t>723 miles</t>
  </si>
  <si>
    <t>music</t>
  </si>
  <si>
    <t>Chase Mortgage</t>
  </si>
  <si>
    <t>Red Canoe Mort. 224</t>
  </si>
  <si>
    <t>Red Canoe Mort. 344</t>
  </si>
  <si>
    <t>Bought 2012</t>
  </si>
  <si>
    <t>Bought 7/19/13</t>
  </si>
  <si>
    <t>Bought 11/26/13</t>
  </si>
  <si>
    <t>Bought 6/1/15</t>
  </si>
  <si>
    <t>Bought 10/21/15</t>
  </si>
  <si>
    <t>Bought 9/17/14</t>
  </si>
  <si>
    <t>Income Other</t>
  </si>
  <si>
    <t>rod</t>
  </si>
  <si>
    <t>Mortgage Interest</t>
  </si>
  <si>
    <t>Property Taxes</t>
  </si>
  <si>
    <t>see closing</t>
  </si>
  <si>
    <t>utils</t>
  </si>
  <si>
    <t>Interest inc Byker</t>
  </si>
  <si>
    <t>Taxes Other</t>
  </si>
  <si>
    <t xml:space="preserve"> see closing</t>
  </si>
  <si>
    <t>travel m</t>
  </si>
  <si>
    <t>Interest inc Lamonica</t>
  </si>
  <si>
    <t>assoc dues</t>
  </si>
  <si>
    <t>Utilities</t>
  </si>
  <si>
    <t>m repair</t>
  </si>
  <si>
    <t>Maintenance</t>
  </si>
  <si>
    <t>Capitol Improves</t>
  </si>
  <si>
    <t>Legal &amp; Proff</t>
  </si>
  <si>
    <t>Licence</t>
  </si>
  <si>
    <t>Office &amp; Supplies</t>
  </si>
  <si>
    <t>Net Profit / Loss</t>
  </si>
  <si>
    <t>see</t>
  </si>
  <si>
    <t>deprecia</t>
  </si>
  <si>
    <t>medical merry</t>
  </si>
  <si>
    <t>Travel Miles</t>
  </si>
  <si>
    <t>5 Top Loads Wa</t>
  </si>
  <si>
    <t>Change Machine</t>
  </si>
  <si>
    <t xml:space="preserve">Computer </t>
  </si>
  <si>
    <t>Laundromat Equipment Original Purchase</t>
  </si>
  <si>
    <t>Sold in 2014</t>
  </si>
  <si>
    <t>10 dryers used</t>
  </si>
  <si>
    <t>used</t>
  </si>
  <si>
    <t>5 tops</t>
  </si>
  <si>
    <t>10 top loaders</t>
  </si>
  <si>
    <t>25lb</t>
  </si>
  <si>
    <t>2 front loaders</t>
  </si>
  <si>
    <t>1 change machine</t>
  </si>
  <si>
    <t>Water heating equip</t>
  </si>
  <si>
    <t>Misc Equipment</t>
  </si>
  <si>
    <t>@ 7 years</t>
  </si>
  <si>
    <t>ENT Treyve</t>
  </si>
  <si>
    <t>Whetton</t>
  </si>
  <si>
    <t>Chest CT Long Rad</t>
  </si>
  <si>
    <t>Allegy Jain</t>
  </si>
  <si>
    <t>Rebound Richter</t>
  </si>
  <si>
    <t>S Winder</t>
  </si>
  <si>
    <t>Root [Inf Desease]</t>
  </si>
  <si>
    <t xml:space="preserve">Rebound Sparling </t>
  </si>
  <si>
    <t>Whetton - biopsy</t>
  </si>
  <si>
    <t>Whetton stitches</t>
  </si>
  <si>
    <t>Rebound MRI hip</t>
  </si>
  <si>
    <t xml:space="preserve">Sparling treatment options </t>
  </si>
  <si>
    <t>Pulmonology Bennett</t>
  </si>
  <si>
    <t>Rebound Hip Class</t>
  </si>
  <si>
    <t>Alergy Jain Pull Challange</t>
  </si>
  <si>
    <t>Camas Metal Test</t>
  </si>
  <si>
    <t>Barium swallow long rad</t>
  </si>
  <si>
    <t>Alergy Jain read test</t>
  </si>
  <si>
    <t>Pulmonology</t>
  </si>
  <si>
    <t>Rebound Med Clearance</t>
  </si>
  <si>
    <t>Pre-Op</t>
  </si>
  <si>
    <t>Hip Surgery</t>
  </si>
  <si>
    <t>Posponed discharge</t>
  </si>
  <si>
    <t>Discharge from Hospital</t>
  </si>
  <si>
    <t>PostOp</t>
  </si>
  <si>
    <t>Whetton gi referreal</t>
  </si>
  <si>
    <t>Dr Matlock GI</t>
  </si>
  <si>
    <t>Endoscope</t>
  </si>
  <si>
    <t>Alergy follow-up</t>
  </si>
  <si>
    <t>Year Totals 2015</t>
  </si>
  <si>
    <t>gross inc</t>
  </si>
  <si>
    <t>total expen</t>
  </si>
  <si>
    <t>util missing</t>
  </si>
  <si>
    <t>ins missing</t>
  </si>
  <si>
    <t>224 &amp; 228 15th Ave</t>
  </si>
  <si>
    <t>Grand Total Property</t>
  </si>
  <si>
    <t>GrandTotalInvestments</t>
  </si>
  <si>
    <t>2 0 1 5</t>
  </si>
  <si>
    <t>Insurance Hanover</t>
  </si>
  <si>
    <t>Av</t>
  </si>
  <si>
    <t>Insurance - Liberty Mutual Expires September 7, 2014...in trasition, starts 9/5/14 ~ 9/5/15 $632 with Laurelwood and auto policy H37-268-399844-40   (800) 295-3753.</t>
  </si>
  <si>
    <t>av/unit</t>
  </si>
  <si>
    <t>Insurance Allstate 7/24/14 ~ 7/24/15  $1,376.36 Jim Debruler  360 636 3710</t>
  </si>
  <si>
    <t>Long</t>
  </si>
  <si>
    <t>fee</t>
  </si>
  <si>
    <t>SOC band</t>
  </si>
  <si>
    <t>terminated</t>
  </si>
  <si>
    <t>Also</t>
  </si>
  <si>
    <t>Forms</t>
  </si>
  <si>
    <t>Bought 2002</t>
  </si>
  <si>
    <t>Property Tax Laurel</t>
  </si>
  <si>
    <t>self employed</t>
  </si>
  <si>
    <t>Sold 6/25/14</t>
  </si>
  <si>
    <t>5 rental properties</t>
  </si>
  <si>
    <t>totals</t>
  </si>
  <si>
    <t>Home Mortgage Int</t>
  </si>
  <si>
    <t>1 property sold in 2014</t>
  </si>
  <si>
    <t>depreciation</t>
  </si>
  <si>
    <t>minor stock investments</t>
  </si>
  <si>
    <t>Health Travel miles</t>
  </si>
  <si>
    <t>One income from Trust</t>
  </si>
  <si>
    <t>Donations::</t>
  </si>
  <si>
    <t>-USCG</t>
  </si>
  <si>
    <t>usual stuff</t>
  </si>
  <si>
    <t>home mortgage</t>
  </si>
  <si>
    <t>health</t>
  </si>
  <si>
    <t>Oregon state return</t>
  </si>
  <si>
    <t>purchase</t>
  </si>
  <si>
    <t>loan fees</t>
  </si>
  <si>
    <t>DMV fees</t>
  </si>
  <si>
    <t>med t</t>
  </si>
  <si>
    <t>taxes Luna Co</t>
  </si>
  <si>
    <t>interest</t>
  </si>
  <si>
    <t>Lopez 3</t>
  </si>
  <si>
    <t>M&amp;I</t>
  </si>
  <si>
    <t>Red Canoe Mort.</t>
  </si>
  <si>
    <t>Scgedule C Business</t>
  </si>
  <si>
    <t>Travel - miles</t>
  </si>
  <si>
    <t>office Supplies</t>
  </si>
  <si>
    <t>motel</t>
  </si>
  <si>
    <t>Linda</t>
  </si>
  <si>
    <t>security</t>
  </si>
  <si>
    <t>Soap</t>
  </si>
  <si>
    <t>med travel miles</t>
  </si>
  <si>
    <t>Hope - bread</t>
  </si>
  <si>
    <t>Scgedule C Bus</t>
  </si>
  <si>
    <t>sheriff miles</t>
  </si>
  <si>
    <t>cost</t>
  </si>
  <si>
    <t>8 front loader</t>
  </si>
  <si>
    <t>Red Canoe Mort. 228</t>
  </si>
  <si>
    <t>Camera Sys</t>
  </si>
  <si>
    <t>30lb Front</t>
  </si>
  <si>
    <t>southmin</t>
  </si>
  <si>
    <t>40lb Front</t>
  </si>
  <si>
    <t>Lights</t>
  </si>
  <si>
    <t>disposed of</t>
  </si>
  <si>
    <t>value</t>
  </si>
  <si>
    <t>14 tops</t>
  </si>
  <si>
    <t>2-25lb</t>
  </si>
  <si>
    <t>2 0 1 4</t>
  </si>
  <si>
    <t>Top Loaders</t>
  </si>
  <si>
    <t>Maytag Fronts</t>
  </si>
  <si>
    <t>40lb</t>
  </si>
  <si>
    <t>Dryers</t>
  </si>
  <si>
    <t>Tax report</t>
  </si>
  <si>
    <t>Insurance State Farm, Bob Beal, 360 425 5432, Expires ????</t>
  </si>
  <si>
    <t>224 25th Avenue, Longview WA</t>
  </si>
  <si>
    <t>Lakewood Park Resort, 6330 Soda Bay Rd, Kelseyville CA 95451</t>
  </si>
  <si>
    <t xml:space="preserve">T o t a l s </t>
  </si>
  <si>
    <t>2014 January-April</t>
  </si>
  <si>
    <t>Rental Income</t>
  </si>
  <si>
    <t>Loan Income</t>
  </si>
  <si>
    <t>Water Income</t>
  </si>
  <si>
    <t>Special Dist. Water</t>
  </si>
  <si>
    <t>PG&amp;E electric</t>
  </si>
  <si>
    <t>Gas [propane]</t>
  </si>
  <si>
    <t>---Kelseyville Lumber</t>
  </si>
  <si>
    <t>---Maintenance</t>
  </si>
  <si>
    <t>The onsite manager occupies space 19 and is credited his rent in exchange for 40 hours of manitenance work per month</t>
  </si>
  <si>
    <t>buyers copy</t>
  </si>
  <si>
    <t>2 0 1 3</t>
  </si>
  <si>
    <t>EXPENSES   / .....  Net &gt;</t>
  </si>
  <si>
    <t>Property &amp; HCD Tax</t>
  </si>
  <si>
    <t>Management/Office</t>
  </si>
  <si>
    <t>---Septic/Sewer</t>
  </si>
  <si>
    <t>---Petty Cash</t>
  </si>
  <si>
    <t>---Electrical/Trees</t>
  </si>
  <si>
    <t>---Other [visa]</t>
  </si>
  <si>
    <t>Meter A [596]</t>
  </si>
  <si>
    <t>Meter B [597]</t>
  </si>
  <si>
    <t>Meter Comm [903]</t>
  </si>
  <si>
    <t>Collected Apt A</t>
  </si>
  <si>
    <t>Collected Apt B</t>
  </si>
  <si>
    <t>Collected Apt D</t>
  </si>
  <si>
    <t>Collected Apt E</t>
  </si>
  <si>
    <t>Profit/loss Aparts</t>
  </si>
  <si>
    <t>Common Area [250]</t>
  </si>
  <si>
    <t>Collected Laundry</t>
  </si>
  <si>
    <t>Profit / loss</t>
  </si>
  <si>
    <t>January Zino moved out, #1 vacated, Feb Apts moved in.  Harry Terminated 4/30/13</t>
  </si>
  <si>
    <t>EXPENSES   /   Net &gt;</t>
  </si>
  <si>
    <t>Meter C [247]</t>
  </si>
  <si>
    <t>Collected</t>
  </si>
  <si>
    <t>Insurance Farmers</t>
  </si>
  <si>
    <t>All Cash Deals</t>
  </si>
  <si>
    <t>after PayOff Mortgage</t>
  </si>
  <si>
    <t># of 50K houses</t>
  </si>
  <si>
    <t>Profit @ 500/house</t>
  </si>
  <si>
    <t>existing income</t>
  </si>
  <si>
    <t>Existing Mortgage</t>
  </si>
  <si>
    <t>Current net after Mort.</t>
  </si>
  <si>
    <t>Better off by</t>
  </si>
  <si>
    <t>With loans</t>
  </si>
  <si>
    <t>If 25% dn = houses</t>
  </si>
  <si>
    <t>Profit @ 400/house</t>
  </si>
  <si>
    <t>units</t>
  </si>
  <si>
    <t>net@500</t>
  </si>
  <si>
    <t>1/2 with loans</t>
  </si>
  <si>
    <t>6H cash</t>
  </si>
  <si>
    <t>houses for cash</t>
  </si>
  <si>
    <t>net@200</t>
  </si>
  <si>
    <t>apts 25% down</t>
  </si>
  <si>
    <t>20aptLoa</t>
  </si>
  <si>
    <t>Profit houses@500</t>
  </si>
  <si>
    <t>Profit apts@350</t>
  </si>
  <si>
    <t>Total Profit</t>
  </si>
  <si>
    <t>Merrys SS</t>
  </si>
  <si>
    <t>Harry's Loan</t>
  </si>
  <si>
    <t>auctions etc</t>
  </si>
  <si>
    <t>principal reduction</t>
  </si>
  <si>
    <t>capitol appreciation 1%</t>
  </si>
  <si>
    <t>Oregon</t>
  </si>
  <si>
    <t>State Income Tax</t>
  </si>
  <si>
    <t>Fed Income Tax</t>
  </si>
  <si>
    <t>Donations</t>
  </si>
  <si>
    <t>net rent</t>
  </si>
  <si>
    <t>property 1</t>
  </si>
  <si>
    <t>property 2</t>
  </si>
  <si>
    <t>property 3</t>
  </si>
  <si>
    <t>property 4</t>
  </si>
  <si>
    <t>property 5</t>
  </si>
  <si>
    <t>property 6</t>
  </si>
  <si>
    <t>property 7</t>
  </si>
  <si>
    <t>property 8</t>
  </si>
  <si>
    <t>property 9</t>
  </si>
  <si>
    <t>vacancy rate 10%</t>
  </si>
  <si>
    <t>annual net</t>
  </si>
  <si>
    <t>Helen Valley Trust</t>
  </si>
  <si>
    <t>Uscg Aux</t>
  </si>
  <si>
    <t>Travel inc Portland n Meetings</t>
  </si>
  <si>
    <t>Uniforms</t>
  </si>
  <si>
    <t>Boat supplies</t>
  </si>
  <si>
    <t>Boat maintenance</t>
  </si>
  <si>
    <t>Dr travel</t>
  </si>
  <si>
    <t>Church</t>
  </si>
  <si>
    <t>Columbia County, travel</t>
  </si>
  <si>
    <t>Schedule A Itemised Deductions</t>
  </si>
  <si>
    <t>medical</t>
  </si>
  <si>
    <t>real estate taxes laurelwood</t>
  </si>
  <si>
    <t>personal property tax</t>
  </si>
  <si>
    <t>home mortgage interest</t>
  </si>
  <si>
    <t>previous</t>
  </si>
  <si>
    <t>payment 1</t>
  </si>
  <si>
    <t>payment 2</t>
  </si>
  <si>
    <t>payment 3</t>
  </si>
  <si>
    <t>outstanding</t>
  </si>
  <si>
    <t>Est</t>
  </si>
  <si>
    <t>2 0 1 2</t>
  </si>
  <si>
    <t>Avera</t>
  </si>
  <si>
    <t>Annual</t>
  </si>
  <si>
    <t xml:space="preserve">Gas </t>
  </si>
  <si>
    <t>Harry Management</t>
  </si>
  <si>
    <t>zino</t>
  </si>
  <si>
    <t>Zino owes</t>
  </si>
  <si>
    <t>shortfall</t>
  </si>
  <si>
    <t>water billing/shortfall</t>
  </si>
  <si>
    <t>Comments:  #1 Lawsuit and appeal; HCD Park Inspection; June Leach line #18; July Leach Line #1 replaced; Aug 1 Sold # 1</t>
  </si>
  <si>
    <t>Report</t>
  </si>
  <si>
    <t>with loans</t>
  </si>
  <si>
    <t>sweet</t>
  </si>
  <si>
    <t>prwevious</t>
  </si>
  <si>
    <t>!!Rodney</t>
  </si>
  <si>
    <t>Kindle KDP</t>
  </si>
  <si>
    <t>Mcafee safe key</t>
  </si>
  <si>
    <t>Chase Credit Card new 1/30/15</t>
  </si>
  <si>
    <t>aaron126@</t>
  </si>
  <si>
    <t>PayPal     Primary</t>
  </si>
  <si>
    <t>jAN 2015</t>
  </si>
  <si>
    <t>abcd2816</t>
  </si>
  <si>
    <t>hobby handbells, mother maden Daly</t>
  </si>
  <si>
    <t>Father middle Stanley</t>
  </si>
  <si>
    <t>Fibre Merry BillPay</t>
  </si>
  <si>
    <t>micqi</t>
  </si>
  <si>
    <t>secret word - laurelwood</t>
  </si>
  <si>
    <t>Century Link 20th Ave    3604232216</t>
  </si>
  <si>
    <t>[extra 2 q's]</t>
  </si>
  <si>
    <t xml:space="preserve"> Central Station account # SF01725031</t>
  </si>
  <si>
    <t>Capital A</t>
  </si>
  <si>
    <t>Rodll0yd</t>
  </si>
  <si>
    <t>Fibre Federal</t>
  </si>
  <si>
    <t>Fibre Payment Center</t>
  </si>
  <si>
    <t>[capitol A]</t>
  </si>
  <si>
    <t>musicnow</t>
  </si>
  <si>
    <t>$51.48 renew 7/30/13</t>
  </si>
  <si>
    <t>GoDaddy 5809615 pass Rodney123</t>
  </si>
  <si>
    <t>PG&amp;E Unit B</t>
  </si>
  <si>
    <t>rodlloydb</t>
  </si>
  <si>
    <t>PG&amp;E Unit C</t>
  </si>
  <si>
    <t>rodlloydc</t>
  </si>
  <si>
    <t>PG&amp;E unit AB</t>
  </si>
  <si>
    <t>rodlloydab</t>
  </si>
  <si>
    <t>PG&amp;E unit Park Lights</t>
  </si>
  <si>
    <t>PG&amp;E commercial building [pge.com]</t>
  </si>
  <si>
    <t>Good Sam</t>
  </si>
  <si>
    <t>Salaro_iPhoneRedirect Module</t>
  </si>
  <si>
    <t>SalMR_D87801E82BAE9970B318C4A31DCC69A8B229E4A9</t>
  </si>
  <si>
    <t>1d6c62d676427c36c856667e949a5bdc</t>
  </si>
  <si>
    <t>ecblatter</t>
  </si>
  <si>
    <t>cavscout</t>
  </si>
  <si>
    <t>pin   7374</t>
  </si>
  <si>
    <t>GoDaddy</t>
  </si>
  <si>
    <t xml:space="preserve">                                   ftp</t>
  </si>
  <si>
    <t>QQqq!!11</t>
  </si>
  <si>
    <t>Host   "ftp.sandygunworks.com"</t>
  </si>
  <si>
    <t>dn</t>
  </si>
  <si>
    <t>Quickbooks</t>
  </si>
  <si>
    <t>elementery school</t>
  </si>
  <si>
    <t>MSTCTC</t>
  </si>
  <si>
    <t>IKEA</t>
  </si>
  <si>
    <t>rod2816</t>
  </si>
  <si>
    <t>Aux Merry</t>
  </si>
  <si>
    <t>USCG 71 Longshore FCU</t>
  </si>
  <si>
    <t>010339</t>
  </si>
  <si>
    <t>uscgaux71</t>
  </si>
  <si>
    <t>pic bear &amp; fish, city HS Milwaukee</t>
  </si>
  <si>
    <t>City dad Appleton; mon MN Lee</t>
  </si>
  <si>
    <t>Very Doc PDF converter</t>
  </si>
  <si>
    <t xml:space="preserve">7424C442341424579048 </t>
  </si>
  <si>
    <t>ClickBank</t>
  </si>
  <si>
    <t>11!!qqQQ</t>
  </si>
  <si>
    <t>Peace Health PatientConnection</t>
  </si>
  <si>
    <t>southport</t>
  </si>
  <si>
    <t>DNN Creative</t>
  </si>
  <si>
    <t>Longview Parks &amp; Rec</t>
  </si>
  <si>
    <t>PayTrace   admin</t>
  </si>
  <si>
    <t>chhad1949</t>
  </si>
  <si>
    <t>chancerdog02</t>
  </si>
  <si>
    <t>PayTrace       webmaster</t>
  </si>
  <si>
    <t>1111qqqq5</t>
  </si>
  <si>
    <t>PayTrace Merry</t>
  </si>
  <si>
    <t>mumlloyd</t>
  </si>
  <si>
    <t>2symphony</t>
  </si>
  <si>
    <t>PayTrace Admin</t>
  </si>
  <si>
    <t>google apps</t>
  </si>
  <si>
    <t>president@nawcc31.org</t>
  </si>
  <si>
    <t>1111.qqqq</t>
  </si>
  <si>
    <t>Mary Gonzalez</t>
  </si>
  <si>
    <t>VicePresident@nawcc31.org</t>
  </si>
  <si>
    <t>Goerge Matto</t>
  </si>
  <si>
    <t>Google apps</t>
  </si>
  <si>
    <t>Treasurer</t>
  </si>
  <si>
    <t>Betty Chisum</t>
  </si>
  <si>
    <t>Kris Freiermuth</t>
  </si>
  <si>
    <t>Newsletter</t>
  </si>
  <si>
    <t>Symphony Web Page</t>
  </si>
  <si>
    <t>security role</t>
  </si>
  <si>
    <t>board</t>
  </si>
  <si>
    <t>tempo120</t>
  </si>
  <si>
    <t>domain registration      www.dotster.com</t>
  </si>
  <si>
    <t>swwasymphony.org</t>
  </si>
  <si>
    <t>violin</t>
  </si>
  <si>
    <t>changed to GoDaddy</t>
  </si>
  <si>
    <t>FTP</t>
  </si>
  <si>
    <t>swwasymphony</t>
  </si>
  <si>
    <t>qR444359aX6</t>
  </si>
  <si>
    <t>FTP: 66.165.66.3</t>
  </si>
  <si>
    <t>google apps    webmaster@swwasymphony.org</t>
  </si>
  <si>
    <t xml:space="preserve"> .....president@swwasymphony.org</t>
  </si>
  <si>
    <t xml:space="preserve">   .... auxiliary@swwasymphony.org</t>
  </si>
  <si>
    <t>.....admin@swwasymphony.org</t>
  </si>
  <si>
    <t>Skype</t>
  </si>
  <si>
    <t>rod.lloyd</t>
  </si>
  <si>
    <t>Facebook auxiliary</t>
  </si>
  <si>
    <t>Aux130701@gmail.com</t>
  </si>
  <si>
    <t>training - management report</t>
  </si>
  <si>
    <t>Gmail aux</t>
  </si>
  <si>
    <t>aux130701</t>
  </si>
  <si>
    <t>NAWCC31    support@hostingservice.net</t>
  </si>
  <si>
    <t>nawcc31</t>
  </si>
  <si>
    <t>clock1111qqqq</t>
  </si>
  <si>
    <t>nawcc31.org/cpanel</t>
  </si>
  <si>
    <t>Old I think</t>
  </si>
  <si>
    <t>https://resellers.resellone.net/manage/index.cgi</t>
  </si>
  <si>
    <t>Kaiser</t>
  </si>
  <si>
    <t>Sky Drive</t>
  </si>
  <si>
    <t>drodlloyd@live.com</t>
  </si>
  <si>
    <t>USCG AUX</t>
  </si>
  <si>
    <t>a1300701</t>
  </si>
  <si>
    <t>U37NK89G</t>
  </si>
  <si>
    <t>a1300701.uscgaux.info</t>
  </si>
  <si>
    <t>att merry cell phone</t>
  </si>
  <si>
    <t>707 349 1089</t>
  </si>
  <si>
    <t>aaron [22766]</t>
  </si>
  <si>
    <t>merry chase login</t>
  </si>
  <si>
    <t>merry126</t>
  </si>
  <si>
    <t>Coffee Cup free HTML editor 9.2 &amp; FTP 4.2</t>
  </si>
  <si>
    <t>2*162816</t>
  </si>
  <si>
    <t>yahoo groups   cuckooclockclub</t>
  </si>
  <si>
    <t>drodlloyd@rocketmail.com</t>
  </si>
  <si>
    <t>Lunarpages</t>
  </si>
  <si>
    <t>ccsra0</t>
  </si>
  <si>
    <t>1redcard</t>
  </si>
  <si>
    <t>Chase Credit Card Merry</t>
  </si>
  <si>
    <t xml:space="preserve">Dr laura </t>
  </si>
  <si>
    <t>RNK733</t>
  </si>
  <si>
    <t>WaMu CA</t>
  </si>
  <si>
    <t>micqii</t>
  </si>
  <si>
    <t>ll0yd  [zero]</t>
  </si>
  <si>
    <t>WOA Washington officials Assoc</t>
  </si>
  <si>
    <t>rl7740</t>
  </si>
  <si>
    <t>Notice to Mariners 13th District</t>
  </si>
  <si>
    <t>1111qqQQ*</t>
  </si>
  <si>
    <t>2816drl ?</t>
  </si>
  <si>
    <t>West Marine</t>
  </si>
  <si>
    <t>DiscoverCard.com  Merry  2010</t>
  </si>
  <si>
    <t>6011000797845306</t>
  </si>
  <si>
    <t>Aaron   [lee]</t>
  </si>
  <si>
    <t>Nutrasystems</t>
  </si>
  <si>
    <t>WaMucards.com Credit Card</t>
  </si>
  <si>
    <t>1aaron</t>
  </si>
  <si>
    <t xml:space="preserve">US Cellular [not on-line accounting] </t>
  </si>
  <si>
    <t>0116 contract ends 4/15/09</t>
  </si>
  <si>
    <t>Bill 24th</t>
  </si>
  <si>
    <t>account #  657 792 566</t>
  </si>
  <si>
    <t>1089 contract ends 8/28/09</t>
  </si>
  <si>
    <t>BOA Visa</t>
  </si>
  <si>
    <t>Efax 707 281 3961</t>
  </si>
  <si>
    <t>WaMu Rod</t>
  </si>
  <si>
    <t>qqqq1111</t>
  </si>
  <si>
    <t>Ll0yd  [zero]</t>
  </si>
  <si>
    <t>GoToMyPc</t>
  </si>
  <si>
    <t>Drl2*162*16</t>
  </si>
  <si>
    <t>2*162*16ml</t>
  </si>
  <si>
    <t>Mchsi</t>
  </si>
  <si>
    <t>r.lloyd</t>
  </si>
  <si>
    <t>Email= r.lloyd@mchsi.com</t>
  </si>
  <si>
    <t>In&amp;out mail.mchsi.com</t>
  </si>
  <si>
    <t>Username r.lloyd; pass 2*162*16</t>
  </si>
  <si>
    <t>Clear-lake email</t>
  </si>
  <si>
    <t>In&amp;out     mail.clear-lake.com</t>
  </si>
  <si>
    <t>Username rodlloyd@clear-lake.com</t>
  </si>
  <si>
    <t>Pass 2*162*16</t>
  </si>
  <si>
    <t>Caroline@clear-lake.com</t>
  </si>
  <si>
    <t>caroline</t>
  </si>
  <si>
    <t>Default remote directory</t>
  </si>
  <si>
    <t>/clear-lake-www</t>
  </si>
  <si>
    <t>host www.clear-lake.com</t>
  </si>
  <si>
    <t>DishNetwork.com</t>
  </si>
  <si>
    <t>1111qqQQ</t>
  </si>
  <si>
    <t>Subscriber ID  22093753</t>
  </si>
  <si>
    <t>Hometest.com</t>
  </si>
  <si>
    <t>ITXdesign.com  cuteFTP</t>
  </si>
  <si>
    <t>Drl2*16</t>
  </si>
  <si>
    <t>https://cp.secureserver50.com:443/psoft/servlet/psoft.hsphere.CP</t>
  </si>
  <si>
    <t>drl2*16</t>
  </si>
  <si>
    <t>Our server information is:</t>
  </si>
  <si>
    <t>ns.itxdesign.com      host net address     64.176.60.254</t>
  </si>
  <si>
    <t>ns2.itxdesign.com     host net address     64.176.61.238</t>
  </si>
  <si>
    <t>ITX Web Mail clear-lake.com/up</t>
  </si>
  <si>
    <t>rod  or  lloyd</t>
  </si>
  <si>
    <t>http://clear-lake.com/menu</t>
  </si>
  <si>
    <t>ITX  email settings</t>
  </si>
  <si>
    <t>mail.clear-lake.com [both]</t>
  </si>
  <si>
    <t>MagicViewer [crayonsoft.com]</t>
  </si>
  <si>
    <t>MV2W-QJ02-859H-EHQR-8992</t>
  </si>
  <si>
    <t>mapblast.com Authorization Code: 896514</t>
  </si>
  <si>
    <t xml:space="preserve">   http://natwest.com/availability/nwolb_login.htm</t>
  </si>
  <si>
    <t>Network Solutions [ VeriSign]</t>
  </si>
  <si>
    <t>Ns50.secureserver50.com</t>
  </si>
  <si>
    <t>NoteTab Light</t>
  </si>
  <si>
    <t>Photo Shop 5.5</t>
  </si>
  <si>
    <t>PWE500X7205050-732</t>
  </si>
  <si>
    <t>COMPRE4</t>
  </si>
  <si>
    <t>US Cellular              retrieve messages</t>
  </si>
  <si>
    <t># 349 0361</t>
  </si>
  <si>
    <t>at greeting * 2*16</t>
  </si>
  <si>
    <t>USPS  post office</t>
  </si>
  <si>
    <t>West Advantage www.westmarine.com</t>
  </si>
  <si>
    <t>www.professionalinspector.com/forum/</t>
  </si>
  <si>
    <t>Woodworkers Supply</t>
  </si>
  <si>
    <t>T o o l  . . . C a r r i e r s</t>
  </si>
  <si>
    <t>#1 [Hammer Bag]</t>
  </si>
  <si>
    <t>#2 [no hammer]</t>
  </si>
  <si>
    <t>#3  [Electric Tools]</t>
  </si>
  <si>
    <t>OUTSIDE</t>
  </si>
  <si>
    <t>Sissors stout</t>
  </si>
  <si>
    <t>Glue gen purpose</t>
  </si>
  <si>
    <t>Lineman pliers</t>
  </si>
  <si>
    <t>Screwdriver - Phillips slim</t>
  </si>
  <si>
    <t>Wood Glue Full</t>
  </si>
  <si>
    <t>Snub nose plyers</t>
  </si>
  <si>
    <t>Screwdriver -Multi</t>
  </si>
  <si>
    <t>Needle nose plyers</t>
  </si>
  <si>
    <t>Needle nose pliers Fine &amp; Stout</t>
  </si>
  <si>
    <t>Wire cutters - yellow/black handle</t>
  </si>
  <si>
    <t>Screwsdriver small slot/phillips</t>
  </si>
  <si>
    <t>Electrical tester plug in</t>
  </si>
  <si>
    <t>Socket driver 7/16 on handle</t>
  </si>
  <si>
    <t>Screwdriver black phillips hex shaft</t>
  </si>
  <si>
    <t>Electrical tester no touch x 4</t>
  </si>
  <si>
    <t xml:space="preserve">Small pruner cutter </t>
  </si>
  <si>
    <t>Screwdriver Big slot</t>
  </si>
  <si>
    <t>Wire stippers x 3</t>
  </si>
  <si>
    <t>Utility  knife - carpet Sharp &amp; Spares</t>
  </si>
  <si>
    <t>Utility knife yellow Sharp &amp; Spares</t>
  </si>
  <si>
    <t>Utility  knife - retractable  Sharp &amp; Spares</t>
  </si>
  <si>
    <t>Paint can opener Large &amp; Small</t>
  </si>
  <si>
    <t>Screwdriver multi</t>
  </si>
  <si>
    <t>Staple tool long</t>
  </si>
  <si>
    <t>Pencil-carpenter &amp; #2 Sharp</t>
  </si>
  <si>
    <t>Screwdrivers small slot x 2</t>
  </si>
  <si>
    <t>Staple tool short</t>
  </si>
  <si>
    <t>Drywall hole saw</t>
  </si>
  <si>
    <t>Pincers</t>
  </si>
  <si>
    <t>INSIDE</t>
  </si>
  <si>
    <t>Small clamp</t>
  </si>
  <si>
    <t>Crescent wrench s/m/l [with worm wheel]</t>
  </si>
  <si>
    <t>Electrical tester 220 wired</t>
  </si>
  <si>
    <t>Chanel lock medium [blue handle]</t>
  </si>
  <si>
    <t>Electrical tape black, wire nuts selection</t>
  </si>
  <si>
    <t>Sheet Metal Cutters yellow</t>
  </si>
  <si>
    <t>Vice Grip standard [locking grip]</t>
  </si>
  <si>
    <t>Jr Hacksaw</t>
  </si>
  <si>
    <t>CLEANING SUPPLIES</t>
  </si>
  <si>
    <t>Drywall Rasp</t>
  </si>
  <si>
    <t>Windex &amp; paper Towels</t>
  </si>
  <si>
    <t>Pin hammer</t>
  </si>
  <si>
    <t>File small</t>
  </si>
  <si>
    <t>Goo Gone</t>
  </si>
  <si>
    <t>Claw hammer</t>
  </si>
  <si>
    <t>Gimlet</t>
  </si>
  <si>
    <t>Detergent spray - degreaser</t>
  </si>
  <si>
    <t>Cats claw</t>
  </si>
  <si>
    <t>Battery Drill/Screwdriver</t>
  </si>
  <si>
    <t>Scouring powder - comet</t>
  </si>
  <si>
    <t>Flat bar</t>
  </si>
  <si>
    <t>Green scrubber pads</t>
  </si>
  <si>
    <t>Bit block misc bits Full</t>
  </si>
  <si>
    <t>Rags &amp; micro fiber</t>
  </si>
  <si>
    <t>Screw / nail box Full</t>
  </si>
  <si>
    <t>12' torpedo level</t>
  </si>
  <si>
    <t>Lock hole saw</t>
  </si>
  <si>
    <t>Toilet brush and liquid</t>
  </si>
  <si>
    <t>Speed sq Yellow</t>
  </si>
  <si>
    <t>25' tape</t>
  </si>
  <si>
    <t>Sanding blocks</t>
  </si>
  <si>
    <t>Tooth Brush</t>
  </si>
  <si>
    <t>Razor blade holder</t>
  </si>
  <si>
    <t>Putty knife s/m/w</t>
  </si>
  <si>
    <t>Teflon tape</t>
  </si>
  <si>
    <t>Disinfectant - Pine Sol</t>
  </si>
  <si>
    <t>Tape measure 16'</t>
  </si>
  <si>
    <t>Chiset 3/8", 1/2" &amp; 1"</t>
  </si>
  <si>
    <t>Black Electrical Tape</t>
  </si>
  <si>
    <t>chemico</t>
  </si>
  <si>
    <t>Bit Block; 3 drill bits - sq base</t>
  </si>
  <si>
    <t>WD 40</t>
  </si>
  <si>
    <t>Small socket set</t>
  </si>
  <si>
    <t>Razor blades &amp; puttie knife</t>
  </si>
  <si>
    <t>3 nut drivers; 1 philips for screw gun</t>
  </si>
  <si>
    <t>Blue masking tape</t>
  </si>
  <si>
    <t>Robo Grip</t>
  </si>
  <si>
    <t>Gloves</t>
  </si>
  <si>
    <t>1 lock phillips; 1 sq bit</t>
  </si>
  <si>
    <t>Stud finder</t>
  </si>
  <si>
    <t>Oven cleaner</t>
  </si>
  <si>
    <t>1 drywall bit; 1 tweezers</t>
  </si>
  <si>
    <t>Head light</t>
  </si>
  <si>
    <t>Caulking corner</t>
  </si>
  <si>
    <t>Mop &amp; Bucket</t>
  </si>
  <si>
    <t>Paint Brush</t>
  </si>
  <si>
    <t>Broom - stiff</t>
  </si>
  <si>
    <t>Hand brush and Dust pan</t>
  </si>
  <si>
    <t>P  a  r  t  s       t  o       C  a  r  r  y</t>
  </si>
  <si>
    <t>P</t>
  </si>
  <si>
    <t>E</t>
  </si>
  <si>
    <t>P/H</t>
  </si>
  <si>
    <t>Toilet</t>
  </si>
  <si>
    <t>Hardware</t>
  </si>
  <si>
    <t>Wax ring</t>
  </si>
  <si>
    <t>Water supply flex 2</t>
  </si>
  <si>
    <t>Light Bulbs 2</t>
  </si>
  <si>
    <t>Curtain rail and clips</t>
  </si>
  <si>
    <t>Bolts</t>
  </si>
  <si>
    <t>Shower pole</t>
  </si>
  <si>
    <t>Light switches 2</t>
  </si>
  <si>
    <t>Door locks set</t>
  </si>
  <si>
    <t>Flusher valve</t>
  </si>
  <si>
    <t>Shower head</t>
  </si>
  <si>
    <t>Outlets 2</t>
  </si>
  <si>
    <t>Bug Spray</t>
  </si>
  <si>
    <t>Flapper</t>
  </si>
  <si>
    <t>Drain parts</t>
  </si>
  <si>
    <t>Plate selection [1 dob sw</t>
  </si>
  <si>
    <t>Drain Opening Liquid</t>
  </si>
  <si>
    <t>Toilet Handle</t>
  </si>
  <si>
    <t>Kitchen faucet</t>
  </si>
  <si>
    <t>2 out, 2 switch, 2 blank]</t>
  </si>
  <si>
    <t>Light Fixture Inside</t>
  </si>
  <si>
    <t>Toilet Roll holder</t>
  </si>
  <si>
    <t>Lav faucet</t>
  </si>
  <si>
    <t>Smoke detectors 2</t>
  </si>
  <si>
    <t>Towel Rail &amp; Back Board</t>
  </si>
  <si>
    <t>Water supply flex</t>
  </si>
  <si>
    <t>Sink strainer</t>
  </si>
  <si>
    <t>smake detector batteries</t>
  </si>
  <si>
    <t>Smoke detectors base</t>
  </si>
  <si>
    <t>Seat</t>
  </si>
  <si>
    <t>Sink &amp; tub plug</t>
  </si>
  <si>
    <t>Decon mouse poison</t>
  </si>
  <si>
    <t>Water heater drain cap</t>
  </si>
  <si>
    <t>Light fixture outside</t>
  </si>
  <si>
    <t>door stop</t>
  </si>
  <si>
    <t>Water heater element</t>
  </si>
  <si>
    <t>Cadet heater 220</t>
  </si>
  <si>
    <t>carpet strip</t>
  </si>
  <si>
    <t>Touchup paint cream</t>
  </si>
  <si>
    <t>WH element tool &amp; hose</t>
  </si>
  <si>
    <t>Cadet heater 110</t>
  </si>
  <si>
    <t>Trash Bags</t>
  </si>
  <si>
    <t>Brushes</t>
  </si>
  <si>
    <t>Sink Handles</t>
  </si>
  <si>
    <t>2 part epoxy</t>
  </si>
  <si>
    <t>Caulk &amp; Gun</t>
  </si>
  <si>
    <t>Sawsall Blade metal new</t>
  </si>
  <si>
    <t>window lock</t>
  </si>
  <si>
    <t>Red paint kit [roller, tray &amp; paint]</t>
  </si>
  <si>
    <t>Kitchen sink basket</t>
  </si>
  <si>
    <t>White Spray Paint [heater covers etc]</t>
  </si>
  <si>
    <t>see word list for each box</t>
  </si>
  <si>
    <t>T o o l s     MANAGERS</t>
  </si>
  <si>
    <t>Electric Tools</t>
  </si>
  <si>
    <t>Wire cutters</t>
  </si>
  <si>
    <t>Wood Glue</t>
  </si>
  <si>
    <t>Chiset 1/2"</t>
  </si>
  <si>
    <t>Drill Bit Set</t>
  </si>
  <si>
    <t>Long Beach Tools</t>
  </si>
  <si>
    <t>Sawsall</t>
  </si>
  <si>
    <t>Utility  knife  &amp; Spares</t>
  </si>
  <si>
    <t>Battery Drill/Screwdriver and batteries</t>
  </si>
  <si>
    <t>Drill Bit set</t>
  </si>
  <si>
    <t>Accounts as of 10/22/13 - [October accounting not complete]</t>
  </si>
  <si>
    <t>Deal with Financing 30 year</t>
  </si>
  <si>
    <t>Financing 15 yr</t>
  </si>
  <si>
    <t>Deal all Cash</t>
  </si>
  <si>
    <t>Property Comparrison</t>
  </si>
  <si>
    <t>Address wichita</t>
  </si>
  <si>
    <t>Rainier</t>
  </si>
  <si>
    <t>ask price</t>
  </si>
  <si>
    <t>sall price</t>
  </si>
  <si>
    <t>Loan</t>
  </si>
  <si>
    <t>mort</t>
  </si>
  <si>
    <t>ins</t>
  </si>
  <si>
    <t>tot Exp</t>
  </si>
  <si>
    <t>Net M</t>
  </si>
  <si>
    <t>Net Yr</t>
  </si>
  <si>
    <t>Fixup</t>
  </si>
  <si>
    <t>close</t>
  </si>
  <si>
    <t>Tot Inv</t>
  </si>
  <si>
    <t>GrossX</t>
  </si>
  <si>
    <t>Cap</t>
  </si>
  <si>
    <t>Asking Price</t>
  </si>
  <si>
    <t xml:space="preserve">  </t>
  </si>
  <si>
    <t>244 25th Ave</t>
  </si>
  <si>
    <t>Estimated Sales Price</t>
  </si>
  <si>
    <t>561 18th Ave</t>
  </si>
  <si>
    <t>Initial Fixup</t>
  </si>
  <si>
    <t>Hillcrest</t>
  </si>
  <si>
    <t>Loan % / down</t>
  </si>
  <si>
    <t>953 8th Ave</t>
  </si>
  <si>
    <t>Down payment + Fix-up</t>
  </si>
  <si>
    <t>Closing Cost/Total Cash</t>
  </si>
  <si>
    <t>Mortgage / Payment</t>
  </si>
  <si>
    <t>per unit</t>
  </si>
  <si>
    <t>Maintenance [estimated]</t>
  </si>
  <si>
    <t>expenses</t>
  </si>
  <si>
    <t>Utilities -water/sewer/trash</t>
  </si>
  <si>
    <t>GM / Total Expenses</t>
  </si>
  <si>
    <t>Estimated Rent Income</t>
  </si>
  <si>
    <t>management</t>
  </si>
  <si>
    <t>N e t    C a s h    F l o w</t>
  </si>
  <si>
    <t>maintenance</t>
  </si>
  <si>
    <t>Payback months / Return</t>
  </si>
  <si>
    <t>down</t>
  </si>
  <si>
    <t>Down 2nd loan / Net</t>
  </si>
  <si>
    <t>trash</t>
  </si>
  <si>
    <t>inc</t>
  </si>
  <si>
    <t>jason</t>
  </si>
  <si>
    <t>water</t>
  </si>
  <si>
    <t>Bath Panel</t>
  </si>
  <si>
    <t>Alabama, Longview</t>
  </si>
  <si>
    <t>gross income</t>
  </si>
  <si>
    <t>net profit</t>
  </si>
  <si>
    <t>.</t>
  </si>
  <si>
    <t>ele</t>
  </si>
  <si>
    <t>344 21st Ave, Longview</t>
  </si>
  <si>
    <t>jan</t>
  </si>
  <si>
    <t>357 20th Ave, Longview</t>
  </si>
  <si>
    <t>feb</t>
  </si>
  <si>
    <t>100-</t>
  </si>
  <si>
    <t>Property Service fee 9%</t>
  </si>
  <si>
    <t>Trash 15.84 on water bill</t>
  </si>
  <si>
    <t>Fixup Costs</t>
  </si>
  <si>
    <t>Unit price</t>
  </si>
  <si>
    <t>Actual</t>
  </si>
  <si>
    <t>Windows</t>
  </si>
  <si>
    <t>bed</t>
  </si>
  <si>
    <t>Carpet</t>
  </si>
  <si>
    <t>Laminate flooring</t>
  </si>
  <si>
    <t>Vinyl Flooring</t>
  </si>
  <si>
    <t>Vanity unit</t>
  </si>
  <si>
    <t>tub</t>
  </si>
  <si>
    <t>Paint &amp; supplies</t>
  </si>
  <si>
    <t>Drywall mud</t>
  </si>
  <si>
    <t>Counter &amp; Sink</t>
  </si>
  <si>
    <t>Cadet wall heater</t>
  </si>
  <si>
    <t>1 bed up</t>
  </si>
  <si>
    <t>2 bed down</t>
  </si>
  <si>
    <t>Trim</t>
  </si>
  <si>
    <t>Door hardware</t>
  </si>
  <si>
    <t>Light fixtures</t>
  </si>
  <si>
    <t>Front bed</t>
  </si>
  <si>
    <t>hall, bunk</t>
  </si>
  <si>
    <t>Light fixtures and electrical misc</t>
  </si>
  <si>
    <t>Water heater pan</t>
  </si>
  <si>
    <t>Misc exterior</t>
  </si>
  <si>
    <t>Appliances</t>
  </si>
  <si>
    <t>Misc interior</t>
  </si>
  <si>
    <t>Misc exterior inc shed</t>
  </si>
  <si>
    <t>Fence</t>
  </si>
  <si>
    <t>Subtotal</t>
  </si>
  <si>
    <t>Dump fees</t>
  </si>
  <si>
    <t>Front concrete path</t>
  </si>
  <si>
    <t>LWR window</t>
  </si>
  <si>
    <t>ladder jacks, drill, screw box</t>
  </si>
  <si>
    <t>Total August 2012</t>
  </si>
  <si>
    <t>Home Depot shed</t>
  </si>
  <si>
    <t>Good Faith Purchase Deposit</t>
  </si>
  <si>
    <t>Burien Ace hardware shed</t>
  </si>
  <si>
    <t>Utility Deposit</t>
  </si>
  <si>
    <t>Home depot, compressor, light</t>
  </si>
  <si>
    <t>Purchase good Faith deposit</t>
  </si>
  <si>
    <t>Sear Bucket tool holder</t>
  </si>
  <si>
    <t>RPOA membership</t>
  </si>
  <si>
    <t>Rainier Hardware</t>
  </si>
  <si>
    <t>Quickbooks Pro</t>
  </si>
  <si>
    <t>Bass foot</t>
  </si>
  <si>
    <t xml:space="preserve">Window flash &amp; misc 344 </t>
  </si>
  <si>
    <t>hd ele, paint</t>
  </si>
  <si>
    <t>Office misc labels, cord, mouse</t>
  </si>
  <si>
    <t>SW paint</t>
  </si>
  <si>
    <t>Closet Pole etc LWR</t>
  </si>
  <si>
    <t>lowes floor blate n screwdriver</t>
  </si>
  <si>
    <t>RentLongview.com Domain</t>
  </si>
  <si>
    <t>dump</t>
  </si>
  <si>
    <t>Baskets etc</t>
  </si>
  <si>
    <t>hd post and floor joists</t>
  </si>
  <si>
    <t>RPOA Dinner meeting</t>
  </si>
  <si>
    <t>hd flooring, 2 heaters, level</t>
  </si>
  <si>
    <t>HD Lumber</t>
  </si>
  <si>
    <t>Habitat 1 Fridge</t>
  </si>
  <si>
    <t>HD 2 tables</t>
  </si>
  <si>
    <t>Escrow refund overpayment</t>
  </si>
  <si>
    <t>Lowes vanity</t>
  </si>
  <si>
    <t>Shower Rods new Walmart</t>
  </si>
  <si>
    <t>Pipe flex &amp; roof caulk</t>
  </si>
  <si>
    <t>Shower rod used cash</t>
  </si>
  <si>
    <t>Shower base</t>
  </si>
  <si>
    <t>HD shower &amp; electrical</t>
  </si>
  <si>
    <t>Total September 2012</t>
  </si>
  <si>
    <t>Total November 2012</t>
  </si>
  <si>
    <t>shower plumbing</t>
  </si>
  <si>
    <t>30" stove cash from craigslist</t>
  </si>
  <si>
    <t>Ace hardware plumbing</t>
  </si>
  <si>
    <t>vinyl</t>
  </si>
  <si>
    <t>shower lowes</t>
  </si>
  <si>
    <t>apt stove cash</t>
  </si>
  <si>
    <t>Paint Sherwin Williams</t>
  </si>
  <si>
    <t>sold spiral staircase</t>
  </si>
  <si>
    <t>Fence, doors, shutters</t>
  </si>
  <si>
    <t>lock plates cash</t>
  </si>
  <si>
    <t>Yard Sale cash Latches, plates etc</t>
  </si>
  <si>
    <t>nails etc</t>
  </si>
  <si>
    <t>2 windows &amp; misc</t>
  </si>
  <si>
    <t>stove plug</t>
  </si>
  <si>
    <t>Wire down payment &amp; closing fees</t>
  </si>
  <si>
    <t>Lowes porch carpet n misc</t>
  </si>
  <si>
    <t>Bank charge wire fee</t>
  </si>
  <si>
    <t>10 gal paint SW</t>
  </si>
  <si>
    <t>glass, shelf tiles, showerhead</t>
  </si>
  <si>
    <t>floor ply, range cords</t>
  </si>
  <si>
    <t>Walmart 2 For Rent Signs</t>
  </si>
  <si>
    <t>Home Depot misc</t>
  </si>
  <si>
    <t>double replacement glass</t>
  </si>
  <si>
    <t>Searings shower, heater  &amp; misc</t>
  </si>
  <si>
    <t>misc hardware</t>
  </si>
  <si>
    <t>interior paint SW</t>
  </si>
  <si>
    <t>HD extra flooring and leveling</t>
  </si>
  <si>
    <t>Transfer station Spa carpet</t>
  </si>
  <si>
    <t>dump fee</t>
  </si>
  <si>
    <t>Casual Labor Flooring</t>
  </si>
  <si>
    <t>Home Depot Paint</t>
  </si>
  <si>
    <t>Home Depot Beaverton Flooring</t>
  </si>
  <si>
    <t>Lowes hardware</t>
  </si>
  <si>
    <t>Rainier HW Water Heater element</t>
  </si>
  <si>
    <t>Habitat lock</t>
  </si>
  <si>
    <t>HD window trim and screen frames</t>
  </si>
  <si>
    <t>HD finishing hardware</t>
  </si>
  <si>
    <t>HD outside paint</t>
  </si>
  <si>
    <t>Fence repair</t>
  </si>
  <si>
    <t>HD 2 heaters &amp; misc</t>
  </si>
  <si>
    <t>HD floor sander</t>
  </si>
  <si>
    <t>HD floor stain &amp; misc</t>
  </si>
  <si>
    <t>December Total</t>
  </si>
  <si>
    <t>Casual Labor sand floor</t>
  </si>
  <si>
    <t>heater credit</t>
  </si>
  <si>
    <t>Insect Screen Tool</t>
  </si>
  <si>
    <t>shingles etc</t>
  </si>
  <si>
    <t>Replacement Computer Monitor</t>
  </si>
  <si>
    <t>Stair carpet</t>
  </si>
  <si>
    <t>Plumbing parts</t>
  </si>
  <si>
    <t>fridge</t>
  </si>
  <si>
    <t>Bathtub Faucet</t>
  </si>
  <si>
    <t>Roofing 1/4 round</t>
  </si>
  <si>
    <t>siding</t>
  </si>
  <si>
    <t>stove top frip plates</t>
  </si>
  <si>
    <t>Total October 2012</t>
  </si>
  <si>
    <t>compressed air</t>
  </si>
  <si>
    <t>Shed sheething</t>
  </si>
  <si>
    <t>HD post etc</t>
  </si>
  <si>
    <t>stock paneling</t>
  </si>
  <si>
    <t>Credit flooring</t>
  </si>
  <si>
    <t>molding n tools</t>
  </si>
  <si>
    <t>RHW shower fittings n boxes</t>
  </si>
  <si>
    <t>shower tiles n ply</t>
  </si>
  <si>
    <t>office supplies</t>
  </si>
  <si>
    <t>ceramic tile drill</t>
  </si>
  <si>
    <t>shop supplies</t>
  </si>
  <si>
    <t>tile accessories</t>
  </si>
  <si>
    <t>baltic birch ply</t>
  </si>
  <si>
    <t>Dump fee</t>
  </si>
  <si>
    <t>harbor frieght</t>
  </si>
  <si>
    <t>bathroom door &amp; drywall</t>
  </si>
  <si>
    <t>clock hardware</t>
  </si>
  <si>
    <t>RPOA meeting</t>
  </si>
  <si>
    <t>2 doos n frames + paint supplies</t>
  </si>
  <si>
    <t>shower heads etc</t>
  </si>
  <si>
    <t>January Total</t>
  </si>
  <si>
    <t xml:space="preserve">City Utility Water Trash fee </t>
  </si>
  <si>
    <t>insurance refund</t>
  </si>
  <si>
    <t>Concrete</t>
  </si>
  <si>
    <t>concrete, lock</t>
  </si>
  <si>
    <t>Nov total</t>
  </si>
  <si>
    <t>Office supplies &amp; cad</t>
  </si>
  <si>
    <t>Cleaning supplies</t>
  </si>
  <si>
    <t>banquet tables</t>
  </si>
  <si>
    <t>hand cream</t>
  </si>
  <si>
    <t>Clear Moss off roof [Tom]</t>
  </si>
  <si>
    <t>Repair roof [Tom]</t>
  </si>
  <si>
    <t>USPS cert mail 3day notice</t>
  </si>
  <si>
    <t>tape steel wool</t>
  </si>
  <si>
    <t>Dec Total</t>
  </si>
  <si>
    <t>Rainier HW</t>
  </si>
  <si>
    <t>Searings</t>
  </si>
  <si>
    <t>Landlord Meeting</t>
  </si>
  <si>
    <t>Ace</t>
  </si>
  <si>
    <t>rainier HW</t>
  </si>
  <si>
    <t>February Total</t>
  </si>
  <si>
    <t>Total remodel cost</t>
  </si>
  <si>
    <t>Mendo Mill Lakeport</t>
  </si>
  <si>
    <t>Sherwin Williams</t>
  </si>
  <si>
    <t>Kelso Hardware</t>
  </si>
  <si>
    <t>Woodcraft</t>
  </si>
  <si>
    <t>B&amp;B.com</t>
  </si>
  <si>
    <t>Rainier hw</t>
  </si>
  <si>
    <t>Feburary Total</t>
  </si>
  <si>
    <t>Swanson Bark</t>
  </si>
  <si>
    <t>Lowes</t>
  </si>
  <si>
    <t>RPOA</t>
  </si>
  <si>
    <t>March Total</t>
  </si>
  <si>
    <t>Tsugawa</t>
  </si>
  <si>
    <t>MS Office</t>
  </si>
  <si>
    <t>Printer Copier Laptop</t>
  </si>
  <si>
    <t>April Total</t>
  </si>
  <si>
    <t>Home Stamp</t>
  </si>
  <si>
    <t>Pennyslaver</t>
  </si>
  <si>
    <t>Muisc</t>
  </si>
  <si>
    <t>Comprehensive</t>
  </si>
  <si>
    <t>Commissions/Fees</t>
  </si>
  <si>
    <t>Depletion</t>
  </si>
  <si>
    <t>Depresiation</t>
  </si>
  <si>
    <t>Interest</t>
  </si>
  <si>
    <t>Legal &amp; prof</t>
  </si>
  <si>
    <t>Repairs/maint</t>
  </si>
  <si>
    <t>Taxes &amp; Licenses</t>
  </si>
  <si>
    <t>Travel/meals</t>
  </si>
  <si>
    <t>Net Profit/Loss</t>
  </si>
  <si>
    <t>Bell expenses</t>
  </si>
  <si>
    <t>Bell tree</t>
  </si>
  <si>
    <t>Tahoe</t>
  </si>
  <si>
    <t>Newberg</t>
  </si>
  <si>
    <t>Grants pass</t>
  </si>
  <si>
    <t>Class expense</t>
  </si>
  <si>
    <t>Name First</t>
  </si>
  <si>
    <t>Name Last</t>
  </si>
  <si>
    <t>Phone</t>
  </si>
  <si>
    <t>Cell</t>
  </si>
  <si>
    <t>Norm &amp; Shirley</t>
  </si>
  <si>
    <t>Vader</t>
  </si>
  <si>
    <t>74426 Laurelwood</t>
  </si>
  <si>
    <t>556 1808</t>
  </si>
  <si>
    <t>nvader@colcenter.org</t>
  </si>
  <si>
    <t>556 3901 ?</t>
  </si>
  <si>
    <t>Tina [owner]</t>
  </si>
  <si>
    <t>Davis</t>
  </si>
  <si>
    <t>74480 Laurel Wood</t>
  </si>
  <si>
    <t>360 665 6548</t>
  </si>
  <si>
    <t>Ocean Park, WA</t>
  </si>
  <si>
    <t>Gary &amp; Jan</t>
  </si>
  <si>
    <t>Wolz</t>
  </si>
  <si>
    <t>503 362 8146</t>
  </si>
  <si>
    <t>Salem</t>
  </si>
  <si>
    <t>556 3966</t>
  </si>
  <si>
    <t>Jason, Vickie, JJ</t>
  </si>
  <si>
    <t>Hooper</t>
  </si>
  <si>
    <t>74435 Laurel Wood</t>
  </si>
  <si>
    <t>Claudia &amp; Bob</t>
  </si>
  <si>
    <t>Barnes</t>
  </si>
  <si>
    <t>down rd up hill food cupboard</t>
  </si>
  <si>
    <t>Russel &amp; Donna</t>
  </si>
  <si>
    <t>Patching</t>
  </si>
  <si>
    <t>below riverside</t>
  </si>
  <si>
    <t>Garret Eastes</t>
  </si>
  <si>
    <t>9341989702006113081314</t>
  </si>
  <si>
    <t>ebay 23</t>
  </si>
  <si>
    <t>5VnspZ52</t>
  </si>
  <si>
    <t>https://members.thetradingpub.com/login/</t>
  </si>
  <si>
    <t>Perfect Tesla Trader</t>
  </si>
  <si>
    <t>4206757920189200190316175627560538</t>
  </si>
  <si>
    <t>covid test free</t>
  </si>
  <si>
    <t>SMBU Training</t>
  </si>
  <si>
    <t>rlloyd</t>
  </si>
  <si>
    <t xml:space="preserve">rlloyd </t>
  </si>
  <si>
    <t>https://smbtraining.com/</t>
  </si>
  <si>
    <t>auto renew Aug 20 [2025]   under   rlloyd@clear-lake.com</t>
  </si>
  <si>
    <t>login via Google rlloyd@clear-lake.com</t>
  </si>
  <si>
    <t>portaco gable painting</t>
  </si>
  <si>
    <t>total days</t>
  </si>
  <si>
    <t>total months</t>
  </si>
  <si>
    <t>color</t>
  </si>
  <si>
    <t>weeks</t>
  </si>
  <si>
    <t>B0DK1S7G48</t>
  </si>
  <si>
    <t>Iron Condor book</t>
  </si>
  <si>
    <t>113-5199793-3194660</t>
  </si>
  <si>
    <t>maids floor finish</t>
  </si>
  <si>
    <r>
      <rPr>
        <u/>
        <sz val="9"/>
        <color rgb="FF007185"/>
        <rFont val="Arial"/>
        <family val="2"/>
        <scheme val="minor"/>
      </rPr>
      <t>113-2076814-3648226</t>
    </r>
  </si>
  <si>
    <t>9341989702006131259573</t>
  </si>
  <si>
    <t>div</t>
  </si>
  <si>
    <t>option</t>
  </si>
  <si>
    <t>west porch door</t>
  </si>
  <si>
    <t>rodneylloyd</t>
  </si>
  <si>
    <t>etsy 20K or more in sales</t>
  </si>
  <si>
    <t>drodlloyd      10/24</t>
  </si>
  <si>
    <t>aaronn     10/24</t>
  </si>
  <si>
    <t>The Perfect Tesla Trader</t>
  </si>
  <si>
    <t>diividend</t>
  </si>
  <si>
    <t>Adobe Acrobat</t>
  </si>
  <si>
    <t>!!11QQqqq   [3q] 2024</t>
  </si>
  <si>
    <t>uutils</t>
  </si>
  <si>
    <t>prop tax</t>
  </si>
  <si>
    <t>thumb drive</t>
  </si>
  <si>
    <t>prme</t>
  </si>
  <si>
    <t>113-5368580-6667454</t>
  </si>
  <si>
    <t>9361289702039339293921</t>
  </si>
  <si>
    <t>QT</t>
  </si>
  <si>
    <t>spam</t>
  </si>
  <si>
    <t>!1</t>
  </si>
  <si>
    <t>rlloyd@clear-lake.com!1</t>
  </si>
  <si>
    <t>NVDA</t>
  </si>
  <si>
    <t>Forest Sprinkler supply</t>
  </si>
  <si>
    <t>Take Profit</t>
  </si>
  <si>
    <t>SVXY</t>
  </si>
  <si>
    <t>Tactical 25%</t>
  </si>
  <si>
    <t>Defensive 25%</t>
  </si>
  <si>
    <t>Volatility 0%</t>
  </si>
  <si>
    <t xml:space="preserve"> Strategic 25%</t>
  </si>
  <si>
    <t>Iron Condor 25%</t>
  </si>
  <si>
    <t>tech stock 4 merry</t>
  </si>
  <si>
    <t>Trading Expenses</t>
  </si>
  <si>
    <t>Berger broker commission</t>
  </si>
  <si>
    <t>VTS 89*12</t>
  </si>
  <si>
    <t>SMB Training</t>
  </si>
  <si>
    <t>Trading Pub</t>
  </si>
  <si>
    <t>VTS</t>
  </si>
  <si>
    <t>natwest</t>
  </si>
  <si>
    <t>pounds</t>
  </si>
  <si>
    <t>https://ricecommunityhealth.com/patient-portals/</t>
  </si>
  <si>
    <t>Traverlers Insrance Auto 3 vehicles</t>
  </si>
  <si>
    <t>610805824-203-1</t>
  </si>
  <si>
    <t>61085823-633-1</t>
  </si>
  <si>
    <t>Tesla Model Y Long Range 2023 with 1,000 deductible $1,459/yr  5/17/23</t>
  </si>
  <si>
    <t>Gndy Lemonade</t>
  </si>
  <si>
    <t>Gndy</t>
  </si>
  <si>
    <t>ORD-101449274</t>
  </si>
  <si>
    <t>!!11QQqqqq [11/20/24]</t>
  </si>
  <si>
    <t>Sold Endeavour Narrow Boat</t>
  </si>
  <si>
    <t>Larelwood Forclosre</t>
  </si>
  <si>
    <t>hip right revision</t>
  </si>
  <si>
    <t>hip left</t>
  </si>
  <si>
    <t>phone car mount</t>
  </si>
  <si>
    <t>113-4397320-0196211</t>
  </si>
  <si>
    <t>IWM</t>
  </si>
  <si>
    <t>Iron Condor</t>
  </si>
  <si>
    <t>255/210</t>
  </si>
  <si>
    <t>92612903031838543415105555</t>
  </si>
  <si>
    <t>Minced pies</t>
  </si>
  <si>
    <t>113-5702083-0605058</t>
  </si>
  <si>
    <t>trading pub  - now  app.oneclicktrading.com</t>
  </si>
  <si>
    <t>Douglas Rodney Lloyd</t>
  </si>
  <si>
    <t>9361289702040180367211</t>
  </si>
  <si>
    <t>ON option</t>
  </si>
  <si>
    <t>Umbrella Insurance</t>
  </si>
  <si>
    <t>RLI $1,000,000 Personal Umbrella - agent Dan Smith 620-278-2191 x 501</t>
  </si>
  <si>
    <t>Home Policy 128</t>
  </si>
  <si>
    <t>canceling</t>
  </si>
  <si>
    <t>spy was 598.19-598.83</t>
  </si>
  <si>
    <t>Total Money Makeover</t>
  </si>
  <si>
    <t>started VTS Volitivity on 11/8</t>
  </si>
  <si>
    <t>Travelers Insurance AUTO and HOME 12/2021 Prudential 2024/5</t>
  </si>
  <si>
    <t>Travelers insurance home 128</t>
  </si>
  <si>
    <t>Kansas Mutual $400,000  agent Dan Smith 620-278-2191 x 501</t>
  </si>
  <si>
    <t>UPS/USPS</t>
  </si>
  <si>
    <t>!!11QQqqR    12/2024</t>
  </si>
  <si>
    <t>Auto 2025</t>
  </si>
  <si>
    <t>Personal Property State Farm $107 Jan 2024   620-257-3106 Damien</t>
  </si>
  <si>
    <t>9400108105462221265846</t>
  </si>
  <si>
    <t>progressive - katie 1-620-665-3085- claim 1-800-274-4499 [Merrys contact]</t>
  </si>
  <si>
    <t>74430 Laurel Home</t>
  </si>
  <si>
    <t>381-5018401264-01</t>
  </si>
  <si>
    <t>Rodne!!11QQqq  12/2024</t>
  </si>
  <si>
    <t>200012701663667</t>
  </si>
  <si>
    <t>Humidifier</t>
  </si>
  <si>
    <t>Zillow</t>
  </si>
  <si>
    <t>Overnight Options</t>
  </si>
  <si>
    <t>ONoption</t>
  </si>
  <si>
    <t>Foremost Homeowners Insurance , FARMERS 503-543-1477  paid $433</t>
  </si>
  <si>
    <t>429310844456</t>
  </si>
  <si>
    <t>ID Protection</t>
  </si>
  <si>
    <t>DRZAN309900581190SP</t>
  </si>
  <si>
    <t>Zander   1.888.210.3274 or email at zanderidt@zanderins.com</t>
  </si>
  <si>
    <t>12.90/month</t>
  </si>
  <si>
    <t>Broker</t>
  </si>
  <si>
    <t>damion.schweikharddenison.vadqqz@statefarm.com</t>
  </si>
  <si>
    <t>broker since Jan 22</t>
  </si>
  <si>
    <t>three years</t>
  </si>
  <si>
    <t>percent per year</t>
  </si>
  <si>
    <t>bass crack nov 19, noon 2024-2023</t>
  </si>
  <si>
    <t>Claim Team  statefarmfireclaims@statefarm.com   844-458-4300, ext. 65</t>
  </si>
  <si>
    <t>5/10/5</t>
  </si>
  <si>
    <t>O Butterfly</t>
  </si>
  <si>
    <t>QQQ</t>
  </si>
  <si>
    <t>heel</t>
  </si>
  <si>
    <t>attorney fees</t>
  </si>
  <si>
    <t>two books</t>
  </si>
  <si>
    <t>paid 3 months</t>
  </si>
  <si>
    <t>2 0 2 5</t>
  </si>
  <si>
    <t>2  0  2  5</t>
  </si>
  <si>
    <t>dollars</t>
  </si>
  <si>
    <t>IYR</t>
  </si>
  <si>
    <t>GLD</t>
  </si>
  <si>
    <t>youtube Views 12/24</t>
  </si>
  <si>
    <t>Rainier Trip</t>
  </si>
  <si>
    <t>well care is medication only insurance currently zero cost   888-550-5252</t>
  </si>
  <si>
    <t>Lumico Elips medicare suppliment -Lane Caplinger 913-837-2584</t>
  </si>
  <si>
    <t>spec all time high</t>
  </si>
  <si>
    <t>TSLL</t>
  </si>
  <si>
    <t>Schwab account # 77690976SCHW</t>
  </si>
  <si>
    <t>24 Dec</t>
  </si>
  <si>
    <t xml:space="preserve">Facebook Rod Bass </t>
  </si>
  <si>
    <t>Facebook Rod   bass simble</t>
  </si>
  <si>
    <t>short</t>
  </si>
  <si>
    <t>long</t>
  </si>
  <si>
    <t>Phone Charing Pad</t>
  </si>
  <si>
    <t>113-1153659-6740220</t>
  </si>
  <si>
    <t>9361289927300127546213</t>
  </si>
  <si>
    <t>9361289702042604111035</t>
  </si>
  <si>
    <t>trunk organiser</t>
  </si>
  <si>
    <t>Hutch Bowling Alley</t>
  </si>
  <si>
    <t>`</t>
  </si>
  <si>
    <t>Express Scripts Pharmacy</t>
  </si>
  <si>
    <t>med Atorvastatin</t>
  </si>
  <si>
    <t>113-2594118-4333863</t>
  </si>
  <si>
    <t>heart</t>
  </si>
  <si>
    <t>113-7084989-1381067</t>
  </si>
  <si>
    <t>9361289702042734838710</t>
  </si>
  <si>
    <t>9361289702042753943778</t>
  </si>
  <si>
    <t>VTS IronC</t>
  </si>
  <si>
    <t>H&amp;S oily</t>
  </si>
  <si>
    <t>113-5950811-1212229</t>
  </si>
  <si>
    <t>1ZR3Y5150216597510</t>
  </si>
  <si>
    <t>9300110597203924685262</t>
  </si>
  <si>
    <t>shopify</t>
  </si>
  <si>
    <t>sip</t>
  </si>
  <si>
    <t>Die with Zero</t>
  </si>
  <si>
    <t>113-4403356-7014602</t>
  </si>
  <si>
    <t>9341989702006260113128</t>
  </si>
  <si>
    <t>original</t>
  </si>
  <si>
    <t>adjusted</t>
  </si>
  <si>
    <t>adjusted spend down</t>
  </si>
  <si>
    <t>spend down</t>
  </si>
  <si>
    <t>asset income</t>
  </si>
  <si>
    <t>your money or your life</t>
  </si>
  <si>
    <t>‫113-1337939-6158657</t>
  </si>
  <si>
    <t>starting at 70</t>
  </si>
  <si>
    <t>life expectancy</t>
  </si>
  <si>
    <t>use the #</t>
  </si>
  <si>
    <t>as of Jan 2025</t>
  </si>
  <si>
    <t>what to spend</t>
  </si>
  <si>
    <t>money on</t>
  </si>
  <si>
    <t>trips</t>
  </si>
  <si>
    <t>living expenses</t>
  </si>
  <si>
    <t>hobbies</t>
  </si>
  <si>
    <t>donationns</t>
  </si>
  <si>
    <t>goal 500K</t>
  </si>
  <si>
    <t xml:space="preserve">Life Expetancy </t>
  </si>
  <si>
    <t>calculator says</t>
  </si>
  <si>
    <t>https://www.livingto100.com</t>
  </si>
  <si>
    <t>https://www.longevityillustrator.org</t>
  </si>
  <si>
    <t>paydown</t>
  </si>
  <si>
    <t>current</t>
  </si>
  <si>
    <t>receive</t>
  </si>
  <si>
    <t>=5,000/m</t>
  </si>
  <si>
    <t>8.6% return</t>
  </si>
  <si>
    <t>windshield claim -safelite 1/17/25, deductible 50.00  hw 3.0, recalibration</t>
  </si>
  <si>
    <t>3.45 min hutchinson plumb st Monday 1/20 11am</t>
  </si>
  <si>
    <t>Reverse the Calculation- living cost per year</t>
  </si>
  <si>
    <t>fun money</t>
  </si>
  <si>
    <t>living cost</t>
  </si>
  <si>
    <t>Master bath sink plumbing</t>
  </si>
  <si>
    <t>Shoulder Bag contense</t>
  </si>
  <si>
    <t>brolly</t>
  </si>
  <si>
    <t>phone cords</t>
  </si>
  <si>
    <t>snack</t>
  </si>
  <si>
    <t>water pants?</t>
  </si>
  <si>
    <t>sweat bands</t>
  </si>
  <si>
    <t>bug spray</t>
  </si>
  <si>
    <t>sun block</t>
  </si>
  <si>
    <t>neck fan</t>
  </si>
  <si>
    <t>ear buds</t>
  </si>
  <si>
    <t>note pad</t>
  </si>
  <si>
    <t>floppy hat</t>
  </si>
  <si>
    <t>water bottle small</t>
  </si>
  <si>
    <t>pen</t>
  </si>
  <si>
    <t>sweat rag</t>
  </si>
  <si>
    <t>sholder bag</t>
  </si>
  <si>
    <t>‫113-0910402-3388233</t>
  </si>
  <si>
    <t>bucket hat</t>
  </si>
  <si>
    <t>‫113-5773946-2008251</t>
  </si>
  <si>
    <t>!!11QQqq   2025</t>
  </si>
  <si>
    <t>Rodney!!11QQqq  10/25</t>
  </si>
  <si>
    <t>tidy / declutter the garage</t>
  </si>
  <si>
    <t>Front yard light wiring</t>
  </si>
  <si>
    <t>Days</t>
  </si>
  <si>
    <t>Cruise Peru, Holland America. Volendam</t>
  </si>
  <si>
    <t>1Z4327220142060962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</si>
</sst>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6" formatCode="&quot;$&quot;#,##0_);[Red]\(&quot;$&quot;#,##0\)"/>
    <numFmt numFmtId="8" formatCode="&quot;$&quot;#,##0.00_);[Red]\(&quot;$&quot;#,##0.00\)"/>
    <numFmt numFmtId="44" formatCode="_(&quot;$&quot;* #,##0.00_);_(&quot;$&quot;* \(#,##0.00\);_(&quot;$&quot;* &quot;-&quot;??_);_(@_)"/>
    <numFmt numFmtId="43" formatCode="_(* #,##0.00_);_(* \(#,##0.00\);_(* &quot;-&quot;??_);_(@_)"/>
    <numFmt numFmtId="164" formatCode="mmmm\ d"/>
    <numFmt numFmtId="165" formatCode="mmm\ d"/>
    <numFmt numFmtId="166" formatCode="m/d"/>
    <numFmt numFmtId="167" formatCode="0.000"/>
    <numFmt numFmtId="168" formatCode="0.0%"/>
    <numFmt numFmtId="169" formatCode="#,##0.000"/>
    <numFmt numFmtId="170" formatCode="#,##0.0"/>
    <numFmt numFmtId="171" formatCode="m/d/yy"/>
    <numFmt numFmtId="172" formatCode="m&quot;/&quot;d"/>
    <numFmt numFmtId="173" formatCode="&quot;$&quot;#,##0.00"/>
    <numFmt numFmtId="174" formatCode="mm/dd/yyyy\ h:mm:ss"/>
    <numFmt numFmtId="175" formatCode="mm/dd/yyyy"/>
    <numFmt numFmtId="176" formatCode="0.0"/>
    <numFmt numFmtId="177" formatCode="m&quot;/&quot;yy"/>
    <numFmt numFmtId="178" formatCode="m\-d"/>
    <numFmt numFmtId="179" formatCode="&quot;$&quot;#,##0"/>
    <numFmt numFmtId="180" formatCode="m/d/yyyy\ h:mm:ss"/>
    <numFmt numFmtId="181" formatCode="mmm\ d\,\ yyyy"/>
    <numFmt numFmtId="182" formatCode="m/yyyy"/>
    <numFmt numFmtId="183" formatCode="#,##0.###############"/>
    <numFmt numFmtId="184" formatCode="d\ mmmm"/>
    <numFmt numFmtId="185" formatCode="#,##0.00;\(#,##0.00\)"/>
    <numFmt numFmtId="186" formatCode="yyyy/m/d"/>
    <numFmt numFmtId="187" formatCode="dddd\,\ mmmm\ d"/>
    <numFmt numFmtId="188" formatCode="dd\-mmm"/>
    <numFmt numFmtId="189" formatCode="d\-mmmm"/>
    <numFmt numFmtId="190" formatCode="#,##0;\(#,##0\)"/>
    <numFmt numFmtId="191" formatCode="mmmd"/>
    <numFmt numFmtId="192" formatCode="_([$$-409]* #,##0.00_);_([$$-409]* \(#,##0.00\);_([$$-409]* &quot;-&quot;??_);_(@_)"/>
    <numFmt numFmtId="193" formatCode="_(* #,##0_);_(* \(#,##0\);_(* &quot;-&quot;??_);_(@_)"/>
    <numFmt numFmtId="194" formatCode="0_);\(0\)"/>
    <numFmt numFmtId="195" formatCode="_(&quot;$&quot;* #,##0_);_(&quot;$&quot;* \(#,##0\);_(&quot;$&quot;* &quot;-&quot;??_);_(@_)"/>
  </numFmts>
  <fonts count="447">
    <font>
      <sz val="10"/>
      <color rgb="FF000000"/>
      <name val="Arial"/>
      <scheme val="minor"/>
    </font>
    <font>
      <sz val="11"/>
      <color theme="1"/>
      <name val="Arial"/>
      <family val="2"/>
      <scheme val="minor"/>
    </font>
    <font>
      <b/>
      <sz val="10"/>
      <color rgb="FF000000"/>
      <name val="Arial"/>
      <family val="2"/>
    </font>
    <font>
      <b/>
      <sz val="11"/>
      <color rgb="FF000000"/>
      <name val="Arial"/>
      <family val="2"/>
    </font>
    <font>
      <b/>
      <sz val="9"/>
      <color rgb="FF93C47D"/>
      <name val="Arial"/>
      <family val="2"/>
    </font>
    <font>
      <b/>
      <sz val="9"/>
      <color rgb="FF000000"/>
      <name val="Arial"/>
      <family val="2"/>
    </font>
    <font>
      <sz val="11"/>
      <color rgb="FF0000FF"/>
      <name val="Arial"/>
      <family val="2"/>
    </font>
    <font>
      <b/>
      <sz val="11"/>
      <color rgb="FF0000FF"/>
      <name val="Arial"/>
      <family val="2"/>
    </font>
    <font>
      <b/>
      <i/>
      <sz val="10"/>
      <color theme="1"/>
      <name val="Arial"/>
      <family val="2"/>
    </font>
    <font>
      <b/>
      <sz val="10"/>
      <color theme="1"/>
      <name val="Arial"/>
      <family val="2"/>
      <scheme val="minor"/>
    </font>
    <font>
      <sz val="10"/>
      <color theme="1"/>
      <name val="Arial"/>
      <family val="2"/>
      <scheme val="minor"/>
    </font>
    <font>
      <sz val="10"/>
      <color rgb="FF000000"/>
      <name val="Arial"/>
      <family val="2"/>
    </font>
    <font>
      <sz val="10"/>
      <color rgb="FF000000"/>
      <name val="Arial"/>
      <family val="2"/>
    </font>
    <font>
      <strike/>
      <sz val="10"/>
      <color theme="1"/>
      <name val="Arial"/>
      <family val="2"/>
      <scheme val="minor"/>
    </font>
    <font>
      <sz val="11"/>
      <color rgb="FF000000"/>
      <name val="Arial"/>
      <family val="2"/>
    </font>
    <font>
      <sz val="9"/>
      <color theme="1"/>
      <name val="Arial"/>
      <family val="2"/>
      <scheme val="minor"/>
    </font>
    <font>
      <sz val="7"/>
      <color theme="1"/>
      <name val="Arial"/>
      <family val="2"/>
      <scheme val="minor"/>
    </font>
    <font>
      <b/>
      <sz val="9"/>
      <color theme="1"/>
      <name val="Arial"/>
      <family val="2"/>
    </font>
    <font>
      <sz val="8"/>
      <color theme="1"/>
      <name val="Arial"/>
      <family val="2"/>
      <scheme val="minor"/>
    </font>
    <font>
      <sz val="11"/>
      <color rgb="FF000000"/>
      <name val="Inconsolata"/>
    </font>
    <font>
      <b/>
      <sz val="12"/>
      <color theme="1"/>
      <name val="Arial"/>
      <family val="2"/>
      <scheme val="minor"/>
    </font>
    <font>
      <b/>
      <sz val="11"/>
      <color theme="1"/>
      <name val="Arial"/>
      <family val="2"/>
      <scheme val="minor"/>
    </font>
    <font>
      <b/>
      <sz val="10"/>
      <color theme="1"/>
      <name val="Arial"/>
      <family val="2"/>
      <scheme val="minor"/>
    </font>
    <font>
      <sz val="10"/>
      <color rgb="FF0000FF"/>
      <name val="Arial"/>
      <family val="2"/>
      <scheme val="minor"/>
    </font>
    <font>
      <sz val="9"/>
      <color theme="1"/>
      <name val="Arial"/>
      <family val="2"/>
    </font>
    <font>
      <sz val="10"/>
      <name val="Arial"/>
      <family val="2"/>
    </font>
    <font>
      <sz val="10"/>
      <color rgb="FF0000FF"/>
      <name val="Arial"/>
      <family val="2"/>
    </font>
    <font>
      <b/>
      <sz val="10"/>
      <color theme="1"/>
      <name val="Arial"/>
      <family val="2"/>
    </font>
    <font>
      <sz val="10"/>
      <color theme="1"/>
      <name val="Arial"/>
      <family val="2"/>
    </font>
    <font>
      <sz val="11"/>
      <color rgb="FF999999"/>
      <name val="Arial"/>
      <family val="2"/>
    </font>
    <font>
      <b/>
      <sz val="10"/>
      <color rgb="FF000000"/>
      <name val="Arial"/>
      <family val="2"/>
    </font>
    <font>
      <b/>
      <sz val="9"/>
      <color theme="1"/>
      <name val="Arial"/>
      <family val="2"/>
      <scheme val="minor"/>
    </font>
    <font>
      <b/>
      <sz val="10"/>
      <color rgb="FF0000FF"/>
      <name val="Arial"/>
      <family val="2"/>
    </font>
    <font>
      <sz val="9"/>
      <color rgb="FF222222"/>
      <name val="TDASansDisplay"/>
    </font>
    <font>
      <strike/>
      <sz val="10"/>
      <color rgb="FF0000FF"/>
      <name val="Arial"/>
      <family val="2"/>
    </font>
    <font>
      <b/>
      <strike/>
      <sz val="11"/>
      <color rgb="FF0000FF"/>
      <name val="Arial"/>
      <family val="2"/>
    </font>
    <font>
      <strike/>
      <sz val="10"/>
      <color theme="1"/>
      <name val="Arial"/>
      <family val="2"/>
    </font>
    <font>
      <b/>
      <strike/>
      <sz val="11"/>
      <color rgb="FF000000"/>
      <name val="Arial"/>
      <family val="2"/>
    </font>
    <font>
      <b/>
      <sz val="10"/>
      <color rgb="FFFF0000"/>
      <name val="Arial"/>
      <family val="2"/>
    </font>
    <font>
      <sz val="11"/>
      <color rgb="FF777777"/>
      <name val="Roboto"/>
    </font>
    <font>
      <sz val="6"/>
      <color rgb="FF000000"/>
      <name val="Arial"/>
      <family val="2"/>
    </font>
    <font>
      <sz val="9"/>
      <color theme="1"/>
      <name val="TDASansDisplay"/>
    </font>
    <font>
      <sz val="9"/>
      <color rgb="FF008A1B"/>
      <name val="TDASansDisplay"/>
    </font>
    <font>
      <sz val="12"/>
      <color rgb="FFFFFFFF"/>
      <name val="Roboto"/>
    </font>
    <font>
      <sz val="9"/>
      <color rgb="FF666666"/>
      <name val="TDASansDisplay"/>
    </font>
    <font>
      <u/>
      <sz val="9"/>
      <color rgb="FF666666"/>
      <name val="TDASansDisplay"/>
    </font>
    <font>
      <sz val="9"/>
      <color rgb="FF666666"/>
      <name val="Arial"/>
      <family val="2"/>
    </font>
    <font>
      <b/>
      <sz val="10"/>
      <color rgb="FF111111"/>
      <name val="Cabin-semi-bold"/>
    </font>
    <font>
      <b/>
      <sz val="10"/>
      <color rgb="FF111111"/>
      <name val="SourceSansPro"/>
    </font>
    <font>
      <sz val="10"/>
      <color rgb="FF111111"/>
      <name val="SourceSansPro"/>
    </font>
    <font>
      <sz val="10"/>
      <color rgb="FF111111"/>
      <name val="Arial"/>
      <family val="2"/>
    </font>
    <font>
      <b/>
      <sz val="12"/>
      <color rgb="FF444444"/>
      <name val="Roboto"/>
    </font>
    <font>
      <sz val="12"/>
      <color rgb="FF444444"/>
      <name val="Roboto"/>
    </font>
    <font>
      <sz val="12"/>
      <color rgb="FF008000"/>
      <name val="Roboto"/>
    </font>
    <font>
      <sz val="12"/>
      <color rgb="FFFF0000"/>
      <name val="Roboto"/>
    </font>
    <font>
      <sz val="14"/>
      <color rgb="FF666666"/>
      <name val="Proxima-nova-1"/>
    </font>
    <font>
      <sz val="11"/>
      <color rgb="FF666666"/>
      <name val="Proxima-nova-1"/>
    </font>
    <font>
      <i/>
      <sz val="11"/>
      <color rgb="FF007AB8"/>
      <name val="Proxima-nova-1"/>
    </font>
    <font>
      <sz val="8"/>
      <color rgb="FF999999"/>
      <name val="Proxima-nova-1"/>
    </font>
    <font>
      <b/>
      <sz val="8"/>
      <color rgb="FF999999"/>
      <name val="Proxima-nova-1"/>
    </font>
    <font>
      <sz val="10"/>
      <color rgb="FF333333"/>
      <name val="Proxima-nova-1"/>
    </font>
    <font>
      <sz val="10"/>
      <color rgb="FF099E00"/>
      <name val="Proxima-nova-1"/>
    </font>
    <font>
      <sz val="10"/>
      <color rgb="FF9C1C1B"/>
      <name val="Proxima-nova-1"/>
    </font>
    <font>
      <b/>
      <sz val="10"/>
      <color rgb="FF0000FF"/>
      <name val="Arial"/>
      <family val="2"/>
      <scheme val="minor"/>
    </font>
    <font>
      <b/>
      <sz val="9"/>
      <color rgb="FF0000FF"/>
      <name val="Arial"/>
      <family val="2"/>
      <scheme val="minor"/>
    </font>
    <font>
      <u/>
      <sz val="10"/>
      <color rgb="FF007185"/>
      <name val="Inherit"/>
    </font>
    <font>
      <sz val="11"/>
      <color rgb="FF002F36"/>
      <name val="&quot;Amazon Ember&quot;"/>
    </font>
    <font>
      <u/>
      <sz val="10"/>
      <color rgb="FF0000FF"/>
      <name val="Arial"/>
      <family val="2"/>
    </font>
    <font>
      <u/>
      <sz val="10"/>
      <color rgb="FF0000FF"/>
      <name val="Arial"/>
      <family val="2"/>
    </font>
    <font>
      <sz val="11"/>
      <color rgb="FF002F36"/>
      <name val="Arial"/>
      <family val="2"/>
      <scheme val="minor"/>
    </font>
    <font>
      <sz val="11"/>
      <color rgb="FF0F1111"/>
      <name val="&quot;Amazon Ember&quot;"/>
    </font>
    <font>
      <sz val="12"/>
      <color rgb="FF132342"/>
      <name val="Aeonik"/>
    </font>
    <font>
      <sz val="11"/>
      <color rgb="FF132342"/>
      <name val="Aeonik"/>
    </font>
    <font>
      <sz val="10"/>
      <color rgb="FF007185"/>
      <name val="Inherit"/>
    </font>
    <font>
      <u/>
      <sz val="10"/>
      <color rgb="FF0000FF"/>
      <name val="Inherit"/>
    </font>
    <font>
      <u/>
      <sz val="10"/>
      <color rgb="FF007185"/>
      <name val="Inherit"/>
    </font>
    <font>
      <sz val="11"/>
      <color rgb="FF111820"/>
      <name val="&quot;Market Sans&quot;"/>
    </font>
    <font>
      <sz val="10"/>
      <color rgb="FF1155CC"/>
      <name val="Arial"/>
      <family val="2"/>
      <scheme val="minor"/>
    </font>
    <font>
      <u/>
      <sz val="10"/>
      <color rgb="FF222222"/>
      <name val="Arial"/>
      <family val="2"/>
    </font>
    <font>
      <sz val="11"/>
      <color rgb="FF002F36"/>
      <name val="Arial"/>
      <family val="2"/>
    </font>
    <font>
      <sz val="10"/>
      <color rgb="FF222222"/>
      <name val="Arial"/>
      <family val="2"/>
    </font>
    <font>
      <u/>
      <sz val="10"/>
      <color rgb="FF1155CC"/>
      <name val="Arial"/>
      <family val="2"/>
    </font>
    <font>
      <u/>
      <sz val="10"/>
      <color rgb="FF0000FF"/>
      <name val="Arial"/>
      <family val="2"/>
    </font>
    <font>
      <sz val="11"/>
      <color rgb="FF363636"/>
      <name val="Roboto"/>
    </font>
    <font>
      <sz val="11"/>
      <color rgb="FF111820"/>
      <name val="Helvetica"/>
    </font>
    <font>
      <u/>
      <sz val="10"/>
      <color rgb="FF1155CC"/>
      <name val="Arial"/>
      <family val="2"/>
    </font>
    <font>
      <sz val="10"/>
      <color rgb="FF222222"/>
      <name val="&quot;Graphik Webfont&quot;"/>
    </font>
    <font>
      <u/>
      <sz val="11"/>
      <color rgb="FF0000FF"/>
      <name val="&quot;Market Sans&quot;"/>
    </font>
    <font>
      <b/>
      <sz val="11"/>
      <color rgb="FF111820"/>
      <name val="&quot;Market Sans&quot;"/>
    </font>
    <font>
      <sz val="15"/>
      <color rgb="FF040C28"/>
      <name val="&quot;Google Sans&quot;"/>
    </font>
    <font>
      <u/>
      <sz val="11"/>
      <color rgb="FF002F36"/>
      <name val="&quot;Amazon Ember&quot;"/>
    </font>
    <font>
      <sz val="10"/>
      <color rgb="FF999999"/>
      <name val="Arial"/>
      <family val="2"/>
      <scheme val="minor"/>
    </font>
    <font>
      <u/>
      <sz val="10"/>
      <color rgb="FF999999"/>
      <name val="Arial"/>
      <family val="2"/>
    </font>
    <font>
      <b/>
      <strike/>
      <sz val="10"/>
      <color theme="1"/>
      <name val="Arial"/>
      <family val="2"/>
      <scheme val="minor"/>
    </font>
    <font>
      <sz val="11"/>
      <color rgb="FF121212"/>
      <name val="Roboto"/>
    </font>
    <font>
      <b/>
      <sz val="10"/>
      <color rgb="FFFF0000"/>
      <name val="Arial"/>
      <family val="2"/>
      <scheme val="minor"/>
    </font>
    <font>
      <sz val="9"/>
      <color rgb="FF565959"/>
      <name val="&quot;Amazon Ember&quot;"/>
    </font>
    <font>
      <u/>
      <sz val="10"/>
      <color rgb="FF5C5E62"/>
      <name val="Arial"/>
      <family val="2"/>
    </font>
    <font>
      <b/>
      <sz val="10"/>
      <color rgb="FFFF9900"/>
      <name val="Arial"/>
      <family val="2"/>
      <scheme val="minor"/>
    </font>
    <font>
      <sz val="11"/>
      <color rgb="FF000000"/>
      <name val="Sans-serif"/>
    </font>
    <font>
      <u/>
      <sz val="11"/>
      <color rgb="FFE51C49"/>
      <name val="&quot;Work Sans&quot;"/>
    </font>
    <font>
      <sz val="11"/>
      <color rgb="FF000000"/>
      <name val="&quot;Work Sans&quot;"/>
    </font>
    <font>
      <sz val="11"/>
      <color rgb="FF333333"/>
      <name val="Helvetica"/>
    </font>
    <font>
      <sz val="10"/>
      <color rgb="FF333333"/>
      <name val="Arial"/>
      <family val="2"/>
    </font>
    <font>
      <sz val="11"/>
      <color rgb="FF333333"/>
      <name val="&quot;Market Sans&quot;"/>
    </font>
    <font>
      <sz val="12"/>
      <color rgb="FF0A101A"/>
      <name val="Helvetica"/>
    </font>
    <font>
      <u/>
      <sz val="11"/>
      <color rgb="FF111820"/>
      <name val="&quot;Market Sans&quot;"/>
    </font>
    <font>
      <sz val="12"/>
      <color rgb="FF1E1E1E"/>
      <name val="Arial"/>
      <family val="2"/>
    </font>
    <font>
      <u/>
      <sz val="11"/>
      <color rgb="FF002F36"/>
      <name val="Arial"/>
      <family val="2"/>
    </font>
    <font>
      <u/>
      <sz val="11"/>
      <color rgb="FFFF5722"/>
      <name val="Gotham"/>
    </font>
    <font>
      <sz val="9"/>
      <color rgb="FF111820"/>
      <name val="&quot;Market Sans&quot;"/>
    </font>
    <font>
      <u/>
      <sz val="11"/>
      <color rgb="FF121212"/>
      <name val="Roboto"/>
    </font>
    <font>
      <u/>
      <sz val="10"/>
      <color theme="1"/>
      <name val="Arial"/>
      <family val="2"/>
      <scheme val="minor"/>
    </font>
    <font>
      <strike/>
      <sz val="14"/>
      <color rgb="FF414141"/>
      <name val="Inherit"/>
    </font>
    <font>
      <sz val="10"/>
      <color rgb="FF030303"/>
      <name val="&quot;YouTube Sans&quot;"/>
    </font>
    <font>
      <sz val="10"/>
      <color rgb="FF333333"/>
      <name val="&quot;Open Sans&quot;"/>
    </font>
    <font>
      <u/>
      <sz val="11"/>
      <color rgb="FF333333"/>
      <name val="Helvetica"/>
    </font>
    <font>
      <b/>
      <sz val="11"/>
      <color rgb="FF111820"/>
      <name val="Arial"/>
      <family val="2"/>
    </font>
    <font>
      <u/>
      <sz val="10"/>
      <color rgb="FF333333"/>
      <name val="&quot;Open Sans&quot;"/>
    </font>
    <font>
      <sz val="11"/>
      <color rgb="FF58595B"/>
      <name val="Roboto"/>
    </font>
    <font>
      <sz val="11"/>
      <color rgb="FF231F20"/>
      <name val="Helvetica"/>
    </font>
    <font>
      <sz val="11"/>
      <color rgb="FF1155CC"/>
      <name val="Inconsolata"/>
    </font>
    <font>
      <sz val="11"/>
      <color rgb="FF111820"/>
      <name val="Arial"/>
      <family val="2"/>
    </font>
    <font>
      <sz val="12"/>
      <color rgb="FF333333"/>
      <name val="Helvetica"/>
    </font>
    <font>
      <b/>
      <u/>
      <sz val="10"/>
      <color rgb="FF202124"/>
      <name val="Roboto"/>
    </font>
    <font>
      <sz val="10"/>
      <color rgb="FF000000"/>
      <name val="Roboto"/>
    </font>
    <font>
      <b/>
      <sz val="10"/>
      <color rgb="FFD9D9D9"/>
      <name val="Arial"/>
      <family val="2"/>
      <scheme val="minor"/>
    </font>
    <font>
      <sz val="10"/>
      <color rgb="FFD9D9D9"/>
      <name val="Arial"/>
      <family val="2"/>
      <scheme val="minor"/>
    </font>
    <font>
      <u/>
      <sz val="12"/>
      <color rgb="FF0070BA"/>
      <name val="Roboto"/>
    </font>
    <font>
      <sz val="11"/>
      <color rgb="FF737373"/>
      <name val="&quot;Helvetica Neue&quot;"/>
    </font>
    <font>
      <sz val="9"/>
      <color rgb="FF565959"/>
      <name val="Arial"/>
      <family val="2"/>
    </font>
    <font>
      <sz val="12"/>
      <color rgb="FF0A101A"/>
      <name val="Roboto"/>
    </font>
    <font>
      <sz val="11"/>
      <color rgb="FF767676"/>
      <name val="Arial"/>
      <family val="2"/>
    </font>
    <font>
      <u/>
      <sz val="11"/>
      <color rgb="FF767676"/>
      <name val="Arial"/>
      <family val="2"/>
    </font>
    <font>
      <sz val="11"/>
      <color rgb="FF000000"/>
      <name val="&quot;Amazon Ember&quot;"/>
    </font>
    <font>
      <sz val="8"/>
      <color rgb="FF565959"/>
      <name val="&quot;Amazon Ember&quot;"/>
    </font>
    <font>
      <sz val="11"/>
      <color rgb="FF545454"/>
      <name val="-apple-system"/>
    </font>
    <font>
      <b/>
      <u/>
      <sz val="10"/>
      <color rgb="FF202124"/>
      <name val="Roboto"/>
    </font>
    <font>
      <u/>
      <sz val="11"/>
      <color rgb="FF545454"/>
      <name val="-apple-system"/>
    </font>
    <font>
      <u/>
      <sz val="10"/>
      <color rgb="FF000000"/>
      <name val="Arial"/>
      <family val="2"/>
    </font>
    <font>
      <b/>
      <sz val="10"/>
      <color rgb="FF010000"/>
      <name val="Arial"/>
      <family val="2"/>
      <scheme val="minor"/>
    </font>
    <font>
      <u/>
      <sz val="11"/>
      <color rgb="FF3DC619"/>
      <name val="-apple-system"/>
    </font>
    <font>
      <u/>
      <sz val="10"/>
      <color rgb="FF1155CC"/>
      <name val="Arial"/>
      <family val="2"/>
    </font>
    <font>
      <sz val="11"/>
      <color rgb="FF545454"/>
      <name val="Arial"/>
      <family val="2"/>
    </font>
    <font>
      <i/>
      <sz val="10"/>
      <color theme="1"/>
      <name val="Arial"/>
      <family val="2"/>
      <scheme val="minor"/>
    </font>
    <font>
      <i/>
      <sz val="11"/>
      <color rgb="FF002F36"/>
      <name val="Arial"/>
      <family val="2"/>
    </font>
    <font>
      <u/>
      <sz val="11"/>
      <color rgb="FF545454"/>
      <name val="-apple-system"/>
    </font>
    <font>
      <u/>
      <sz val="10"/>
      <color rgb="FF0F1111"/>
      <name val="&quot;Amazon Ember&quot;"/>
    </font>
    <font>
      <sz val="10"/>
      <color rgb="FF0F1111"/>
      <name val="&quot;Amazon Ember&quot;"/>
    </font>
    <font>
      <sz val="10"/>
      <color rgb="FF010000"/>
      <name val="Arial"/>
      <family val="2"/>
      <scheme val="minor"/>
    </font>
    <font>
      <sz val="11"/>
      <color rgb="FF010000"/>
      <name val="Calibri"/>
      <family val="2"/>
    </font>
    <font>
      <u/>
      <sz val="10"/>
      <color rgb="FF0066C0"/>
      <name val="&quot;Amazon Ember&quot;"/>
    </font>
    <font>
      <u/>
      <sz val="10"/>
      <color rgb="FF0F1111"/>
      <name val="&quot;Amazon Ember&quot;"/>
    </font>
    <font>
      <sz val="6"/>
      <color rgb="FF565959"/>
      <name val="&quot;Amazon Ember&quot;"/>
    </font>
    <font>
      <sz val="10"/>
      <color rgb="FF0F1111"/>
      <name val="Arial"/>
      <family val="2"/>
    </font>
    <font>
      <sz val="10"/>
      <color rgb="FF221924"/>
      <name val="Arial"/>
      <family val="2"/>
    </font>
    <font>
      <u/>
      <sz val="12"/>
      <color rgb="FF7F187F"/>
      <name val="Arial"/>
      <family val="2"/>
    </font>
    <font>
      <b/>
      <sz val="11"/>
      <color rgb="FF010000"/>
      <name val="Calibri"/>
      <family val="2"/>
    </font>
    <font>
      <sz val="10"/>
      <color rgb="FF221924"/>
      <name val="Sofia"/>
    </font>
    <font>
      <u/>
      <sz val="8"/>
      <color rgb="FF565959"/>
      <name val="&quot;Amazon Ember&quot;"/>
    </font>
    <font>
      <u/>
      <sz val="10"/>
      <color rgb="FFC45500"/>
      <name val="Arial"/>
      <family val="2"/>
    </font>
    <font>
      <u/>
      <sz val="10"/>
      <color rgb="FF0F1111"/>
      <name val="&quot;Amazon Ember&quot;"/>
    </font>
    <font>
      <u/>
      <sz val="10"/>
      <color rgb="FF221924"/>
      <name val="Sofia"/>
    </font>
    <font>
      <u/>
      <sz val="11"/>
      <color rgb="FF008296"/>
      <name val="&quot;Amazon Ember&quot;"/>
    </font>
    <font>
      <sz val="10"/>
      <color rgb="FF000000"/>
      <name val="BogleWeb"/>
    </font>
    <font>
      <sz val="10"/>
      <color rgb="FF111111"/>
      <name val="&quot;Amazon Ember&quot;"/>
    </font>
    <font>
      <sz val="9"/>
      <color rgb="FF000000"/>
      <name val="BogleWeb"/>
    </font>
    <font>
      <u/>
      <sz val="9"/>
      <color rgb="FF000000"/>
      <name val="BogleWeb"/>
    </font>
    <font>
      <sz val="11"/>
      <color rgb="FF333333"/>
      <name val="&quot;Helvetica Neue&quot;"/>
    </font>
    <font>
      <sz val="8"/>
      <color rgb="FF555555"/>
      <name val="&quot;Amazon Ember&quot;"/>
    </font>
    <font>
      <sz val="6"/>
      <color rgb="FF242424"/>
      <name val="Arial"/>
      <family val="2"/>
    </font>
    <font>
      <strike/>
      <sz val="10"/>
      <color rgb="FF000000"/>
      <name val="Arial"/>
      <family val="2"/>
    </font>
    <font>
      <sz val="11"/>
      <color rgb="FF333333"/>
      <name val="Arial"/>
      <family val="2"/>
    </font>
    <font>
      <u/>
      <sz val="11"/>
      <color rgb="FF333333"/>
      <name val="Arial"/>
      <family val="2"/>
    </font>
    <font>
      <u/>
      <sz val="10"/>
      <color rgb="FF111111"/>
      <name val="&quot;Amazon Ember&quot;"/>
    </font>
    <font>
      <b/>
      <sz val="10"/>
      <color rgb="FF111111"/>
      <name val="&quot;Amazon Ember&quot;"/>
    </font>
    <font>
      <sz val="11"/>
      <color rgb="FF008296"/>
      <name val="Arial"/>
      <family val="2"/>
    </font>
    <font>
      <u/>
      <sz val="11"/>
      <color rgb="FF333333"/>
      <name val="&quot;Market Sans&quot;"/>
    </font>
    <font>
      <sz val="10"/>
      <color rgb="FF333333"/>
      <name val="Helvetica"/>
    </font>
    <font>
      <sz val="11"/>
      <color rgb="FF008296"/>
      <name val="&quot;Amazon Ember&quot;"/>
    </font>
    <font>
      <u/>
      <sz val="11"/>
      <color rgb="FF008296"/>
      <name val="&quot;Amazon Ember&quot;"/>
    </font>
    <font>
      <u/>
      <sz val="11"/>
      <color rgb="FF008296"/>
      <name val="Arial"/>
      <family val="2"/>
    </font>
    <font>
      <sz val="9"/>
      <color rgb="FF000000"/>
      <name val="Arial"/>
      <family val="2"/>
    </font>
    <font>
      <u/>
      <sz val="10"/>
      <color rgb="FF1155CC"/>
      <name val="Roboto"/>
    </font>
    <font>
      <sz val="11"/>
      <color rgb="FF464646"/>
      <name val="Lato"/>
      <family val="2"/>
    </font>
    <font>
      <u/>
      <sz val="11"/>
      <color rgb="FF1155CC"/>
      <name val="Calibri"/>
      <family val="2"/>
    </font>
    <font>
      <u/>
      <sz val="11"/>
      <color rgb="FF00AE55"/>
      <name val="&quot;Helvetica Neue&quot;"/>
    </font>
    <font>
      <u/>
      <sz val="11"/>
      <color rgb="FF1155CC"/>
      <name val="MyriadPro-Regular"/>
    </font>
    <font>
      <sz val="9"/>
      <color rgb="FF222222"/>
      <name val="Arial"/>
      <family val="2"/>
    </font>
    <font>
      <sz val="12"/>
      <color theme="1"/>
      <name val="&quot;Times New Roman&quot;"/>
    </font>
    <font>
      <b/>
      <sz val="10"/>
      <color rgb="FF000000"/>
      <name val="Arial"/>
      <family val="2"/>
      <scheme val="minor"/>
    </font>
    <font>
      <b/>
      <sz val="11"/>
      <color rgb="FF2E6F03"/>
      <name val="Arial"/>
      <family val="2"/>
    </font>
    <font>
      <b/>
      <sz val="11"/>
      <color rgb="FF333333"/>
      <name val="Arial"/>
      <family val="2"/>
    </font>
    <font>
      <sz val="10"/>
      <color rgb="FF555555"/>
      <name val="Arial"/>
      <family val="2"/>
    </font>
    <font>
      <b/>
      <sz val="12"/>
      <color theme="1"/>
      <name val="&quot;Times New Roman&quot;"/>
    </font>
    <font>
      <sz val="11"/>
      <color rgb="FF0F1111"/>
      <name val="Arial"/>
      <family val="2"/>
    </font>
    <font>
      <sz val="11"/>
      <color rgb="FF0F1111"/>
      <name val="Arial"/>
      <family val="2"/>
      <scheme val="minor"/>
    </font>
    <font>
      <strike/>
      <sz val="11"/>
      <color rgb="FF0F1111"/>
      <name val="Arial"/>
      <family val="2"/>
      <scheme val="minor"/>
    </font>
    <font>
      <strike/>
      <sz val="11"/>
      <color rgb="FF333333"/>
      <name val="Arial"/>
      <family val="2"/>
    </font>
    <font>
      <sz val="11"/>
      <color rgb="FF191919"/>
      <name val="Roboto"/>
    </font>
    <font>
      <sz val="9"/>
      <color rgb="FF191919"/>
      <name val="Roboto"/>
    </font>
    <font>
      <sz val="10"/>
      <color rgb="FF000000"/>
      <name val="Arial"/>
      <family val="2"/>
      <scheme val="minor"/>
    </font>
    <font>
      <sz val="10"/>
      <color rgb="FFFF0000"/>
      <name val="Arial"/>
      <family val="2"/>
      <scheme val="minor"/>
    </font>
    <font>
      <sz val="11"/>
      <color rgb="FF2E6F03"/>
      <name val="Arial"/>
      <family val="2"/>
    </font>
    <font>
      <sz val="10"/>
      <color rgb="FF565959"/>
      <name val="&quot;Amazon Ember&quot;"/>
    </font>
    <font>
      <sz val="11"/>
      <color rgb="FF2B2B2B"/>
      <name val="Roboto"/>
    </font>
    <font>
      <sz val="12"/>
      <color rgb="FF222222"/>
      <name val="Roboto"/>
    </font>
    <font>
      <sz val="13"/>
      <color rgb="FF222222"/>
      <name val="Rubik"/>
    </font>
    <font>
      <u/>
      <sz val="11"/>
      <color rgb="FF1155CC"/>
      <name val="MyriadPro-Regular"/>
    </font>
    <font>
      <sz val="8"/>
      <color rgb="FF008EB8"/>
      <name val="Tahoma"/>
      <family val="2"/>
    </font>
    <font>
      <u/>
      <sz val="11"/>
      <color rgb="FF1155CC"/>
      <name val="Calibri"/>
      <family val="2"/>
    </font>
    <font>
      <u/>
      <sz val="10"/>
      <color rgb="FF000000"/>
      <name val="Arial"/>
      <family val="2"/>
    </font>
    <font>
      <u/>
      <sz val="11"/>
      <color rgb="FF008296"/>
      <name val="&quot;Amazon Ember&quot;"/>
    </font>
    <font>
      <u/>
      <sz val="11"/>
      <color rgb="FF008296"/>
      <name val="Arial"/>
      <family val="2"/>
    </font>
    <font>
      <b/>
      <sz val="12"/>
      <color theme="1"/>
      <name val="Arial"/>
      <family val="2"/>
    </font>
    <font>
      <sz val="12"/>
      <color theme="1"/>
      <name val="Arial"/>
      <family val="2"/>
    </font>
    <font>
      <sz val="12"/>
      <color rgb="FF222222"/>
      <name val="Arial"/>
      <family val="2"/>
    </font>
    <font>
      <u/>
      <sz val="10"/>
      <color rgb="FF1A0DAB"/>
      <name val="Roboto"/>
    </font>
    <font>
      <i/>
      <sz val="12"/>
      <color theme="1"/>
      <name val="Arial"/>
      <family val="2"/>
    </font>
    <font>
      <sz val="12"/>
      <color rgb="FF0A0101"/>
      <name val="Arial"/>
      <family val="2"/>
    </font>
    <font>
      <b/>
      <i/>
      <sz val="12"/>
      <color theme="1"/>
      <name val="Arial"/>
      <family val="2"/>
    </font>
    <font>
      <sz val="8"/>
      <color theme="1"/>
      <name val="Arial"/>
      <family val="2"/>
    </font>
    <font>
      <sz val="6"/>
      <color theme="1"/>
      <name val="Arial"/>
      <family val="2"/>
    </font>
    <font>
      <sz val="9"/>
      <color rgb="FF666666"/>
      <name val="Roboto"/>
    </font>
    <font>
      <sz val="10"/>
      <color theme="1"/>
      <name val="Arial"/>
      <family val="2"/>
      <scheme val="minor"/>
    </font>
    <font>
      <sz val="10"/>
      <color rgb="FF373737"/>
      <name val="OpenSans"/>
    </font>
    <font>
      <b/>
      <sz val="10"/>
      <color rgb="FF222222"/>
      <name val="Arial"/>
      <family val="2"/>
    </font>
    <font>
      <u/>
      <sz val="10"/>
      <color rgb="FF0000FF"/>
      <name val="Arial"/>
      <family val="2"/>
    </font>
    <font>
      <b/>
      <sz val="9"/>
      <color rgb="FF666666"/>
      <name val="Roboto"/>
    </font>
    <font>
      <sz val="7"/>
      <color rgb="FF666666"/>
      <name val="Arial"/>
      <family val="2"/>
    </font>
    <font>
      <u/>
      <sz val="10"/>
      <color rgb="FF0000FF"/>
      <name val="Arial"/>
      <family val="2"/>
    </font>
    <font>
      <sz val="11"/>
      <color rgb="FF0E0E0E"/>
      <name val="Clarkson"/>
    </font>
    <font>
      <u/>
      <sz val="13"/>
      <color rgb="FF444444"/>
      <name val="Calibri"/>
      <family val="2"/>
    </font>
    <font>
      <sz val="17"/>
      <color rgb="FF333333"/>
      <name val="Calibri"/>
      <family val="2"/>
    </font>
    <font>
      <u/>
      <sz val="10"/>
      <color rgb="FF0000FF"/>
      <name val="Arial"/>
      <family val="2"/>
    </font>
    <font>
      <sz val="12"/>
      <color rgb="FF000000"/>
      <name val="Arial"/>
      <family val="2"/>
    </font>
    <font>
      <sz val="11"/>
      <color rgb="FF000000"/>
      <name val="&quot;Helvetica Neue&quot;"/>
    </font>
    <font>
      <u/>
      <sz val="10"/>
      <color rgb="FF1155CC"/>
      <name val="Arial"/>
      <family val="2"/>
      <scheme val="minor"/>
    </font>
    <font>
      <sz val="12"/>
      <color rgb="FF1155CC"/>
      <name val="Arial"/>
      <family val="2"/>
    </font>
    <font>
      <sz val="11"/>
      <color rgb="FF0088CC"/>
      <name val="Proxima-nova-1"/>
    </font>
    <font>
      <u/>
      <sz val="10"/>
      <color rgb="FF0000FF"/>
      <name val="Arial"/>
      <family val="2"/>
    </font>
    <font>
      <sz val="11"/>
      <color rgb="FF444444"/>
      <name val="&quot;Helvetica Neue&quot;"/>
    </font>
    <font>
      <u/>
      <sz val="10"/>
      <color rgb="FF1155CC"/>
      <name val="Arial"/>
      <family val="2"/>
      <scheme val="minor"/>
    </font>
    <font>
      <u/>
      <sz val="13"/>
      <color rgb="FF444444"/>
      <name val="Calibri"/>
      <family val="2"/>
    </font>
    <font>
      <u/>
      <sz val="11"/>
      <color rgb="FF444444"/>
      <name val="&quot;Helvetica Neue&quot;"/>
    </font>
    <font>
      <sz val="11"/>
      <color rgb="FF333333"/>
      <name val="Roboto"/>
    </font>
    <font>
      <u/>
      <sz val="11"/>
      <color rgb="FF0088CC"/>
      <name val="Proxima-nova-1"/>
    </font>
    <font>
      <u/>
      <sz val="10"/>
      <color rgb="FF1155CC"/>
      <name val="Arial"/>
      <family val="2"/>
      <scheme val="minor"/>
    </font>
    <font>
      <sz val="12"/>
      <color rgb="FF2E91FC"/>
      <name val="&quot;Open Sans&quot;"/>
    </font>
    <font>
      <u/>
      <sz val="12"/>
      <color rgb="FF2E91FC"/>
      <name val="&quot;Open Sans&quot;"/>
    </font>
    <font>
      <sz val="13"/>
      <color rgb="FF444444"/>
      <name val="Calibri"/>
      <family val="2"/>
    </font>
    <font>
      <u/>
      <sz val="12"/>
      <color rgb="FF1155CC"/>
      <name val="Arial"/>
      <family val="2"/>
    </font>
    <font>
      <u/>
      <sz val="12"/>
      <color rgb="FF000000"/>
      <name val="Arial"/>
      <family val="2"/>
    </font>
    <font>
      <sz val="12"/>
      <color rgb="FF000000"/>
      <name val="Sans-serif"/>
    </font>
    <font>
      <sz val="10"/>
      <color theme="1"/>
      <name val="Helvetica"/>
    </font>
    <font>
      <u/>
      <sz val="10"/>
      <color rgb="FF1155CC"/>
      <name val="Arial"/>
      <family val="2"/>
      <scheme val="minor"/>
    </font>
    <font>
      <u/>
      <sz val="12"/>
      <color rgb="FF1155CC"/>
      <name val="Arial"/>
      <family val="2"/>
    </font>
    <font>
      <sz val="9"/>
      <color rgb="FF333333"/>
      <name val="Arial"/>
      <family val="2"/>
    </font>
    <font>
      <u/>
      <sz val="9"/>
      <color rgb="FF666666"/>
      <name val="Roboto"/>
    </font>
    <font>
      <b/>
      <sz val="12"/>
      <color rgb="FF000000"/>
      <name val="Arial"/>
      <family val="2"/>
    </font>
    <font>
      <u/>
      <sz val="9"/>
      <color rgb="FF0066CC"/>
      <name val="RegularVOXI"/>
    </font>
    <font>
      <b/>
      <sz val="12"/>
      <color rgb="FF000000"/>
      <name val="VodafoneBold"/>
    </font>
    <font>
      <u/>
      <sz val="12"/>
      <color rgb="FFF66A0A"/>
      <name val="Inter"/>
    </font>
    <font>
      <u/>
      <sz val="10"/>
      <color rgb="FF000000"/>
      <name val="Roboto"/>
    </font>
    <font>
      <sz val="9"/>
      <color rgb="FF000000"/>
      <name val="Roboto"/>
    </font>
    <font>
      <sz val="11"/>
      <color rgb="FF000000"/>
      <name val="&quot;Open Sans&quot;"/>
    </font>
    <font>
      <u/>
      <sz val="10"/>
      <color rgb="FF1155CC"/>
      <name val="Arial"/>
      <family val="2"/>
    </font>
    <font>
      <u/>
      <sz val="10"/>
      <color rgb="FF1155CC"/>
      <name val="Arial"/>
      <family val="2"/>
    </font>
    <font>
      <u/>
      <sz val="9"/>
      <color rgb="FF000000"/>
      <name val="Roboto"/>
    </font>
    <font>
      <u/>
      <sz val="10"/>
      <color rgb="FF000000"/>
      <name val="Arial"/>
      <family val="2"/>
    </font>
    <font>
      <u/>
      <sz val="10"/>
      <color rgb="FF0000FF"/>
      <name val="Arial"/>
      <family val="2"/>
    </font>
    <font>
      <sz val="10"/>
      <color rgb="FF373737"/>
      <name val="Arial"/>
      <family val="2"/>
    </font>
    <font>
      <u/>
      <sz val="11"/>
      <color rgb="FF2A678C"/>
      <name val="Arial"/>
      <family val="2"/>
    </font>
    <font>
      <u/>
      <sz val="10"/>
      <color rgb="FF000000"/>
      <name val="Arial"/>
      <family val="2"/>
    </font>
    <font>
      <sz val="10"/>
      <color rgb="FF333333"/>
      <name val="Lato"/>
      <family val="2"/>
    </font>
    <font>
      <sz val="12"/>
      <color rgb="FF000000"/>
      <name val="Calibri"/>
      <family val="2"/>
    </font>
    <font>
      <sz val="10"/>
      <color rgb="FF1155CC"/>
      <name val="Arial"/>
      <family val="2"/>
    </font>
    <font>
      <u/>
      <sz val="10"/>
      <color rgb="FF1155CC"/>
      <name val="Arial"/>
      <family val="2"/>
    </font>
    <font>
      <sz val="11"/>
      <color rgb="FF000000"/>
      <name val="Calibri"/>
      <family val="2"/>
    </font>
    <font>
      <u/>
      <sz val="10"/>
      <color rgb="FF000000"/>
      <name val="Arial"/>
      <family val="2"/>
    </font>
    <font>
      <sz val="11"/>
      <color rgb="FF1155CC"/>
      <name val="Arial"/>
      <family val="2"/>
    </font>
    <font>
      <sz val="10"/>
      <color rgb="FF414141"/>
      <name val="&quot;Lucida Sans&quot;"/>
    </font>
    <font>
      <b/>
      <sz val="10"/>
      <color rgb="FF000000"/>
      <name val="Inherit"/>
    </font>
    <font>
      <u/>
      <sz val="10"/>
      <color rgb="FF0000FF"/>
      <name val="Arial"/>
      <family val="2"/>
    </font>
    <font>
      <b/>
      <sz val="11"/>
      <color rgb="FF333333"/>
      <name val="&quot;Open Sans&quot;"/>
    </font>
    <font>
      <u/>
      <sz val="10"/>
      <color rgb="FF333333"/>
      <name val="&quot;Open Sans&quot;"/>
    </font>
    <font>
      <sz val="12"/>
      <color rgb="FF333333"/>
      <name val="Roboto"/>
    </font>
    <font>
      <sz val="11"/>
      <color rgb="FF505050"/>
      <name val="Helvetica"/>
    </font>
    <font>
      <u/>
      <sz val="11"/>
      <color rgb="FF0000FF"/>
      <name val="Helvetica"/>
    </font>
    <font>
      <b/>
      <sz val="10"/>
      <color rgb="FFFFFFFF"/>
      <name val="Arial"/>
      <family val="2"/>
      <scheme val="minor"/>
    </font>
    <font>
      <sz val="8"/>
      <color rgb="FF3366CC"/>
      <name val="Verdana"/>
      <family val="2"/>
    </font>
    <font>
      <sz val="8"/>
      <color rgb="FF000000"/>
      <name val="Arial"/>
      <family val="2"/>
    </font>
    <font>
      <b/>
      <sz val="10"/>
      <color rgb="FF000000"/>
      <name val="Arial"/>
      <family val="2"/>
      <scheme val="minor"/>
    </font>
    <font>
      <sz val="10"/>
      <color rgb="FFFFFFFF"/>
      <name val="Arial"/>
      <family val="2"/>
      <scheme val="minor"/>
    </font>
    <font>
      <u/>
      <sz val="11"/>
      <color rgb="FF941F40"/>
      <name val="Arial"/>
      <family val="2"/>
    </font>
    <font>
      <sz val="10"/>
      <color rgb="FF00FF00"/>
      <name val="Arial"/>
      <family val="2"/>
      <scheme val="minor"/>
    </font>
    <font>
      <sz val="10"/>
      <color rgb="FFCCCCCC"/>
      <name val="Arial"/>
      <family val="2"/>
      <scheme val="minor"/>
    </font>
    <font>
      <sz val="10"/>
      <color rgb="FFFF0000"/>
      <name val="Arial"/>
      <family val="2"/>
      <scheme val="minor"/>
    </font>
    <font>
      <sz val="6"/>
      <color rgb="FFCCCCCC"/>
      <name val="Arial"/>
      <family val="2"/>
      <scheme val="minor"/>
    </font>
    <font>
      <sz val="10"/>
      <color rgb="FFD9D9D9"/>
      <name val="Arial"/>
      <family val="2"/>
      <scheme val="minor"/>
    </font>
    <font>
      <sz val="10"/>
      <color rgb="FF2C2E2F"/>
      <name val="PayPal-Sans-Big"/>
    </font>
    <font>
      <b/>
      <sz val="10"/>
      <color rgb="FF2C2E2F"/>
      <name val="PayPal-Sans-Big"/>
    </font>
    <font>
      <b/>
      <sz val="10"/>
      <color rgb="FF2C2E2F"/>
      <name val="Arial"/>
      <family val="2"/>
    </font>
    <font>
      <sz val="10"/>
      <color theme="1"/>
      <name val="PayPal-Sans-Big"/>
    </font>
    <font>
      <b/>
      <sz val="11"/>
      <color rgb="FF222222"/>
      <name val="&quot;noto sans&quot;"/>
    </font>
    <font>
      <sz val="11"/>
      <color rgb="FF222222"/>
      <name val="&quot;noto sans&quot;"/>
    </font>
    <font>
      <b/>
      <u/>
      <sz val="11"/>
      <color rgb="FF699A21"/>
      <name val="&quot;noto sans&quot;"/>
    </font>
    <font>
      <b/>
      <u/>
      <sz val="11"/>
      <color rgb="FF699A21"/>
      <name val="&quot;noto sans&quot;"/>
    </font>
    <font>
      <b/>
      <u/>
      <sz val="11"/>
      <color rgb="FF699A21"/>
      <name val="Arial"/>
      <family val="2"/>
    </font>
    <font>
      <b/>
      <u/>
      <sz val="11"/>
      <color rgb="FF699A21"/>
      <name val="Arial"/>
      <family val="2"/>
    </font>
    <font>
      <b/>
      <u/>
      <sz val="11"/>
      <color rgb="FF699A21"/>
      <name val="Arial"/>
      <family val="2"/>
    </font>
    <font>
      <b/>
      <u/>
      <sz val="11"/>
      <color rgb="FF699A21"/>
      <name val="Arial"/>
      <family val="2"/>
    </font>
    <font>
      <u/>
      <sz val="10"/>
      <color rgb="FF0000FF"/>
      <name val="Arial"/>
      <family val="2"/>
    </font>
    <font>
      <strike/>
      <sz val="10"/>
      <color rgb="FF0000FF"/>
      <name val="Arial"/>
      <family val="2"/>
      <scheme val="minor"/>
    </font>
    <font>
      <strike/>
      <sz val="10"/>
      <color rgb="FF010000"/>
      <name val="Arial"/>
      <family val="2"/>
      <scheme val="minor"/>
    </font>
    <font>
      <sz val="10"/>
      <color rgb="FF002F36"/>
      <name val="Arial"/>
      <family val="2"/>
      <scheme val="minor"/>
    </font>
    <font>
      <sz val="10"/>
      <color rgb="FFCCCCCC"/>
      <name val="Arial"/>
      <family val="2"/>
      <scheme val="minor"/>
    </font>
    <font>
      <b/>
      <sz val="10"/>
      <color theme="1"/>
      <name val="&quot;Courier New&quot;"/>
    </font>
    <font>
      <b/>
      <sz val="10"/>
      <color rgb="FF008000"/>
      <name val="&quot;Courier New&quot;"/>
    </font>
    <font>
      <sz val="10"/>
      <color rgb="FF000000"/>
      <name val="&quot;Courier New&quot;"/>
    </font>
    <font>
      <b/>
      <sz val="10"/>
      <color rgb="FF800000"/>
      <name val="&quot;Courier New&quot;"/>
    </font>
    <font>
      <b/>
      <sz val="10"/>
      <color rgb="FF000000"/>
      <name val="&quot;Courier New&quot;"/>
    </font>
    <font>
      <b/>
      <u/>
      <sz val="10"/>
      <color rgb="FF0000FF"/>
      <name val="&quot;Courier New&quot;"/>
    </font>
    <font>
      <b/>
      <sz val="10"/>
      <color rgb="FF000000"/>
      <name val="Roboto"/>
    </font>
    <font>
      <b/>
      <sz val="14"/>
      <color theme="1"/>
      <name val="Arial"/>
      <family val="2"/>
      <scheme val="minor"/>
    </font>
    <font>
      <i/>
      <sz val="10"/>
      <color rgb="FF000000"/>
      <name val="Ubuntu"/>
      <family val="2"/>
    </font>
    <font>
      <sz val="10"/>
      <color rgb="FF343741"/>
      <name val="Roboto"/>
    </font>
    <font>
      <sz val="10"/>
      <color rgb="FF0000FF"/>
      <name val="Arial"/>
      <family val="2"/>
      <scheme val="minor"/>
    </font>
    <font>
      <sz val="12"/>
      <color rgb="FFFFFFFF"/>
      <name val="&quot;Avenir Next&quot;"/>
    </font>
    <font>
      <strike/>
      <sz val="12"/>
      <color rgb="FF212529"/>
      <name val="&quot;Avenir Next&quot;"/>
    </font>
    <font>
      <sz val="12"/>
      <color rgb="FF212529"/>
      <name val="&quot;Avenir Next&quot;"/>
    </font>
    <font>
      <strike/>
      <sz val="10"/>
      <color rgb="FF000000"/>
      <name val="Roboto"/>
    </font>
    <font>
      <sz val="11"/>
      <color rgb="FF000000"/>
      <name val="Verdana"/>
      <family val="2"/>
    </font>
    <font>
      <sz val="11"/>
      <color rgb="FF373A3C"/>
      <name val="&quot;Avenir LT W01 65 Medium&quot;"/>
    </font>
    <font>
      <u/>
      <sz val="12"/>
      <color rgb="FF212529"/>
      <name val="&quot;Avenir Next&quot;"/>
    </font>
    <font>
      <strike/>
      <sz val="11"/>
      <color rgb="FF373A3C"/>
      <name val="&quot;Avenir LT W01 65 Medium&quot;"/>
    </font>
    <font>
      <sz val="11"/>
      <color rgb="FF373A3C"/>
      <name val="Arial"/>
      <family val="2"/>
    </font>
    <font>
      <strike/>
      <sz val="11"/>
      <color rgb="FF373A3C"/>
      <name val="Arial"/>
      <family val="2"/>
    </font>
    <font>
      <u/>
      <sz val="12"/>
      <color rgb="FF212529"/>
      <name val="Arial"/>
      <family val="2"/>
    </font>
    <font>
      <b/>
      <sz val="15"/>
      <color rgb="FF735A24"/>
      <name val="Inherit"/>
    </font>
    <font>
      <sz val="10"/>
      <color rgb="FF212529"/>
      <name val="&quot;Avenir Next&quot;"/>
    </font>
    <font>
      <sz val="12"/>
      <color rgb="FF212529"/>
      <name val="Arial"/>
      <family val="2"/>
    </font>
    <font>
      <sz val="11"/>
      <color rgb="FF4D5156"/>
      <name val="Roboto"/>
    </font>
    <font>
      <sz val="10"/>
      <color rgb="FF212529"/>
      <name val="Arial"/>
      <family val="2"/>
    </font>
    <font>
      <sz val="10"/>
      <color rgb="FFFFFFFF"/>
      <name val="Inherit"/>
    </font>
    <font>
      <sz val="9"/>
      <color rgb="FF333333"/>
      <name val="&quot;Avenir LT W01 65 Medium&quot;"/>
    </font>
    <font>
      <b/>
      <sz val="7"/>
      <color theme="1"/>
      <name val="Arial"/>
      <family val="2"/>
      <scheme val="minor"/>
    </font>
    <font>
      <b/>
      <sz val="11"/>
      <color rgb="FF333333"/>
      <name val="Inherit"/>
    </font>
    <font>
      <b/>
      <sz val="14"/>
      <color rgb="FF1E1E1E"/>
      <name val="&quot;Libre Baskerville&quot;"/>
    </font>
    <font>
      <sz val="14"/>
      <color rgb="FF1E1E1E"/>
      <name val="&quot;Libre Baskerville&quot;"/>
    </font>
    <font>
      <u/>
      <sz val="11"/>
      <color rgb="FF202122"/>
      <name val="Sans-serif"/>
    </font>
    <font>
      <i/>
      <sz val="8"/>
      <color theme="1"/>
      <name val="Arial"/>
      <family val="2"/>
      <scheme val="minor"/>
    </font>
    <font>
      <u/>
      <sz val="10"/>
      <color rgb="FF000000"/>
      <name val="Arial"/>
      <family val="2"/>
    </font>
    <font>
      <u/>
      <sz val="11"/>
      <color rgb="FF1F497D"/>
      <name val="Calibri"/>
      <family val="2"/>
    </font>
    <font>
      <u/>
      <sz val="10"/>
      <color rgb="FF0000FF"/>
      <name val="Arial"/>
      <family val="2"/>
    </font>
    <font>
      <sz val="10"/>
      <color rgb="FFF3F3F3"/>
      <name val="Arial"/>
      <family val="2"/>
      <scheme val="minor"/>
    </font>
    <font>
      <u/>
      <sz val="11"/>
      <color rgb="FF2A678C"/>
      <name val="Arial"/>
      <family val="2"/>
    </font>
    <font>
      <sz val="12"/>
      <color rgb="FF3A5311"/>
      <name val="Roboto"/>
    </font>
    <font>
      <u/>
      <sz val="10"/>
      <color rgb="FF000000"/>
      <name val="Arial"/>
      <family val="2"/>
    </font>
    <font>
      <sz val="10"/>
      <color rgb="FFFFFFFF"/>
      <name val="Arial"/>
      <family val="2"/>
    </font>
    <font>
      <u/>
      <sz val="11"/>
      <color rgb="FF000000"/>
      <name val="Arial"/>
      <family val="2"/>
    </font>
    <font>
      <u/>
      <sz val="10"/>
      <color rgb="FF0000FF"/>
      <name val="Arial"/>
      <family val="2"/>
    </font>
    <font>
      <u/>
      <sz val="11"/>
      <color rgb="FF1155CC"/>
      <name val="Helvetica"/>
    </font>
    <font>
      <sz val="10"/>
      <color rgb="FFFFFF00"/>
      <name val="Arial"/>
      <family val="2"/>
      <scheme val="minor"/>
    </font>
    <font>
      <b/>
      <sz val="18"/>
      <color theme="1"/>
      <name val="Arial"/>
      <family val="2"/>
    </font>
    <font>
      <u/>
      <sz val="12"/>
      <color rgb="FF0000FF"/>
      <name val="Arial"/>
      <family val="2"/>
    </font>
    <font>
      <b/>
      <sz val="14"/>
      <color theme="1"/>
      <name val="Arial"/>
      <family val="2"/>
    </font>
    <font>
      <b/>
      <sz val="30"/>
      <color theme="1"/>
      <name val="Arial"/>
      <family val="2"/>
    </font>
    <font>
      <b/>
      <sz val="36"/>
      <color theme="1"/>
      <name val="Arial"/>
      <family val="2"/>
    </font>
    <font>
      <u/>
      <sz val="12"/>
      <color rgb="FF0000FF"/>
      <name val="Arial"/>
      <family val="2"/>
    </font>
    <font>
      <b/>
      <sz val="11"/>
      <color theme="1"/>
      <name val="Arial"/>
      <family val="2"/>
    </font>
    <font>
      <sz val="11"/>
      <color theme="1"/>
      <name val="Arial"/>
      <family val="2"/>
    </font>
    <font>
      <b/>
      <sz val="12"/>
      <color rgb="FFCC0000"/>
      <name val="Arial"/>
      <family val="2"/>
    </font>
    <font>
      <b/>
      <sz val="12"/>
      <color rgb="FF0000CC"/>
      <name val="Arial"/>
      <family val="2"/>
    </font>
    <font>
      <sz val="14"/>
      <color theme="1"/>
      <name val="Arial"/>
      <family val="2"/>
    </font>
    <font>
      <b/>
      <u/>
      <sz val="12"/>
      <color rgb="FF0000CC"/>
      <name val="Arial"/>
      <family val="2"/>
    </font>
    <font>
      <u/>
      <sz val="10"/>
      <color rgb="FF0000FF"/>
      <name val="Arial"/>
      <family val="2"/>
    </font>
    <font>
      <sz val="18"/>
      <color rgb="FFFFFF00"/>
      <name val="Arial"/>
      <family val="2"/>
    </font>
    <font>
      <u/>
      <sz val="10"/>
      <color rgb="FF0000FF"/>
      <name val="Arial"/>
      <family val="2"/>
    </font>
    <font>
      <u/>
      <sz val="10"/>
      <color rgb="FF0000FF"/>
      <name val="Arial"/>
      <family val="2"/>
    </font>
    <font>
      <sz val="10"/>
      <color rgb="FF222222"/>
      <name val="Roboto"/>
    </font>
    <font>
      <sz val="10"/>
      <color rgb="FF222222"/>
      <name val="Arial"/>
      <family val="2"/>
    </font>
    <font>
      <b/>
      <sz val="11"/>
      <color rgb="FF3E6C97"/>
      <name val="Arial"/>
      <family val="2"/>
    </font>
    <font>
      <u/>
      <sz val="10"/>
      <color rgb="FF0000FF"/>
      <name val="Arial"/>
      <family val="2"/>
    </font>
    <font>
      <u/>
      <sz val="10"/>
      <color rgb="FF0000FF"/>
      <name val="Arial"/>
      <family val="2"/>
    </font>
    <font>
      <b/>
      <sz val="10"/>
      <color rgb="FF222222"/>
      <name val="Roboto"/>
    </font>
    <font>
      <sz val="8"/>
      <color rgb="FFCCCCCC"/>
      <name val="Inherit"/>
    </font>
    <font>
      <sz val="10"/>
      <color rgb="FFFF0000"/>
      <name val="Arial"/>
      <family val="2"/>
    </font>
    <font>
      <sz val="10"/>
      <color rgb="FFFFFFFF"/>
      <name val="Arial"/>
      <family val="2"/>
      <scheme val="minor"/>
    </font>
    <font>
      <b/>
      <sz val="10"/>
      <color theme="1"/>
      <name val="Times New Roman"/>
      <family val="1"/>
    </font>
    <font>
      <sz val="10"/>
      <color theme="1"/>
      <name val="Times New Roman"/>
      <family val="1"/>
    </font>
    <font>
      <sz val="11"/>
      <color rgb="FF858585"/>
      <name val="Arial"/>
      <family val="2"/>
    </font>
    <font>
      <u/>
      <sz val="10"/>
      <color rgb="FF0000FF"/>
      <name val="Arial"/>
      <family val="2"/>
    </font>
    <font>
      <sz val="11"/>
      <color rgb="FF252525"/>
      <name val="Arial"/>
      <family val="2"/>
      <scheme val="minor"/>
    </font>
    <font>
      <b/>
      <sz val="9"/>
      <color rgb="FF4F4F4F"/>
      <name val="Arial"/>
      <family val="2"/>
      <scheme val="minor"/>
    </font>
    <font>
      <strike/>
      <sz val="10"/>
      <color rgb="FFD9D9D9"/>
      <name val="Arial"/>
      <family val="2"/>
      <scheme val="minor"/>
    </font>
    <font>
      <strike/>
      <sz val="10"/>
      <color theme="1"/>
      <name val="Arial"/>
      <family val="2"/>
      <scheme val="minor"/>
    </font>
    <font>
      <b/>
      <sz val="10"/>
      <color rgb="FFF3F3F3"/>
      <name val="Arial"/>
      <family val="2"/>
      <scheme val="minor"/>
    </font>
    <font>
      <b/>
      <sz val="10"/>
      <color rgb="FF0000FF"/>
      <name val="Arial"/>
      <family val="2"/>
      <scheme val="minor"/>
    </font>
    <font>
      <b/>
      <i/>
      <sz val="10"/>
      <color theme="1"/>
      <name val="Arial"/>
      <family val="2"/>
      <scheme val="minor"/>
    </font>
    <font>
      <b/>
      <sz val="18"/>
      <color theme="1"/>
      <name val="Arial"/>
      <family val="2"/>
      <scheme val="minor"/>
    </font>
    <font>
      <b/>
      <sz val="12"/>
      <color rgb="FF000000"/>
      <name val="Arial"/>
      <family val="2"/>
      <scheme val="minor"/>
    </font>
    <font>
      <b/>
      <sz val="10"/>
      <color rgb="FF3C78D8"/>
      <name val="Arial"/>
      <family val="2"/>
      <scheme val="minor"/>
    </font>
    <font>
      <b/>
      <sz val="12"/>
      <color rgb="FFFFFFFF"/>
      <name val="Arial"/>
      <family val="2"/>
      <scheme val="minor"/>
    </font>
    <font>
      <sz val="12"/>
      <color theme="1"/>
      <name val="Arial"/>
      <family val="2"/>
      <scheme val="minor"/>
    </font>
    <font>
      <sz val="12"/>
      <color rgb="FFFFFFFF"/>
      <name val="Arial"/>
      <family val="2"/>
      <scheme val="minor"/>
    </font>
    <font>
      <sz val="12"/>
      <color rgb="FF000000"/>
      <name val="Arial"/>
      <family val="2"/>
      <scheme val="minor"/>
    </font>
    <font>
      <sz val="12"/>
      <color rgb="FF0000FF"/>
      <name val="Arial"/>
      <family val="2"/>
      <scheme val="minor"/>
    </font>
    <font>
      <sz val="10"/>
      <color rgb="FF999999"/>
      <name val="Arial"/>
      <family val="2"/>
      <scheme val="minor"/>
    </font>
    <font>
      <sz val="12"/>
      <color rgb="FF999999"/>
      <name val="Arial"/>
      <family val="2"/>
      <scheme val="minor"/>
    </font>
    <font>
      <sz val="6"/>
      <color theme="1"/>
      <name val="Arial"/>
      <family val="2"/>
      <scheme val="minor"/>
    </font>
    <font>
      <sz val="9"/>
      <color rgb="FF565959"/>
      <name val="Arial"/>
      <family val="2"/>
      <scheme val="minor"/>
    </font>
    <font>
      <sz val="9"/>
      <color rgb="FF0F1111"/>
      <name val="Arial"/>
      <family val="2"/>
      <scheme val="minor"/>
    </font>
    <font>
      <sz val="11"/>
      <color rgb="FF1773B0"/>
      <name val="Arial"/>
      <family val="2"/>
      <scheme val="minor"/>
    </font>
    <font>
      <u/>
      <sz val="11"/>
      <color rgb="FF1155CC"/>
      <name val="Arial"/>
      <family val="2"/>
      <scheme val="minor"/>
    </font>
    <font>
      <sz val="11"/>
      <color rgb="FF000000"/>
      <name val="Arial"/>
      <family val="2"/>
      <scheme val="minor"/>
    </font>
    <font>
      <sz val="10"/>
      <color rgb="FF565959"/>
      <name val="Arial"/>
      <family val="2"/>
      <scheme val="minor"/>
    </font>
    <font>
      <sz val="9"/>
      <color rgb="FF666666"/>
      <name val="Arial"/>
      <family val="2"/>
      <scheme val="minor"/>
    </font>
    <font>
      <b/>
      <sz val="9"/>
      <color rgb="FF666666"/>
      <name val="Arial"/>
      <family val="2"/>
      <scheme val="minor"/>
    </font>
    <font>
      <sz val="11"/>
      <color rgb="FF1D2228"/>
      <name val="&quot;Yahoo Sans CR4&quot;, Arial"/>
    </font>
    <font>
      <strike/>
      <sz val="12"/>
      <color rgb="FF1155CC"/>
      <name val="Arial"/>
      <family val="2"/>
    </font>
    <font>
      <i/>
      <sz val="10"/>
      <color rgb="FF000000"/>
      <name val="Arial"/>
      <family val="2"/>
    </font>
    <font>
      <b/>
      <sz val="10"/>
      <color rgb="FF000000"/>
      <name val="arial, sans, sans-serif"/>
    </font>
    <font>
      <u/>
      <sz val="10"/>
      <color theme="10"/>
      <name val="Arial"/>
      <family val="2"/>
      <scheme val="minor"/>
    </font>
    <font>
      <sz val="12"/>
      <color theme="1"/>
      <name val="Times New Roman"/>
      <family val="1"/>
    </font>
    <font>
      <i/>
      <sz val="12"/>
      <color theme="1"/>
      <name val="Times New Roman"/>
      <family val="1"/>
    </font>
    <font>
      <u/>
      <sz val="12"/>
      <color rgb="FF1155CC"/>
      <name val="HelveticaNeueW02-75Bold"/>
    </font>
    <font>
      <u/>
      <sz val="11"/>
      <color rgb="FF333333"/>
      <name val="Roboto"/>
    </font>
    <font>
      <sz val="12"/>
      <color rgb="FF1155CC"/>
      <name val="HelveticaNeueW02-75Bold"/>
    </font>
    <font>
      <u/>
      <sz val="12"/>
      <color rgb="FF1155CC"/>
      <name val="Arial"/>
      <family val="2"/>
      <scheme val="minor"/>
    </font>
    <font>
      <sz val="10"/>
      <color rgb="FF000000"/>
      <name val="Arial"/>
      <family val="2"/>
      <scheme val="minor"/>
    </font>
    <font>
      <sz val="9"/>
      <color rgb="FF000000"/>
      <name val="Arial"/>
      <family val="2"/>
      <scheme val="minor"/>
    </font>
    <font>
      <u/>
      <sz val="9"/>
      <color rgb="FF007185"/>
      <name val="Arial"/>
      <family val="2"/>
      <scheme val="minor"/>
    </font>
    <font>
      <sz val="10"/>
      <color rgb="FF000000"/>
      <name val="Arial"/>
      <family val="2"/>
      <scheme val="minor"/>
    </font>
    <font>
      <sz val="9"/>
      <color indexed="81"/>
      <name val="Tahoma"/>
      <family val="2"/>
    </font>
    <font>
      <sz val="12"/>
      <color rgb="FFCC3300"/>
      <name val="Lato"/>
      <family val="2"/>
    </font>
    <font>
      <b/>
      <sz val="9"/>
      <color indexed="81"/>
      <name val="Tahoma"/>
      <family val="2"/>
    </font>
    <font>
      <sz val="11"/>
      <color rgb="FF000000"/>
      <name val="Roboto"/>
    </font>
    <font>
      <b/>
      <sz val="8"/>
      <color rgb="FF2C2C2C"/>
      <name val="Arial"/>
      <family val="2"/>
      <scheme val="minor"/>
    </font>
    <font>
      <sz val="10"/>
      <color rgb="FF333366"/>
      <name val="Arial"/>
      <family val="2"/>
      <scheme val="minor"/>
    </font>
    <font>
      <strike/>
      <sz val="10"/>
      <color rgb="FF000000"/>
      <name val="Arial"/>
      <family val="2"/>
      <scheme val="minor"/>
    </font>
    <font>
      <sz val="10"/>
      <color rgb="FF2E2F32"/>
      <name val="Arial"/>
      <family val="2"/>
      <scheme val="minor"/>
    </font>
    <font>
      <b/>
      <sz val="8"/>
      <color rgb="FF000000"/>
      <name val="Arial"/>
      <family val="2"/>
      <scheme val="minor"/>
    </font>
    <font>
      <sz val="8"/>
      <name val="Arial"/>
      <family val="2"/>
      <scheme val="minor"/>
    </font>
    <font>
      <b/>
      <sz val="8"/>
      <color theme="1"/>
      <name val="Arial"/>
      <family val="2"/>
      <scheme val="minor"/>
    </font>
    <font>
      <sz val="11"/>
      <color rgb="FF5E5E5E"/>
      <name val="Roboto"/>
    </font>
    <font>
      <b/>
      <sz val="11"/>
      <color rgb="FF363636"/>
      <name val="Tahoma"/>
      <family val="2"/>
    </font>
  </fonts>
  <fills count="78">
    <fill>
      <patternFill patternType="none"/>
    </fill>
    <fill>
      <patternFill patternType="gray125"/>
    </fill>
    <fill>
      <patternFill patternType="solid">
        <fgColor rgb="FFFFFFFF"/>
        <bgColor rgb="FFFFFFFF"/>
      </patternFill>
    </fill>
    <fill>
      <patternFill patternType="solid">
        <fgColor rgb="FFFFFF00"/>
        <bgColor rgb="FFFFFF00"/>
      </patternFill>
    </fill>
    <fill>
      <patternFill patternType="solid">
        <fgColor rgb="FFFF0000"/>
        <bgColor rgb="FFFF0000"/>
      </patternFill>
    </fill>
    <fill>
      <patternFill patternType="solid">
        <fgColor rgb="FFEDEDED"/>
        <bgColor rgb="FFEDEDED"/>
      </patternFill>
    </fill>
    <fill>
      <patternFill patternType="solid">
        <fgColor rgb="FFF5F5F6"/>
        <bgColor rgb="FFF5F5F6"/>
      </patternFill>
    </fill>
    <fill>
      <patternFill patternType="solid">
        <fgColor rgb="FFECF3F8"/>
        <bgColor rgb="FFECF3F8"/>
      </patternFill>
    </fill>
    <fill>
      <patternFill patternType="solid">
        <fgColor rgb="FFEFEFEF"/>
        <bgColor rgb="FFEFEFEF"/>
      </patternFill>
    </fill>
    <fill>
      <patternFill patternType="solid">
        <fgColor rgb="FFF8F8F9"/>
        <bgColor rgb="FFF8F8F9"/>
      </patternFill>
    </fill>
    <fill>
      <patternFill patternType="solid">
        <fgColor theme="0"/>
        <bgColor theme="0"/>
      </patternFill>
    </fill>
    <fill>
      <patternFill patternType="solid">
        <fgColor rgb="FFF0F2F2"/>
        <bgColor rgb="FFF0F2F2"/>
      </patternFill>
    </fill>
    <fill>
      <patternFill patternType="solid">
        <fgColor rgb="FFF9F9F9"/>
        <bgColor rgb="FFF9F9F9"/>
      </patternFill>
    </fill>
    <fill>
      <patternFill patternType="solid">
        <fgColor rgb="FFFDFDFD"/>
        <bgColor rgb="FFFDFDFD"/>
      </patternFill>
    </fill>
    <fill>
      <patternFill patternType="solid">
        <fgColor rgb="FFF6F6F6"/>
        <bgColor rgb="FFF6F6F6"/>
      </patternFill>
    </fill>
    <fill>
      <patternFill patternType="solid">
        <fgColor rgb="FFF3F3F3"/>
        <bgColor rgb="FFF3F3F3"/>
      </patternFill>
    </fill>
    <fill>
      <patternFill patternType="solid">
        <fgColor rgb="FFEEEEEE"/>
        <bgColor rgb="FFEEEEEE"/>
      </patternFill>
    </fill>
    <fill>
      <patternFill patternType="solid">
        <fgColor rgb="FFFFF2CC"/>
        <bgColor rgb="FFFFF2CC"/>
      </patternFill>
    </fill>
    <fill>
      <patternFill patternType="solid">
        <fgColor rgb="FFFF9900"/>
        <bgColor rgb="FFFF9900"/>
      </patternFill>
    </fill>
    <fill>
      <patternFill patternType="solid">
        <fgColor rgb="FFFCE5CD"/>
        <bgColor rgb="FFFCE5CD"/>
      </patternFill>
    </fill>
    <fill>
      <patternFill patternType="solid">
        <fgColor rgb="FFC9DAF8"/>
        <bgColor rgb="FFC9DAF8"/>
      </patternFill>
    </fill>
    <fill>
      <patternFill patternType="solid">
        <fgColor rgb="FFD9D9D9"/>
        <bgColor rgb="FFD9D9D9"/>
      </patternFill>
    </fill>
    <fill>
      <patternFill patternType="solid">
        <fgColor rgb="FFFAFBFC"/>
        <bgColor rgb="FFFAFBFC"/>
      </patternFill>
    </fill>
    <fill>
      <patternFill patternType="solid">
        <fgColor rgb="FFFAFAFA"/>
        <bgColor rgb="FFFAFAFA"/>
      </patternFill>
    </fill>
    <fill>
      <patternFill patternType="solid">
        <fgColor rgb="FFF2F2F2"/>
        <bgColor rgb="FFF2F2F2"/>
      </patternFill>
    </fill>
    <fill>
      <patternFill patternType="solid">
        <fgColor rgb="FFCFE2F3"/>
        <bgColor rgb="FFCFE2F3"/>
      </patternFill>
    </fill>
    <fill>
      <patternFill patternType="solid">
        <fgColor rgb="FFD0E0E3"/>
        <bgColor rgb="FFD0E0E3"/>
      </patternFill>
    </fill>
    <fill>
      <patternFill patternType="solid">
        <fgColor rgb="FF0000FF"/>
        <bgColor rgb="FF0000FF"/>
      </patternFill>
    </fill>
    <fill>
      <patternFill patternType="solid">
        <fgColor rgb="FF00FF00"/>
        <bgColor rgb="FF00FF00"/>
      </patternFill>
    </fill>
    <fill>
      <patternFill patternType="solid">
        <fgColor rgb="FFF8F9FB"/>
        <bgColor rgb="FFF8F9FB"/>
      </patternFill>
    </fill>
    <fill>
      <patternFill patternType="solid">
        <fgColor rgb="FFCCE6FF"/>
        <bgColor rgb="FFCCE6FF"/>
      </patternFill>
    </fill>
    <fill>
      <patternFill patternType="solid">
        <fgColor rgb="FFCCCCCC"/>
        <bgColor rgb="FFCCCCCC"/>
      </patternFill>
    </fill>
    <fill>
      <patternFill patternType="solid">
        <fgColor rgb="FFF0FBFC"/>
        <bgColor rgb="FFF0FBFC"/>
      </patternFill>
    </fill>
    <fill>
      <patternFill patternType="solid">
        <fgColor rgb="FFC3A873"/>
        <bgColor rgb="FFC3A873"/>
      </patternFill>
    </fill>
    <fill>
      <patternFill patternType="solid">
        <fgColor rgb="FFF6F1E8"/>
        <bgColor rgb="FFF6F1E8"/>
      </patternFill>
    </fill>
    <fill>
      <patternFill patternType="solid">
        <fgColor rgb="FFECE3D3"/>
        <bgColor rgb="FFECE3D3"/>
      </patternFill>
    </fill>
    <fill>
      <patternFill patternType="solid">
        <fgColor rgb="FFEFEADF"/>
        <bgColor rgb="FFEFEADF"/>
      </patternFill>
    </fill>
    <fill>
      <patternFill patternType="solid">
        <fgColor rgb="FFEEEADF"/>
        <bgColor rgb="FFEEEADF"/>
      </patternFill>
    </fill>
    <fill>
      <patternFill patternType="solid">
        <fgColor rgb="FFECE3D2"/>
        <bgColor rgb="FFECE3D2"/>
      </patternFill>
    </fill>
    <fill>
      <patternFill patternType="solid">
        <fgColor rgb="FFDCDCDC"/>
        <bgColor rgb="FFDCDCDC"/>
      </patternFill>
    </fill>
    <fill>
      <patternFill patternType="solid">
        <fgColor rgb="FFBEE57E"/>
        <bgColor rgb="FFBEE57E"/>
      </patternFill>
    </fill>
    <fill>
      <patternFill patternType="solid">
        <fgColor rgb="FF00853F"/>
        <bgColor rgb="FF00853F"/>
      </patternFill>
    </fill>
    <fill>
      <patternFill patternType="solid">
        <fgColor rgb="FFFFD966"/>
        <bgColor rgb="FFFFD966"/>
      </patternFill>
    </fill>
    <fill>
      <patternFill patternType="solid">
        <fgColor rgb="FFFFE599"/>
        <bgColor rgb="FFFFE599"/>
      </patternFill>
    </fill>
    <fill>
      <patternFill patternType="solid">
        <fgColor rgb="FF3C78D8"/>
        <bgColor rgb="FF3C78D8"/>
      </patternFill>
    </fill>
    <fill>
      <patternFill patternType="solid">
        <fgColor rgb="FFCCFFFF"/>
        <bgColor rgb="FFCCFFFF"/>
      </patternFill>
    </fill>
    <fill>
      <patternFill patternType="solid">
        <fgColor rgb="FFFFD9D9"/>
        <bgColor rgb="FFFFD9D9"/>
      </patternFill>
    </fill>
    <fill>
      <patternFill patternType="solid">
        <fgColor rgb="FFB6D7A8"/>
        <bgColor rgb="FFB6D7A8"/>
      </patternFill>
    </fill>
    <fill>
      <patternFill patternType="solid">
        <fgColor rgb="FFA4C2F4"/>
        <bgColor rgb="FFA4C2F4"/>
      </patternFill>
    </fill>
    <fill>
      <patternFill patternType="solid">
        <fgColor rgb="FF99CCFF"/>
        <bgColor rgb="FF99CCFF"/>
      </patternFill>
    </fill>
    <fill>
      <patternFill patternType="solid">
        <fgColor rgb="FF33CCCC"/>
        <bgColor rgb="FF33CCCC"/>
      </patternFill>
    </fill>
    <fill>
      <patternFill patternType="solid">
        <fgColor rgb="FFCCFFCC"/>
        <bgColor rgb="FFCCFFCC"/>
      </patternFill>
    </fill>
    <fill>
      <patternFill patternType="solid">
        <fgColor rgb="FF99CC00"/>
        <bgColor rgb="FF99CC00"/>
      </patternFill>
    </fill>
    <fill>
      <patternFill patternType="solid">
        <fgColor rgb="FFFFFF99"/>
        <bgColor rgb="FFFFFF99"/>
      </patternFill>
    </fill>
    <fill>
      <patternFill patternType="solid">
        <fgColor rgb="FFFFCC00"/>
        <bgColor rgb="FFFFCC00"/>
      </patternFill>
    </fill>
    <fill>
      <patternFill patternType="solid">
        <fgColor rgb="FFFF6600"/>
        <bgColor rgb="FFFF6600"/>
      </patternFill>
    </fill>
    <fill>
      <patternFill patternType="solid">
        <fgColor rgb="FFFF8080"/>
        <bgColor rgb="FFFF8080"/>
      </patternFill>
    </fill>
    <fill>
      <patternFill patternType="solid">
        <fgColor rgb="FFCC99FF"/>
        <bgColor rgb="FFCC99FF"/>
      </patternFill>
    </fill>
    <fill>
      <patternFill patternType="solid">
        <fgColor rgb="FFCCCCFF"/>
        <bgColor rgb="FFCCCCFF"/>
      </patternFill>
    </fill>
    <fill>
      <patternFill patternType="solid">
        <fgColor rgb="FF7F6000"/>
        <bgColor rgb="FF7F6000"/>
      </patternFill>
    </fill>
    <fill>
      <patternFill patternType="solid">
        <fgColor rgb="FF9900FF"/>
        <bgColor rgb="FF9900FF"/>
      </patternFill>
    </fill>
    <fill>
      <patternFill patternType="solid">
        <fgColor rgb="FFD9E6FF"/>
        <bgColor rgb="FFD9E6FF"/>
      </patternFill>
    </fill>
    <fill>
      <patternFill patternType="solid">
        <fgColor rgb="FF9FC5E8"/>
        <bgColor rgb="FF9FC5E8"/>
      </patternFill>
    </fill>
    <fill>
      <patternFill patternType="solid">
        <fgColor rgb="FFDDE4EB"/>
        <bgColor rgb="FFDDE4EB"/>
      </patternFill>
    </fill>
    <fill>
      <patternFill patternType="solid">
        <fgColor rgb="FFEA9999"/>
        <bgColor rgb="FFEA9999"/>
      </patternFill>
    </fill>
    <fill>
      <patternFill patternType="solid">
        <fgColor rgb="FF999999"/>
        <bgColor rgb="FF999999"/>
      </patternFill>
    </fill>
    <fill>
      <patternFill patternType="solid">
        <fgColor rgb="FFFFFFCC"/>
        <bgColor rgb="FFFFFFCC"/>
      </patternFill>
    </fill>
    <fill>
      <patternFill patternType="solid">
        <fgColor rgb="FFE5E5E5"/>
        <bgColor rgb="FFE5E5E5"/>
      </patternFill>
    </fill>
    <fill>
      <patternFill patternType="solid">
        <fgColor rgb="FF00FFFF"/>
        <bgColor rgb="FF00FFFF"/>
      </patternFill>
    </fill>
    <fill>
      <patternFill patternType="solid">
        <fgColor rgb="FFF6B26B"/>
        <bgColor rgb="FFF6B26B"/>
      </patternFill>
    </fill>
    <fill>
      <patternFill patternType="solid">
        <fgColor rgb="FFD9EAD3"/>
        <bgColor rgb="FFD9EAD3"/>
      </patternFill>
    </fill>
    <fill>
      <patternFill patternType="solid">
        <fgColor rgb="FF000000"/>
        <bgColor rgb="FF000000"/>
      </patternFill>
    </fill>
    <fill>
      <patternFill patternType="solid">
        <fgColor rgb="FF4A86E8"/>
        <bgColor rgb="FF4A86E8"/>
      </patternFill>
    </fill>
    <fill>
      <patternFill patternType="solid">
        <fgColor rgb="FFFFFF00"/>
        <bgColor rgb="FFFFFFFF"/>
      </patternFill>
    </fill>
    <fill>
      <patternFill patternType="solid">
        <fgColor rgb="FFFFFF00"/>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FFFF00"/>
        <bgColor rgb="FFFCE5CD"/>
      </patternFill>
    </fill>
  </fills>
  <borders count="199">
    <border>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ck">
        <color rgb="FF000000"/>
      </right>
      <top/>
      <bottom style="thin">
        <color rgb="FF000000"/>
      </bottom>
      <diagonal/>
    </border>
    <border>
      <left/>
      <right style="thick">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style="thin">
        <color rgb="FF000000"/>
      </right>
      <top style="thin">
        <color rgb="FF000000"/>
      </top>
      <bottom style="thin">
        <color rgb="FF000000"/>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style="thick">
        <color rgb="FF000000"/>
      </left>
      <right/>
      <top/>
      <bottom style="thick">
        <color rgb="FF000000"/>
      </bottom>
      <diagonal/>
    </border>
    <border>
      <left/>
      <right style="thick">
        <color rgb="FF000000"/>
      </right>
      <top/>
      <bottom style="thick">
        <color rgb="FF000000"/>
      </bottom>
      <diagonal/>
    </border>
    <border>
      <left/>
      <right/>
      <top/>
      <bottom style="thick">
        <color rgb="FF000000"/>
      </bottom>
      <diagonal/>
    </border>
    <border>
      <left/>
      <right style="thin">
        <color rgb="FFD4D4D4"/>
      </right>
      <top/>
      <bottom/>
      <diagonal/>
    </border>
    <border>
      <left/>
      <right/>
      <top/>
      <bottom style="medium">
        <color rgb="FFDDDDDD"/>
      </bottom>
      <diagonal/>
    </border>
    <border>
      <left/>
      <right/>
      <top style="thin">
        <color rgb="FFDDDDDD"/>
      </top>
      <bottom style="medium">
        <color rgb="FFDDDDDD"/>
      </bottom>
      <diagonal/>
    </border>
    <border>
      <left/>
      <right/>
      <top style="thin">
        <color rgb="FFDDDDDD"/>
      </top>
      <bottom/>
      <diagonal/>
    </border>
    <border>
      <left style="thick">
        <color rgb="FF000000"/>
      </left>
      <right style="thick">
        <color rgb="FF000000"/>
      </right>
      <top style="thick">
        <color rgb="FF000000"/>
      </top>
      <bottom style="thin">
        <color rgb="FF000000"/>
      </bottom>
      <diagonal/>
    </border>
    <border>
      <left style="thin">
        <color rgb="FF000000"/>
      </left>
      <right style="thin">
        <color rgb="FF000000"/>
      </right>
      <top/>
      <bottom/>
      <diagonal/>
    </border>
    <border>
      <left style="thick">
        <color rgb="FF000000"/>
      </left>
      <right/>
      <top style="thin">
        <color rgb="FF000000"/>
      </top>
      <bottom/>
      <diagonal/>
    </border>
    <border>
      <left style="thin">
        <color rgb="FF000000"/>
      </left>
      <right/>
      <top/>
      <bottom style="thick">
        <color rgb="FF000000"/>
      </bottom>
      <diagonal/>
    </border>
    <border>
      <left/>
      <right style="thin">
        <color rgb="FF000000"/>
      </right>
      <top/>
      <bottom style="thick">
        <color rgb="FF000000"/>
      </bottom>
      <diagonal/>
    </border>
    <border>
      <left/>
      <right/>
      <top/>
      <bottom style="thin">
        <color rgb="FF0000FF"/>
      </bottom>
      <diagonal/>
    </border>
    <border>
      <left style="thin">
        <color rgb="FF0000FF"/>
      </left>
      <right/>
      <top style="thin">
        <color rgb="FF0000FF"/>
      </top>
      <bottom/>
      <diagonal/>
    </border>
    <border>
      <left/>
      <right/>
      <top style="thin">
        <color rgb="FF0000FF"/>
      </top>
      <bottom/>
      <diagonal/>
    </border>
    <border>
      <left/>
      <right style="thin">
        <color rgb="FF0000FF"/>
      </right>
      <top style="thin">
        <color rgb="FF0000FF"/>
      </top>
      <bottom/>
      <diagonal/>
    </border>
    <border>
      <left style="thin">
        <color rgb="FF0000FF"/>
      </left>
      <right style="thin">
        <color rgb="FF0000FF"/>
      </right>
      <top style="thin">
        <color rgb="FF0000FF"/>
      </top>
      <bottom/>
      <diagonal/>
    </border>
    <border>
      <left style="thin">
        <color rgb="FF0000FF"/>
      </left>
      <right/>
      <top/>
      <bottom/>
      <diagonal/>
    </border>
    <border>
      <left/>
      <right style="thin">
        <color rgb="FF0000FF"/>
      </right>
      <top/>
      <bottom/>
      <diagonal/>
    </border>
    <border>
      <left/>
      <right/>
      <top/>
      <bottom style="thin">
        <color rgb="FFFFFF00"/>
      </bottom>
      <diagonal/>
    </border>
    <border>
      <left style="thin">
        <color rgb="FF0000FF"/>
      </left>
      <right/>
      <top/>
      <bottom style="thin">
        <color rgb="FF0000FF"/>
      </bottom>
      <diagonal/>
    </border>
    <border>
      <left/>
      <right style="thin">
        <color rgb="FF0000FF"/>
      </right>
      <top/>
      <bottom style="thin">
        <color rgb="FF0000FF"/>
      </bottom>
      <diagonal/>
    </border>
    <border>
      <left/>
      <right/>
      <top style="thin">
        <color rgb="FF0000FF"/>
      </top>
      <bottom style="thin">
        <color rgb="FF0000FF"/>
      </bottom>
      <diagonal/>
    </border>
    <border>
      <left style="thin">
        <color rgb="FFDDDDDD"/>
      </left>
      <right style="thin">
        <color rgb="FFDDDDDD"/>
      </right>
      <top style="thin">
        <color rgb="FF000000"/>
      </top>
      <bottom style="thin">
        <color rgb="FFDDDDDD"/>
      </bottom>
      <diagonal/>
    </border>
    <border>
      <left style="thin">
        <color rgb="FFDDDDDD"/>
      </left>
      <right style="thin">
        <color rgb="FFDDDDDD"/>
      </right>
      <top style="thin">
        <color rgb="FFDDDDDD"/>
      </top>
      <bottom style="thin">
        <color rgb="FFDDDDDD"/>
      </bottom>
      <diagonal/>
    </border>
    <border>
      <left style="thin">
        <color rgb="FF0000FF"/>
      </left>
      <right/>
      <top style="thin">
        <color rgb="FF000000"/>
      </top>
      <bottom/>
      <diagonal/>
    </border>
    <border>
      <left/>
      <right/>
      <top style="thin">
        <color rgb="FFFFFF00"/>
      </top>
      <bottom/>
      <diagonal/>
    </border>
    <border>
      <left/>
      <right/>
      <top style="thin">
        <color rgb="FF0000FF"/>
      </top>
      <bottom style="thin">
        <color rgb="FFFFFF00"/>
      </bottom>
      <diagonal/>
    </border>
    <border>
      <left style="thin">
        <color rgb="FF0000FF"/>
      </left>
      <right style="thin">
        <color rgb="FF0000FF"/>
      </right>
      <top/>
      <bottom style="thin">
        <color rgb="FF0000FF"/>
      </bottom>
      <diagonal/>
    </border>
    <border>
      <left style="thin">
        <color rgb="FF0066CC"/>
      </left>
      <right/>
      <top/>
      <bottom/>
      <diagonal/>
    </border>
    <border>
      <left/>
      <right style="thin">
        <color rgb="FF0066CC"/>
      </right>
      <top/>
      <bottom/>
      <diagonal/>
    </border>
    <border>
      <left style="thin">
        <color rgb="FF99CCFF"/>
      </left>
      <right/>
      <top/>
      <bottom/>
      <diagonal/>
    </border>
    <border>
      <left style="thin">
        <color rgb="FF99CC00"/>
      </left>
      <right/>
      <top/>
      <bottom/>
      <diagonal/>
    </border>
    <border>
      <left/>
      <right style="thin">
        <color rgb="FF99CC00"/>
      </right>
      <top/>
      <bottom/>
      <diagonal/>
    </border>
    <border>
      <left/>
      <right style="thin">
        <color rgb="FF008080"/>
      </right>
      <top/>
      <bottom/>
      <diagonal/>
    </border>
    <border>
      <left style="thin">
        <color rgb="FF008080"/>
      </left>
      <right/>
      <top/>
      <bottom/>
      <diagonal/>
    </border>
    <border>
      <left style="thin">
        <color rgb="FF0066CC"/>
      </left>
      <right/>
      <top/>
      <bottom style="thin">
        <color rgb="FF0066CC"/>
      </bottom>
      <diagonal/>
    </border>
    <border>
      <left/>
      <right/>
      <top/>
      <bottom style="thin">
        <color rgb="FF0066CC"/>
      </bottom>
      <diagonal/>
    </border>
    <border>
      <left/>
      <right style="thin">
        <color rgb="FF0066CC"/>
      </right>
      <top/>
      <bottom style="thin">
        <color rgb="FF0066CC"/>
      </bottom>
      <diagonal/>
    </border>
    <border>
      <left style="thin">
        <color rgb="FF99CCFF"/>
      </left>
      <right/>
      <top/>
      <bottom style="thin">
        <color rgb="FF99CCFF"/>
      </bottom>
      <diagonal/>
    </border>
    <border>
      <left/>
      <right/>
      <top/>
      <bottom style="thin">
        <color rgb="FF99CCFF"/>
      </bottom>
      <diagonal/>
    </border>
    <border>
      <left/>
      <right style="thin">
        <color rgb="FF99CCFF"/>
      </right>
      <top/>
      <bottom style="thin">
        <color rgb="FF99CCFF"/>
      </bottom>
      <diagonal/>
    </border>
    <border>
      <left style="thin">
        <color rgb="FF008080"/>
      </left>
      <right/>
      <top/>
      <bottom style="thin">
        <color rgb="FF008080"/>
      </bottom>
      <diagonal/>
    </border>
    <border>
      <left/>
      <right/>
      <top/>
      <bottom style="thin">
        <color rgb="FF008080"/>
      </bottom>
      <diagonal/>
    </border>
    <border>
      <left/>
      <right style="thin">
        <color rgb="FF008080"/>
      </right>
      <top/>
      <bottom style="thin">
        <color rgb="FF008080"/>
      </bottom>
      <diagonal/>
    </border>
    <border>
      <left style="thin">
        <color rgb="FF99CC00"/>
      </left>
      <right/>
      <top/>
      <bottom style="thin">
        <color rgb="FF99CC00"/>
      </bottom>
      <diagonal/>
    </border>
    <border>
      <left/>
      <right/>
      <top/>
      <bottom style="thin">
        <color rgb="FF99CC00"/>
      </bottom>
      <diagonal/>
    </border>
    <border>
      <left/>
      <right style="thin">
        <color rgb="FF99CC00"/>
      </right>
      <top/>
      <bottom style="thin">
        <color rgb="FF99CC00"/>
      </bottom>
      <diagonal/>
    </border>
    <border>
      <left style="thin">
        <color rgb="FF808000"/>
      </left>
      <right/>
      <top/>
      <bottom/>
      <diagonal/>
    </border>
    <border>
      <left/>
      <right style="thin">
        <color rgb="FF808000"/>
      </right>
      <top/>
      <bottom/>
      <diagonal/>
    </border>
    <border>
      <left style="thin">
        <color rgb="FFFF9900"/>
      </left>
      <right/>
      <top/>
      <bottom/>
      <diagonal/>
    </border>
    <border>
      <left/>
      <right style="thin">
        <color rgb="FFFF9900"/>
      </right>
      <top/>
      <bottom/>
      <diagonal/>
    </border>
    <border>
      <left style="thin">
        <color rgb="FFFF6600"/>
      </left>
      <right/>
      <top/>
      <bottom/>
      <diagonal/>
    </border>
    <border>
      <left/>
      <right style="thin">
        <color rgb="FFFF6600"/>
      </right>
      <top/>
      <bottom/>
      <diagonal/>
    </border>
    <border>
      <left/>
      <right style="thin">
        <color rgb="FFFFCC00"/>
      </right>
      <top/>
      <bottom/>
      <diagonal/>
    </border>
    <border>
      <left style="thin">
        <color rgb="FFFFCC00"/>
      </left>
      <right/>
      <top/>
      <bottom/>
      <diagonal/>
    </border>
    <border>
      <left style="thin">
        <color rgb="FF808000"/>
      </left>
      <right/>
      <top/>
      <bottom style="thin">
        <color rgb="FF808000"/>
      </bottom>
      <diagonal/>
    </border>
    <border>
      <left/>
      <right/>
      <top/>
      <bottom style="thin">
        <color rgb="FF808000"/>
      </bottom>
      <diagonal/>
    </border>
    <border>
      <left/>
      <right style="thin">
        <color rgb="FF808000"/>
      </right>
      <top/>
      <bottom style="thin">
        <color rgb="FF808000"/>
      </bottom>
      <diagonal/>
    </border>
    <border>
      <left style="thin">
        <color rgb="FFFFCC00"/>
      </left>
      <right/>
      <top/>
      <bottom style="thin">
        <color rgb="FFFFCC00"/>
      </bottom>
      <diagonal/>
    </border>
    <border>
      <left/>
      <right/>
      <top/>
      <bottom style="thin">
        <color rgb="FFFFCC00"/>
      </bottom>
      <diagonal/>
    </border>
    <border>
      <left/>
      <right style="thin">
        <color rgb="FFFFCC00"/>
      </right>
      <top/>
      <bottom style="thin">
        <color rgb="FFFFCC00"/>
      </bottom>
      <diagonal/>
    </border>
    <border>
      <left style="thin">
        <color rgb="FFFF9900"/>
      </left>
      <right/>
      <top/>
      <bottom style="thin">
        <color rgb="FFFF9900"/>
      </bottom>
      <diagonal/>
    </border>
    <border>
      <left/>
      <right/>
      <top/>
      <bottom style="thin">
        <color rgb="FFFF9900"/>
      </bottom>
      <diagonal/>
    </border>
    <border>
      <left/>
      <right style="thin">
        <color rgb="FFFF9900"/>
      </right>
      <top/>
      <bottom style="thin">
        <color rgb="FFFF9900"/>
      </bottom>
      <diagonal/>
    </border>
    <border>
      <left style="thin">
        <color rgb="FFFF6600"/>
      </left>
      <right/>
      <top/>
      <bottom style="thin">
        <color rgb="FFFF6600"/>
      </bottom>
      <diagonal/>
    </border>
    <border>
      <left/>
      <right/>
      <top/>
      <bottom style="thin">
        <color rgb="FFFF6600"/>
      </bottom>
      <diagonal/>
    </border>
    <border>
      <left/>
      <right style="thin">
        <color rgb="FFFF6600"/>
      </right>
      <top/>
      <bottom style="thin">
        <color rgb="FFFF6600"/>
      </bottom>
      <diagonal/>
    </border>
    <border>
      <left style="thin">
        <color rgb="FF993300"/>
      </left>
      <right/>
      <top/>
      <bottom/>
      <diagonal/>
    </border>
    <border>
      <left/>
      <right style="thin">
        <color rgb="FF993300"/>
      </right>
      <top/>
      <bottom/>
      <diagonal/>
    </border>
    <border>
      <left style="thin">
        <color rgb="FF800000"/>
      </left>
      <right/>
      <top/>
      <bottom/>
      <diagonal/>
    </border>
    <border>
      <left/>
      <right style="thin">
        <color rgb="FF800000"/>
      </right>
      <top/>
      <bottom/>
      <diagonal/>
    </border>
    <border>
      <left style="thin">
        <color rgb="FF993366"/>
      </left>
      <right/>
      <top/>
      <bottom/>
      <diagonal/>
    </border>
    <border>
      <left/>
      <right style="thin">
        <color rgb="FF993366"/>
      </right>
      <top/>
      <bottom/>
      <diagonal/>
    </border>
    <border>
      <left style="thin">
        <color rgb="FF9999FF"/>
      </left>
      <right/>
      <top/>
      <bottom/>
      <diagonal/>
    </border>
    <border>
      <left/>
      <right style="thin">
        <color rgb="FF9999FF"/>
      </right>
      <top/>
      <bottom/>
      <diagonal/>
    </border>
    <border>
      <left style="thin">
        <color rgb="FF993300"/>
      </left>
      <right/>
      <top/>
      <bottom style="thin">
        <color rgb="FF993300"/>
      </bottom>
      <diagonal/>
    </border>
    <border>
      <left/>
      <right/>
      <top/>
      <bottom style="thin">
        <color rgb="FF993300"/>
      </bottom>
      <diagonal/>
    </border>
    <border>
      <left/>
      <right style="thin">
        <color rgb="FF993300"/>
      </right>
      <top/>
      <bottom style="thin">
        <color rgb="FF993300"/>
      </bottom>
      <diagonal/>
    </border>
    <border>
      <left style="thin">
        <color rgb="FF800000"/>
      </left>
      <right/>
      <top/>
      <bottom style="thin">
        <color rgb="FF800000"/>
      </bottom>
      <diagonal/>
    </border>
    <border>
      <left/>
      <right/>
      <top/>
      <bottom style="thin">
        <color rgb="FF800000"/>
      </bottom>
      <diagonal/>
    </border>
    <border>
      <left/>
      <right style="thin">
        <color rgb="FF800000"/>
      </right>
      <top/>
      <bottom style="thin">
        <color rgb="FF800000"/>
      </bottom>
      <diagonal/>
    </border>
    <border>
      <left style="thin">
        <color rgb="FF993366"/>
      </left>
      <right/>
      <top/>
      <bottom style="thin">
        <color rgb="FF993366"/>
      </bottom>
      <diagonal/>
    </border>
    <border>
      <left/>
      <right/>
      <top/>
      <bottom style="thin">
        <color rgb="FF993366"/>
      </bottom>
      <diagonal/>
    </border>
    <border>
      <left/>
      <right style="thin">
        <color rgb="FF993366"/>
      </right>
      <top/>
      <bottom style="thin">
        <color rgb="FF993366"/>
      </bottom>
      <diagonal/>
    </border>
    <border>
      <left style="thin">
        <color rgb="FF9999FF"/>
      </left>
      <right/>
      <top/>
      <bottom style="thin">
        <color rgb="FF9999FF"/>
      </bottom>
      <diagonal/>
    </border>
    <border>
      <left/>
      <right/>
      <top/>
      <bottom style="thin">
        <color rgb="FF9999FF"/>
      </bottom>
      <diagonal/>
    </border>
    <border>
      <left/>
      <right style="thin">
        <color rgb="FF9999FF"/>
      </right>
      <top/>
      <bottom style="thin">
        <color rgb="FF9999FF"/>
      </bottom>
      <diagonal/>
    </border>
    <border>
      <left style="thin">
        <color rgb="FF0066CC"/>
      </left>
      <right/>
      <top style="thin">
        <color rgb="FF0066CC"/>
      </top>
      <bottom style="thin">
        <color rgb="FF0066CC"/>
      </bottom>
      <diagonal/>
    </border>
    <border>
      <left/>
      <right/>
      <top style="thin">
        <color rgb="FF0066CC"/>
      </top>
      <bottom style="thin">
        <color rgb="FF0066CC"/>
      </bottom>
      <diagonal/>
    </border>
    <border>
      <left/>
      <right style="thin">
        <color rgb="FF0066CC"/>
      </right>
      <top style="thin">
        <color rgb="FF0066CC"/>
      </top>
      <bottom style="thin">
        <color rgb="FF0066CC"/>
      </bottom>
      <diagonal/>
    </border>
    <border>
      <left style="thin">
        <color rgb="FF99CCFF"/>
      </left>
      <right/>
      <top style="thin">
        <color rgb="FF99CCFF"/>
      </top>
      <bottom style="thin">
        <color rgb="FF99CCFF"/>
      </bottom>
      <diagonal/>
    </border>
    <border>
      <left/>
      <right/>
      <top style="thin">
        <color rgb="FF99CCFF"/>
      </top>
      <bottom style="thin">
        <color rgb="FF99CCFF"/>
      </bottom>
      <diagonal/>
    </border>
    <border>
      <left/>
      <right style="thin">
        <color rgb="FF99CCFF"/>
      </right>
      <top style="thin">
        <color rgb="FF99CCFF"/>
      </top>
      <bottom style="thin">
        <color rgb="FF99CCFF"/>
      </bottom>
      <diagonal/>
    </border>
    <border>
      <left style="thin">
        <color rgb="FF99CC00"/>
      </left>
      <right/>
      <top style="thin">
        <color rgb="FF99CC00"/>
      </top>
      <bottom style="thin">
        <color rgb="FF99CC00"/>
      </bottom>
      <diagonal/>
    </border>
    <border>
      <left/>
      <right/>
      <top style="thin">
        <color rgb="FF99CC00"/>
      </top>
      <bottom style="thin">
        <color rgb="FF99CC00"/>
      </bottom>
      <diagonal/>
    </border>
    <border>
      <left/>
      <right style="thin">
        <color rgb="FF99CC00"/>
      </right>
      <top style="thin">
        <color rgb="FF99CC00"/>
      </top>
      <bottom style="thin">
        <color rgb="FF99CC00"/>
      </bottom>
      <diagonal/>
    </border>
    <border>
      <left style="thin">
        <color rgb="FF0066CC"/>
      </left>
      <right style="thin">
        <color rgb="FF0066CC"/>
      </right>
      <top style="thin">
        <color rgb="FF0066CC"/>
      </top>
      <bottom style="thin">
        <color rgb="FF0066CC"/>
      </bottom>
      <diagonal/>
    </border>
    <border>
      <left style="thin">
        <color rgb="FF99CCFF"/>
      </left>
      <right style="thin">
        <color rgb="FF99CCFF"/>
      </right>
      <top style="thin">
        <color rgb="FF99CCFF"/>
      </top>
      <bottom style="thin">
        <color rgb="FF99CCFF"/>
      </bottom>
      <diagonal/>
    </border>
    <border>
      <left style="thin">
        <color rgb="FF008080"/>
      </left>
      <right style="thin">
        <color rgb="FF008080"/>
      </right>
      <top style="thin">
        <color rgb="FF008080"/>
      </top>
      <bottom style="thin">
        <color rgb="FF008080"/>
      </bottom>
      <diagonal/>
    </border>
    <border>
      <left style="thin">
        <color rgb="FF99CC00"/>
      </left>
      <right style="thin">
        <color rgb="FF99CC00"/>
      </right>
      <top style="thin">
        <color rgb="FF99CC00"/>
      </top>
      <bottom style="thin">
        <color rgb="FF99CC00"/>
      </bottom>
      <diagonal/>
    </border>
    <border>
      <left/>
      <right style="thin">
        <color rgb="FF99CCFF"/>
      </right>
      <top/>
      <bottom/>
      <diagonal/>
    </border>
    <border>
      <left style="thin">
        <color rgb="FF808000"/>
      </left>
      <right/>
      <top style="thin">
        <color rgb="FF808000"/>
      </top>
      <bottom style="thin">
        <color rgb="FF808000"/>
      </bottom>
      <diagonal/>
    </border>
    <border>
      <left/>
      <right/>
      <top style="thin">
        <color rgb="FF808000"/>
      </top>
      <bottom style="thin">
        <color rgb="FF808000"/>
      </bottom>
      <diagonal/>
    </border>
    <border>
      <left/>
      <right style="thin">
        <color rgb="FF808000"/>
      </right>
      <top style="thin">
        <color rgb="FF808000"/>
      </top>
      <bottom style="thin">
        <color rgb="FF808000"/>
      </bottom>
      <diagonal/>
    </border>
    <border>
      <left style="thin">
        <color rgb="FFFFCC00"/>
      </left>
      <right/>
      <top style="thin">
        <color rgb="FFFFCC00"/>
      </top>
      <bottom style="thin">
        <color rgb="FFFFCC00"/>
      </bottom>
      <diagonal/>
    </border>
    <border>
      <left/>
      <right/>
      <top style="thin">
        <color rgb="FFFFCC00"/>
      </top>
      <bottom style="thin">
        <color rgb="FFFFCC00"/>
      </bottom>
      <diagonal/>
    </border>
    <border>
      <left/>
      <right style="thin">
        <color rgb="FFFFCC00"/>
      </right>
      <top style="thin">
        <color rgb="FFFFCC00"/>
      </top>
      <bottom style="thin">
        <color rgb="FFFFCC00"/>
      </bottom>
      <diagonal/>
    </border>
    <border>
      <left style="thin">
        <color rgb="FFFF9900"/>
      </left>
      <right/>
      <top style="thin">
        <color rgb="FFFF9900"/>
      </top>
      <bottom style="thin">
        <color rgb="FFFF9900"/>
      </bottom>
      <diagonal/>
    </border>
    <border>
      <left/>
      <right/>
      <top style="thin">
        <color rgb="FFFF9900"/>
      </top>
      <bottom style="thin">
        <color rgb="FFFF9900"/>
      </bottom>
      <diagonal/>
    </border>
    <border>
      <left/>
      <right style="thin">
        <color rgb="FFFF9900"/>
      </right>
      <top style="thin">
        <color rgb="FFFF9900"/>
      </top>
      <bottom style="thin">
        <color rgb="FFFF9900"/>
      </bottom>
      <diagonal/>
    </border>
    <border>
      <left style="thin">
        <color rgb="FFFF6600"/>
      </left>
      <right/>
      <top style="thin">
        <color rgb="FFFF6600"/>
      </top>
      <bottom style="thin">
        <color rgb="FFFF6600"/>
      </bottom>
      <diagonal/>
    </border>
    <border>
      <left/>
      <right/>
      <top style="thin">
        <color rgb="FFFF6600"/>
      </top>
      <bottom style="thin">
        <color rgb="FFFF6600"/>
      </bottom>
      <diagonal/>
    </border>
    <border>
      <left/>
      <right style="thin">
        <color rgb="FFFF6600"/>
      </right>
      <top style="thin">
        <color rgb="FFFF6600"/>
      </top>
      <bottom style="thin">
        <color rgb="FFFF6600"/>
      </bottom>
      <diagonal/>
    </border>
    <border>
      <left style="thin">
        <color rgb="FF808000"/>
      </left>
      <right style="thin">
        <color rgb="FF808000"/>
      </right>
      <top style="thin">
        <color rgb="FF808000"/>
      </top>
      <bottom style="thin">
        <color rgb="FF808000"/>
      </bottom>
      <diagonal/>
    </border>
    <border>
      <left style="thin">
        <color rgb="FFFFCC00"/>
      </left>
      <right style="thin">
        <color rgb="FFFFCC00"/>
      </right>
      <top style="thin">
        <color rgb="FFFFCC00"/>
      </top>
      <bottom style="thin">
        <color rgb="FFFFCC00"/>
      </bottom>
      <diagonal/>
    </border>
    <border>
      <left style="thin">
        <color rgb="FFFF9900"/>
      </left>
      <right style="thin">
        <color rgb="FFFF9900"/>
      </right>
      <top style="thin">
        <color rgb="FFFF9900"/>
      </top>
      <bottom style="thin">
        <color rgb="FFFF9900"/>
      </bottom>
      <diagonal/>
    </border>
    <border>
      <left style="thin">
        <color rgb="FFFF6600"/>
      </left>
      <right style="thin">
        <color rgb="FFFF6600"/>
      </right>
      <top style="thin">
        <color rgb="FFFF6600"/>
      </top>
      <bottom style="thin">
        <color rgb="FFFF6600"/>
      </bottom>
      <diagonal/>
    </border>
    <border>
      <left style="thin">
        <color rgb="FF993300"/>
      </left>
      <right/>
      <top style="thin">
        <color rgb="FF993300"/>
      </top>
      <bottom style="thin">
        <color rgb="FF993300"/>
      </bottom>
      <diagonal/>
    </border>
    <border>
      <left/>
      <right/>
      <top style="thin">
        <color rgb="FF993300"/>
      </top>
      <bottom style="thin">
        <color rgb="FF993300"/>
      </bottom>
      <diagonal/>
    </border>
    <border>
      <left/>
      <right style="thin">
        <color rgb="FF993300"/>
      </right>
      <top style="thin">
        <color rgb="FF993300"/>
      </top>
      <bottom style="thin">
        <color rgb="FF993300"/>
      </bottom>
      <diagonal/>
    </border>
    <border>
      <left style="thin">
        <color rgb="FF800000"/>
      </left>
      <right/>
      <top style="thin">
        <color rgb="FF800000"/>
      </top>
      <bottom style="thin">
        <color rgb="FF800000"/>
      </bottom>
      <diagonal/>
    </border>
    <border>
      <left/>
      <right/>
      <top style="thin">
        <color rgb="FF800000"/>
      </top>
      <bottom style="thin">
        <color rgb="FF800000"/>
      </bottom>
      <diagonal/>
    </border>
    <border>
      <left/>
      <right style="thin">
        <color rgb="FF800000"/>
      </right>
      <top style="thin">
        <color rgb="FF800000"/>
      </top>
      <bottom style="thin">
        <color rgb="FF800000"/>
      </bottom>
      <diagonal/>
    </border>
    <border>
      <left style="thin">
        <color rgb="FF993366"/>
      </left>
      <right/>
      <top style="thin">
        <color rgb="FF993366"/>
      </top>
      <bottom style="thin">
        <color rgb="FF993366"/>
      </bottom>
      <diagonal/>
    </border>
    <border>
      <left/>
      <right/>
      <top style="thin">
        <color rgb="FF993366"/>
      </top>
      <bottom style="thin">
        <color rgb="FF993366"/>
      </bottom>
      <diagonal/>
    </border>
    <border>
      <left/>
      <right style="thin">
        <color rgb="FF993366"/>
      </right>
      <top style="thin">
        <color rgb="FF993366"/>
      </top>
      <bottom style="thin">
        <color rgb="FF993366"/>
      </bottom>
      <diagonal/>
    </border>
    <border>
      <left style="thin">
        <color rgb="FF9999FF"/>
      </left>
      <right/>
      <top style="thin">
        <color rgb="FF9999FF"/>
      </top>
      <bottom style="thin">
        <color rgb="FF9999FF"/>
      </bottom>
      <diagonal/>
    </border>
    <border>
      <left/>
      <right/>
      <top style="thin">
        <color rgb="FF9999FF"/>
      </top>
      <bottom style="thin">
        <color rgb="FF9999FF"/>
      </bottom>
      <diagonal/>
    </border>
    <border>
      <left/>
      <right style="thin">
        <color rgb="FF9999FF"/>
      </right>
      <top style="thin">
        <color rgb="FF9999FF"/>
      </top>
      <bottom style="thin">
        <color rgb="FF9999FF"/>
      </bottom>
      <diagonal/>
    </border>
    <border>
      <left style="thin">
        <color rgb="FF993300"/>
      </left>
      <right style="thin">
        <color rgb="FF993300"/>
      </right>
      <top style="thin">
        <color rgb="FF993300"/>
      </top>
      <bottom style="thin">
        <color rgb="FF993300"/>
      </bottom>
      <diagonal/>
    </border>
    <border>
      <left style="thin">
        <color rgb="FF800000"/>
      </left>
      <right style="thin">
        <color rgb="FF800000"/>
      </right>
      <top style="thin">
        <color rgb="FF800000"/>
      </top>
      <bottom style="thin">
        <color rgb="FF800000"/>
      </bottom>
      <diagonal/>
    </border>
    <border>
      <left style="thin">
        <color rgb="FF993366"/>
      </left>
      <right style="thin">
        <color rgb="FF993366"/>
      </right>
      <top style="thin">
        <color rgb="FF993366"/>
      </top>
      <bottom style="thin">
        <color rgb="FF993366"/>
      </bottom>
      <diagonal/>
    </border>
    <border>
      <left style="thin">
        <color rgb="FF9999FF"/>
      </left>
      <right style="thin">
        <color rgb="FF9999FF"/>
      </right>
      <top style="thin">
        <color rgb="FF9999FF"/>
      </top>
      <bottom style="thin">
        <color rgb="FF9999FF"/>
      </bottom>
      <diagonal/>
    </border>
    <border>
      <left style="thin">
        <color rgb="FF0000FF"/>
      </left>
      <right/>
      <top/>
      <bottom style="thin">
        <color rgb="FF000000"/>
      </bottom>
      <diagonal/>
    </border>
    <border>
      <left/>
      <right/>
      <top style="thin">
        <color rgb="FF000000"/>
      </top>
      <bottom style="thin">
        <color rgb="FF0000FF"/>
      </bottom>
      <diagonal/>
    </border>
    <border>
      <left style="thin">
        <color rgb="FF0000FF"/>
      </left>
      <right style="thin">
        <color rgb="FF0000FF"/>
      </right>
      <top style="thin">
        <color rgb="FF0000FF"/>
      </top>
      <bottom style="thin">
        <color rgb="FF0000FF"/>
      </bottom>
      <diagonal/>
    </border>
    <border>
      <left style="thin">
        <color rgb="FF0000FF"/>
      </left>
      <right/>
      <top style="thin">
        <color rgb="FF0000FF"/>
      </top>
      <bottom style="thin">
        <color rgb="FF0000FF"/>
      </bottom>
      <diagonal/>
    </border>
    <border>
      <left/>
      <right style="thin">
        <color rgb="FF0000FF"/>
      </right>
      <top style="thin">
        <color rgb="FF0000FF"/>
      </top>
      <bottom style="thin">
        <color rgb="FF0000FF"/>
      </bottom>
      <diagonal/>
    </border>
    <border>
      <left/>
      <right style="thin">
        <color rgb="FF0000FF"/>
      </right>
      <top/>
      <bottom style="thin">
        <color rgb="FF000000"/>
      </bottom>
      <diagonal/>
    </border>
    <border>
      <left style="thin">
        <color rgb="FF000000"/>
      </left>
      <right style="thin">
        <color rgb="FF0000FF"/>
      </right>
      <top style="thin">
        <color rgb="FF000000"/>
      </top>
      <bottom/>
      <diagonal/>
    </border>
    <border>
      <left style="thin">
        <color rgb="FF000000"/>
      </left>
      <right style="thin">
        <color rgb="FF0000FF"/>
      </right>
      <top/>
      <bottom/>
      <diagonal/>
    </border>
    <border>
      <left style="thin">
        <color rgb="FF000000"/>
      </left>
      <right style="thin">
        <color rgb="FF0000FF"/>
      </right>
      <top/>
      <bottom style="thin">
        <color rgb="FF000000"/>
      </bottom>
      <diagonal/>
    </border>
    <border>
      <left/>
      <right style="thin">
        <color rgb="FF0000FF"/>
      </right>
      <top style="thin">
        <color rgb="FF000000"/>
      </top>
      <bottom/>
      <diagonal/>
    </border>
    <border>
      <left style="thin">
        <color rgb="FF0000FF"/>
      </left>
      <right style="thin">
        <color rgb="FF0000FF"/>
      </right>
      <top/>
      <bottom/>
      <diagonal/>
    </border>
    <border>
      <left/>
      <right style="thin">
        <color rgb="FF000000"/>
      </right>
      <top style="thin">
        <color rgb="FFFFFF00"/>
      </top>
      <bottom/>
      <diagonal/>
    </border>
    <border>
      <left style="thin">
        <color rgb="FF000000"/>
      </left>
      <right style="thin">
        <color rgb="FF0000FF"/>
      </right>
      <top/>
      <bottom style="thin">
        <color rgb="FF0000FF"/>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rgb="FFCCCCCC"/>
      </left>
      <right style="medium">
        <color rgb="FFCCCCCC"/>
      </right>
      <top style="medium">
        <color rgb="FFCCCCCC"/>
      </top>
      <bottom style="medium">
        <color rgb="FFCCCCCC"/>
      </bottom>
      <diagonal/>
    </border>
    <border>
      <left/>
      <right style="hair">
        <color indexed="64"/>
      </right>
      <top/>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indexed="64"/>
      </left>
      <right/>
      <top style="thick">
        <color rgb="FF000000"/>
      </top>
      <bottom style="thick">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rgb="FF000000"/>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right style="medium">
        <color indexed="64"/>
      </right>
      <top/>
      <bottom style="thin">
        <color indexed="64"/>
      </bottom>
      <diagonal/>
    </border>
  </borders>
  <cellStyleXfs count="5">
    <xf numFmtId="0" fontId="0" fillId="0" borderId="0"/>
    <xf numFmtId="0" fontId="423" fillId="0" borderId="0" applyNumberFormat="0" applyFill="0" applyBorder="0" applyAlignment="0" applyProtection="0"/>
    <xf numFmtId="44" fontId="430" fillId="0" borderId="0" applyFont="0" applyFill="0" applyBorder="0" applyAlignment="0" applyProtection="0"/>
    <xf numFmtId="9" fontId="430" fillId="0" borderId="0" applyFont="0" applyFill="0" applyBorder="0" applyAlignment="0" applyProtection="0"/>
    <xf numFmtId="43" fontId="433" fillId="0" borderId="0" applyFont="0" applyFill="0" applyBorder="0" applyAlignment="0" applyProtection="0"/>
  </cellStyleXfs>
  <cellXfs count="2332">
    <xf numFmtId="0" fontId="0" fillId="0" borderId="0" xfId="0" applyAlignment="1">
      <alignment wrapText="1"/>
    </xf>
    <xf numFmtId="0" fontId="2" fillId="2" borderId="1" xfId="0" applyFont="1" applyFill="1" applyBorder="1" applyAlignment="1">
      <alignment horizontal="left" vertical="top" wrapText="1"/>
    </xf>
    <xf numFmtId="164" fontId="10" fillId="0" borderId="0" xfId="0" applyNumberFormat="1" applyFont="1" applyAlignment="1">
      <alignment wrapText="1"/>
    </xf>
    <xf numFmtId="0" fontId="9" fillId="0" borderId="0" xfId="0" applyFont="1" applyAlignment="1">
      <alignment wrapText="1"/>
    </xf>
    <xf numFmtId="165" fontId="9" fillId="0" borderId="0" xfId="0" applyNumberFormat="1" applyFont="1" applyAlignment="1">
      <alignment horizontal="right" wrapText="1"/>
    </xf>
    <xf numFmtId="165" fontId="9" fillId="0" borderId="0" xfId="0" applyNumberFormat="1" applyFont="1" applyAlignment="1">
      <alignment horizontal="center" wrapText="1"/>
    </xf>
    <xf numFmtId="0" fontId="9" fillId="0" borderId="0" xfId="0" applyFont="1" applyAlignment="1">
      <alignment horizontal="center" wrapText="1"/>
    </xf>
    <xf numFmtId="0" fontId="11" fillId="2" borderId="1" xfId="0" applyFont="1" applyFill="1" applyBorder="1" applyAlignment="1">
      <alignment horizontal="left" vertical="top" wrapText="1"/>
    </xf>
    <xf numFmtId="166" fontId="10" fillId="0" borderId="0" xfId="0" applyNumberFormat="1" applyFont="1" applyAlignment="1">
      <alignment wrapText="1"/>
    </xf>
    <xf numFmtId="0" fontId="10" fillId="0" borderId="0" xfId="0" applyFont="1" applyAlignment="1">
      <alignment wrapText="1"/>
    </xf>
    <xf numFmtId="166" fontId="10" fillId="2" borderId="0" xfId="0" applyNumberFormat="1" applyFont="1" applyFill="1" applyAlignment="1">
      <alignment wrapText="1"/>
    </xf>
    <xf numFmtId="2" fontId="10" fillId="0" borderId="0" xfId="0" applyNumberFormat="1" applyFont="1" applyAlignment="1">
      <alignment wrapText="1"/>
    </xf>
    <xf numFmtId="4" fontId="10" fillId="0" borderId="0" xfId="0" applyNumberFormat="1" applyFont="1" applyAlignment="1">
      <alignment wrapText="1"/>
    </xf>
    <xf numFmtId="10" fontId="10" fillId="0" borderId="0" xfId="0" applyNumberFormat="1" applyFont="1" applyAlignment="1">
      <alignment wrapText="1"/>
    </xf>
    <xf numFmtId="3" fontId="10" fillId="2" borderId="0" xfId="0" applyNumberFormat="1" applyFont="1" applyFill="1" applyAlignment="1">
      <alignment wrapText="1"/>
    </xf>
    <xf numFmtId="3" fontId="12" fillId="2" borderId="0" xfId="0" applyNumberFormat="1" applyFont="1" applyFill="1" applyAlignment="1">
      <alignment wrapText="1"/>
    </xf>
    <xf numFmtId="3" fontId="10" fillId="0" borderId="0" xfId="0" applyNumberFormat="1" applyFont="1" applyAlignment="1">
      <alignment wrapText="1"/>
    </xf>
    <xf numFmtId="3" fontId="9" fillId="0" borderId="0" xfId="0" applyNumberFormat="1" applyFont="1" applyAlignment="1">
      <alignment horizontal="center" wrapText="1"/>
    </xf>
    <xf numFmtId="0" fontId="13" fillId="0" borderId="0" xfId="0" applyFont="1" applyAlignment="1">
      <alignment wrapText="1"/>
    </xf>
    <xf numFmtId="0" fontId="10" fillId="0" borderId="1" xfId="0" applyFont="1" applyBorder="1" applyAlignment="1">
      <alignment horizontal="left" wrapText="1"/>
    </xf>
    <xf numFmtId="0" fontId="12" fillId="2" borderId="0" xfId="0" applyFont="1" applyFill="1" applyAlignment="1">
      <alignment wrapText="1"/>
    </xf>
    <xf numFmtId="3" fontId="14" fillId="0" borderId="0" xfId="0" applyNumberFormat="1" applyFont="1" applyAlignment="1">
      <alignment wrapText="1"/>
    </xf>
    <xf numFmtId="0" fontId="10" fillId="0" borderId="0" xfId="0" applyFont="1"/>
    <xf numFmtId="167" fontId="10" fillId="0" borderId="0" xfId="0" applyNumberFormat="1" applyFont="1" applyAlignment="1">
      <alignment wrapText="1"/>
    </xf>
    <xf numFmtId="168" fontId="10" fillId="0" borderId="0" xfId="0" applyNumberFormat="1" applyFont="1" applyAlignment="1">
      <alignment wrapText="1"/>
    </xf>
    <xf numFmtId="0" fontId="10" fillId="2" borderId="0" xfId="0" applyFont="1" applyFill="1" applyAlignment="1">
      <alignment wrapText="1"/>
    </xf>
    <xf numFmtId="3" fontId="7" fillId="2" borderId="0" xfId="0" applyNumberFormat="1" applyFont="1" applyFill="1" applyAlignment="1">
      <alignment wrapText="1"/>
    </xf>
    <xf numFmtId="0" fontId="13" fillId="0" borderId="0" xfId="0" applyFont="1" applyAlignment="1">
      <alignment horizontal="left" wrapText="1"/>
    </xf>
    <xf numFmtId="14" fontId="16" fillId="0" borderId="0" xfId="0" applyNumberFormat="1" applyFont="1" applyAlignment="1">
      <alignment wrapText="1"/>
    </xf>
    <xf numFmtId="0" fontId="10" fillId="0" borderId="6" xfId="0" applyFont="1" applyBorder="1" applyAlignment="1">
      <alignment wrapText="1"/>
    </xf>
    <xf numFmtId="165" fontId="10" fillId="0" borderId="0" xfId="0" applyNumberFormat="1" applyFont="1" applyAlignment="1">
      <alignment wrapText="1"/>
    </xf>
    <xf numFmtId="4" fontId="12" fillId="2" borderId="0" xfId="0" applyNumberFormat="1" applyFont="1" applyFill="1" applyAlignment="1">
      <alignment wrapText="1"/>
    </xf>
    <xf numFmtId="0" fontId="3" fillId="2" borderId="0" xfId="0" applyFont="1" applyFill="1" applyAlignment="1">
      <alignment horizontal="left" vertical="top" wrapText="1"/>
    </xf>
    <xf numFmtId="3" fontId="3" fillId="0" borderId="0" xfId="0" applyNumberFormat="1" applyFont="1" applyAlignment="1">
      <alignment wrapText="1"/>
    </xf>
    <xf numFmtId="3" fontId="9" fillId="0" borderId="0" xfId="0" applyNumberFormat="1" applyFont="1" applyAlignment="1">
      <alignment wrapText="1"/>
    </xf>
    <xf numFmtId="0" fontId="2" fillId="2" borderId="0" xfId="0" applyFont="1" applyFill="1" applyAlignment="1">
      <alignment wrapText="1"/>
    </xf>
    <xf numFmtId="9" fontId="10" fillId="0" borderId="0" xfId="0" applyNumberFormat="1" applyFont="1" applyAlignment="1">
      <alignment wrapText="1"/>
    </xf>
    <xf numFmtId="0" fontId="10" fillId="0" borderId="10" xfId="0" applyFont="1" applyBorder="1" applyAlignment="1">
      <alignment wrapText="1"/>
    </xf>
    <xf numFmtId="0" fontId="10" fillId="0" borderId="11" xfId="0" applyFont="1" applyBorder="1" applyAlignment="1">
      <alignment wrapText="1"/>
    </xf>
    <xf numFmtId="0" fontId="10" fillId="0" borderId="12" xfId="0" applyFont="1" applyBorder="1" applyAlignment="1">
      <alignment wrapText="1"/>
    </xf>
    <xf numFmtId="0" fontId="10" fillId="0" borderId="0" xfId="0" applyFont="1" applyAlignment="1">
      <alignment horizontal="left" wrapText="1"/>
    </xf>
    <xf numFmtId="0" fontId="10" fillId="0" borderId="13" xfId="0" applyFont="1" applyBorder="1" applyAlignment="1">
      <alignment wrapText="1"/>
    </xf>
    <xf numFmtId="3" fontId="10" fillId="0" borderId="1" xfId="0" applyNumberFormat="1" applyFont="1" applyBorder="1" applyAlignment="1">
      <alignment wrapText="1"/>
    </xf>
    <xf numFmtId="0" fontId="9" fillId="0" borderId="0" xfId="0" applyFont="1" applyAlignment="1">
      <alignment horizontal="right" wrapText="1"/>
    </xf>
    <xf numFmtId="0" fontId="10" fillId="0" borderId="1" xfId="0" applyFont="1" applyBorder="1" applyAlignment="1">
      <alignment wrapText="1"/>
    </xf>
    <xf numFmtId="3" fontId="9" fillId="0" borderId="0" xfId="0" applyNumberFormat="1" applyFont="1" applyAlignment="1">
      <alignment horizontal="right" wrapText="1"/>
    </xf>
    <xf numFmtId="3" fontId="10" fillId="0" borderId="0" xfId="0" applyNumberFormat="1" applyFont="1" applyAlignment="1">
      <alignment horizontal="right" wrapText="1"/>
    </xf>
    <xf numFmtId="0" fontId="9" fillId="0" borderId="13" xfId="0" applyFont="1" applyBorder="1" applyAlignment="1">
      <alignment wrapText="1"/>
    </xf>
    <xf numFmtId="0" fontId="19" fillId="2" borderId="0" xfId="0" applyFont="1" applyFill="1" applyAlignment="1">
      <alignment wrapText="1"/>
    </xf>
    <xf numFmtId="1" fontId="9" fillId="0" borderId="0" xfId="0" applyNumberFormat="1" applyFont="1" applyAlignment="1">
      <alignment wrapText="1"/>
    </xf>
    <xf numFmtId="3" fontId="9" fillId="0" borderId="1" xfId="0" applyNumberFormat="1" applyFont="1" applyBorder="1" applyAlignment="1">
      <alignment wrapText="1"/>
    </xf>
    <xf numFmtId="0" fontId="10" fillId="0" borderId="14" xfId="0" applyFont="1" applyBorder="1" applyAlignment="1">
      <alignment wrapText="1"/>
    </xf>
    <xf numFmtId="0" fontId="9" fillId="0" borderId="14" xfId="0" applyFont="1" applyBorder="1" applyAlignment="1">
      <alignment wrapText="1"/>
    </xf>
    <xf numFmtId="3" fontId="21" fillId="2" borderId="14" xfId="0" applyNumberFormat="1" applyFont="1" applyFill="1" applyBorder="1" applyAlignment="1">
      <alignment wrapText="1"/>
    </xf>
    <xf numFmtId="3" fontId="22" fillId="2" borderId="14" xfId="0" applyNumberFormat="1" applyFont="1" applyFill="1" applyBorder="1" applyAlignment="1">
      <alignment wrapText="1"/>
    </xf>
    <xf numFmtId="3" fontId="22" fillId="2" borderId="15" xfId="0" applyNumberFormat="1" applyFont="1" applyFill="1" applyBorder="1" applyAlignment="1">
      <alignment horizontal="left" wrapText="1"/>
    </xf>
    <xf numFmtId="0" fontId="9" fillId="3" borderId="13" xfId="0" applyFont="1" applyFill="1" applyBorder="1" applyAlignment="1">
      <alignment wrapText="1"/>
    </xf>
    <xf numFmtId="0" fontId="19" fillId="3" borderId="0" xfId="0" applyFont="1" applyFill="1" applyAlignment="1">
      <alignment wrapText="1"/>
    </xf>
    <xf numFmtId="10" fontId="10" fillId="3" borderId="0" xfId="0" applyNumberFormat="1" applyFont="1" applyFill="1" applyAlignment="1">
      <alignment wrapText="1"/>
    </xf>
    <xf numFmtId="0" fontId="10" fillId="3" borderId="0" xfId="0" applyFont="1" applyFill="1" applyAlignment="1">
      <alignment wrapText="1"/>
    </xf>
    <xf numFmtId="3" fontId="24" fillId="2" borderId="0" xfId="0" applyNumberFormat="1" applyFont="1" applyFill="1" applyAlignment="1">
      <alignment horizontal="right" wrapText="1"/>
    </xf>
    <xf numFmtId="3" fontId="9" fillId="3" borderId="0" xfId="0" applyNumberFormat="1" applyFont="1" applyFill="1" applyAlignment="1">
      <alignment wrapText="1"/>
    </xf>
    <xf numFmtId="3" fontId="3" fillId="0" borderId="13" xfId="0" applyNumberFormat="1" applyFont="1" applyBorder="1" applyAlignment="1">
      <alignment wrapText="1"/>
    </xf>
    <xf numFmtId="0" fontId="2" fillId="2" borderId="0" xfId="0" applyFont="1" applyFill="1" applyAlignment="1">
      <alignment horizontal="center" vertical="top" wrapText="1"/>
    </xf>
    <xf numFmtId="4" fontId="26" fillId="2" borderId="0" xfId="0" applyNumberFormat="1" applyFont="1" applyFill="1" applyAlignment="1">
      <alignment horizontal="right" wrapText="1"/>
    </xf>
    <xf numFmtId="4" fontId="9" fillId="0" borderId="0" xfId="0" applyNumberFormat="1" applyFont="1" applyAlignment="1">
      <alignment wrapText="1"/>
    </xf>
    <xf numFmtId="0" fontId="24" fillId="2" borderId="0" xfId="0" applyFont="1" applyFill="1"/>
    <xf numFmtId="4" fontId="28" fillId="0" borderId="0" xfId="0" applyNumberFormat="1" applyFont="1" applyAlignment="1">
      <alignment horizontal="right" wrapText="1"/>
    </xf>
    <xf numFmtId="3" fontId="28" fillId="0" borderId="0" xfId="0" applyNumberFormat="1" applyFont="1" applyAlignment="1">
      <alignment horizontal="right" wrapText="1"/>
    </xf>
    <xf numFmtId="0" fontId="10" fillId="0" borderId="0" xfId="0" applyFont="1" applyAlignment="1">
      <alignment horizontal="center" wrapText="1"/>
    </xf>
    <xf numFmtId="0" fontId="9" fillId="3" borderId="0" xfId="0" applyFont="1" applyFill="1" applyAlignment="1">
      <alignment wrapText="1"/>
    </xf>
    <xf numFmtId="166" fontId="10" fillId="0" borderId="0" xfId="0" applyNumberFormat="1" applyFont="1" applyAlignment="1">
      <alignment horizontal="center" wrapText="1"/>
    </xf>
    <xf numFmtId="0" fontId="28" fillId="0" borderId="0" xfId="0" applyFont="1" applyAlignment="1">
      <alignment horizontal="right" wrapText="1"/>
    </xf>
    <xf numFmtId="171" fontId="10" fillId="0" borderId="0" xfId="0" applyNumberFormat="1" applyFont="1" applyAlignment="1">
      <alignment horizontal="center" wrapText="1"/>
    </xf>
    <xf numFmtId="3" fontId="9" fillId="3" borderId="20" xfId="0" applyNumberFormat="1" applyFont="1" applyFill="1" applyBorder="1" applyAlignment="1">
      <alignment wrapText="1"/>
    </xf>
    <xf numFmtId="0" fontId="28" fillId="2" borderId="19" xfId="0" applyFont="1" applyFill="1" applyBorder="1" applyAlignment="1">
      <alignment wrapText="1"/>
    </xf>
    <xf numFmtId="0" fontId="9" fillId="2" borderId="0" xfId="0" applyFont="1" applyFill="1" applyAlignment="1">
      <alignment wrapText="1"/>
    </xf>
    <xf numFmtId="0" fontId="10" fillId="0" borderId="4" xfId="0" applyFont="1" applyBorder="1" applyAlignment="1">
      <alignment wrapText="1"/>
    </xf>
    <xf numFmtId="3" fontId="9" fillId="0" borderId="2" xfId="0" applyNumberFormat="1" applyFont="1" applyBorder="1" applyAlignment="1">
      <alignment wrapText="1"/>
    </xf>
    <xf numFmtId="3" fontId="9" fillId="0" borderId="3" xfId="0" applyNumberFormat="1" applyFont="1" applyBorder="1" applyAlignment="1">
      <alignment wrapText="1"/>
    </xf>
    <xf numFmtId="0" fontId="15" fillId="0" borderId="0" xfId="0" quotePrefix="1" applyFont="1" applyAlignment="1">
      <alignment wrapText="1"/>
    </xf>
    <xf numFmtId="3" fontId="9" fillId="4" borderId="0" xfId="0" applyNumberFormat="1" applyFont="1" applyFill="1" applyAlignment="1">
      <alignment wrapText="1"/>
    </xf>
    <xf numFmtId="0" fontId="10" fillId="0" borderId="0" xfId="0" applyFont="1" applyAlignment="1">
      <alignment horizontal="right" wrapText="1"/>
    </xf>
    <xf numFmtId="1" fontId="10" fillId="0" borderId="0" xfId="0" applyNumberFormat="1" applyFont="1" applyAlignment="1">
      <alignment wrapText="1"/>
    </xf>
    <xf numFmtId="3" fontId="10" fillId="3" borderId="0" xfId="0" applyNumberFormat="1" applyFont="1" applyFill="1" applyAlignment="1">
      <alignment wrapText="1"/>
    </xf>
    <xf numFmtId="0" fontId="10" fillId="0" borderId="6" xfId="0" quotePrefix="1" applyFont="1" applyBorder="1" applyAlignment="1">
      <alignment wrapText="1"/>
    </xf>
    <xf numFmtId="0" fontId="10" fillId="0" borderId="21" xfId="0" applyFont="1" applyBorder="1" applyAlignment="1">
      <alignment wrapText="1"/>
    </xf>
    <xf numFmtId="0" fontId="10" fillId="0" borderId="22" xfId="0" applyFont="1" applyBorder="1" applyAlignment="1">
      <alignment wrapText="1"/>
    </xf>
    <xf numFmtId="169" fontId="10" fillId="0" borderId="0" xfId="0" applyNumberFormat="1" applyFont="1" applyAlignment="1">
      <alignment horizontal="right" wrapText="1"/>
    </xf>
    <xf numFmtId="0" fontId="10" fillId="0" borderId="0" xfId="0" applyFont="1" applyAlignment="1">
      <alignment vertical="center" wrapText="1"/>
    </xf>
    <xf numFmtId="0" fontId="10" fillId="0" borderId="23" xfId="0" applyFont="1" applyBorder="1" applyAlignment="1">
      <alignment wrapText="1"/>
    </xf>
    <xf numFmtId="0" fontId="24" fillId="2" borderId="1" xfId="0" applyFont="1" applyFill="1" applyBorder="1"/>
    <xf numFmtId="0" fontId="20" fillId="0" borderId="0" xfId="0" applyFont="1" applyAlignment="1">
      <alignment horizontal="center" wrapText="1"/>
    </xf>
    <xf numFmtId="0" fontId="28" fillId="0" borderId="0" xfId="0" applyFont="1" applyAlignment="1">
      <alignment wrapText="1"/>
    </xf>
    <xf numFmtId="3" fontId="27" fillId="0" borderId="0" xfId="0" applyNumberFormat="1" applyFont="1" applyAlignment="1">
      <alignment horizontal="right" wrapText="1"/>
    </xf>
    <xf numFmtId="0" fontId="27" fillId="3" borderId="19" xfId="0" applyFont="1" applyFill="1" applyBorder="1" applyAlignment="1">
      <alignment wrapText="1"/>
    </xf>
    <xf numFmtId="3" fontId="27" fillId="3" borderId="0" xfId="0" applyNumberFormat="1" applyFont="1" applyFill="1" applyAlignment="1">
      <alignment horizontal="left" wrapText="1"/>
    </xf>
    <xf numFmtId="0" fontId="27" fillId="0" borderId="0" xfId="0" applyFont="1" applyAlignment="1">
      <alignment horizontal="left" wrapText="1"/>
    </xf>
    <xf numFmtId="3" fontId="28" fillId="2" borderId="0" xfId="0" applyNumberFormat="1" applyFont="1" applyFill="1" applyAlignment="1">
      <alignment horizontal="right" wrapText="1"/>
    </xf>
    <xf numFmtId="165" fontId="28" fillId="0" borderId="0" xfId="0" applyNumberFormat="1" applyFont="1" applyAlignment="1">
      <alignment horizontal="right" wrapText="1"/>
    </xf>
    <xf numFmtId="2" fontId="28" fillId="2" borderId="0" xfId="0" applyNumberFormat="1" applyFont="1" applyFill="1" applyAlignment="1">
      <alignment horizontal="right" wrapText="1"/>
    </xf>
    <xf numFmtId="4" fontId="26" fillId="0" borderId="0" xfId="0" applyNumberFormat="1" applyFont="1" applyAlignment="1">
      <alignment horizontal="right" wrapText="1"/>
    </xf>
    <xf numFmtId="3" fontId="27" fillId="2" borderId="0" xfId="0" applyNumberFormat="1" applyFont="1" applyFill="1" applyAlignment="1">
      <alignment horizontal="right" wrapText="1"/>
    </xf>
    <xf numFmtId="3" fontId="30" fillId="0" borderId="0" xfId="0" applyNumberFormat="1" applyFont="1" applyAlignment="1">
      <alignment horizontal="center" wrapText="1"/>
    </xf>
    <xf numFmtId="168" fontId="7" fillId="2" borderId="0" xfId="0" applyNumberFormat="1" applyFont="1" applyFill="1" applyAlignment="1">
      <alignment wrapText="1"/>
    </xf>
    <xf numFmtId="0" fontId="27" fillId="3" borderId="0" xfId="0" applyFont="1" applyFill="1" applyAlignment="1">
      <alignment wrapText="1"/>
    </xf>
    <xf numFmtId="0" fontId="14" fillId="2" borderId="0" xfId="0" applyFont="1" applyFill="1" applyAlignment="1">
      <alignment wrapText="1"/>
    </xf>
    <xf numFmtId="3" fontId="28" fillId="3" borderId="0" xfId="0" applyNumberFormat="1" applyFont="1" applyFill="1" applyAlignment="1">
      <alignment horizontal="right" wrapText="1"/>
    </xf>
    <xf numFmtId="3" fontId="24" fillId="0" borderId="0" xfId="0" applyNumberFormat="1" applyFont="1" applyAlignment="1">
      <alignment horizontal="right" wrapText="1"/>
    </xf>
    <xf numFmtId="0" fontId="28" fillId="2" borderId="0" xfId="0" applyFont="1" applyFill="1" applyAlignment="1">
      <alignment wrapText="1"/>
    </xf>
    <xf numFmtId="4" fontId="28" fillId="2" borderId="0" xfId="0" applyNumberFormat="1" applyFont="1" applyFill="1" applyAlignment="1">
      <alignment horizontal="right" wrapText="1"/>
    </xf>
    <xf numFmtId="10" fontId="26" fillId="0" borderId="0" xfId="0" applyNumberFormat="1" applyFont="1" applyAlignment="1">
      <alignment horizontal="right" wrapText="1"/>
    </xf>
    <xf numFmtId="0" fontId="15" fillId="0" borderId="0" xfId="0" applyFont="1" applyAlignment="1">
      <alignment wrapText="1"/>
    </xf>
    <xf numFmtId="3" fontId="27" fillId="0" borderId="0" xfId="0" applyNumberFormat="1" applyFont="1" applyAlignment="1">
      <alignment horizontal="center" wrapText="1"/>
    </xf>
    <xf numFmtId="0" fontId="27" fillId="0" borderId="0" xfId="0" applyFont="1" applyAlignment="1">
      <alignment wrapText="1"/>
    </xf>
    <xf numFmtId="0" fontId="18" fillId="0" borderId="0" xfId="0" applyFont="1" applyAlignment="1">
      <alignment wrapText="1"/>
    </xf>
    <xf numFmtId="3" fontId="27" fillId="0" borderId="0" xfId="0" applyNumberFormat="1" applyFont="1" applyAlignment="1">
      <alignment horizontal="left" wrapText="1"/>
    </xf>
    <xf numFmtId="0" fontId="9" fillId="0" borderId="16" xfId="0" applyFont="1" applyBorder="1" applyAlignment="1">
      <alignment wrapText="1"/>
    </xf>
    <xf numFmtId="0" fontId="9" fillId="0" borderId="18" xfId="0" applyFont="1" applyBorder="1" applyAlignment="1">
      <alignment horizontal="left" wrapText="1"/>
    </xf>
    <xf numFmtId="0" fontId="10" fillId="0" borderId="19" xfId="0" applyFont="1" applyBorder="1" applyAlignment="1">
      <alignment wrapText="1"/>
    </xf>
    <xf numFmtId="3" fontId="28" fillId="2" borderId="0" xfId="0" applyNumberFormat="1" applyFont="1" applyFill="1" applyAlignment="1">
      <alignment horizontal="left" wrapText="1"/>
    </xf>
    <xf numFmtId="0" fontId="10" fillId="2" borderId="0" xfId="0" applyFont="1" applyFill="1"/>
    <xf numFmtId="3" fontId="10" fillId="0" borderId="6" xfId="0" applyNumberFormat="1" applyFont="1" applyBorder="1" applyAlignment="1">
      <alignment wrapText="1"/>
    </xf>
    <xf numFmtId="2" fontId="27" fillId="3" borderId="0" xfId="0" applyNumberFormat="1" applyFont="1" applyFill="1" applyAlignment="1">
      <alignment horizontal="left" wrapText="1"/>
    </xf>
    <xf numFmtId="3" fontId="27" fillId="3" borderId="0" xfId="0" applyNumberFormat="1" applyFont="1" applyFill="1" applyAlignment="1">
      <alignment horizontal="right" wrapText="1"/>
    </xf>
    <xf numFmtId="3" fontId="26" fillId="0" borderId="0" xfId="0" applyNumberFormat="1" applyFont="1" applyAlignment="1">
      <alignment horizontal="right" wrapText="1"/>
    </xf>
    <xf numFmtId="0" fontId="31" fillId="0" borderId="0" xfId="0" applyFont="1" applyAlignment="1">
      <alignment wrapText="1"/>
    </xf>
    <xf numFmtId="0" fontId="10" fillId="0" borderId="24" xfId="0" applyFont="1" applyBorder="1" applyAlignment="1">
      <alignment wrapText="1"/>
    </xf>
    <xf numFmtId="0" fontId="10" fillId="0" borderId="25" xfId="0" applyFont="1" applyBorder="1" applyAlignment="1">
      <alignment wrapText="1"/>
    </xf>
    <xf numFmtId="166" fontId="27" fillId="0" borderId="0" xfId="0" applyNumberFormat="1" applyFont="1" applyAlignment="1">
      <alignment horizontal="right" wrapText="1"/>
    </xf>
    <xf numFmtId="171" fontId="15" fillId="0" borderId="0" xfId="0" applyNumberFormat="1" applyFont="1" applyAlignment="1">
      <alignment wrapText="1"/>
    </xf>
    <xf numFmtId="0" fontId="28" fillId="0" borderId="13" xfId="0" applyFont="1" applyBorder="1" applyAlignment="1">
      <alignment wrapText="1"/>
    </xf>
    <xf numFmtId="0" fontId="28" fillId="0" borderId="4" xfId="0" applyFont="1" applyBorder="1" applyAlignment="1">
      <alignment wrapText="1"/>
    </xf>
    <xf numFmtId="0" fontId="10" fillId="0" borderId="2" xfId="0" applyFont="1" applyBorder="1" applyAlignment="1">
      <alignment wrapText="1"/>
    </xf>
    <xf numFmtId="3" fontId="10" fillId="0" borderId="2" xfId="0" applyNumberFormat="1" applyFont="1" applyBorder="1" applyAlignment="1">
      <alignment wrapText="1"/>
    </xf>
    <xf numFmtId="3" fontId="10" fillId="0" borderId="3" xfId="0" applyNumberFormat="1" applyFont="1" applyBorder="1" applyAlignment="1">
      <alignment wrapText="1"/>
    </xf>
    <xf numFmtId="166" fontId="26" fillId="0" borderId="0" xfId="0" applyNumberFormat="1" applyFont="1" applyAlignment="1">
      <alignment horizontal="right" wrapText="1"/>
    </xf>
    <xf numFmtId="9" fontId="28" fillId="0" borderId="0" xfId="0" applyNumberFormat="1" applyFont="1" applyAlignment="1">
      <alignment wrapText="1"/>
    </xf>
    <xf numFmtId="3" fontId="7" fillId="2" borderId="0" xfId="0" applyNumberFormat="1" applyFont="1" applyFill="1"/>
    <xf numFmtId="4" fontId="32" fillId="0" borderId="0" xfId="0" applyNumberFormat="1" applyFont="1" applyAlignment="1">
      <alignment horizontal="right" wrapText="1"/>
    </xf>
    <xf numFmtId="4" fontId="32" fillId="2" borderId="0" xfId="0" applyNumberFormat="1" applyFont="1" applyFill="1" applyAlignment="1">
      <alignment horizontal="right" wrapText="1"/>
    </xf>
    <xf numFmtId="3" fontId="27" fillId="0" borderId="13" xfId="0" applyNumberFormat="1" applyFont="1" applyBorder="1" applyAlignment="1">
      <alignment horizontal="right" wrapText="1"/>
    </xf>
    <xf numFmtId="0" fontId="9" fillId="0" borderId="1" xfId="0" applyFont="1" applyBorder="1" applyAlignment="1">
      <alignment wrapText="1"/>
    </xf>
    <xf numFmtId="0" fontId="33" fillId="2" borderId="0" xfId="0" applyFont="1" applyFill="1" applyAlignment="1">
      <alignment wrapText="1"/>
    </xf>
    <xf numFmtId="4" fontId="34" fillId="0" borderId="0" xfId="0" applyNumberFormat="1" applyFont="1" applyAlignment="1">
      <alignment horizontal="right" wrapText="1"/>
    </xf>
    <xf numFmtId="3" fontId="35" fillId="2" borderId="0" xfId="0" applyNumberFormat="1" applyFont="1" applyFill="1" applyAlignment="1">
      <alignment wrapText="1"/>
    </xf>
    <xf numFmtId="3" fontId="36" fillId="2" borderId="0" xfId="0" applyNumberFormat="1" applyFont="1" applyFill="1" applyAlignment="1">
      <alignment horizontal="right" wrapText="1"/>
    </xf>
    <xf numFmtId="0" fontId="37" fillId="2" borderId="0" xfId="0" applyFont="1" applyFill="1" applyAlignment="1">
      <alignment horizontal="left" vertical="top" wrapText="1"/>
    </xf>
    <xf numFmtId="3" fontId="27" fillId="0" borderId="4" xfId="0" applyNumberFormat="1" applyFont="1" applyBorder="1" applyAlignment="1">
      <alignment horizontal="right" wrapText="1"/>
    </xf>
    <xf numFmtId="3" fontId="27" fillId="0" borderId="2" xfId="0" applyNumberFormat="1" applyFont="1" applyBorder="1" applyAlignment="1">
      <alignment horizontal="right" wrapText="1"/>
    </xf>
    <xf numFmtId="0" fontId="9" fillId="0" borderId="2" xfId="0" applyFont="1" applyBorder="1" applyAlignment="1">
      <alignment wrapText="1"/>
    </xf>
    <xf numFmtId="0" fontId="9" fillId="3" borderId="0" xfId="0" applyFont="1" applyFill="1" applyAlignment="1">
      <alignment horizontal="right" wrapText="1"/>
    </xf>
    <xf numFmtId="0" fontId="2" fillId="2" borderId="0" xfId="0" applyFont="1" applyFill="1" applyAlignment="1">
      <alignment horizontal="left" wrapText="1"/>
    </xf>
    <xf numFmtId="3" fontId="28" fillId="0" borderId="0" xfId="0" applyNumberFormat="1" applyFont="1" applyAlignment="1">
      <alignment wrapText="1"/>
    </xf>
    <xf numFmtId="3" fontId="2" fillId="2" borderId="0" xfId="0" applyNumberFormat="1" applyFont="1" applyFill="1" applyAlignment="1">
      <alignment horizontal="left" wrapText="1"/>
    </xf>
    <xf numFmtId="2" fontId="10" fillId="2" borderId="0" xfId="0" applyNumberFormat="1" applyFont="1" applyFill="1" applyAlignment="1">
      <alignment wrapText="1"/>
    </xf>
    <xf numFmtId="2" fontId="27" fillId="3" borderId="0" xfId="0" applyNumberFormat="1" applyFont="1" applyFill="1" applyAlignment="1">
      <alignment horizontal="right" wrapText="1"/>
    </xf>
    <xf numFmtId="3" fontId="3" fillId="2" borderId="0" xfId="0" applyNumberFormat="1" applyFont="1" applyFill="1" applyAlignment="1">
      <alignment horizontal="left" vertical="top" wrapText="1"/>
    </xf>
    <xf numFmtId="3" fontId="3" fillId="2" borderId="0" xfId="0" applyNumberFormat="1" applyFont="1" applyFill="1" applyAlignment="1">
      <alignment vertical="top" wrapText="1"/>
    </xf>
    <xf numFmtId="3" fontId="38" fillId="2" borderId="0" xfId="0" applyNumberFormat="1" applyFont="1" applyFill="1" applyAlignment="1">
      <alignment horizontal="right" wrapText="1"/>
    </xf>
    <xf numFmtId="3" fontId="31" fillId="3" borderId="0" xfId="0" applyNumberFormat="1" applyFont="1" applyFill="1" applyAlignment="1">
      <alignment wrapText="1"/>
    </xf>
    <xf numFmtId="3" fontId="15" fillId="3" borderId="0" xfId="0" applyNumberFormat="1" applyFont="1" applyFill="1" applyAlignment="1">
      <alignment wrapText="1"/>
    </xf>
    <xf numFmtId="3" fontId="15" fillId="0" borderId="0" xfId="0" applyNumberFormat="1" applyFont="1" applyAlignment="1">
      <alignment wrapText="1"/>
    </xf>
    <xf numFmtId="3" fontId="15" fillId="0" borderId="0" xfId="0" applyNumberFormat="1" applyFont="1" applyAlignment="1">
      <alignment horizontal="right" wrapText="1"/>
    </xf>
    <xf numFmtId="4" fontId="24" fillId="0" borderId="0" xfId="0" applyNumberFormat="1" applyFont="1" applyAlignment="1">
      <alignment horizontal="right" wrapText="1"/>
    </xf>
    <xf numFmtId="2" fontId="24" fillId="2" borderId="0" xfId="0" applyNumberFormat="1" applyFont="1" applyFill="1" applyAlignment="1">
      <alignment horizontal="right" wrapText="1"/>
    </xf>
    <xf numFmtId="2" fontId="28" fillId="0" borderId="0" xfId="0" applyNumberFormat="1" applyFont="1" applyAlignment="1">
      <alignment horizontal="right" wrapText="1"/>
    </xf>
    <xf numFmtId="3" fontId="38" fillId="0" borderId="0" xfId="0" applyNumberFormat="1" applyFont="1" applyAlignment="1">
      <alignment horizontal="right" wrapText="1"/>
    </xf>
    <xf numFmtId="0" fontId="12" fillId="2" borderId="0" xfId="0" applyFont="1" applyFill="1"/>
    <xf numFmtId="0" fontId="9" fillId="0" borderId="0" xfId="0" applyFont="1" applyAlignment="1">
      <alignment horizontal="right"/>
    </xf>
    <xf numFmtId="0" fontId="24" fillId="2" borderId="0" xfId="0" applyFont="1" applyFill="1" applyAlignment="1">
      <alignment wrapText="1"/>
    </xf>
    <xf numFmtId="0" fontId="3" fillId="2" borderId="0" xfId="0" applyFont="1" applyFill="1" applyAlignment="1">
      <alignment horizontal="center" wrapText="1"/>
    </xf>
    <xf numFmtId="9" fontId="12" fillId="2" borderId="0" xfId="0" applyNumberFormat="1" applyFont="1" applyFill="1" applyAlignment="1">
      <alignment wrapText="1"/>
    </xf>
    <xf numFmtId="0" fontId="28" fillId="0" borderId="0" xfId="0" applyFont="1" applyAlignment="1">
      <alignment horizontal="center" wrapText="1"/>
    </xf>
    <xf numFmtId="3" fontId="28" fillId="0" borderId="0" xfId="0" applyNumberFormat="1" applyFont="1" applyAlignment="1">
      <alignment horizontal="center" wrapText="1"/>
    </xf>
    <xf numFmtId="2" fontId="6" fillId="2" borderId="0" xfId="0" applyNumberFormat="1" applyFont="1" applyFill="1" applyAlignment="1">
      <alignment wrapText="1"/>
    </xf>
    <xf numFmtId="0" fontId="27" fillId="0" borderId="0" xfId="0" applyFont="1" applyAlignment="1">
      <alignment horizontal="center" wrapText="1"/>
    </xf>
    <xf numFmtId="0" fontId="9" fillId="2" borderId="1" xfId="0" applyFont="1" applyFill="1" applyBorder="1" applyAlignment="1">
      <alignment horizontal="right" wrapText="1"/>
    </xf>
    <xf numFmtId="3" fontId="10" fillId="0" borderId="4" xfId="0" applyNumberFormat="1" applyFont="1" applyBorder="1" applyAlignment="1">
      <alignment wrapText="1"/>
    </xf>
    <xf numFmtId="0" fontId="10" fillId="3" borderId="2" xfId="0" applyFont="1" applyFill="1" applyBorder="1" applyAlignment="1">
      <alignment wrapText="1"/>
    </xf>
    <xf numFmtId="3" fontId="10" fillId="0" borderId="2" xfId="0" applyNumberFormat="1" applyFont="1" applyBorder="1" applyAlignment="1">
      <alignment horizontal="right" wrapText="1"/>
    </xf>
    <xf numFmtId="3" fontId="9" fillId="2" borderId="3" xfId="0" applyNumberFormat="1" applyFont="1" applyFill="1" applyBorder="1" applyAlignment="1">
      <alignment horizontal="right" wrapText="1"/>
    </xf>
    <xf numFmtId="10" fontId="10" fillId="0" borderId="0" xfId="0" applyNumberFormat="1" applyFont="1" applyAlignment="1">
      <alignment horizontal="right" wrapText="1"/>
    </xf>
    <xf numFmtId="0" fontId="10" fillId="2" borderId="0" xfId="0" applyFont="1" applyFill="1" applyAlignment="1">
      <alignment horizontal="right" wrapText="1"/>
    </xf>
    <xf numFmtId="0" fontId="40" fillId="2" borderId="10" xfId="0" applyFont="1" applyFill="1" applyBorder="1" applyAlignment="1">
      <alignment wrapText="1"/>
    </xf>
    <xf numFmtId="0" fontId="12" fillId="2" borderId="12" xfId="0" applyFont="1" applyFill="1" applyBorder="1" applyAlignment="1">
      <alignment wrapText="1"/>
    </xf>
    <xf numFmtId="3" fontId="31" fillId="0" borderId="0" xfId="0" applyNumberFormat="1" applyFont="1" applyAlignment="1">
      <alignment wrapText="1"/>
    </xf>
    <xf numFmtId="0" fontId="40" fillId="2" borderId="13" xfId="0" applyFont="1" applyFill="1" applyBorder="1" applyAlignment="1">
      <alignment wrapText="1"/>
    </xf>
    <xf numFmtId="0" fontId="12" fillId="2" borderId="1" xfId="0" applyFont="1" applyFill="1" applyBorder="1" applyAlignment="1">
      <alignment wrapText="1"/>
    </xf>
    <xf numFmtId="0" fontId="12" fillId="2" borderId="13" xfId="0" applyFont="1" applyFill="1" applyBorder="1" applyAlignment="1">
      <alignment wrapText="1"/>
    </xf>
    <xf numFmtId="0" fontId="12" fillId="2" borderId="4" xfId="0" applyFont="1" applyFill="1" applyBorder="1" applyAlignment="1">
      <alignment wrapText="1"/>
    </xf>
    <xf numFmtId="0" fontId="12" fillId="2" borderId="3" xfId="0" applyFont="1" applyFill="1" applyBorder="1" applyAlignment="1">
      <alignment wrapText="1"/>
    </xf>
    <xf numFmtId="0" fontId="27" fillId="2" borderId="0" xfId="0" applyFont="1" applyFill="1" applyAlignment="1">
      <alignment wrapText="1"/>
    </xf>
    <xf numFmtId="0" fontId="27" fillId="0" borderId="0" xfId="0" quotePrefix="1" applyFont="1" applyAlignment="1">
      <alignment horizontal="right" wrapText="1"/>
    </xf>
    <xf numFmtId="9" fontId="27" fillId="0" borderId="0" xfId="0" applyNumberFormat="1" applyFont="1" applyAlignment="1">
      <alignment horizontal="right" wrapText="1"/>
    </xf>
    <xf numFmtId="3" fontId="10" fillId="2" borderId="0" xfId="0" applyNumberFormat="1" applyFont="1" applyFill="1" applyAlignment="1">
      <alignment horizontal="right" wrapText="1"/>
    </xf>
    <xf numFmtId="4" fontId="10" fillId="0" borderId="0" xfId="0" applyNumberFormat="1" applyFont="1" applyAlignment="1">
      <alignment horizontal="right" wrapText="1"/>
    </xf>
    <xf numFmtId="3" fontId="2" fillId="2" borderId="0" xfId="0" applyNumberFormat="1" applyFont="1" applyFill="1" applyAlignment="1">
      <alignment wrapText="1"/>
    </xf>
    <xf numFmtId="174" fontId="41" fillId="2" borderId="0" xfId="0" applyNumberFormat="1" applyFont="1" applyFill="1"/>
    <xf numFmtId="3" fontId="41" fillId="2" borderId="0" xfId="0" applyNumberFormat="1" applyFont="1" applyFill="1"/>
    <xf numFmtId="0" fontId="41" fillId="2" borderId="0" xfId="0" applyFont="1" applyFill="1" applyAlignment="1">
      <alignment wrapText="1"/>
    </xf>
    <xf numFmtId="0" fontId="41" fillId="2" borderId="0" xfId="0" applyFont="1" applyFill="1"/>
    <xf numFmtId="4" fontId="42" fillId="2" borderId="0" xfId="0" applyNumberFormat="1" applyFont="1" applyFill="1" applyAlignment="1">
      <alignment horizontal="right"/>
    </xf>
    <xf numFmtId="0" fontId="28" fillId="2" borderId="0" xfId="0" applyFont="1" applyFill="1" applyAlignment="1">
      <alignment horizontal="left" wrapText="1"/>
    </xf>
    <xf numFmtId="2" fontId="28" fillId="3" borderId="0" xfId="0" applyNumberFormat="1" applyFont="1" applyFill="1" applyAlignment="1">
      <alignment horizontal="right" wrapText="1"/>
    </xf>
    <xf numFmtId="10" fontId="12" fillId="2" borderId="0" xfId="0" applyNumberFormat="1" applyFont="1" applyFill="1" applyAlignment="1">
      <alignment wrapText="1"/>
    </xf>
    <xf numFmtId="171" fontId="43" fillId="2" borderId="0" xfId="0" applyNumberFormat="1" applyFont="1" applyFill="1" applyAlignment="1">
      <alignment horizontal="left" wrapText="1"/>
    </xf>
    <xf numFmtId="9" fontId="3" fillId="2" borderId="26" xfId="0" applyNumberFormat="1" applyFont="1" applyFill="1" applyBorder="1" applyAlignment="1">
      <alignment horizontal="left" wrapText="1"/>
    </xf>
    <xf numFmtId="0" fontId="27" fillId="2" borderId="26" xfId="0" applyFont="1" applyFill="1" applyBorder="1" applyAlignment="1">
      <alignment horizontal="right" wrapText="1"/>
    </xf>
    <xf numFmtId="3" fontId="27" fillId="2" borderId="26" xfId="0" applyNumberFormat="1" applyFont="1" applyFill="1" applyBorder="1" applyAlignment="1">
      <alignment wrapText="1"/>
    </xf>
    <xf numFmtId="0" fontId="10" fillId="0" borderId="26" xfId="0" applyFont="1" applyBorder="1" applyAlignment="1">
      <alignment wrapText="1"/>
    </xf>
    <xf numFmtId="0" fontId="44" fillId="5" borderId="0" xfId="0" applyFont="1" applyFill="1"/>
    <xf numFmtId="0" fontId="44" fillId="5" borderId="0" xfId="0" applyFont="1" applyFill="1" applyAlignment="1">
      <alignment horizontal="right"/>
    </xf>
    <xf numFmtId="0" fontId="45" fillId="5" borderId="0" xfId="0" applyFont="1" applyFill="1"/>
    <xf numFmtId="0" fontId="46" fillId="5" borderId="0" xfId="0" applyFont="1" applyFill="1"/>
    <xf numFmtId="0" fontId="44" fillId="2" borderId="0" xfId="0" applyFont="1" applyFill="1"/>
    <xf numFmtId="0" fontId="48" fillId="2" borderId="27" xfId="0" applyFont="1" applyFill="1" applyBorder="1" applyAlignment="1">
      <alignment horizontal="left" wrapText="1"/>
    </xf>
    <xf numFmtId="0" fontId="48" fillId="2" borderId="0" xfId="0" applyFont="1" applyFill="1" applyAlignment="1">
      <alignment horizontal="left" wrapText="1"/>
    </xf>
    <xf numFmtId="0" fontId="49" fillId="6" borderId="27" xfId="0" applyFont="1" applyFill="1" applyBorder="1" applyAlignment="1">
      <alignment horizontal="left" wrapText="1"/>
    </xf>
    <xf numFmtId="10" fontId="49" fillId="6" borderId="0" xfId="0" applyNumberFormat="1" applyFont="1" applyFill="1" applyAlignment="1">
      <alignment horizontal="left" wrapText="1"/>
    </xf>
    <xf numFmtId="0" fontId="49" fillId="2" borderId="27" xfId="0" applyFont="1" applyFill="1" applyBorder="1" applyAlignment="1">
      <alignment horizontal="left" wrapText="1"/>
    </xf>
    <xf numFmtId="10" fontId="49" fillId="2" borderId="0" xfId="0" applyNumberFormat="1" applyFont="1" applyFill="1" applyAlignment="1">
      <alignment horizontal="left" wrapText="1"/>
    </xf>
    <xf numFmtId="10" fontId="50" fillId="2" borderId="0" xfId="0" applyNumberFormat="1" applyFont="1" applyFill="1" applyAlignment="1">
      <alignment horizontal="left" wrapText="1"/>
    </xf>
    <xf numFmtId="10" fontId="50" fillId="6" borderId="0" xfId="0" applyNumberFormat="1" applyFont="1" applyFill="1" applyAlignment="1">
      <alignment horizontal="left" wrapText="1"/>
    </xf>
    <xf numFmtId="0" fontId="51" fillId="0" borderId="29" xfId="0" applyFont="1" applyBorder="1" applyAlignment="1">
      <alignment horizontal="center" wrapText="1"/>
    </xf>
    <xf numFmtId="0" fontId="52" fillId="0" borderId="30" xfId="0" applyFont="1" applyBorder="1" applyAlignment="1">
      <alignment horizontal="center" vertical="top" wrapText="1"/>
    </xf>
    <xf numFmtId="4" fontId="52" fillId="0" borderId="30" xfId="0" applyNumberFormat="1" applyFont="1" applyBorder="1" applyAlignment="1">
      <alignment horizontal="center" vertical="top" wrapText="1"/>
    </xf>
    <xf numFmtId="10" fontId="53" fillId="0" borderId="30" xfId="0" applyNumberFormat="1" applyFont="1" applyBorder="1" applyAlignment="1">
      <alignment horizontal="center" vertical="top" wrapText="1"/>
    </xf>
    <xf numFmtId="10" fontId="54" fillId="0" borderId="30" xfId="0" applyNumberFormat="1" applyFont="1" applyBorder="1" applyAlignment="1">
      <alignment horizontal="center" vertical="top" wrapText="1"/>
    </xf>
    <xf numFmtId="0" fontId="55" fillId="7" borderId="0" xfId="0" applyFont="1" applyFill="1" applyAlignment="1">
      <alignment wrapText="1"/>
    </xf>
    <xf numFmtId="0" fontId="56" fillId="7" borderId="0" xfId="0" applyFont="1" applyFill="1" applyAlignment="1">
      <alignment wrapText="1"/>
    </xf>
    <xf numFmtId="0" fontId="57" fillId="0" borderId="0" xfId="0" applyFont="1" applyAlignment="1">
      <alignment wrapText="1"/>
    </xf>
    <xf numFmtId="0" fontId="58" fillId="2" borderId="0" xfId="0" applyFont="1" applyFill="1" applyAlignment="1">
      <alignment horizontal="right" wrapText="1"/>
    </xf>
    <xf numFmtId="0" fontId="59" fillId="0" borderId="0" xfId="0" applyFont="1" applyAlignment="1">
      <alignment horizontal="left" wrapText="1"/>
    </xf>
    <xf numFmtId="0" fontId="59" fillId="0" borderId="0" xfId="0" applyFont="1" applyAlignment="1">
      <alignment horizontal="left"/>
    </xf>
    <xf numFmtId="0" fontId="59" fillId="0" borderId="0" xfId="0" applyFont="1" applyAlignment="1">
      <alignment horizontal="right" wrapText="1"/>
    </xf>
    <xf numFmtId="0" fontId="60" fillId="0" borderId="0" xfId="0" applyFont="1" applyAlignment="1">
      <alignment horizontal="left" wrapText="1"/>
    </xf>
    <xf numFmtId="14" fontId="60" fillId="0" borderId="0" xfId="0" applyNumberFormat="1" applyFont="1" applyAlignment="1">
      <alignment horizontal="left" vertical="top" wrapText="1"/>
    </xf>
    <xf numFmtId="0" fontId="60" fillId="0" borderId="0" xfId="0" applyFont="1" applyAlignment="1">
      <alignment horizontal="left" vertical="top" wrapText="1"/>
    </xf>
    <xf numFmtId="0" fontId="60" fillId="0" borderId="0" xfId="0" applyFont="1" applyAlignment="1">
      <alignment horizontal="left" vertical="top"/>
    </xf>
    <xf numFmtId="0" fontId="61" fillId="0" borderId="0" xfId="0" applyFont="1" applyAlignment="1">
      <alignment horizontal="right" vertical="top" wrapText="1"/>
    </xf>
    <xf numFmtId="0" fontId="62" fillId="0" borderId="0" xfId="0" applyFont="1" applyAlignment="1">
      <alignment horizontal="right" vertical="top" wrapText="1"/>
    </xf>
    <xf numFmtId="4" fontId="62" fillId="0" borderId="0" xfId="0" applyNumberFormat="1" applyFont="1" applyAlignment="1">
      <alignment horizontal="right" vertical="top" wrapText="1"/>
    </xf>
    <xf numFmtId="4" fontId="61" fillId="0" borderId="0" xfId="0" applyNumberFormat="1" applyFont="1" applyAlignment="1">
      <alignment horizontal="right" vertical="top" wrapText="1"/>
    </xf>
    <xf numFmtId="175" fontId="60" fillId="0" borderId="0" xfId="0" applyNumberFormat="1" applyFont="1" applyAlignment="1">
      <alignment horizontal="left" vertical="top" wrapText="1"/>
    </xf>
    <xf numFmtId="3" fontId="10" fillId="0" borderId="13" xfId="0" applyNumberFormat="1" applyFont="1" applyBorder="1" applyAlignment="1">
      <alignment wrapText="1"/>
    </xf>
    <xf numFmtId="3" fontId="9" fillId="0" borderId="13" xfId="0" applyNumberFormat="1" applyFont="1" applyBorder="1" applyAlignment="1">
      <alignment wrapText="1"/>
    </xf>
    <xf numFmtId="0" fontId="63" fillId="2" borderId="2" xfId="0" applyFont="1" applyFill="1" applyBorder="1" applyAlignment="1">
      <alignment horizontal="center" wrapText="1"/>
    </xf>
    <xf numFmtId="0" fontId="64" fillId="2" borderId="2" xfId="0" applyFont="1" applyFill="1" applyBorder="1" applyAlignment="1">
      <alignment horizontal="left"/>
    </xf>
    <xf numFmtId="0" fontId="65" fillId="2" borderId="0" xfId="0" applyFont="1" applyFill="1" applyAlignment="1">
      <alignment wrapText="1"/>
    </xf>
    <xf numFmtId="18" fontId="10" fillId="0" borderId="0" xfId="0" applyNumberFormat="1" applyFont="1" applyAlignment="1">
      <alignment wrapText="1"/>
    </xf>
    <xf numFmtId="0" fontId="66" fillId="2" borderId="0" xfId="0" applyFont="1" applyFill="1" applyAlignment="1">
      <alignment wrapText="1"/>
    </xf>
    <xf numFmtId="0" fontId="67" fillId="0" borderId="0" xfId="0" applyFont="1" applyAlignment="1">
      <alignment horizontal="right" wrapText="1"/>
    </xf>
    <xf numFmtId="0" fontId="68" fillId="0" borderId="0" xfId="0" applyFont="1" applyAlignment="1">
      <alignment wrapText="1"/>
    </xf>
    <xf numFmtId="0" fontId="70" fillId="2" borderId="0" xfId="0" applyFont="1" applyFill="1" applyAlignment="1">
      <alignment horizontal="left"/>
    </xf>
    <xf numFmtId="0" fontId="70" fillId="2" borderId="0" xfId="0" applyFont="1" applyFill="1"/>
    <xf numFmtId="0" fontId="72" fillId="9" borderId="0" xfId="0" applyFont="1" applyFill="1" applyAlignment="1">
      <alignment horizontal="left" wrapText="1"/>
    </xf>
    <xf numFmtId="0" fontId="73" fillId="2" borderId="0" xfId="0" applyFont="1" applyFill="1" applyAlignment="1">
      <alignment wrapText="1"/>
    </xf>
    <xf numFmtId="0" fontId="74" fillId="2" borderId="0" xfId="0" applyFont="1" applyFill="1" applyAlignment="1">
      <alignment wrapText="1"/>
    </xf>
    <xf numFmtId="0" fontId="75" fillId="2" borderId="0" xfId="0" applyFont="1" applyFill="1" applyAlignment="1">
      <alignment wrapText="1"/>
    </xf>
    <xf numFmtId="0" fontId="76" fillId="2" borderId="0" xfId="0" applyFont="1" applyFill="1" applyAlignment="1">
      <alignment wrapText="1"/>
    </xf>
    <xf numFmtId="0" fontId="77" fillId="2" borderId="0" xfId="0" applyFont="1" applyFill="1" applyAlignment="1">
      <alignment horizontal="left" wrapText="1"/>
    </xf>
    <xf numFmtId="0" fontId="78" fillId="2" borderId="0" xfId="0" applyFont="1" applyFill="1" applyAlignment="1">
      <alignment wrapText="1"/>
    </xf>
    <xf numFmtId="0" fontId="79" fillId="2" borderId="0" xfId="0" applyFont="1" applyFill="1" applyAlignment="1">
      <alignment wrapText="1"/>
    </xf>
    <xf numFmtId="0" fontId="80" fillId="2" borderId="0" xfId="0" applyFont="1" applyFill="1" applyAlignment="1">
      <alignment wrapText="1"/>
    </xf>
    <xf numFmtId="0" fontId="81" fillId="2" borderId="0" xfId="0" applyFont="1" applyFill="1" applyAlignment="1">
      <alignment wrapText="1"/>
    </xf>
    <xf numFmtId="0" fontId="77" fillId="2" borderId="0" xfId="0" applyFont="1" applyFill="1" applyAlignment="1">
      <alignment wrapText="1"/>
    </xf>
    <xf numFmtId="0" fontId="82" fillId="2" borderId="0" xfId="0" applyFont="1" applyFill="1" applyAlignment="1">
      <alignment wrapText="1"/>
    </xf>
    <xf numFmtId="0" fontId="83" fillId="2" borderId="0" xfId="0" applyFont="1" applyFill="1" applyAlignment="1">
      <alignment wrapText="1"/>
    </xf>
    <xf numFmtId="0" fontId="84" fillId="2" borderId="0" xfId="0" applyFont="1" applyFill="1" applyAlignment="1">
      <alignment horizontal="left" wrapText="1"/>
    </xf>
    <xf numFmtId="0" fontId="10" fillId="10" borderId="0" xfId="0" applyFont="1" applyFill="1" applyAlignment="1">
      <alignment wrapText="1"/>
    </xf>
    <xf numFmtId="166" fontId="10" fillId="10" borderId="0" xfId="0" applyNumberFormat="1" applyFont="1" applyFill="1" applyAlignment="1">
      <alignment wrapText="1"/>
    </xf>
    <xf numFmtId="0" fontId="10" fillId="10" borderId="0" xfId="0" applyFont="1" applyFill="1" applyAlignment="1">
      <alignment horizontal="left" wrapText="1"/>
    </xf>
    <xf numFmtId="0" fontId="85" fillId="10" borderId="0" xfId="0" applyFont="1" applyFill="1" applyAlignment="1">
      <alignment wrapText="1"/>
    </xf>
    <xf numFmtId="0" fontId="86" fillId="2" borderId="0" xfId="0" applyFont="1" applyFill="1" applyAlignment="1">
      <alignment horizontal="left" wrapText="1"/>
    </xf>
    <xf numFmtId="0" fontId="87" fillId="2" borderId="0" xfId="0" applyFont="1" applyFill="1" applyAlignment="1">
      <alignment wrapText="1"/>
    </xf>
    <xf numFmtId="0" fontId="88" fillId="2" borderId="0" xfId="0" applyFont="1" applyFill="1" applyAlignment="1">
      <alignment horizontal="left" wrapText="1"/>
    </xf>
    <xf numFmtId="0" fontId="76" fillId="2" borderId="0" xfId="0" applyFont="1" applyFill="1" applyAlignment="1">
      <alignment horizontal="left" wrapText="1"/>
    </xf>
    <xf numFmtId="0" fontId="66" fillId="2" borderId="0" xfId="0" applyFont="1" applyFill="1" applyAlignment="1">
      <alignment horizontal="left" wrapText="1"/>
    </xf>
    <xf numFmtId="0" fontId="9" fillId="3" borderId="31" xfId="0" applyFont="1" applyFill="1" applyBorder="1" applyAlignment="1">
      <alignment horizontal="center" wrapText="1"/>
    </xf>
    <xf numFmtId="14" fontId="10" fillId="0" borderId="22" xfId="0" applyNumberFormat="1" applyFont="1" applyBorder="1" applyAlignment="1">
      <alignment wrapText="1"/>
    </xf>
    <xf numFmtId="0" fontId="89" fillId="3" borderId="22" xfId="0" applyFont="1" applyFill="1" applyBorder="1" applyAlignment="1">
      <alignment horizontal="right" wrapText="1"/>
    </xf>
    <xf numFmtId="176" fontId="10" fillId="0" borderId="22" xfId="0" applyNumberFormat="1" applyFont="1" applyBorder="1" applyAlignment="1">
      <alignment wrapText="1"/>
    </xf>
    <xf numFmtId="0" fontId="89" fillId="2" borderId="22" xfId="0" applyFont="1" applyFill="1" applyBorder="1" applyAlignment="1">
      <alignment horizontal="right" wrapText="1"/>
    </xf>
    <xf numFmtId="0" fontId="90" fillId="2" borderId="0" xfId="0" applyFont="1" applyFill="1" applyAlignment="1">
      <alignment horizontal="left" wrapText="1"/>
    </xf>
    <xf numFmtId="0" fontId="91" fillId="0" borderId="0" xfId="0" applyFont="1" applyAlignment="1">
      <alignment wrapText="1"/>
    </xf>
    <xf numFmtId="166" fontId="91" fillId="0" borderId="0" xfId="0" applyNumberFormat="1" applyFont="1" applyAlignment="1">
      <alignment wrapText="1"/>
    </xf>
    <xf numFmtId="0" fontId="91" fillId="0" borderId="0" xfId="0" applyFont="1" applyAlignment="1">
      <alignment horizontal="left" wrapText="1"/>
    </xf>
    <xf numFmtId="0" fontId="92" fillId="0" borderId="0" xfId="0" applyFont="1" applyAlignment="1">
      <alignment wrapText="1"/>
    </xf>
    <xf numFmtId="0" fontId="93" fillId="0" borderId="0" xfId="0" applyFont="1" applyAlignment="1">
      <alignment wrapText="1"/>
    </xf>
    <xf numFmtId="0" fontId="94" fillId="0" borderId="0" xfId="0" applyFont="1" applyAlignment="1">
      <alignment horizontal="left" vertical="top" wrapText="1"/>
    </xf>
    <xf numFmtId="0" fontId="10" fillId="3" borderId="0" xfId="0" applyFont="1" applyFill="1" applyAlignment="1">
      <alignment horizontal="center" wrapText="1"/>
    </xf>
    <xf numFmtId="0" fontId="70" fillId="2" borderId="0" xfId="0" applyFont="1" applyFill="1" applyAlignment="1">
      <alignment wrapText="1"/>
    </xf>
    <xf numFmtId="0" fontId="83" fillId="2" borderId="0" xfId="0" applyFont="1" applyFill="1" applyAlignment="1">
      <alignment horizontal="left" wrapText="1"/>
    </xf>
    <xf numFmtId="0" fontId="95" fillId="0" borderId="0" xfId="0" applyFont="1" applyAlignment="1">
      <alignment wrapText="1"/>
    </xf>
    <xf numFmtId="0" fontId="96" fillId="11" borderId="0" xfId="0" applyFont="1" applyFill="1" applyAlignment="1">
      <alignment horizontal="right" wrapText="1"/>
    </xf>
    <xf numFmtId="0" fontId="97" fillId="2" borderId="0" xfId="0" applyFont="1" applyFill="1" applyAlignment="1">
      <alignment horizontal="left" wrapText="1"/>
    </xf>
    <xf numFmtId="0" fontId="98" fillId="0" borderId="0" xfId="0" applyFont="1" applyAlignment="1">
      <alignment wrapText="1"/>
    </xf>
    <xf numFmtId="0" fontId="99" fillId="0" borderId="0" xfId="0" applyFont="1" applyAlignment="1">
      <alignment horizontal="left" wrapText="1"/>
    </xf>
    <xf numFmtId="0" fontId="100" fillId="8" borderId="0" xfId="0" applyFont="1" applyFill="1" applyAlignment="1">
      <alignment horizontal="left" wrapText="1"/>
    </xf>
    <xf numFmtId="0" fontId="101" fillId="2" borderId="0" xfId="0" applyFont="1" applyFill="1" applyAlignment="1">
      <alignment wrapText="1"/>
    </xf>
    <xf numFmtId="0" fontId="102" fillId="2" borderId="0" xfId="0" applyFont="1" applyFill="1" applyAlignment="1">
      <alignment horizontal="left" wrapText="1"/>
    </xf>
    <xf numFmtId="0" fontId="103" fillId="2" borderId="0" xfId="0" applyFont="1" applyFill="1" applyAlignment="1">
      <alignment horizontal="left"/>
    </xf>
    <xf numFmtId="0" fontId="79" fillId="2" borderId="0" xfId="0" applyFont="1" applyFill="1" applyAlignment="1">
      <alignment horizontal="left" wrapText="1"/>
    </xf>
    <xf numFmtId="0" fontId="104" fillId="2" borderId="0" xfId="0" applyFont="1" applyFill="1" applyAlignment="1">
      <alignment horizontal="left" wrapText="1"/>
    </xf>
    <xf numFmtId="0" fontId="76" fillId="2" borderId="0" xfId="0" applyFont="1" applyFill="1"/>
    <xf numFmtId="0" fontId="105" fillId="2" borderId="0" xfId="0" applyFont="1" applyFill="1" applyAlignment="1">
      <alignment horizontal="left" wrapText="1"/>
    </xf>
    <xf numFmtId="0" fontId="106" fillId="2" borderId="0" xfId="0" applyFont="1" applyFill="1"/>
    <xf numFmtId="0" fontId="79" fillId="2" borderId="0" xfId="0" applyFont="1" applyFill="1" applyAlignment="1">
      <alignment horizontal="left"/>
    </xf>
    <xf numFmtId="0" fontId="107" fillId="2" borderId="0" xfId="0" applyFont="1" applyFill="1" applyAlignment="1">
      <alignment horizontal="left" wrapText="1"/>
    </xf>
    <xf numFmtId="0" fontId="108" fillId="2" borderId="0" xfId="0" applyFont="1" applyFill="1" applyAlignment="1">
      <alignment horizontal="left" wrapText="1"/>
    </xf>
    <xf numFmtId="0" fontId="109" fillId="2" borderId="0" xfId="0" applyFont="1" applyFill="1" applyAlignment="1">
      <alignment horizontal="left" wrapText="1"/>
    </xf>
    <xf numFmtId="0" fontId="110" fillId="2" borderId="0" xfId="0" applyFont="1" applyFill="1"/>
    <xf numFmtId="0" fontId="111" fillId="2" borderId="0" xfId="0" applyFont="1" applyFill="1" applyAlignment="1">
      <alignment horizontal="left" wrapText="1"/>
    </xf>
    <xf numFmtId="0" fontId="36" fillId="0" borderId="0" xfId="0" applyFont="1" applyAlignment="1">
      <alignment wrapText="1"/>
    </xf>
    <xf numFmtId="0" fontId="94" fillId="2" borderId="0" xfId="0" applyFont="1" applyFill="1" applyAlignment="1">
      <alignment horizontal="left" wrapText="1"/>
    </xf>
    <xf numFmtId="0" fontId="112" fillId="0" borderId="0" xfId="0" applyFont="1" applyAlignment="1">
      <alignment wrapText="1"/>
    </xf>
    <xf numFmtId="0" fontId="36" fillId="0" borderId="0" xfId="0" applyFont="1" applyAlignment="1">
      <alignment horizontal="right" wrapText="1"/>
    </xf>
    <xf numFmtId="3" fontId="13" fillId="0" borderId="0" xfId="0" applyNumberFormat="1" applyFont="1" applyAlignment="1">
      <alignment wrapText="1"/>
    </xf>
    <xf numFmtId="166" fontId="13" fillId="0" borderId="0" xfId="0" applyNumberFormat="1" applyFont="1" applyAlignment="1">
      <alignment wrapText="1"/>
    </xf>
    <xf numFmtId="0" fontId="113" fillId="0" borderId="0" xfId="0" applyFont="1" applyAlignment="1">
      <alignment wrapText="1"/>
    </xf>
    <xf numFmtId="0" fontId="114" fillId="12" borderId="0" xfId="0" applyFont="1" applyFill="1"/>
    <xf numFmtId="0" fontId="115" fillId="2" borderId="0" xfId="0" applyFont="1" applyFill="1" applyAlignment="1">
      <alignment horizontal="left" wrapText="1"/>
    </xf>
    <xf numFmtId="0" fontId="116" fillId="2" borderId="0" xfId="0" applyFont="1" applyFill="1" applyAlignment="1">
      <alignment horizontal="left" wrapText="1"/>
    </xf>
    <xf numFmtId="0" fontId="117" fillId="2" borderId="0" xfId="0" applyFont="1" applyFill="1" applyAlignment="1">
      <alignment wrapText="1"/>
    </xf>
    <xf numFmtId="0" fontId="115" fillId="2" borderId="0" xfId="0" applyFont="1" applyFill="1" applyAlignment="1">
      <alignment wrapText="1"/>
    </xf>
    <xf numFmtId="0" fontId="118" fillId="2" borderId="0" xfId="0" applyFont="1" applyFill="1" applyAlignment="1">
      <alignment wrapText="1"/>
    </xf>
    <xf numFmtId="0" fontId="119" fillId="2" borderId="0" xfId="0" applyFont="1" applyFill="1" applyAlignment="1">
      <alignment horizontal="center" wrapText="1"/>
    </xf>
    <xf numFmtId="0" fontId="120" fillId="12" borderId="0" xfId="0" applyFont="1" applyFill="1" applyAlignment="1">
      <alignment horizontal="left" wrapText="1"/>
    </xf>
    <xf numFmtId="177" fontId="121" fillId="3" borderId="0" xfId="0" applyNumberFormat="1" applyFont="1" applyFill="1" applyAlignment="1">
      <alignment wrapText="1"/>
    </xf>
    <xf numFmtId="166" fontId="15" fillId="0" borderId="0" xfId="0" applyNumberFormat="1" applyFont="1" applyAlignment="1">
      <alignment wrapText="1"/>
    </xf>
    <xf numFmtId="0" fontId="122" fillId="2" borderId="0" xfId="0" applyFont="1" applyFill="1" applyAlignment="1">
      <alignment horizontal="left"/>
    </xf>
    <xf numFmtId="0" fontId="123" fillId="2" borderId="0" xfId="0" applyFont="1" applyFill="1" applyAlignment="1">
      <alignment wrapText="1"/>
    </xf>
    <xf numFmtId="173" fontId="10" fillId="0" borderId="0" xfId="0" applyNumberFormat="1" applyFont="1" applyAlignment="1">
      <alignment wrapText="1"/>
    </xf>
    <xf numFmtId="166" fontId="10" fillId="3" borderId="0" xfId="0" applyNumberFormat="1" applyFont="1" applyFill="1" applyAlignment="1">
      <alignment wrapText="1"/>
    </xf>
    <xf numFmtId="0" fontId="124" fillId="2" borderId="0" xfId="0" applyFont="1" applyFill="1" applyAlignment="1">
      <alignment horizontal="left" vertical="top"/>
    </xf>
    <xf numFmtId="0" fontId="125" fillId="2" borderId="0" xfId="0" applyFont="1" applyFill="1" applyAlignment="1">
      <alignment wrapText="1"/>
    </xf>
    <xf numFmtId="0" fontId="27" fillId="0" borderId="0" xfId="0" applyFont="1" applyAlignment="1">
      <alignment horizontal="right" wrapText="1"/>
    </xf>
    <xf numFmtId="176" fontId="27" fillId="0" borderId="0" xfId="0" applyNumberFormat="1" applyFont="1" applyAlignment="1">
      <alignment horizontal="right" wrapText="1"/>
    </xf>
    <xf numFmtId="0" fontId="126" fillId="0" borderId="0" xfId="0" applyFont="1" applyAlignment="1">
      <alignment wrapText="1"/>
    </xf>
    <xf numFmtId="0" fontId="127" fillId="0" borderId="0" xfId="0" applyFont="1" applyAlignment="1">
      <alignment horizontal="right" wrapText="1"/>
    </xf>
    <xf numFmtId="0" fontId="127" fillId="0" borderId="0" xfId="0" applyFont="1" applyAlignment="1">
      <alignment wrapText="1"/>
    </xf>
    <xf numFmtId="0" fontId="126" fillId="0" borderId="0" xfId="0" applyFont="1" applyAlignment="1">
      <alignment horizontal="right" wrapText="1"/>
    </xf>
    <xf numFmtId="0" fontId="10" fillId="0" borderId="0" xfId="0" applyFont="1" applyAlignment="1">
      <alignment horizontal="left"/>
    </xf>
    <xf numFmtId="0" fontId="128" fillId="2" borderId="0" xfId="0" applyFont="1" applyFill="1" applyAlignment="1">
      <alignment horizontal="left" wrapText="1"/>
    </xf>
    <xf numFmtId="0" fontId="129" fillId="13" borderId="0" xfId="0" applyFont="1" applyFill="1" applyAlignment="1">
      <alignment horizontal="left" wrapText="1"/>
    </xf>
    <xf numFmtId="0" fontId="96" fillId="14" borderId="0" xfId="0" applyFont="1" applyFill="1" applyAlignment="1">
      <alignment horizontal="right" wrapText="1"/>
    </xf>
    <xf numFmtId="0" fontId="10" fillId="15" borderId="0" xfId="0" applyFont="1" applyFill="1" applyAlignment="1">
      <alignment wrapText="1"/>
    </xf>
    <xf numFmtId="166" fontId="10" fillId="15" borderId="0" xfId="0" applyNumberFormat="1" applyFont="1" applyFill="1" applyAlignment="1">
      <alignment wrapText="1"/>
    </xf>
    <xf numFmtId="0" fontId="130" fillId="14" borderId="0" xfId="0" applyFont="1" applyFill="1" applyAlignment="1">
      <alignment horizontal="right" wrapText="1"/>
    </xf>
    <xf numFmtId="0" fontId="131" fillId="2" borderId="0" xfId="0" applyFont="1" applyFill="1" applyAlignment="1">
      <alignment wrapText="1"/>
    </xf>
    <xf numFmtId="0" fontId="132" fillId="2" borderId="0" xfId="0" applyFont="1" applyFill="1" applyAlignment="1">
      <alignment horizontal="left" wrapText="1"/>
    </xf>
    <xf numFmtId="0" fontId="133" fillId="2" borderId="0" xfId="0" applyFont="1" applyFill="1" applyAlignment="1">
      <alignment horizontal="left" wrapText="1"/>
    </xf>
    <xf numFmtId="166" fontId="10" fillId="0" borderId="0" xfId="0" applyNumberFormat="1" applyFont="1" applyAlignment="1">
      <alignment horizontal="right" wrapText="1"/>
    </xf>
    <xf numFmtId="0" fontId="12" fillId="2" borderId="0" xfId="0" applyFont="1" applyFill="1" applyAlignment="1">
      <alignment horizontal="left" wrapText="1"/>
    </xf>
    <xf numFmtId="0" fontId="134" fillId="2" borderId="0" xfId="0" applyFont="1" applyFill="1" applyAlignment="1">
      <alignment horizontal="left" wrapText="1"/>
    </xf>
    <xf numFmtId="0" fontId="135" fillId="14" borderId="0" xfId="0" applyFont="1" applyFill="1" applyAlignment="1">
      <alignment horizontal="right" wrapText="1"/>
    </xf>
    <xf numFmtId="0" fontId="136" fillId="2" borderId="0" xfId="0" applyFont="1" applyFill="1" applyAlignment="1">
      <alignment horizontal="right" wrapText="1"/>
    </xf>
    <xf numFmtId="0" fontId="11" fillId="2" borderId="0" xfId="0" applyFont="1" applyFill="1" applyAlignment="1">
      <alignment horizontal="left" wrapText="1"/>
    </xf>
    <xf numFmtId="0" fontId="137" fillId="2" borderId="0" xfId="0" applyFont="1" applyFill="1" applyAlignment="1">
      <alignment horizontal="left" vertical="top"/>
    </xf>
    <xf numFmtId="0" fontId="138" fillId="2" borderId="0" xfId="0" applyFont="1" applyFill="1" applyAlignment="1">
      <alignment horizontal="right" wrapText="1"/>
    </xf>
    <xf numFmtId="0" fontId="12" fillId="0" borderId="0" xfId="0" applyFont="1" applyAlignment="1">
      <alignment wrapText="1"/>
    </xf>
    <xf numFmtId="0" fontId="139" fillId="2" borderId="0" xfId="0" applyFont="1" applyFill="1" applyAlignment="1">
      <alignment horizontal="left" wrapText="1"/>
    </xf>
    <xf numFmtId="0" fontId="140" fillId="2" borderId="0" xfId="0" applyFont="1" applyFill="1" applyAlignment="1">
      <alignment horizontal="center"/>
    </xf>
    <xf numFmtId="0" fontId="141" fillId="2" borderId="0" xfId="0" applyFont="1" applyFill="1" applyAlignment="1">
      <alignment horizontal="left" wrapText="1"/>
    </xf>
    <xf numFmtId="0" fontId="142" fillId="0" borderId="0" xfId="0" applyFont="1" applyAlignment="1">
      <alignment wrapText="1"/>
    </xf>
    <xf numFmtId="0" fontId="143" fillId="2" borderId="0" xfId="0" applyFont="1" applyFill="1" applyAlignment="1">
      <alignment horizontal="right" wrapText="1"/>
    </xf>
    <xf numFmtId="0" fontId="144" fillId="0" borderId="0" xfId="0" applyFont="1" applyAlignment="1">
      <alignment wrapText="1"/>
    </xf>
    <xf numFmtId="166" fontId="144" fillId="0" borderId="0" xfId="0" applyNumberFormat="1" applyFont="1" applyAlignment="1">
      <alignment wrapText="1"/>
    </xf>
    <xf numFmtId="0" fontId="145" fillId="2" borderId="0" xfId="0" applyFont="1" applyFill="1" applyAlignment="1">
      <alignment horizontal="left" wrapText="1"/>
    </xf>
    <xf numFmtId="0" fontId="10" fillId="15" borderId="0" xfId="0" applyFont="1" applyFill="1"/>
    <xf numFmtId="0" fontId="136" fillId="2" borderId="0" xfId="0" applyFont="1" applyFill="1" applyAlignment="1">
      <alignment wrapText="1"/>
    </xf>
    <xf numFmtId="0" fontId="146" fillId="2" borderId="0" xfId="0" applyFont="1" applyFill="1" applyAlignment="1">
      <alignment wrapText="1"/>
    </xf>
    <xf numFmtId="0" fontId="147" fillId="2" borderId="0" xfId="0" applyFont="1" applyFill="1" applyAlignment="1">
      <alignment horizontal="right"/>
    </xf>
    <xf numFmtId="0" fontId="148" fillId="2" borderId="0" xfId="0" applyFont="1" applyFill="1" applyAlignment="1">
      <alignment horizontal="left"/>
    </xf>
    <xf numFmtId="0" fontId="148" fillId="2" borderId="0" xfId="0" applyFont="1" applyFill="1" applyAlignment="1">
      <alignment horizontal="right"/>
    </xf>
    <xf numFmtId="0" fontId="149" fillId="2" borderId="0" xfId="0" applyFont="1" applyFill="1" applyAlignment="1">
      <alignment horizontal="center"/>
    </xf>
    <xf numFmtId="0" fontId="150" fillId="0" borderId="0" xfId="0" applyFont="1"/>
    <xf numFmtId="0" fontId="150" fillId="2" borderId="0" xfId="0" applyFont="1" applyFill="1"/>
    <xf numFmtId="0" fontId="151" fillId="2" borderId="0" xfId="0" applyFont="1" applyFill="1" applyAlignment="1">
      <alignment wrapText="1"/>
    </xf>
    <xf numFmtId="0" fontId="148" fillId="2" borderId="0" xfId="0" applyFont="1" applyFill="1"/>
    <xf numFmtId="0" fontId="10" fillId="15" borderId="0" xfId="0" applyFont="1" applyFill="1" applyAlignment="1">
      <alignment horizontal="right" wrapText="1"/>
    </xf>
    <xf numFmtId="0" fontId="148" fillId="15" borderId="0" xfId="0" applyFont="1" applyFill="1" applyAlignment="1">
      <alignment horizontal="left"/>
    </xf>
    <xf numFmtId="0" fontId="148" fillId="15" borderId="0" xfId="0" applyFont="1" applyFill="1" applyAlignment="1">
      <alignment horizontal="right"/>
    </xf>
    <xf numFmtId="0" fontId="152" fillId="15" borderId="0" xfId="0" applyFont="1" applyFill="1" applyAlignment="1">
      <alignment horizontal="right"/>
    </xf>
    <xf numFmtId="0" fontId="153" fillId="2" borderId="0" xfId="0" applyFont="1" applyFill="1" applyAlignment="1">
      <alignment horizontal="right" wrapText="1"/>
    </xf>
    <xf numFmtId="0" fontId="154" fillId="2" borderId="0" xfId="0" applyFont="1" applyFill="1" applyAlignment="1">
      <alignment horizontal="left"/>
    </xf>
    <xf numFmtId="166" fontId="15" fillId="2" borderId="0" xfId="0" applyNumberFormat="1" applyFont="1" applyFill="1" applyAlignment="1">
      <alignment horizontal="right" wrapText="1"/>
    </xf>
    <xf numFmtId="0" fontId="15" fillId="0" borderId="0" xfId="0" applyFont="1" applyAlignment="1">
      <alignment horizontal="right" wrapText="1"/>
    </xf>
    <xf numFmtId="0" fontId="135" fillId="2" borderId="0" xfId="0" applyFont="1" applyFill="1" applyAlignment="1">
      <alignment horizontal="right" wrapText="1"/>
    </xf>
    <xf numFmtId="0" fontId="155" fillId="2" borderId="0" xfId="0" applyFont="1" applyFill="1" applyAlignment="1">
      <alignment horizontal="left" wrapText="1"/>
    </xf>
    <xf numFmtId="0" fontId="156" fillId="2" borderId="0" xfId="0" applyFont="1" applyFill="1" applyAlignment="1">
      <alignment wrapText="1"/>
    </xf>
    <xf numFmtId="0" fontId="154" fillId="2" borderId="0" xfId="0" applyFont="1" applyFill="1"/>
    <xf numFmtId="0" fontId="157" fillId="0" borderId="0" xfId="0" applyFont="1"/>
    <xf numFmtId="176" fontId="9" fillId="0" borderId="0" xfId="0" applyNumberFormat="1" applyFont="1" applyAlignment="1">
      <alignment horizontal="center" wrapText="1"/>
    </xf>
    <xf numFmtId="0" fontId="158" fillId="2" borderId="0" xfId="0" applyFont="1" applyFill="1" applyAlignment="1">
      <alignment horizontal="left" wrapText="1"/>
    </xf>
    <xf numFmtId="0" fontId="159" fillId="2" borderId="0" xfId="0" applyFont="1" applyFill="1" applyAlignment="1">
      <alignment horizontal="right" wrapText="1"/>
    </xf>
    <xf numFmtId="0" fontId="160" fillId="2" borderId="0" xfId="0" applyFont="1" applyFill="1" applyAlignment="1">
      <alignment wrapText="1"/>
    </xf>
    <xf numFmtId="0" fontId="161" fillId="2" borderId="0" xfId="0" applyFont="1" applyFill="1"/>
    <xf numFmtId="0" fontId="162" fillId="2" borderId="0" xfId="0" applyFont="1" applyFill="1" applyAlignment="1">
      <alignment horizontal="left" wrapText="1"/>
    </xf>
    <xf numFmtId="0" fontId="50" fillId="2" borderId="0" xfId="0" applyFont="1" applyFill="1" applyAlignment="1">
      <alignment wrapText="1"/>
    </xf>
    <xf numFmtId="0" fontId="76" fillId="2" borderId="0" xfId="0" applyFont="1" applyFill="1" applyAlignment="1">
      <alignment horizontal="left"/>
    </xf>
    <xf numFmtId="0" fontId="163" fillId="2" borderId="0" xfId="0" applyFont="1" applyFill="1" applyAlignment="1">
      <alignment horizontal="left" wrapText="1"/>
    </xf>
    <xf numFmtId="0" fontId="164" fillId="0" borderId="0" xfId="0" applyFont="1" applyAlignment="1">
      <alignment horizontal="left" wrapText="1"/>
    </xf>
    <xf numFmtId="0" fontId="165" fillId="2" borderId="0" xfId="0" applyFont="1" applyFill="1"/>
    <xf numFmtId="0" fontId="166" fillId="0" borderId="0" xfId="0" applyFont="1" applyAlignment="1">
      <alignment horizontal="left" wrapText="1"/>
    </xf>
    <xf numFmtId="0" fontId="167" fillId="0" borderId="0" xfId="0" applyFont="1" applyAlignment="1">
      <alignment horizontal="left" wrapText="1"/>
    </xf>
    <xf numFmtId="0" fontId="168" fillId="2" borderId="0" xfId="0" applyFont="1" applyFill="1" applyAlignment="1">
      <alignment horizontal="left" wrapText="1"/>
    </xf>
    <xf numFmtId="0" fontId="169" fillId="14" borderId="0" xfId="0" applyFont="1" applyFill="1" applyAlignment="1">
      <alignment horizontal="right" wrapText="1"/>
    </xf>
    <xf numFmtId="0" fontId="165" fillId="2" borderId="0" xfId="0" applyFont="1" applyFill="1" applyAlignment="1">
      <alignment horizontal="left" wrapText="1"/>
    </xf>
    <xf numFmtId="0" fontId="125" fillId="2" borderId="0" xfId="0" applyFont="1" applyFill="1" applyAlignment="1">
      <alignment horizontal="left" wrapText="1"/>
    </xf>
    <xf numFmtId="0" fontId="170" fillId="2" borderId="0" xfId="0" applyFont="1" applyFill="1" applyAlignment="1">
      <alignment wrapText="1"/>
    </xf>
    <xf numFmtId="0" fontId="165" fillId="2" borderId="0" xfId="0" applyFont="1" applyFill="1" applyAlignment="1">
      <alignment wrapText="1"/>
    </xf>
    <xf numFmtId="0" fontId="12" fillId="0" borderId="0" xfId="0" applyFont="1" applyAlignment="1">
      <alignment horizontal="right" wrapText="1"/>
    </xf>
    <xf numFmtId="0" fontId="171" fillId="0" borderId="0" xfId="0" applyFont="1" applyAlignment="1">
      <alignment wrapText="1"/>
    </xf>
    <xf numFmtId="0" fontId="172" fillId="2" borderId="0" xfId="0" applyFont="1" applyFill="1" applyAlignment="1">
      <alignment horizontal="left" wrapText="1"/>
    </xf>
    <xf numFmtId="0" fontId="2" fillId="0" borderId="0" xfId="0" applyFont="1" applyAlignment="1">
      <alignment wrapText="1"/>
    </xf>
    <xf numFmtId="0" fontId="173" fillId="2" borderId="0" xfId="0" applyFont="1" applyFill="1" applyAlignment="1">
      <alignment horizontal="left" wrapText="1"/>
    </xf>
    <xf numFmtId="0" fontId="174" fillId="2" borderId="0" xfId="0" applyFont="1" applyFill="1" applyAlignment="1">
      <alignment wrapText="1"/>
    </xf>
    <xf numFmtId="0" fontId="175" fillId="2" borderId="0" xfId="0" applyFont="1" applyFill="1" applyAlignment="1">
      <alignment wrapText="1"/>
    </xf>
    <xf numFmtId="0" fontId="176" fillId="2" borderId="0" xfId="0" applyFont="1" applyFill="1" applyAlignment="1">
      <alignment horizontal="left" wrapText="1"/>
    </xf>
    <xf numFmtId="170" fontId="9" fillId="0" borderId="0" xfId="0" applyNumberFormat="1" applyFont="1" applyAlignment="1">
      <alignment wrapText="1"/>
    </xf>
    <xf numFmtId="166" fontId="10" fillId="2" borderId="0" xfId="0" applyNumberFormat="1" applyFont="1" applyFill="1" applyAlignment="1">
      <alignment horizontal="right" wrapText="1"/>
    </xf>
    <xf numFmtId="0" fontId="12" fillId="2" borderId="0" xfId="0" applyFont="1" applyFill="1" applyAlignment="1">
      <alignment horizontal="right" wrapText="1"/>
    </xf>
    <xf numFmtId="0" fontId="10" fillId="0" borderId="0" xfId="0" applyFont="1" applyAlignment="1">
      <alignment horizontal="right"/>
    </xf>
    <xf numFmtId="0" fontId="177" fillId="2" borderId="0" xfId="0" applyFont="1" applyFill="1" applyAlignment="1">
      <alignment horizontal="left" wrapText="1"/>
    </xf>
    <xf numFmtId="173" fontId="178" fillId="2" borderId="0" xfId="0" applyNumberFormat="1" applyFont="1" applyFill="1" applyAlignment="1">
      <alignment horizontal="right" wrapText="1"/>
    </xf>
    <xf numFmtId="178" fontId="10" fillId="0" borderId="0" xfId="0" applyNumberFormat="1" applyFont="1" applyAlignment="1">
      <alignment wrapText="1"/>
    </xf>
    <xf numFmtId="0" fontId="179" fillId="2" borderId="0" xfId="0" applyFont="1" applyFill="1" applyAlignment="1">
      <alignment horizontal="left" wrapText="1"/>
    </xf>
    <xf numFmtId="0" fontId="180" fillId="2" borderId="0" xfId="0" applyFont="1" applyFill="1" applyAlignment="1">
      <alignment horizontal="right" wrapText="1"/>
    </xf>
    <xf numFmtId="0" fontId="181" fillId="2" borderId="0" xfId="0" applyFont="1" applyFill="1" applyAlignment="1">
      <alignment horizontal="left" wrapText="1"/>
    </xf>
    <xf numFmtId="0" fontId="182" fillId="2" borderId="0" xfId="0" applyFont="1" applyFill="1" applyAlignment="1">
      <alignment horizontal="left" wrapText="1"/>
    </xf>
    <xf numFmtId="0" fontId="183" fillId="16" borderId="0" xfId="0" applyFont="1" applyFill="1" applyAlignment="1">
      <alignment horizontal="left" wrapText="1"/>
    </xf>
    <xf numFmtId="0" fontId="184" fillId="2" borderId="0" xfId="0" applyFont="1" applyFill="1" applyAlignment="1">
      <alignment horizontal="left" wrapText="1"/>
    </xf>
    <xf numFmtId="166" fontId="125" fillId="2" borderId="0" xfId="0" applyNumberFormat="1" applyFont="1" applyFill="1" applyAlignment="1">
      <alignment horizontal="left" wrapText="1"/>
    </xf>
    <xf numFmtId="166" fontId="10" fillId="0" borderId="0" xfId="0" applyNumberFormat="1" applyFont="1" applyAlignment="1">
      <alignment horizontal="left" wrapText="1"/>
    </xf>
    <xf numFmtId="0" fontId="185" fillId="2" borderId="0" xfId="0" applyFont="1" applyFill="1" applyAlignment="1">
      <alignment horizontal="left" wrapText="1"/>
    </xf>
    <xf numFmtId="0" fontId="176" fillId="2" borderId="0" xfId="0" applyFont="1" applyFill="1" applyAlignment="1">
      <alignment wrapText="1"/>
    </xf>
    <xf numFmtId="0" fontId="186" fillId="2" borderId="0" xfId="0" applyFont="1" applyFill="1" applyAlignment="1">
      <alignment wrapText="1"/>
    </xf>
    <xf numFmtId="0" fontId="165" fillId="2" borderId="0" xfId="0" applyFont="1" applyFill="1" applyAlignment="1">
      <alignment horizontal="left"/>
    </xf>
    <xf numFmtId="0" fontId="187" fillId="2" borderId="0" xfId="0" applyFont="1" applyFill="1" applyAlignment="1">
      <alignment horizontal="left" wrapText="1"/>
    </xf>
    <xf numFmtId="0" fontId="188" fillId="2" borderId="0" xfId="0" applyFont="1" applyFill="1" applyAlignment="1">
      <alignment horizontal="left" wrapText="1"/>
    </xf>
    <xf numFmtId="0" fontId="77" fillId="0" borderId="0" xfId="0" applyFont="1" applyAlignment="1">
      <alignment wrapText="1"/>
    </xf>
    <xf numFmtId="14" fontId="10" fillId="0" borderId="0" xfId="0" applyNumberFormat="1" applyFont="1" applyAlignment="1">
      <alignment wrapText="1"/>
    </xf>
    <xf numFmtId="4" fontId="10" fillId="2" borderId="0" xfId="0" applyNumberFormat="1" applyFont="1" applyFill="1" applyAlignment="1">
      <alignment wrapText="1"/>
    </xf>
    <xf numFmtId="0" fontId="13" fillId="2" borderId="0" xfId="0" applyFont="1" applyFill="1" applyAlignment="1">
      <alignment wrapText="1"/>
    </xf>
    <xf numFmtId="0" fontId="189" fillId="2" borderId="0" xfId="0" applyFont="1" applyFill="1" applyAlignment="1">
      <alignment wrapText="1"/>
    </xf>
    <xf numFmtId="0" fontId="9" fillId="0" borderId="0" xfId="0" applyFont="1" applyAlignment="1">
      <alignment horizontal="left" wrapText="1"/>
    </xf>
    <xf numFmtId="0" fontId="12" fillId="0" borderId="0" xfId="0" applyFont="1" applyAlignment="1">
      <alignment horizontal="center" wrapText="1"/>
    </xf>
    <xf numFmtId="0" fontId="10" fillId="0" borderId="32" xfId="0" applyFont="1" applyBorder="1" applyAlignment="1">
      <alignment wrapText="1"/>
    </xf>
    <xf numFmtId="0" fontId="10" fillId="0" borderId="13" xfId="0" applyFont="1" applyBorder="1" applyAlignment="1">
      <alignment horizontal="right" wrapText="1"/>
    </xf>
    <xf numFmtId="0" fontId="10" fillId="0" borderId="0" xfId="0" quotePrefix="1" applyFont="1" applyAlignment="1">
      <alignment horizontal="right" wrapText="1"/>
    </xf>
    <xf numFmtId="175" fontId="172" fillId="2" borderId="0" xfId="0" applyNumberFormat="1" applyFont="1" applyFill="1" applyAlignment="1">
      <alignment vertical="top" wrapText="1"/>
    </xf>
    <xf numFmtId="0" fontId="192" fillId="2" borderId="0" xfId="0" applyFont="1" applyFill="1" applyAlignment="1">
      <alignment vertical="top" wrapText="1"/>
    </xf>
    <xf numFmtId="0" fontId="12" fillId="2" borderId="0" xfId="0" applyFont="1" applyFill="1" applyAlignment="1">
      <alignment horizontal="center" wrapText="1"/>
    </xf>
    <xf numFmtId="0" fontId="193" fillId="2" borderId="0" xfId="0" applyFont="1" applyFill="1" applyAlignment="1">
      <alignment horizontal="left" wrapText="1"/>
    </xf>
    <xf numFmtId="0" fontId="192" fillId="3" borderId="0" xfId="0" applyFont="1" applyFill="1" applyAlignment="1">
      <alignment vertical="top" wrapText="1"/>
    </xf>
    <xf numFmtId="0" fontId="194" fillId="0" borderId="0" xfId="0" applyFont="1"/>
    <xf numFmtId="175" fontId="172" fillId="15" borderId="0" xfId="0" applyNumberFormat="1" applyFont="1" applyFill="1" applyAlignment="1">
      <alignment vertical="top" wrapText="1"/>
    </xf>
    <xf numFmtId="0" fontId="172" fillId="15" borderId="0" xfId="0" applyFont="1" applyFill="1" applyAlignment="1">
      <alignment vertical="top" wrapText="1"/>
    </xf>
    <xf numFmtId="0" fontId="10" fillId="0" borderId="0" xfId="0" quotePrefix="1" applyFont="1" applyAlignment="1">
      <alignment wrapText="1"/>
    </xf>
    <xf numFmtId="0" fontId="172" fillId="2" borderId="0" xfId="0" quotePrefix="1" applyFont="1" applyFill="1" applyAlignment="1">
      <alignment vertical="top"/>
    </xf>
    <xf numFmtId="0" fontId="12" fillId="15" borderId="0" xfId="0" applyFont="1" applyFill="1" applyAlignment="1">
      <alignment wrapText="1"/>
    </xf>
    <xf numFmtId="0" fontId="12" fillId="15" borderId="0" xfId="0" applyFont="1" applyFill="1" applyAlignment="1">
      <alignment horizontal="right" wrapText="1"/>
    </xf>
    <xf numFmtId="0" fontId="12" fillId="15" borderId="0" xfId="0" applyFont="1" applyFill="1" applyAlignment="1">
      <alignment horizontal="center" wrapText="1"/>
    </xf>
    <xf numFmtId="0" fontId="13" fillId="0" borderId="0" xfId="0" quotePrefix="1" applyFont="1" applyAlignment="1">
      <alignment wrapText="1"/>
    </xf>
    <xf numFmtId="0" fontId="9" fillId="15" borderId="0" xfId="0" applyFont="1" applyFill="1" applyAlignment="1">
      <alignment horizontal="right" wrapText="1"/>
    </xf>
    <xf numFmtId="175" fontId="199" fillId="15" borderId="0" xfId="0" applyNumberFormat="1" applyFont="1" applyFill="1" applyAlignment="1">
      <alignment horizontal="left"/>
    </xf>
    <xf numFmtId="0" fontId="199" fillId="15" borderId="0" xfId="0" applyFont="1" applyFill="1" applyAlignment="1">
      <alignment horizontal="left"/>
    </xf>
    <xf numFmtId="1" fontId="9" fillId="15" borderId="0" xfId="0" applyNumberFormat="1" applyFont="1" applyFill="1" applyAlignment="1">
      <alignment horizontal="right" wrapText="1"/>
    </xf>
    <xf numFmtId="0" fontId="171" fillId="15" borderId="0" xfId="0" applyFont="1" applyFill="1" applyAlignment="1">
      <alignment wrapText="1"/>
    </xf>
    <xf numFmtId="0" fontId="200" fillId="15" borderId="0" xfId="0" applyFont="1" applyFill="1" applyAlignment="1">
      <alignment horizontal="left"/>
    </xf>
    <xf numFmtId="0" fontId="9" fillId="15" borderId="0" xfId="0" applyFont="1" applyFill="1" applyAlignment="1">
      <alignment horizontal="center" wrapText="1"/>
    </xf>
    <xf numFmtId="165" fontId="9" fillId="15" borderId="0" xfId="0" applyNumberFormat="1" applyFont="1" applyFill="1" applyAlignment="1">
      <alignment horizontal="center" wrapText="1"/>
    </xf>
    <xf numFmtId="3" fontId="10" fillId="15" borderId="0" xfId="0" applyNumberFormat="1" applyFont="1" applyFill="1" applyAlignment="1">
      <alignment wrapText="1"/>
    </xf>
    <xf numFmtId="0" fontId="190" fillId="15" borderId="0" xfId="0" applyFont="1" applyFill="1" applyAlignment="1">
      <alignment horizontal="right" wrapText="1"/>
    </xf>
    <xf numFmtId="0" fontId="202" fillId="15" borderId="0" xfId="0" applyFont="1" applyFill="1" applyAlignment="1">
      <alignment horizontal="right" wrapText="1"/>
    </xf>
    <xf numFmtId="0" fontId="10" fillId="15" borderId="13" xfId="0" applyFont="1" applyFill="1" applyBorder="1" applyAlignment="1">
      <alignment wrapText="1"/>
    </xf>
    <xf numFmtId="3" fontId="10" fillId="15" borderId="1" xfId="0" applyNumberFormat="1" applyFont="1" applyFill="1" applyBorder="1" applyAlignment="1">
      <alignment wrapText="1"/>
    </xf>
    <xf numFmtId="0" fontId="200" fillId="15" borderId="0" xfId="0" applyFont="1" applyFill="1" applyAlignment="1">
      <alignment horizontal="right"/>
    </xf>
    <xf numFmtId="175" fontId="200" fillId="15" borderId="0" xfId="0" applyNumberFormat="1" applyFont="1" applyFill="1" applyAlignment="1">
      <alignment horizontal="right"/>
    </xf>
    <xf numFmtId="0" fontId="10" fillId="3" borderId="0" xfId="0" applyFont="1" applyFill="1" applyAlignment="1">
      <alignment horizontal="left" wrapText="1"/>
    </xf>
    <xf numFmtId="0" fontId="172" fillId="15" borderId="0" xfId="0" quotePrefix="1" applyFont="1" applyFill="1" applyAlignment="1">
      <alignment vertical="top"/>
    </xf>
    <xf numFmtId="173" fontId="191" fillId="15" borderId="0" xfId="0" applyNumberFormat="1" applyFont="1" applyFill="1" applyAlignment="1">
      <alignment horizontal="right" vertical="top"/>
    </xf>
    <xf numFmtId="0" fontId="203" fillId="15" borderId="0" xfId="0" quotePrefix="1" applyFont="1" applyFill="1" applyAlignment="1">
      <alignment horizontal="right" vertical="top"/>
    </xf>
    <xf numFmtId="0" fontId="203" fillId="3" borderId="0" xfId="0" quotePrefix="1" applyFont="1" applyFill="1" applyAlignment="1">
      <alignment horizontal="right" vertical="top"/>
    </xf>
    <xf numFmtId="0" fontId="172" fillId="3" borderId="0" xfId="0" quotePrefix="1" applyFont="1" applyFill="1" applyAlignment="1">
      <alignment horizontal="right" vertical="top"/>
    </xf>
    <xf numFmtId="0" fontId="172" fillId="15" borderId="0" xfId="0" applyFont="1" applyFill="1" applyAlignment="1">
      <alignment horizontal="right" vertical="top"/>
    </xf>
    <xf numFmtId="0" fontId="10" fillId="15" borderId="10" xfId="0" applyFont="1" applyFill="1" applyBorder="1" applyAlignment="1">
      <alignment horizontal="right" wrapText="1"/>
    </xf>
    <xf numFmtId="0" fontId="10" fillId="15" borderId="11" xfId="0" applyFont="1" applyFill="1" applyBorder="1" applyAlignment="1">
      <alignment horizontal="right" wrapText="1"/>
    </xf>
    <xf numFmtId="0" fontId="10" fillId="15" borderId="12" xfId="0" applyFont="1" applyFill="1" applyBorder="1" applyAlignment="1">
      <alignment horizontal="right" wrapText="1"/>
    </xf>
    <xf numFmtId="0" fontId="10" fillId="15" borderId="13" xfId="0" applyFont="1" applyFill="1" applyBorder="1" applyAlignment="1">
      <alignment horizontal="right" wrapText="1"/>
    </xf>
    <xf numFmtId="2" fontId="10" fillId="15" borderId="0" xfId="0" applyNumberFormat="1" applyFont="1" applyFill="1" applyAlignment="1">
      <alignment horizontal="right" wrapText="1"/>
    </xf>
    <xf numFmtId="2" fontId="10" fillId="15" borderId="1" xfId="0" applyNumberFormat="1" applyFont="1" applyFill="1" applyBorder="1" applyAlignment="1">
      <alignment horizontal="right" wrapText="1"/>
    </xf>
    <xf numFmtId="0" fontId="191" fillId="15" borderId="0" xfId="0" quotePrefix="1" applyFont="1" applyFill="1" applyAlignment="1">
      <alignment horizontal="right" vertical="top"/>
    </xf>
    <xf numFmtId="0" fontId="10" fillId="15" borderId="4" xfId="0" applyFont="1" applyFill="1" applyBorder="1" applyAlignment="1">
      <alignment horizontal="right" wrapText="1"/>
    </xf>
    <xf numFmtId="2" fontId="10" fillId="15" borderId="2" xfId="0" applyNumberFormat="1" applyFont="1" applyFill="1" applyBorder="1" applyAlignment="1">
      <alignment horizontal="right" wrapText="1"/>
    </xf>
    <xf numFmtId="2" fontId="10" fillId="15" borderId="3" xfId="0" applyNumberFormat="1" applyFont="1" applyFill="1" applyBorder="1" applyAlignment="1">
      <alignment horizontal="right" wrapText="1"/>
    </xf>
    <xf numFmtId="0" fontId="95" fillId="15" borderId="0" xfId="0" applyFont="1" applyFill="1" applyAlignment="1">
      <alignment horizontal="right" wrapText="1"/>
    </xf>
    <xf numFmtId="0" fontId="10" fillId="15" borderId="1" xfId="0" applyFont="1" applyFill="1" applyBorder="1" applyAlignment="1">
      <alignment wrapText="1"/>
    </xf>
    <xf numFmtId="2" fontId="200" fillId="15" borderId="0" xfId="0" applyNumberFormat="1" applyFont="1" applyFill="1" applyAlignment="1">
      <alignment horizontal="left"/>
    </xf>
    <xf numFmtId="2" fontId="95" fillId="15" borderId="0" xfId="0" applyNumberFormat="1" applyFont="1" applyFill="1" applyAlignment="1">
      <alignment horizontal="right" wrapText="1"/>
    </xf>
    <xf numFmtId="2" fontId="9" fillId="15" borderId="0" xfId="0" applyNumberFormat="1" applyFont="1" applyFill="1" applyAlignment="1">
      <alignment horizontal="right" wrapText="1"/>
    </xf>
    <xf numFmtId="0" fontId="10" fillId="15" borderId="4" xfId="0" applyFont="1" applyFill="1" applyBorder="1" applyAlignment="1">
      <alignment wrapText="1"/>
    </xf>
    <xf numFmtId="0" fontId="10" fillId="15" borderId="2" xfId="0" applyFont="1" applyFill="1" applyBorder="1" applyAlignment="1">
      <alignment wrapText="1"/>
    </xf>
    <xf numFmtId="1" fontId="10" fillId="15" borderId="3" xfId="0" applyNumberFormat="1" applyFont="1" applyFill="1" applyBorder="1" applyAlignment="1">
      <alignment wrapText="1"/>
    </xf>
    <xf numFmtId="173" fontId="200" fillId="15" borderId="0" xfId="0" applyNumberFormat="1" applyFont="1" applyFill="1" applyAlignment="1">
      <alignment horizontal="left"/>
    </xf>
    <xf numFmtId="173" fontId="95" fillId="15" borderId="0" xfId="0" applyNumberFormat="1" applyFont="1" applyFill="1" applyAlignment="1">
      <alignment horizontal="right" wrapText="1"/>
    </xf>
    <xf numFmtId="173" fontId="9" fillId="15" borderId="0" xfId="0" applyNumberFormat="1" applyFont="1" applyFill="1" applyAlignment="1">
      <alignment horizontal="right" wrapText="1"/>
    </xf>
    <xf numFmtId="0" fontId="9" fillId="15" borderId="0" xfId="0" applyFont="1" applyFill="1" applyAlignment="1">
      <alignment wrapText="1"/>
    </xf>
    <xf numFmtId="173" fontId="190" fillId="15" borderId="0" xfId="0" applyNumberFormat="1" applyFont="1" applyFill="1" applyAlignment="1">
      <alignment horizontal="right" wrapText="1"/>
    </xf>
    <xf numFmtId="3" fontId="200" fillId="15" borderId="0" xfId="0" applyNumberFormat="1" applyFont="1" applyFill="1" applyAlignment="1">
      <alignment horizontal="left"/>
    </xf>
    <xf numFmtId="3" fontId="9" fillId="15" borderId="0" xfId="0" applyNumberFormat="1" applyFont="1" applyFill="1" applyAlignment="1">
      <alignment horizontal="right" wrapText="1"/>
    </xf>
    <xf numFmtId="173" fontId="10" fillId="15" borderId="0" xfId="0" applyNumberFormat="1" applyFont="1" applyFill="1" applyAlignment="1">
      <alignment wrapText="1"/>
    </xf>
    <xf numFmtId="166" fontId="9" fillId="15" borderId="0" xfId="0" applyNumberFormat="1" applyFont="1" applyFill="1" applyAlignment="1">
      <alignment horizontal="right" wrapText="1"/>
    </xf>
    <xf numFmtId="167" fontId="10" fillId="15" borderId="0" xfId="0" applyNumberFormat="1" applyFont="1" applyFill="1" applyAlignment="1">
      <alignment wrapText="1"/>
    </xf>
    <xf numFmtId="4" fontId="9" fillId="15" borderId="0" xfId="0" applyNumberFormat="1" applyFont="1" applyFill="1" applyAlignment="1">
      <alignment horizontal="right" wrapText="1"/>
    </xf>
    <xf numFmtId="0" fontId="10" fillId="15" borderId="3" xfId="0" applyFont="1" applyFill="1" applyBorder="1" applyAlignment="1">
      <alignment wrapText="1"/>
    </xf>
    <xf numFmtId="4" fontId="10" fillId="15" borderId="0" xfId="0" applyNumberFormat="1" applyFont="1" applyFill="1" applyAlignment="1">
      <alignment wrapText="1"/>
    </xf>
    <xf numFmtId="0" fontId="9" fillId="15" borderId="2" xfId="0" applyFont="1" applyFill="1" applyBorder="1" applyAlignment="1">
      <alignment horizontal="center" wrapText="1"/>
    </xf>
    <xf numFmtId="0" fontId="9" fillId="15" borderId="2" xfId="0" applyFont="1" applyFill="1" applyBorder="1" applyAlignment="1">
      <alignment horizontal="right" wrapText="1"/>
    </xf>
    <xf numFmtId="4" fontId="9" fillId="15" borderId="0" xfId="0" applyNumberFormat="1" applyFont="1" applyFill="1" applyAlignment="1">
      <alignment wrapText="1"/>
    </xf>
    <xf numFmtId="4" fontId="15" fillId="15" borderId="0" xfId="0" applyNumberFormat="1" applyFont="1" applyFill="1" applyAlignment="1">
      <alignment wrapText="1"/>
    </xf>
    <xf numFmtId="0" fontId="10" fillId="15" borderId="2" xfId="0" applyFont="1" applyFill="1" applyBorder="1" applyAlignment="1">
      <alignment horizontal="right" wrapText="1"/>
    </xf>
    <xf numFmtId="0" fontId="188" fillId="15" borderId="0" xfId="0" applyFont="1" applyFill="1" applyAlignment="1">
      <alignment horizontal="left" wrapText="1"/>
    </xf>
    <xf numFmtId="10" fontId="10" fillId="15" borderId="0" xfId="0" applyNumberFormat="1" applyFont="1" applyFill="1" applyAlignment="1">
      <alignment wrapText="1"/>
    </xf>
    <xf numFmtId="4" fontId="10" fillId="15" borderId="2" xfId="0" applyNumberFormat="1" applyFont="1" applyFill="1" applyBorder="1" applyAlignment="1">
      <alignment wrapText="1"/>
    </xf>
    <xf numFmtId="178" fontId="10" fillId="15" borderId="0" xfId="0" applyNumberFormat="1" applyFont="1" applyFill="1" applyAlignment="1">
      <alignment wrapText="1"/>
    </xf>
    <xf numFmtId="0" fontId="208" fillId="2" borderId="0" xfId="0" applyFont="1" applyFill="1" applyAlignment="1">
      <alignment wrapText="1"/>
    </xf>
    <xf numFmtId="0" fontId="209" fillId="0" borderId="0" xfId="0" applyFont="1" applyAlignment="1">
      <alignment wrapText="1"/>
    </xf>
    <xf numFmtId="0" fontId="210" fillId="2" borderId="0" xfId="0" applyFont="1" applyFill="1" applyAlignment="1">
      <alignment wrapText="1"/>
    </xf>
    <xf numFmtId="0" fontId="9" fillId="0" borderId="33" xfId="0" applyFont="1" applyBorder="1" applyAlignment="1">
      <alignment wrapText="1"/>
    </xf>
    <xf numFmtId="0" fontId="9" fillId="0" borderId="11" xfId="0" applyFont="1" applyBorder="1" applyAlignment="1">
      <alignment wrapText="1"/>
    </xf>
    <xf numFmtId="3" fontId="9" fillId="0" borderId="0" xfId="0" applyNumberFormat="1" applyFont="1" applyAlignment="1">
      <alignment horizontal="left" wrapText="1"/>
    </xf>
    <xf numFmtId="0" fontId="9" fillId="0" borderId="19" xfId="0" applyFont="1" applyBorder="1" applyAlignment="1">
      <alignment wrapText="1"/>
    </xf>
    <xf numFmtId="0" fontId="9" fillId="0" borderId="34" xfId="0" applyFont="1" applyBorder="1" applyAlignment="1">
      <alignment wrapText="1"/>
    </xf>
    <xf numFmtId="0" fontId="9" fillId="0" borderId="26" xfId="0" applyFont="1" applyBorder="1" applyAlignment="1">
      <alignment wrapText="1"/>
    </xf>
    <xf numFmtId="0" fontId="9" fillId="0" borderId="24" xfId="0" applyFont="1" applyBorder="1" applyAlignment="1">
      <alignment wrapText="1"/>
    </xf>
    <xf numFmtId="0" fontId="9" fillId="0" borderId="35" xfId="0" applyFont="1" applyBorder="1" applyAlignment="1">
      <alignment wrapText="1"/>
    </xf>
    <xf numFmtId="166" fontId="125" fillId="2" borderId="0" xfId="0" applyNumberFormat="1" applyFont="1" applyFill="1" applyAlignment="1">
      <alignment wrapText="1"/>
    </xf>
    <xf numFmtId="0" fontId="184" fillId="2" borderId="0" xfId="0" applyFont="1" applyFill="1" applyAlignment="1">
      <alignment horizontal="center" wrapText="1"/>
    </xf>
    <xf numFmtId="0" fontId="182" fillId="2" borderId="0" xfId="0" applyFont="1" applyFill="1" applyAlignment="1">
      <alignment horizontal="right" wrapText="1"/>
    </xf>
    <xf numFmtId="0" fontId="211" fillId="2" borderId="0" xfId="0" applyFont="1" applyFill="1" applyAlignment="1">
      <alignment horizontal="right" wrapText="1"/>
    </xf>
    <xf numFmtId="0" fontId="212" fillId="2" borderId="0" xfId="0" applyFont="1" applyFill="1" applyAlignment="1">
      <alignment wrapText="1"/>
    </xf>
    <xf numFmtId="0" fontId="213" fillId="2" borderId="0" xfId="0" applyFont="1" applyFill="1" applyAlignment="1">
      <alignment horizontal="right" wrapText="1"/>
    </xf>
    <xf numFmtId="0" fontId="179" fillId="2" borderId="0" xfId="0" applyFont="1" applyFill="1" applyAlignment="1">
      <alignment horizontal="right" wrapText="1"/>
    </xf>
    <xf numFmtId="0" fontId="214" fillId="0" borderId="0" xfId="0" applyFont="1" applyAlignment="1">
      <alignment wrapText="1"/>
    </xf>
    <xf numFmtId="0" fontId="215" fillId="0" borderId="0" xfId="0" applyFont="1" applyAlignment="1">
      <alignment horizontal="center" wrapText="1"/>
    </xf>
    <xf numFmtId="180" fontId="216" fillId="2" borderId="0" xfId="0" applyNumberFormat="1" applyFont="1" applyFill="1" applyAlignment="1">
      <alignment horizontal="left" wrapText="1"/>
    </xf>
    <xf numFmtId="0" fontId="215" fillId="0" borderId="0" xfId="0" applyFont="1" applyAlignment="1">
      <alignment wrapText="1"/>
    </xf>
    <xf numFmtId="0" fontId="215" fillId="0" borderId="13" xfId="0" applyFont="1" applyBorder="1" applyAlignment="1">
      <alignment wrapText="1"/>
    </xf>
    <xf numFmtId="4" fontId="215" fillId="0" borderId="0" xfId="0" applyNumberFormat="1" applyFont="1" applyAlignment="1">
      <alignment wrapText="1"/>
    </xf>
    <xf numFmtId="0" fontId="215" fillId="0" borderId="0" xfId="0" quotePrefix="1" applyFont="1" applyAlignment="1">
      <alignment wrapText="1"/>
    </xf>
    <xf numFmtId="0" fontId="214" fillId="17" borderId="0" xfId="0" applyFont="1" applyFill="1" applyAlignment="1">
      <alignment wrapText="1"/>
    </xf>
    <xf numFmtId="181" fontId="215" fillId="17" borderId="0" xfId="0" applyNumberFormat="1" applyFont="1" applyFill="1" applyAlignment="1">
      <alignment wrapText="1"/>
    </xf>
    <xf numFmtId="0" fontId="215" fillId="17" borderId="0" xfId="0" applyFont="1" applyFill="1" applyAlignment="1">
      <alignment wrapText="1"/>
    </xf>
    <xf numFmtId="0" fontId="217" fillId="2" borderId="0" xfId="0" applyFont="1" applyFill="1" applyAlignment="1">
      <alignment horizontal="left" wrapText="1"/>
    </xf>
    <xf numFmtId="0" fontId="215" fillId="17" borderId="13" xfId="0" applyFont="1" applyFill="1" applyBorder="1" applyAlignment="1">
      <alignment wrapText="1"/>
    </xf>
    <xf numFmtId="4" fontId="215" fillId="17" borderId="0" xfId="0" applyNumberFormat="1" applyFont="1" applyFill="1" applyAlignment="1">
      <alignment wrapText="1"/>
    </xf>
    <xf numFmtId="0" fontId="215" fillId="3" borderId="0" xfId="0" applyFont="1" applyFill="1" applyAlignment="1">
      <alignment wrapText="1"/>
    </xf>
    <xf numFmtId="0" fontId="218" fillId="17" borderId="0" xfId="0" applyFont="1" applyFill="1" applyAlignment="1">
      <alignment wrapText="1"/>
    </xf>
    <xf numFmtId="0" fontId="215" fillId="17" borderId="0" xfId="0" applyFont="1" applyFill="1"/>
    <xf numFmtId="0" fontId="219" fillId="2" borderId="0" xfId="0" applyFont="1" applyFill="1" applyAlignment="1">
      <alignment wrapText="1"/>
    </xf>
    <xf numFmtId="0" fontId="220" fillId="17" borderId="0" xfId="0" applyFont="1" applyFill="1" applyAlignment="1">
      <alignment wrapText="1"/>
    </xf>
    <xf numFmtId="181" fontId="215" fillId="17" borderId="0" xfId="0" applyNumberFormat="1" applyFont="1" applyFill="1" applyAlignment="1">
      <alignment horizontal="right" wrapText="1"/>
    </xf>
    <xf numFmtId="173" fontId="215" fillId="0" borderId="0" xfId="0" applyNumberFormat="1" applyFont="1" applyAlignment="1">
      <alignment wrapText="1"/>
    </xf>
    <xf numFmtId="0" fontId="221" fillId="17" borderId="0" xfId="0" applyFont="1" applyFill="1" applyAlignment="1">
      <alignment wrapText="1"/>
    </xf>
    <xf numFmtId="0" fontId="222" fillId="17" borderId="0" xfId="0" applyFont="1" applyFill="1" applyAlignment="1">
      <alignment wrapText="1"/>
    </xf>
    <xf numFmtId="166" fontId="222" fillId="17" borderId="0" xfId="0" applyNumberFormat="1" applyFont="1" applyFill="1" applyAlignment="1">
      <alignment wrapText="1"/>
    </xf>
    <xf numFmtId="0" fontId="222" fillId="0" borderId="0" xfId="0" applyFont="1" applyAlignment="1">
      <alignment wrapText="1"/>
    </xf>
    <xf numFmtId="0" fontId="215" fillId="2" borderId="0" xfId="0" applyFont="1" applyFill="1" applyAlignment="1">
      <alignment wrapText="1"/>
    </xf>
    <xf numFmtId="0" fontId="214" fillId="0" borderId="13" xfId="0" applyFont="1" applyBorder="1" applyAlignment="1">
      <alignment wrapText="1"/>
    </xf>
    <xf numFmtId="0" fontId="206" fillId="2" borderId="0" xfId="0" applyFont="1" applyFill="1" applyAlignment="1">
      <alignment horizontal="left" wrapText="1"/>
    </xf>
    <xf numFmtId="0" fontId="214" fillId="2" borderId="0" xfId="0" applyFont="1" applyFill="1" applyAlignment="1">
      <alignment wrapText="1"/>
    </xf>
    <xf numFmtId="49" fontId="214" fillId="2" borderId="0" xfId="0" applyNumberFormat="1" applyFont="1" applyFill="1" applyAlignment="1">
      <alignment horizontal="right" wrapText="1"/>
    </xf>
    <xf numFmtId="0" fontId="214" fillId="2" borderId="0" xfId="0" applyFont="1" applyFill="1" applyAlignment="1">
      <alignment horizontal="right" wrapText="1"/>
    </xf>
    <xf numFmtId="0" fontId="220" fillId="2" borderId="0" xfId="0" applyFont="1" applyFill="1" applyAlignment="1">
      <alignment wrapText="1"/>
    </xf>
    <xf numFmtId="181" fontId="215" fillId="2" borderId="0" xfId="0" applyNumberFormat="1" applyFont="1" applyFill="1" applyAlignment="1">
      <alignment wrapText="1"/>
    </xf>
    <xf numFmtId="0" fontId="22" fillId="0" borderId="0" xfId="0" applyFont="1" applyAlignment="1">
      <alignment wrapText="1"/>
    </xf>
    <xf numFmtId="0" fontId="22" fillId="3" borderId="0" xfId="0" applyFont="1" applyFill="1" applyAlignment="1">
      <alignment wrapText="1"/>
    </xf>
    <xf numFmtId="0" fontId="3" fillId="3" borderId="0" xfId="0" applyFont="1" applyFill="1" applyAlignment="1">
      <alignment horizontal="left" wrapText="1"/>
    </xf>
    <xf numFmtId="0" fontId="10" fillId="17" borderId="0" xfId="0" applyFont="1" applyFill="1" applyAlignment="1">
      <alignment wrapText="1"/>
    </xf>
    <xf numFmtId="0" fontId="125" fillId="17" borderId="0" xfId="0" applyFont="1" applyFill="1" applyAlignment="1">
      <alignment wrapText="1"/>
    </xf>
    <xf numFmtId="0" fontId="14" fillId="17" borderId="0" xfId="0" applyFont="1" applyFill="1" applyAlignment="1">
      <alignment horizontal="left" wrapText="1"/>
    </xf>
    <xf numFmtId="0" fontId="223" fillId="17" borderId="0" xfId="0" applyFont="1" applyFill="1" applyAlignment="1">
      <alignment wrapText="1"/>
    </xf>
    <xf numFmtId="0" fontId="224" fillId="17" borderId="0" xfId="0" applyFont="1" applyFill="1" applyAlignment="1">
      <alignment wrapText="1"/>
    </xf>
    <xf numFmtId="0" fontId="225" fillId="17" borderId="0" xfId="0" applyFont="1" applyFill="1" applyAlignment="1">
      <alignment wrapText="1"/>
    </xf>
    <xf numFmtId="0" fontId="226" fillId="17" borderId="0" xfId="0" applyFont="1" applyFill="1" applyAlignment="1">
      <alignment horizontal="left" vertical="top"/>
    </xf>
    <xf numFmtId="0" fontId="12" fillId="17" borderId="0" xfId="0" applyFont="1" applyFill="1" applyAlignment="1">
      <alignment wrapText="1"/>
    </xf>
    <xf numFmtId="0" fontId="223" fillId="3" borderId="0" xfId="0" applyFont="1" applyFill="1" applyAlignment="1">
      <alignment wrapText="1"/>
    </xf>
    <xf numFmtId="0" fontId="10" fillId="18" borderId="0" xfId="0" applyFont="1" applyFill="1" applyAlignment="1">
      <alignment wrapText="1"/>
    </xf>
    <xf numFmtId="0" fontId="9" fillId="17" borderId="0" xfId="0" applyFont="1" applyFill="1" applyAlignment="1">
      <alignment wrapText="1"/>
    </xf>
    <xf numFmtId="0" fontId="227" fillId="17" borderId="0" xfId="0" applyFont="1" applyFill="1" applyAlignment="1">
      <alignment wrapText="1"/>
    </xf>
    <xf numFmtId="0" fontId="9" fillId="18" borderId="0" xfId="0" applyFont="1" applyFill="1" applyAlignment="1">
      <alignment wrapText="1"/>
    </xf>
    <xf numFmtId="0" fontId="10" fillId="2" borderId="0" xfId="0" applyFont="1" applyFill="1" applyAlignment="1">
      <alignment horizontal="left" wrapText="1"/>
    </xf>
    <xf numFmtId="0" fontId="223" fillId="2" borderId="0" xfId="0" applyFont="1" applyFill="1" applyAlignment="1">
      <alignment horizontal="left" wrapText="1"/>
    </xf>
    <xf numFmtId="0" fontId="9" fillId="19" borderId="0" xfId="0" applyFont="1" applyFill="1" applyAlignment="1">
      <alignment wrapText="1"/>
    </xf>
    <xf numFmtId="0" fontId="10" fillId="19" borderId="0" xfId="0" applyFont="1" applyFill="1" applyAlignment="1">
      <alignment wrapText="1"/>
    </xf>
    <xf numFmtId="171" fontId="9" fillId="19" borderId="0" xfId="0" applyNumberFormat="1" applyFont="1" applyFill="1" applyAlignment="1">
      <alignment horizontal="left" wrapText="1"/>
    </xf>
    <xf numFmtId="0" fontId="9" fillId="19" borderId="0" xfId="0" applyFont="1" applyFill="1" applyAlignment="1">
      <alignment horizontal="left" wrapText="1"/>
    </xf>
    <xf numFmtId="0" fontId="223" fillId="2" borderId="0" xfId="0" applyFont="1" applyFill="1" applyAlignment="1">
      <alignment wrapText="1"/>
    </xf>
    <xf numFmtId="0" fontId="10" fillId="19" borderId="2" xfId="0" applyFont="1" applyFill="1" applyBorder="1" applyAlignment="1">
      <alignment wrapText="1"/>
    </xf>
    <xf numFmtId="0" fontId="10" fillId="2" borderId="2" xfId="0" applyFont="1" applyFill="1" applyBorder="1" applyAlignment="1">
      <alignment wrapText="1"/>
    </xf>
    <xf numFmtId="0" fontId="230" fillId="0" borderId="0" xfId="0" applyFont="1" applyAlignment="1">
      <alignment wrapText="1"/>
    </xf>
    <xf numFmtId="0" fontId="233" fillId="2" borderId="0" xfId="0" applyFont="1" applyFill="1" applyAlignment="1">
      <alignment horizontal="right" vertical="top" wrapText="1"/>
    </xf>
    <xf numFmtId="0" fontId="235" fillId="2" borderId="0" xfId="0" applyFont="1" applyFill="1" applyAlignment="1">
      <alignment wrapText="1"/>
    </xf>
    <xf numFmtId="0" fontId="10" fillId="20" borderId="0" xfId="0" applyFont="1" applyFill="1" applyAlignment="1">
      <alignment wrapText="1"/>
    </xf>
    <xf numFmtId="0" fontId="237" fillId="0" borderId="0" xfId="0" applyFont="1" applyAlignment="1">
      <alignment wrapText="1"/>
    </xf>
    <xf numFmtId="0" fontId="14" fillId="2" borderId="0" xfId="0" applyFont="1" applyFill="1" applyAlignment="1">
      <alignment horizontal="left" wrapText="1"/>
    </xf>
    <xf numFmtId="0" fontId="224" fillId="0" borderId="0" xfId="0" applyFont="1" applyAlignment="1">
      <alignment horizontal="left" wrapText="1"/>
    </xf>
    <xf numFmtId="0" fontId="224" fillId="0" borderId="0" xfId="0" applyFont="1" applyAlignment="1">
      <alignment wrapText="1"/>
    </xf>
    <xf numFmtId="0" fontId="233" fillId="20" borderId="0" xfId="0" applyFont="1" applyFill="1" applyAlignment="1">
      <alignment horizontal="right" vertical="top" wrapText="1"/>
    </xf>
    <xf numFmtId="0" fontId="245" fillId="0" borderId="0" xfId="0" applyFont="1" applyAlignment="1">
      <alignment wrapText="1"/>
    </xf>
    <xf numFmtId="0" fontId="247" fillId="3" borderId="0" xfId="0" applyFont="1" applyFill="1" applyAlignment="1">
      <alignment wrapText="1"/>
    </xf>
    <xf numFmtId="0" fontId="3" fillId="2" borderId="0" xfId="0" applyFont="1" applyFill="1" applyAlignment="1">
      <alignment horizontal="left" wrapText="1"/>
    </xf>
    <xf numFmtId="0" fontId="263" fillId="2" borderId="0" xfId="0" applyFont="1" applyFill="1" applyAlignment="1">
      <alignment wrapText="1"/>
    </xf>
    <xf numFmtId="0" fontId="125" fillId="21" borderId="0" xfId="0" applyFont="1" applyFill="1" applyAlignment="1">
      <alignment wrapText="1"/>
    </xf>
    <xf numFmtId="0" fontId="14" fillId="21" borderId="0" xfId="0" applyFont="1" applyFill="1" applyAlignment="1">
      <alignment horizontal="left" wrapText="1"/>
    </xf>
    <xf numFmtId="0" fontId="224" fillId="21" borderId="0" xfId="0" applyFont="1" applyFill="1" applyAlignment="1">
      <alignment wrapText="1"/>
    </xf>
    <xf numFmtId="0" fontId="224" fillId="21" borderId="0" xfId="0" applyFont="1" applyFill="1" applyAlignment="1">
      <alignment horizontal="left" wrapText="1"/>
    </xf>
    <xf numFmtId="0" fontId="10" fillId="21" borderId="0" xfId="0" applyFont="1" applyFill="1" applyAlignment="1">
      <alignment wrapText="1"/>
    </xf>
    <xf numFmtId="0" fontId="264" fillId="21" borderId="0" xfId="0" applyFont="1" applyFill="1" applyAlignment="1">
      <alignment wrapText="1"/>
    </xf>
    <xf numFmtId="0" fontId="265" fillId="21" borderId="0" xfId="0" applyFont="1" applyFill="1" applyAlignment="1">
      <alignment horizontal="left" wrapText="1"/>
    </xf>
    <xf numFmtId="0" fontId="22" fillId="21" borderId="0" xfId="0" applyFont="1" applyFill="1" applyAlignment="1">
      <alignment wrapText="1"/>
    </xf>
    <xf numFmtId="0" fontId="9" fillId="21" borderId="0" xfId="0" applyFont="1" applyFill="1" applyAlignment="1">
      <alignment wrapText="1"/>
    </xf>
    <xf numFmtId="0" fontId="266" fillId="2" borderId="0" xfId="0" applyFont="1" applyFill="1" applyAlignment="1">
      <alignment wrapText="1"/>
    </xf>
    <xf numFmtId="0" fontId="267" fillId="0" borderId="0" xfId="0" applyFont="1" applyAlignment="1">
      <alignment wrapText="1"/>
    </xf>
    <xf numFmtId="0" fontId="264" fillId="2" borderId="0" xfId="0" applyFont="1" applyFill="1" applyAlignment="1">
      <alignment wrapText="1"/>
    </xf>
    <xf numFmtId="0" fontId="265" fillId="2" borderId="0" xfId="0" applyFont="1" applyFill="1" applyAlignment="1">
      <alignment horizontal="left" wrapText="1"/>
    </xf>
    <xf numFmtId="0" fontId="268" fillId="2" borderId="0" xfId="0" applyFont="1" applyFill="1" applyAlignment="1">
      <alignment wrapText="1"/>
    </xf>
    <xf numFmtId="0" fontId="224" fillId="3" borderId="0" xfId="0" applyFont="1" applyFill="1" applyAlignment="1">
      <alignment wrapText="1"/>
    </xf>
    <xf numFmtId="0" fontId="225" fillId="12" borderId="0" xfId="0" applyFont="1" applyFill="1" applyAlignment="1">
      <alignment wrapText="1"/>
    </xf>
    <xf numFmtId="0" fontId="226" fillId="2" borderId="0" xfId="0" applyFont="1" applyFill="1" applyAlignment="1">
      <alignment horizontal="left" vertical="top"/>
    </xf>
    <xf numFmtId="0" fontId="272" fillId="2" borderId="0" xfId="0" applyFont="1" applyFill="1" applyAlignment="1">
      <alignment horizontal="center" wrapText="1"/>
    </xf>
    <xf numFmtId="0" fontId="224" fillId="2" borderId="0" xfId="0" applyFont="1" applyFill="1" applyAlignment="1">
      <alignment wrapText="1"/>
    </xf>
    <xf numFmtId="0" fontId="273" fillId="2" borderId="0" xfId="0" applyFont="1" applyFill="1" applyAlignment="1">
      <alignment wrapText="1"/>
    </xf>
    <xf numFmtId="0" fontId="275" fillId="2" borderId="0" xfId="0" applyFont="1" applyFill="1" applyAlignment="1">
      <alignment wrapText="1"/>
    </xf>
    <xf numFmtId="0" fontId="276" fillId="2" borderId="0" xfId="0" applyFont="1" applyFill="1" applyAlignment="1">
      <alignment wrapText="1"/>
    </xf>
    <xf numFmtId="0" fontId="277" fillId="2" borderId="0" xfId="0" applyFont="1" applyFill="1" applyAlignment="1">
      <alignment wrapText="1"/>
    </xf>
    <xf numFmtId="0" fontId="12" fillId="22" borderId="0" xfId="0" applyFont="1" applyFill="1" applyAlignment="1">
      <alignment wrapText="1"/>
    </xf>
    <xf numFmtId="0" fontId="14" fillId="23" borderId="0" xfId="0" applyFont="1" applyFill="1" applyAlignment="1">
      <alignment wrapText="1"/>
    </xf>
    <xf numFmtId="0" fontId="278" fillId="2" borderId="0" xfId="0" applyFont="1" applyFill="1" applyAlignment="1">
      <alignment wrapText="1"/>
    </xf>
    <xf numFmtId="0" fontId="279" fillId="22" borderId="0" xfId="0" applyFont="1" applyFill="1" applyAlignment="1">
      <alignment wrapText="1"/>
    </xf>
    <xf numFmtId="0" fontId="172" fillId="2" borderId="0" xfId="0" applyFont="1" applyFill="1" applyAlignment="1">
      <alignment horizontal="left" vertical="top" wrapText="1"/>
    </xf>
    <xf numFmtId="0" fontId="280" fillId="2" borderId="0" xfId="0" applyFont="1" applyFill="1" applyAlignment="1">
      <alignment horizontal="left" vertical="top" wrapText="1"/>
    </xf>
    <xf numFmtId="0" fontId="281" fillId="2" borderId="0" xfId="0" applyFont="1" applyFill="1" applyAlignment="1">
      <alignment wrapText="1"/>
    </xf>
    <xf numFmtId="14" fontId="10" fillId="0" borderId="0" xfId="0" applyNumberFormat="1" applyFont="1" applyAlignment="1">
      <alignment horizontal="left" wrapText="1"/>
    </xf>
    <xf numFmtId="0" fontId="282" fillId="24" borderId="0" xfId="0" applyFont="1" applyFill="1" applyAlignment="1">
      <alignment horizontal="left" vertical="top" wrapText="1"/>
    </xf>
    <xf numFmtId="0" fontId="10" fillId="19" borderId="0" xfId="0" applyFont="1" applyFill="1" applyAlignment="1">
      <alignment horizontal="left" wrapText="1"/>
    </xf>
    <xf numFmtId="0" fontId="10" fillId="25" borderId="0" xfId="0" applyFont="1" applyFill="1" applyAlignment="1">
      <alignment wrapText="1"/>
    </xf>
    <xf numFmtId="0" fontId="12" fillId="25" borderId="0" xfId="0" applyFont="1" applyFill="1" applyAlignment="1">
      <alignment wrapText="1"/>
    </xf>
    <xf numFmtId="0" fontId="10" fillId="26" borderId="0" xfId="0" applyFont="1" applyFill="1" applyAlignment="1">
      <alignment wrapText="1"/>
    </xf>
    <xf numFmtId="0" fontId="9" fillId="26" borderId="0" xfId="0" applyFont="1" applyFill="1" applyAlignment="1">
      <alignment wrapText="1"/>
    </xf>
    <xf numFmtId="0" fontId="283" fillId="0" borderId="0" xfId="0" applyFont="1" applyAlignment="1">
      <alignment wrapText="1"/>
    </xf>
    <xf numFmtId="0" fontId="284" fillId="2" borderId="0" xfId="0" applyFont="1" applyFill="1" applyAlignment="1">
      <alignment horizontal="right" wrapText="1"/>
    </xf>
    <xf numFmtId="0" fontId="285" fillId="2" borderId="0" xfId="0" applyFont="1" applyFill="1" applyAlignment="1">
      <alignment horizontal="left" wrapText="1"/>
    </xf>
    <xf numFmtId="0" fontId="286" fillId="2" borderId="0" xfId="0" applyFont="1" applyFill="1" applyAlignment="1">
      <alignment horizontal="left" wrapText="1"/>
    </xf>
    <xf numFmtId="0" fontId="284" fillId="2" borderId="0" xfId="0" applyFont="1" applyFill="1" applyAlignment="1">
      <alignment horizontal="left" wrapText="1"/>
    </xf>
    <xf numFmtId="0" fontId="287" fillId="2" borderId="0" xfId="0" applyFont="1" applyFill="1" applyAlignment="1">
      <alignment horizontal="left" wrapText="1"/>
    </xf>
    <xf numFmtId="0" fontId="288" fillId="2" borderId="0" xfId="0" applyFont="1" applyFill="1" applyAlignment="1">
      <alignment horizontal="left" wrapText="1"/>
    </xf>
    <xf numFmtId="0" fontId="10" fillId="0" borderId="36" xfId="0" applyFont="1" applyBorder="1" applyAlignment="1">
      <alignment wrapText="1"/>
    </xf>
    <xf numFmtId="0" fontId="10" fillId="27" borderId="40" xfId="0" applyFont="1" applyFill="1" applyBorder="1" applyAlignment="1">
      <alignment wrapText="1"/>
    </xf>
    <xf numFmtId="0" fontId="22" fillId="28" borderId="41" xfId="0" applyFont="1" applyFill="1" applyBorder="1" applyAlignment="1">
      <alignment horizontal="center" wrapText="1"/>
    </xf>
    <xf numFmtId="0" fontId="22" fillId="28" borderId="0" xfId="0" applyFont="1" applyFill="1" applyAlignment="1">
      <alignment horizontal="right" wrapText="1"/>
    </xf>
    <xf numFmtId="183" fontId="22" fillId="28" borderId="0" xfId="0" applyNumberFormat="1" applyFont="1" applyFill="1" applyAlignment="1">
      <alignment horizontal="right" wrapText="1"/>
    </xf>
    <xf numFmtId="0" fontId="22" fillId="27" borderId="42" xfId="0" applyFont="1" applyFill="1" applyBorder="1" applyAlignment="1">
      <alignment horizontal="right" wrapText="1"/>
    </xf>
    <xf numFmtId="0" fontId="22" fillId="28" borderId="41" xfId="0" applyFont="1" applyFill="1" applyBorder="1" applyAlignment="1">
      <alignment wrapText="1"/>
    </xf>
    <xf numFmtId="4" fontId="22" fillId="0" borderId="0" xfId="0" applyNumberFormat="1" applyFont="1" applyAlignment="1">
      <alignment wrapText="1"/>
    </xf>
    <xf numFmtId="183" fontId="22" fillId="28" borderId="0" xfId="0" applyNumberFormat="1" applyFont="1" applyFill="1" applyAlignment="1">
      <alignment wrapText="1"/>
    </xf>
    <xf numFmtId="183" fontId="22" fillId="27" borderId="42" xfId="0" applyNumberFormat="1" applyFont="1" applyFill="1" applyBorder="1" applyAlignment="1">
      <alignment wrapText="1"/>
    </xf>
    <xf numFmtId="0" fontId="290" fillId="0" borderId="0" xfId="0" applyFont="1" applyAlignment="1">
      <alignment wrapText="1"/>
    </xf>
    <xf numFmtId="4" fontId="10" fillId="28" borderId="0" xfId="0" applyNumberFormat="1" applyFont="1" applyFill="1" applyAlignment="1">
      <alignment wrapText="1"/>
    </xf>
    <xf numFmtId="183" fontId="10" fillId="27" borderId="42" xfId="0" applyNumberFormat="1" applyFont="1" applyFill="1" applyBorder="1" applyAlignment="1">
      <alignment wrapText="1"/>
    </xf>
    <xf numFmtId="0" fontId="290" fillId="29" borderId="0" xfId="0" applyFont="1" applyFill="1" applyAlignment="1">
      <alignment wrapText="1"/>
    </xf>
    <xf numFmtId="0" fontId="10" fillId="28" borderId="41" xfId="0" applyFont="1" applyFill="1" applyBorder="1" applyAlignment="1">
      <alignment wrapText="1"/>
    </xf>
    <xf numFmtId="4" fontId="0" fillId="25" borderId="0" xfId="0" applyNumberFormat="1" applyFill="1" applyAlignment="1">
      <alignment wrapText="1"/>
    </xf>
    <xf numFmtId="4" fontId="0" fillId="17" borderId="0" xfId="0" applyNumberFormat="1" applyFill="1" applyAlignment="1">
      <alignment wrapText="1"/>
    </xf>
    <xf numFmtId="4" fontId="22" fillId="28" borderId="0" xfId="0" applyNumberFormat="1" applyFont="1" applyFill="1" applyAlignment="1">
      <alignment wrapText="1"/>
    </xf>
    <xf numFmtId="3" fontId="10" fillId="2" borderId="0" xfId="0" applyNumberFormat="1" applyFont="1" applyFill="1" applyAlignment="1">
      <alignment horizontal="center" wrapText="1"/>
    </xf>
    <xf numFmtId="0" fontId="290" fillId="29" borderId="0" xfId="0" applyFont="1" applyFill="1"/>
    <xf numFmtId="4" fontId="0" fillId="25" borderId="11" xfId="0" applyNumberFormat="1" applyFill="1" applyBorder="1" applyAlignment="1">
      <alignment wrapText="1"/>
    </xf>
    <xf numFmtId="183" fontId="10" fillId="27" borderId="0" xfId="0" applyNumberFormat="1" applyFont="1" applyFill="1" applyAlignment="1">
      <alignment wrapText="1"/>
    </xf>
    <xf numFmtId="3" fontId="10" fillId="0" borderId="0" xfId="0" applyNumberFormat="1" applyFont="1" applyAlignment="1">
      <alignment horizontal="center" wrapText="1"/>
    </xf>
    <xf numFmtId="4" fontId="0" fillId="3" borderId="0" xfId="0" applyNumberFormat="1" applyFill="1" applyAlignment="1">
      <alignment wrapText="1"/>
    </xf>
    <xf numFmtId="0" fontId="291" fillId="2" borderId="0" xfId="0" applyFont="1" applyFill="1" applyAlignment="1">
      <alignment wrapText="1"/>
    </xf>
    <xf numFmtId="4" fontId="0" fillId="2" borderId="0" xfId="0" applyNumberFormat="1" applyFill="1" applyAlignment="1">
      <alignment wrapText="1"/>
    </xf>
    <xf numFmtId="4" fontId="292" fillId="25" borderId="2" xfId="0" applyNumberFormat="1" applyFont="1" applyFill="1" applyBorder="1" applyAlignment="1">
      <alignment wrapText="1"/>
    </xf>
    <xf numFmtId="4" fontId="0" fillId="25" borderId="43" xfId="0" applyNumberFormat="1" applyFill="1" applyBorder="1" applyAlignment="1">
      <alignment wrapText="1"/>
    </xf>
    <xf numFmtId="4" fontId="0" fillId="2" borderId="43" xfId="0" applyNumberFormat="1" applyFill="1" applyBorder="1" applyAlignment="1">
      <alignment wrapText="1"/>
    </xf>
    <xf numFmtId="0" fontId="289" fillId="4" borderId="44" xfId="0" applyFont="1" applyFill="1" applyBorder="1" applyAlignment="1">
      <alignment wrapText="1"/>
    </xf>
    <xf numFmtId="4" fontId="293" fillId="4" borderId="36" xfId="0" applyNumberFormat="1" applyFont="1" applyFill="1" applyBorder="1" applyAlignment="1">
      <alignment wrapText="1"/>
    </xf>
    <xf numFmtId="0" fontId="289" fillId="27" borderId="45" xfId="0" applyFont="1" applyFill="1" applyBorder="1" applyAlignment="1">
      <alignment wrapText="1"/>
    </xf>
    <xf numFmtId="0" fontId="293" fillId="27" borderId="38" xfId="0" applyFont="1" applyFill="1" applyBorder="1" applyAlignment="1">
      <alignment wrapText="1"/>
    </xf>
    <xf numFmtId="4" fontId="289" fillId="27" borderId="38" xfId="0" applyNumberFormat="1" applyFont="1" applyFill="1" applyBorder="1" applyAlignment="1">
      <alignment wrapText="1"/>
    </xf>
    <xf numFmtId="0" fontId="10" fillId="27" borderId="46" xfId="0" applyFont="1" applyFill="1" applyBorder="1" applyAlignment="1">
      <alignment wrapText="1"/>
    </xf>
    <xf numFmtId="0" fontId="294" fillId="2" borderId="0" xfId="0" applyFont="1" applyFill="1" applyAlignment="1">
      <alignment wrapText="1"/>
    </xf>
    <xf numFmtId="4" fontId="295" fillId="2" borderId="0" xfId="0" applyNumberFormat="1" applyFont="1" applyFill="1" applyAlignment="1">
      <alignment wrapText="1"/>
    </xf>
    <xf numFmtId="4" fontId="296" fillId="25" borderId="0" xfId="0" applyNumberFormat="1" applyFont="1" applyFill="1" applyAlignment="1">
      <alignment wrapText="1"/>
    </xf>
    <xf numFmtId="4" fontId="296" fillId="3" borderId="0" xfId="0" applyNumberFormat="1" applyFont="1" applyFill="1" applyAlignment="1">
      <alignment wrapText="1"/>
    </xf>
    <xf numFmtId="4" fontId="292" fillId="2" borderId="0" xfId="0" applyNumberFormat="1" applyFont="1" applyFill="1" applyAlignment="1">
      <alignment wrapText="1"/>
    </xf>
    <xf numFmtId="4" fontId="295" fillId="25" borderId="0" xfId="0" applyNumberFormat="1" applyFont="1" applyFill="1" applyAlignment="1">
      <alignment wrapText="1"/>
    </xf>
    <xf numFmtId="4" fontId="297" fillId="2" borderId="0" xfId="0" applyNumberFormat="1" applyFont="1" applyFill="1" applyAlignment="1">
      <alignment wrapText="1"/>
    </xf>
    <xf numFmtId="4" fontId="298" fillId="25" borderId="0" xfId="0" applyNumberFormat="1" applyFont="1" applyFill="1" applyAlignment="1">
      <alignment wrapText="1"/>
    </xf>
    <xf numFmtId="0" fontId="13" fillId="28" borderId="41" xfId="0" applyFont="1" applyFill="1" applyBorder="1" applyAlignment="1">
      <alignment wrapText="1"/>
    </xf>
    <xf numFmtId="4" fontId="292" fillId="25" borderId="0" xfId="0" applyNumberFormat="1" applyFont="1" applyFill="1" applyAlignment="1">
      <alignment wrapText="1"/>
    </xf>
    <xf numFmtId="4" fontId="299" fillId="25" borderId="0" xfId="0" applyNumberFormat="1" applyFont="1" applyFill="1" applyAlignment="1">
      <alignment wrapText="1"/>
    </xf>
    <xf numFmtId="4" fontId="299" fillId="3" borderId="0" xfId="0" applyNumberFormat="1" applyFont="1" applyFill="1" applyAlignment="1">
      <alignment wrapText="1"/>
    </xf>
    <xf numFmtId="183" fontId="10" fillId="0" borderId="0" xfId="0" applyNumberFormat="1" applyFont="1" applyAlignment="1">
      <alignment wrapText="1"/>
    </xf>
    <xf numFmtId="4" fontId="299" fillId="2" borderId="0" xfId="0" applyNumberFormat="1" applyFont="1" applyFill="1" applyAlignment="1">
      <alignment wrapText="1"/>
    </xf>
    <xf numFmtId="0" fontId="293" fillId="27" borderId="0" xfId="0" applyFont="1" applyFill="1" applyAlignment="1">
      <alignment wrapText="1"/>
    </xf>
    <xf numFmtId="0" fontId="293" fillId="27" borderId="46" xfId="0" applyFont="1" applyFill="1" applyBorder="1" applyAlignment="1">
      <alignment wrapText="1"/>
    </xf>
    <xf numFmtId="3" fontId="22" fillId="0" borderId="0" xfId="0" applyNumberFormat="1" applyFont="1" applyAlignment="1">
      <alignment wrapText="1"/>
    </xf>
    <xf numFmtId="0" fontId="10" fillId="0" borderId="38" xfId="0" applyFont="1" applyBorder="1" applyAlignment="1">
      <alignment wrapText="1"/>
    </xf>
    <xf numFmtId="4" fontId="10" fillId="0" borderId="36" xfId="0" applyNumberFormat="1" applyFont="1" applyBorder="1" applyAlignment="1">
      <alignment wrapText="1"/>
    </xf>
    <xf numFmtId="0" fontId="10" fillId="27" borderId="42" xfId="0" applyFont="1" applyFill="1" applyBorder="1" applyAlignment="1">
      <alignment wrapText="1"/>
    </xf>
    <xf numFmtId="0" fontId="10" fillId="27" borderId="0" xfId="0" applyFont="1" applyFill="1" applyAlignment="1">
      <alignment wrapText="1"/>
    </xf>
    <xf numFmtId="0" fontId="300" fillId="2" borderId="0" xfId="0" applyFont="1" applyFill="1" applyAlignment="1">
      <alignment wrapText="1"/>
    </xf>
    <xf numFmtId="44" fontId="10" fillId="0" borderId="0" xfId="0" applyNumberFormat="1" applyFont="1" applyAlignment="1">
      <alignment wrapText="1"/>
    </xf>
    <xf numFmtId="0" fontId="301" fillId="2" borderId="0" xfId="0" applyFont="1" applyFill="1" applyAlignment="1">
      <alignment wrapText="1"/>
    </xf>
    <xf numFmtId="0" fontId="302" fillId="2" borderId="0" xfId="0" applyFont="1" applyFill="1" applyAlignment="1">
      <alignment wrapText="1"/>
    </xf>
    <xf numFmtId="44" fontId="9" fillId="0" borderId="0" xfId="0" applyNumberFormat="1" applyFont="1" applyAlignment="1">
      <alignment horizontal="center" wrapText="1"/>
    </xf>
    <xf numFmtId="0" fontId="303" fillId="2" borderId="0" xfId="0" applyFont="1" applyFill="1" applyAlignment="1">
      <alignment horizontal="center" wrapText="1"/>
    </xf>
    <xf numFmtId="0" fontId="300" fillId="2" borderId="0" xfId="0" applyFont="1" applyFill="1" applyAlignment="1">
      <alignment horizontal="right" wrapText="1"/>
    </xf>
    <xf numFmtId="0" fontId="304" fillId="2" borderId="47" xfId="0" applyFont="1" applyFill="1" applyBorder="1" applyAlignment="1">
      <alignment horizontal="left" wrapText="1"/>
    </xf>
    <xf numFmtId="0" fontId="305" fillId="12" borderId="48" xfId="0" applyFont="1" applyFill="1" applyBorder="1" applyAlignment="1">
      <alignment vertical="top" wrapText="1"/>
    </xf>
    <xf numFmtId="0" fontId="306" fillId="0" borderId="48" xfId="0" applyFont="1" applyBorder="1" applyAlignment="1">
      <alignment horizontal="left" vertical="top" wrapText="1"/>
    </xf>
    <xf numFmtId="3" fontId="304" fillId="12" borderId="48" xfId="0" applyNumberFormat="1" applyFont="1" applyFill="1" applyBorder="1" applyAlignment="1">
      <alignment vertical="top" wrapText="1"/>
    </xf>
    <xf numFmtId="3" fontId="305" fillId="12" borderId="48" xfId="0" applyNumberFormat="1" applyFont="1" applyFill="1" applyBorder="1" applyAlignment="1">
      <alignment vertical="top" wrapText="1"/>
    </xf>
    <xf numFmtId="0" fontId="305" fillId="3" borderId="48" xfId="0" applyFont="1" applyFill="1" applyBorder="1" applyAlignment="1">
      <alignment vertical="top" wrapText="1"/>
    </xf>
    <xf numFmtId="0" fontId="307" fillId="3" borderId="48" xfId="0" applyFont="1" applyFill="1" applyBorder="1" applyAlignment="1">
      <alignment horizontal="left" vertical="top" wrapText="1"/>
    </xf>
    <xf numFmtId="3" fontId="304" fillId="3" borderId="48" xfId="0" applyNumberFormat="1" applyFont="1" applyFill="1" applyBorder="1" applyAlignment="1">
      <alignment vertical="top" wrapText="1"/>
    </xf>
    <xf numFmtId="3" fontId="305" fillId="3" borderId="48" xfId="0" applyNumberFormat="1" applyFont="1" applyFill="1" applyBorder="1" applyAlignment="1">
      <alignment vertical="top" wrapText="1"/>
    </xf>
    <xf numFmtId="0" fontId="305" fillId="2" borderId="48" xfId="0" applyFont="1" applyFill="1" applyBorder="1" applyAlignment="1">
      <alignment vertical="top" wrapText="1"/>
    </xf>
    <xf numFmtId="3" fontId="304" fillId="2" borderId="48" xfId="0" applyNumberFormat="1" applyFont="1" applyFill="1" applyBorder="1" applyAlignment="1">
      <alignment vertical="top" wrapText="1"/>
    </xf>
    <xf numFmtId="3" fontId="305" fillId="2" borderId="48" xfId="0" applyNumberFormat="1" applyFont="1" applyFill="1" applyBorder="1" applyAlignment="1">
      <alignment vertical="top" wrapText="1"/>
    </xf>
    <xf numFmtId="0" fontId="308" fillId="3" borderId="48" xfId="0" applyFont="1" applyFill="1" applyBorder="1" applyAlignment="1">
      <alignment horizontal="left" vertical="top" wrapText="1"/>
    </xf>
    <xf numFmtId="0" fontId="309" fillId="0" borderId="48" xfId="0" applyFont="1" applyBorder="1" applyAlignment="1">
      <alignment horizontal="left" vertical="top" wrapText="1"/>
    </xf>
    <xf numFmtId="0" fontId="304" fillId="2" borderId="48" xfId="0" applyFont="1" applyFill="1" applyBorder="1" applyAlignment="1">
      <alignment vertical="top" wrapText="1"/>
    </xf>
    <xf numFmtId="0" fontId="310" fillId="3" borderId="48" xfId="0" applyFont="1" applyFill="1" applyBorder="1" applyAlignment="1">
      <alignment horizontal="left" vertical="top" wrapText="1"/>
    </xf>
    <xf numFmtId="0" fontId="311" fillId="0" borderId="48" xfId="0" applyFont="1" applyBorder="1" applyAlignment="1">
      <alignment horizontal="left" vertical="top" wrapText="1"/>
    </xf>
    <xf numFmtId="0" fontId="140" fillId="2" borderId="0" xfId="0" applyFont="1" applyFill="1" applyAlignment="1">
      <alignment horizontal="left"/>
    </xf>
    <xf numFmtId="0" fontId="149" fillId="2" borderId="0" xfId="0" applyFont="1" applyFill="1" applyAlignment="1">
      <alignment horizontal="left"/>
    </xf>
    <xf numFmtId="4" fontId="150" fillId="0" borderId="0" xfId="0" applyNumberFormat="1" applyFont="1" applyAlignment="1">
      <alignment horizontal="left"/>
    </xf>
    <xf numFmtId="0" fontId="125" fillId="2" borderId="0" xfId="0" applyFont="1" applyFill="1" applyAlignment="1">
      <alignment horizontal="right" wrapText="1"/>
    </xf>
    <xf numFmtId="3" fontId="10" fillId="2" borderId="0" xfId="0" applyNumberFormat="1" applyFont="1" applyFill="1" applyAlignment="1">
      <alignment horizontal="left" wrapText="1"/>
    </xf>
    <xf numFmtId="0" fontId="312" fillId="0" borderId="0" xfId="0" applyFont="1" applyAlignment="1">
      <alignment wrapText="1"/>
    </xf>
    <xf numFmtId="0" fontId="23" fillId="0" borderId="0" xfId="0" applyFont="1" applyAlignment="1">
      <alignment wrapText="1"/>
    </xf>
    <xf numFmtId="178" fontId="10" fillId="0" borderId="0" xfId="0" applyNumberFormat="1" applyFont="1" applyAlignment="1">
      <alignment horizontal="left" wrapText="1"/>
    </xf>
    <xf numFmtId="3" fontId="13" fillId="2" borderId="0" xfId="0" applyNumberFormat="1" applyFont="1" applyFill="1" applyAlignment="1">
      <alignment horizontal="left" wrapText="1"/>
    </xf>
    <xf numFmtId="0" fontId="313" fillId="0" borderId="0" xfId="0" applyFont="1" applyAlignment="1">
      <alignment wrapText="1"/>
    </xf>
    <xf numFmtId="0" fontId="314" fillId="2" borderId="0" xfId="0" applyFont="1" applyFill="1" applyAlignment="1">
      <alignment horizontal="left"/>
    </xf>
    <xf numFmtId="0" fontId="9" fillId="0" borderId="10" xfId="0" applyFont="1" applyBorder="1" applyAlignment="1">
      <alignment wrapText="1"/>
    </xf>
    <xf numFmtId="2" fontId="10" fillId="0" borderId="0" xfId="0" applyNumberFormat="1" applyFont="1"/>
    <xf numFmtId="3" fontId="9" fillId="2" borderId="0" xfId="0" applyNumberFormat="1" applyFont="1" applyFill="1" applyAlignment="1">
      <alignment horizontal="left" wrapText="1"/>
    </xf>
    <xf numFmtId="4" fontId="149" fillId="2" borderId="1" xfId="0" applyNumberFormat="1" applyFont="1" applyFill="1" applyBorder="1" applyAlignment="1">
      <alignment horizontal="right"/>
    </xf>
    <xf numFmtId="4" fontId="9" fillId="0" borderId="3" xfId="0" applyNumberFormat="1" applyFont="1" applyBorder="1" applyAlignment="1">
      <alignment horizontal="right" wrapText="1"/>
    </xf>
    <xf numFmtId="3" fontId="93" fillId="2" borderId="0" xfId="0" applyNumberFormat="1" applyFont="1" applyFill="1" applyAlignment="1">
      <alignment horizontal="left" wrapText="1"/>
    </xf>
    <xf numFmtId="3" fontId="10" fillId="0" borderId="0" xfId="0" applyNumberFormat="1" applyFont="1" applyAlignment="1">
      <alignment horizontal="left" wrapText="1"/>
    </xf>
    <xf numFmtId="0" fontId="202" fillId="0" borderId="0" xfId="0" applyFont="1" applyAlignment="1">
      <alignment wrapText="1"/>
    </xf>
    <xf numFmtId="3" fontId="202" fillId="0" borderId="0" xfId="0" applyNumberFormat="1" applyFont="1" applyAlignment="1">
      <alignment wrapText="1"/>
    </xf>
    <xf numFmtId="0" fontId="201" fillId="0" borderId="0" xfId="0" applyFont="1" applyAlignment="1">
      <alignment wrapText="1"/>
    </xf>
    <xf numFmtId="3" fontId="201" fillId="0" borderId="0" xfId="0" applyNumberFormat="1" applyFont="1" applyAlignment="1">
      <alignment wrapText="1"/>
    </xf>
    <xf numFmtId="0" fontId="149" fillId="3" borderId="0" xfId="0" applyFont="1" applyFill="1" applyAlignment="1">
      <alignment horizontal="left"/>
    </xf>
    <xf numFmtId="0" fontId="93" fillId="2" borderId="0" xfId="0" applyFont="1" applyFill="1" applyAlignment="1">
      <alignment wrapText="1"/>
    </xf>
    <xf numFmtId="0" fontId="190" fillId="3" borderId="0" xfId="0" applyFont="1" applyFill="1" applyAlignment="1">
      <alignment wrapText="1"/>
    </xf>
    <xf numFmtId="4" fontId="9" fillId="0" borderId="0" xfId="0" applyNumberFormat="1" applyFont="1" applyAlignment="1">
      <alignment horizontal="right" wrapText="1"/>
    </xf>
    <xf numFmtId="18" fontId="10" fillId="0" borderId="0" xfId="0" applyNumberFormat="1" applyFont="1" applyAlignment="1">
      <alignment horizontal="left" wrapText="1"/>
    </xf>
    <xf numFmtId="176" fontId="10" fillId="0" borderId="0" xfId="0" applyNumberFormat="1" applyFont="1" applyAlignment="1">
      <alignment wrapText="1"/>
    </xf>
    <xf numFmtId="0" fontId="15" fillId="0" borderId="0" xfId="0" applyFont="1"/>
    <xf numFmtId="4" fontId="315" fillId="2" borderId="0" xfId="0" applyNumberFormat="1" applyFont="1" applyFill="1" applyAlignment="1">
      <alignment wrapText="1"/>
    </xf>
    <xf numFmtId="0" fontId="316" fillId="28" borderId="41" xfId="0" applyFont="1" applyFill="1" applyBorder="1" applyAlignment="1">
      <alignment wrapText="1"/>
    </xf>
    <xf numFmtId="4" fontId="296" fillId="2" borderId="0" xfId="0" applyNumberFormat="1" applyFont="1" applyFill="1" applyAlignment="1">
      <alignment wrapText="1"/>
    </xf>
    <xf numFmtId="4" fontId="297" fillId="25" borderId="0" xfId="0" applyNumberFormat="1" applyFont="1" applyFill="1" applyAlignment="1">
      <alignment wrapText="1"/>
    </xf>
    <xf numFmtId="0" fontId="194" fillId="0" borderId="0" xfId="0" applyFont="1" applyAlignment="1">
      <alignment wrapText="1"/>
    </xf>
    <xf numFmtId="0" fontId="9" fillId="17" borderId="0" xfId="0" applyFont="1" applyFill="1" applyAlignment="1">
      <alignment horizontal="center" wrapText="1"/>
    </xf>
    <xf numFmtId="0" fontId="194" fillId="0" borderId="11" xfId="0" applyFont="1" applyBorder="1"/>
    <xf numFmtId="0" fontId="10" fillId="15" borderId="11" xfId="0" applyFont="1" applyFill="1" applyBorder="1" applyAlignment="1">
      <alignment wrapText="1"/>
    </xf>
    <xf numFmtId="0" fontId="10" fillId="17" borderId="11" xfId="0" applyFont="1" applyFill="1" applyBorder="1" applyAlignment="1">
      <alignment wrapText="1"/>
    </xf>
    <xf numFmtId="0" fontId="27" fillId="30" borderId="0" xfId="0" applyFont="1" applyFill="1"/>
    <xf numFmtId="0" fontId="221" fillId="30" borderId="0" xfId="0" applyFont="1" applyFill="1"/>
    <xf numFmtId="0" fontId="27" fillId="30" borderId="0" xfId="0" applyFont="1" applyFill="1" applyAlignment="1">
      <alignment horizontal="center"/>
    </xf>
    <xf numFmtId="14" fontId="317" fillId="31" borderId="0" xfId="0" applyNumberFormat="1" applyFont="1" applyFill="1" applyAlignment="1">
      <alignment horizontal="left" wrapText="1"/>
    </xf>
    <xf numFmtId="0" fontId="317" fillId="31" borderId="0" xfId="0" applyFont="1" applyFill="1" applyAlignment="1">
      <alignment wrapText="1"/>
    </xf>
    <xf numFmtId="0" fontId="317" fillId="31" borderId="0" xfId="0" applyFont="1" applyFill="1" applyAlignment="1">
      <alignment horizontal="right" wrapText="1"/>
    </xf>
    <xf numFmtId="10" fontId="317" fillId="31" borderId="0" xfId="0" applyNumberFormat="1" applyFont="1" applyFill="1" applyAlignment="1">
      <alignment horizontal="right" wrapText="1"/>
    </xf>
    <xf numFmtId="0" fontId="318" fillId="31" borderId="0" xfId="0" applyFont="1" applyFill="1" applyAlignment="1">
      <alignment horizontal="right" wrapText="1"/>
    </xf>
    <xf numFmtId="0" fontId="319" fillId="31" borderId="0" xfId="0" applyFont="1" applyFill="1" applyAlignment="1">
      <alignment wrapText="1"/>
    </xf>
    <xf numFmtId="0" fontId="320" fillId="31" borderId="0" xfId="0" applyFont="1" applyFill="1" applyAlignment="1">
      <alignment horizontal="right" wrapText="1"/>
    </xf>
    <xf numFmtId="0" fontId="321" fillId="31" borderId="0" xfId="0" applyFont="1" applyFill="1" applyAlignment="1">
      <alignment wrapText="1"/>
    </xf>
    <xf numFmtId="0" fontId="322" fillId="31" borderId="0" xfId="0" applyFont="1" applyFill="1" applyAlignment="1">
      <alignment wrapText="1"/>
    </xf>
    <xf numFmtId="0" fontId="317" fillId="31" borderId="0" xfId="0" applyFont="1" applyFill="1" applyAlignment="1">
      <alignment horizontal="left" wrapText="1"/>
    </xf>
    <xf numFmtId="0" fontId="324" fillId="0" borderId="0" xfId="0" applyFont="1" applyAlignment="1">
      <alignment horizontal="center" wrapText="1"/>
    </xf>
    <xf numFmtId="165" fontId="10" fillId="0" borderId="0" xfId="0" applyNumberFormat="1" applyFont="1" applyAlignment="1">
      <alignment horizontal="right" wrapText="1"/>
    </xf>
    <xf numFmtId="171" fontId="10" fillId="0" borderId="0" xfId="0" applyNumberFormat="1" applyFont="1" applyAlignment="1">
      <alignment wrapText="1"/>
    </xf>
    <xf numFmtId="171" fontId="10" fillId="0" borderId="0" xfId="0" applyNumberFormat="1" applyFont="1" applyAlignment="1">
      <alignment horizontal="left" wrapText="1"/>
    </xf>
    <xf numFmtId="0" fontId="325" fillId="2" borderId="0" xfId="0" applyFont="1" applyFill="1" applyAlignment="1">
      <alignment horizontal="left" wrapText="1"/>
    </xf>
    <xf numFmtId="184" fontId="10" fillId="0" borderId="0" xfId="0" applyNumberFormat="1" applyFont="1" applyAlignment="1">
      <alignment wrapText="1"/>
    </xf>
    <xf numFmtId="44" fontId="10" fillId="17" borderId="0" xfId="0" applyNumberFormat="1" applyFont="1" applyFill="1" applyAlignment="1">
      <alignment wrapText="1"/>
    </xf>
    <xf numFmtId="14" fontId="10" fillId="17" borderId="0" xfId="0" applyNumberFormat="1" applyFont="1" applyFill="1" applyAlignment="1">
      <alignment wrapText="1"/>
    </xf>
    <xf numFmtId="185" fontId="10" fillId="0" borderId="0" xfId="0" applyNumberFormat="1" applyFont="1" applyAlignment="1">
      <alignment wrapText="1"/>
    </xf>
    <xf numFmtId="0" fontId="10" fillId="3" borderId="0" xfId="0" applyFont="1" applyFill="1"/>
    <xf numFmtId="4" fontId="10" fillId="0" borderId="0" xfId="0" applyNumberFormat="1" applyFont="1" applyAlignment="1">
      <alignment horizontal="left" wrapText="1"/>
    </xf>
    <xf numFmtId="0" fontId="326" fillId="32" borderId="0" xfId="0" applyFont="1" applyFill="1" applyAlignment="1">
      <alignment wrapText="1"/>
    </xf>
    <xf numFmtId="0" fontId="10" fillId="17" borderId="0" xfId="0" applyFont="1" applyFill="1" applyAlignment="1">
      <alignment horizontal="right" wrapText="1"/>
    </xf>
    <xf numFmtId="4" fontId="10" fillId="17" borderId="0" xfId="0" applyNumberFormat="1" applyFont="1" applyFill="1" applyAlignment="1">
      <alignment wrapText="1"/>
    </xf>
    <xf numFmtId="165" fontId="10" fillId="17" borderId="0" xfId="0" applyNumberFormat="1" applyFont="1" applyFill="1" applyAlignment="1">
      <alignment wrapText="1"/>
    </xf>
    <xf numFmtId="0" fontId="10" fillId="17" borderId="0" xfId="0" applyFont="1" applyFill="1" applyAlignment="1">
      <alignment horizontal="left" wrapText="1"/>
    </xf>
    <xf numFmtId="165" fontId="10" fillId="2" borderId="0" xfId="0" applyNumberFormat="1" applyFont="1" applyFill="1" applyAlignment="1">
      <alignment horizontal="right" wrapText="1"/>
    </xf>
    <xf numFmtId="165" fontId="10" fillId="0" borderId="0" xfId="0" applyNumberFormat="1" applyFont="1" applyAlignment="1">
      <alignment horizontal="left" wrapText="1"/>
    </xf>
    <xf numFmtId="0" fontId="10" fillId="0" borderId="0" xfId="0" quotePrefix="1" applyFont="1" applyAlignment="1">
      <alignment horizontal="left" wrapText="1"/>
    </xf>
    <xf numFmtId="186" fontId="10" fillId="0" borderId="0" xfId="0" applyNumberFormat="1" applyFont="1" applyAlignment="1">
      <alignment wrapText="1"/>
    </xf>
    <xf numFmtId="164" fontId="10" fillId="0" borderId="0" xfId="0" applyNumberFormat="1" applyFont="1" applyAlignment="1">
      <alignment horizontal="left" wrapText="1"/>
    </xf>
    <xf numFmtId="4" fontId="327" fillId="2" borderId="0" xfId="0" applyNumberFormat="1" applyFont="1" applyFill="1" applyAlignment="1">
      <alignment wrapText="1"/>
    </xf>
    <xf numFmtId="0" fontId="328" fillId="33" borderId="0" xfId="0" applyFont="1" applyFill="1" applyAlignment="1">
      <alignment horizontal="left" wrapText="1"/>
    </xf>
    <xf numFmtId="187" fontId="329" fillId="34" borderId="0" xfId="0" applyNumberFormat="1" applyFont="1" applyFill="1" applyAlignment="1">
      <alignment horizontal="left" wrapText="1"/>
    </xf>
    <xf numFmtId="0" fontId="329" fillId="34" borderId="0" xfId="0" applyFont="1" applyFill="1" applyAlignment="1">
      <alignment horizontal="left" wrapText="1"/>
    </xf>
    <xf numFmtId="18" fontId="329" fillId="34" borderId="0" xfId="0" applyNumberFormat="1" applyFont="1" applyFill="1" applyAlignment="1">
      <alignment horizontal="left" wrapText="1"/>
    </xf>
    <xf numFmtId="187" fontId="329" fillId="35" borderId="0" xfId="0" applyNumberFormat="1" applyFont="1" applyFill="1" applyAlignment="1">
      <alignment horizontal="left" wrapText="1"/>
    </xf>
    <xf numFmtId="0" fontId="329" fillId="35" borderId="0" xfId="0" applyFont="1" applyFill="1" applyAlignment="1">
      <alignment horizontal="left" wrapText="1"/>
    </xf>
    <xf numFmtId="18" fontId="329" fillId="35" borderId="0" xfId="0" applyNumberFormat="1" applyFont="1" applyFill="1" applyAlignment="1">
      <alignment horizontal="left" wrapText="1"/>
    </xf>
    <xf numFmtId="0" fontId="20" fillId="3" borderId="0" xfId="0" applyFont="1" applyFill="1" applyAlignment="1">
      <alignment wrapText="1"/>
    </xf>
    <xf numFmtId="0" fontId="13" fillId="3" borderId="0" xfId="0" applyFont="1" applyFill="1" applyAlignment="1">
      <alignment wrapText="1"/>
    </xf>
    <xf numFmtId="187" fontId="330" fillId="35" borderId="0" xfId="0" applyNumberFormat="1" applyFont="1" applyFill="1" applyAlignment="1">
      <alignment horizontal="left" wrapText="1"/>
    </xf>
    <xf numFmtId="0" fontId="330" fillId="35" borderId="0" xfId="0" applyFont="1" applyFill="1" applyAlignment="1">
      <alignment horizontal="left" wrapText="1"/>
    </xf>
    <xf numFmtId="187" fontId="330" fillId="34" borderId="0" xfId="0" applyNumberFormat="1" applyFont="1" applyFill="1" applyAlignment="1">
      <alignment horizontal="left" wrapText="1"/>
    </xf>
    <xf numFmtId="0" fontId="330" fillId="34" borderId="0" xfId="0" applyFont="1" applyFill="1" applyAlignment="1">
      <alignment horizontal="left" wrapText="1"/>
    </xf>
    <xf numFmtId="18" fontId="330" fillId="35" borderId="0" xfId="0" applyNumberFormat="1" applyFont="1" applyFill="1" applyAlignment="1">
      <alignment horizontal="left" wrapText="1"/>
    </xf>
    <xf numFmtId="18" fontId="330" fillId="34" borderId="0" xfId="0" applyNumberFormat="1" applyFont="1" applyFill="1" applyAlignment="1">
      <alignment horizontal="left" wrapText="1"/>
    </xf>
    <xf numFmtId="0" fontId="331" fillId="2" borderId="0" xfId="0" applyFont="1" applyFill="1" applyAlignment="1">
      <alignment wrapText="1"/>
    </xf>
    <xf numFmtId="0" fontId="332" fillId="2" borderId="0" xfId="0" applyFont="1" applyFill="1" applyAlignment="1">
      <alignment wrapText="1"/>
    </xf>
    <xf numFmtId="187" fontId="333" fillId="36" borderId="0" xfId="0" applyNumberFormat="1" applyFont="1" applyFill="1" applyAlignment="1">
      <alignment horizontal="left" vertical="top"/>
    </xf>
    <xf numFmtId="0" fontId="334" fillId="34" borderId="0" xfId="0" applyFont="1" applyFill="1" applyAlignment="1">
      <alignment horizontal="left" wrapText="1"/>
    </xf>
    <xf numFmtId="0" fontId="333" fillId="36" borderId="0" xfId="0" applyFont="1" applyFill="1" applyAlignment="1">
      <alignment horizontal="left" vertical="top" wrapText="1"/>
    </xf>
    <xf numFmtId="18" fontId="333" fillId="36" borderId="0" xfId="0" applyNumberFormat="1" applyFont="1" applyFill="1" applyAlignment="1">
      <alignment horizontal="left" vertical="top" wrapText="1"/>
    </xf>
    <xf numFmtId="187" fontId="333" fillId="0" borderId="0" xfId="0" applyNumberFormat="1" applyFont="1" applyAlignment="1">
      <alignment horizontal="left" vertical="top"/>
    </xf>
    <xf numFmtId="18" fontId="333" fillId="0" borderId="0" xfId="0" applyNumberFormat="1" applyFont="1" applyAlignment="1">
      <alignment horizontal="left" vertical="top" wrapText="1"/>
    </xf>
    <xf numFmtId="0" fontId="333" fillId="0" borderId="0" xfId="0" applyFont="1" applyAlignment="1">
      <alignment horizontal="left" vertical="top" wrapText="1"/>
    </xf>
    <xf numFmtId="187" fontId="335" fillId="36" borderId="0" xfId="0" applyNumberFormat="1" applyFont="1" applyFill="1" applyAlignment="1">
      <alignment horizontal="left" vertical="top"/>
    </xf>
    <xf numFmtId="187" fontId="335" fillId="0" borderId="0" xfId="0" applyNumberFormat="1" applyFont="1" applyAlignment="1">
      <alignment horizontal="left" vertical="top"/>
    </xf>
    <xf numFmtId="0" fontId="337" fillId="0" borderId="0" xfId="0" applyFont="1" applyAlignment="1">
      <alignment horizontal="left" vertical="top" wrapText="1"/>
    </xf>
    <xf numFmtId="18" fontId="335" fillId="0" borderId="0" xfId="0" applyNumberFormat="1" applyFont="1" applyAlignment="1">
      <alignment horizontal="left" vertical="top" wrapText="1"/>
    </xf>
    <xf numFmtId="0" fontId="338" fillId="34" borderId="0" xfId="0" applyFont="1" applyFill="1" applyAlignment="1">
      <alignment horizontal="left" wrapText="1"/>
    </xf>
    <xf numFmtId="187" fontId="330" fillId="0" borderId="0" xfId="0" applyNumberFormat="1" applyFont="1" applyAlignment="1">
      <alignment horizontal="left" wrapText="1"/>
    </xf>
    <xf numFmtId="0" fontId="330" fillId="0" borderId="0" xfId="0" applyFont="1" applyAlignment="1">
      <alignment horizontal="left" wrapText="1"/>
    </xf>
    <xf numFmtId="18" fontId="330" fillId="0" borderId="0" xfId="0" applyNumberFormat="1" applyFont="1" applyAlignment="1">
      <alignment horizontal="left" wrapText="1"/>
    </xf>
    <xf numFmtId="0" fontId="339" fillId="0" borderId="0" xfId="0" applyFont="1" applyAlignment="1">
      <alignment horizontal="center" wrapText="1"/>
    </xf>
    <xf numFmtId="0" fontId="340" fillId="35" borderId="0" xfId="0" applyFont="1" applyFill="1" applyAlignment="1">
      <alignment horizontal="left" wrapText="1"/>
    </xf>
    <xf numFmtId="0" fontId="340" fillId="34" borderId="0" xfId="0" applyFont="1" applyFill="1" applyAlignment="1">
      <alignment horizontal="left" wrapText="1"/>
    </xf>
    <xf numFmtId="0" fontId="341" fillId="35" borderId="0" xfId="0" applyFont="1" applyFill="1" applyAlignment="1">
      <alignment horizontal="left" wrapText="1"/>
    </xf>
    <xf numFmtId="18" fontId="341" fillId="35" borderId="0" xfId="0" applyNumberFormat="1" applyFont="1" applyFill="1" applyAlignment="1">
      <alignment horizontal="left" wrapText="1"/>
    </xf>
    <xf numFmtId="0" fontId="341" fillId="34" borderId="0" xfId="0" applyFont="1" applyFill="1" applyAlignment="1">
      <alignment horizontal="left" wrapText="1"/>
    </xf>
    <xf numFmtId="18" fontId="341" fillId="34" borderId="0" xfId="0" applyNumberFormat="1" applyFont="1" applyFill="1" applyAlignment="1">
      <alignment horizontal="left" wrapText="1"/>
    </xf>
    <xf numFmtId="0" fontId="342" fillId="2" borderId="0" xfId="0" applyFont="1" applyFill="1" applyAlignment="1">
      <alignment horizontal="left" wrapText="1"/>
    </xf>
    <xf numFmtId="0" fontId="28" fillId="0" borderId="11" xfId="0" applyFont="1" applyBorder="1" applyAlignment="1">
      <alignment wrapText="1"/>
    </xf>
    <xf numFmtId="0" fontId="343" fillId="34" borderId="0" xfId="0" applyFont="1" applyFill="1" applyAlignment="1">
      <alignment horizontal="left" wrapText="1"/>
    </xf>
    <xf numFmtId="0" fontId="344" fillId="2" borderId="0" xfId="0" applyFont="1" applyFill="1" applyAlignment="1">
      <alignment horizontal="center" wrapText="1"/>
    </xf>
    <xf numFmtId="179" fontId="345" fillId="2" borderId="0" xfId="0" applyNumberFormat="1" applyFont="1" applyFill="1" applyAlignment="1">
      <alignment horizontal="center" wrapText="1"/>
    </xf>
    <xf numFmtId="0" fontId="345" fillId="2" borderId="0" xfId="0" applyFont="1" applyFill="1" applyAlignment="1">
      <alignment horizontal="center" wrapText="1"/>
    </xf>
    <xf numFmtId="16" fontId="345" fillId="2" borderId="0" xfId="0" applyNumberFormat="1" applyFont="1" applyFill="1" applyAlignment="1">
      <alignment horizontal="center" wrapText="1"/>
    </xf>
    <xf numFmtId="188" fontId="345" fillId="2" borderId="0" xfId="0" applyNumberFormat="1" applyFont="1" applyFill="1" applyAlignment="1">
      <alignment horizontal="center" wrapText="1"/>
    </xf>
    <xf numFmtId="189" fontId="345" fillId="2" borderId="0" xfId="0" applyNumberFormat="1" applyFont="1" applyFill="1" applyAlignment="1">
      <alignment horizontal="center" wrapText="1"/>
    </xf>
    <xf numFmtId="0" fontId="346" fillId="0" borderId="0" xfId="0" applyFont="1" applyAlignment="1">
      <alignment wrapText="1"/>
    </xf>
    <xf numFmtId="0" fontId="345" fillId="37" borderId="0" xfId="0" applyFont="1" applyFill="1" applyAlignment="1">
      <alignment horizontal="left" wrapText="1"/>
    </xf>
    <xf numFmtId="0" fontId="345" fillId="37" borderId="0" xfId="0" applyFont="1" applyFill="1" applyAlignment="1">
      <alignment horizontal="center" wrapText="1"/>
    </xf>
    <xf numFmtId="0" fontId="345" fillId="38" borderId="0" xfId="0" applyFont="1" applyFill="1" applyAlignment="1">
      <alignment horizontal="left" wrapText="1"/>
    </xf>
    <xf numFmtId="0" fontId="345" fillId="38" borderId="0" xfId="0" applyFont="1" applyFill="1" applyAlignment="1">
      <alignment horizontal="center" wrapText="1"/>
    </xf>
    <xf numFmtId="0" fontId="347" fillId="36" borderId="0" xfId="0" applyFont="1" applyFill="1" applyAlignment="1">
      <alignment horizontal="left" wrapText="1"/>
    </xf>
    <xf numFmtId="0" fontId="347" fillId="36" borderId="0" xfId="0" applyFont="1" applyFill="1" applyAlignment="1">
      <alignment horizontal="center" wrapText="1"/>
    </xf>
    <xf numFmtId="0" fontId="347" fillId="2" borderId="0" xfId="0" applyFont="1" applyFill="1" applyAlignment="1">
      <alignment horizontal="center" wrapText="1"/>
    </xf>
    <xf numFmtId="179" fontId="347" fillId="2" borderId="0" xfId="0" applyNumberFormat="1" applyFont="1" applyFill="1" applyAlignment="1">
      <alignment horizontal="center" wrapText="1"/>
    </xf>
    <xf numFmtId="0" fontId="328" fillId="2" borderId="0" xfId="0" applyFont="1" applyFill="1" applyAlignment="1">
      <alignment wrapText="1"/>
    </xf>
    <xf numFmtId="187" fontId="330" fillId="2" borderId="0" xfId="0" applyNumberFormat="1" applyFont="1" applyFill="1" applyAlignment="1">
      <alignment horizontal="center" wrapText="1"/>
    </xf>
    <xf numFmtId="0" fontId="330" fillId="2" borderId="0" xfId="0" applyFont="1" applyFill="1" applyAlignment="1">
      <alignment horizontal="center" wrapText="1"/>
    </xf>
    <xf numFmtId="18" fontId="330" fillId="2" borderId="0" xfId="0" applyNumberFormat="1" applyFont="1" applyFill="1" applyAlignment="1">
      <alignment horizontal="center" wrapText="1"/>
    </xf>
    <xf numFmtId="0" fontId="340" fillId="2" borderId="0" xfId="0" applyFont="1" applyFill="1" applyAlignment="1">
      <alignment horizontal="center" wrapText="1"/>
    </xf>
    <xf numFmtId="0" fontId="348" fillId="0" borderId="0" xfId="0" applyFont="1" applyAlignment="1">
      <alignment horizontal="left" wrapText="1"/>
    </xf>
    <xf numFmtId="0" fontId="349" fillId="2" borderId="0" xfId="0" applyFont="1" applyFill="1" applyAlignment="1">
      <alignment horizontal="left" vertical="top" wrapText="1"/>
    </xf>
    <xf numFmtId="3" fontId="349" fillId="2" borderId="0" xfId="0" applyNumberFormat="1" applyFont="1" applyFill="1" applyAlignment="1">
      <alignment horizontal="left" vertical="top" wrapText="1"/>
    </xf>
    <xf numFmtId="0" fontId="349" fillId="2" borderId="2" xfId="0" applyFont="1" applyFill="1" applyBorder="1" applyAlignment="1">
      <alignment horizontal="left" vertical="top" wrapText="1"/>
    </xf>
    <xf numFmtId="3" fontId="349" fillId="2" borderId="2" xfId="0" applyNumberFormat="1" applyFont="1" applyFill="1" applyBorder="1" applyAlignment="1">
      <alignment horizontal="left" vertical="top" wrapText="1"/>
    </xf>
    <xf numFmtId="0" fontId="350" fillId="2" borderId="0" xfId="0" applyFont="1" applyFill="1" applyAlignment="1">
      <alignment wrapText="1"/>
    </xf>
    <xf numFmtId="0" fontId="9" fillId="0" borderId="4" xfId="0" applyFont="1" applyBorder="1" applyAlignment="1">
      <alignment wrapText="1"/>
    </xf>
    <xf numFmtId="0" fontId="351" fillId="0" borderId="0" xfId="0" applyFont="1" applyAlignment="1">
      <alignment wrapText="1"/>
    </xf>
    <xf numFmtId="0" fontId="10" fillId="0" borderId="5" xfId="0" applyFont="1" applyBorder="1" applyAlignment="1">
      <alignment wrapText="1"/>
    </xf>
    <xf numFmtId="0" fontId="10" fillId="0" borderId="3" xfId="0" applyFont="1" applyBorder="1" applyAlignment="1">
      <alignment wrapText="1"/>
    </xf>
    <xf numFmtId="185" fontId="9" fillId="0" borderId="0" xfId="0" applyNumberFormat="1" applyFont="1" applyAlignment="1">
      <alignment horizontal="right" wrapText="1"/>
    </xf>
    <xf numFmtId="0" fontId="22" fillId="2" borderId="0" xfId="0" applyFont="1" applyFill="1" applyAlignment="1">
      <alignment horizontal="center" wrapText="1"/>
    </xf>
    <xf numFmtId="3" fontId="0" fillId="2" borderId="0" xfId="0" applyNumberFormat="1" applyFill="1" applyAlignment="1">
      <alignment horizontal="center" wrapText="1"/>
    </xf>
    <xf numFmtId="0" fontId="22" fillId="0" borderId="0" xfId="0" applyFont="1" applyAlignment="1">
      <alignment horizontal="right" wrapText="1"/>
    </xf>
    <xf numFmtId="0" fontId="22" fillId="0" borderId="0" xfId="0" applyFont="1" applyAlignment="1">
      <alignment horizontal="center" wrapText="1"/>
    </xf>
    <xf numFmtId="14" fontId="9" fillId="0" borderId="0" xfId="0" applyNumberFormat="1" applyFont="1" applyAlignment="1">
      <alignment wrapText="1"/>
    </xf>
    <xf numFmtId="171" fontId="9" fillId="0" borderId="0" xfId="0" applyNumberFormat="1" applyFont="1" applyAlignment="1">
      <alignment wrapText="1"/>
    </xf>
    <xf numFmtId="166" fontId="9" fillId="0" borderId="0" xfId="0" applyNumberFormat="1" applyFont="1" applyAlignment="1">
      <alignment wrapText="1"/>
    </xf>
    <xf numFmtId="3" fontId="224" fillId="0" borderId="0" xfId="0" applyNumberFormat="1" applyFont="1" applyAlignment="1">
      <alignment horizontal="right" wrapText="1"/>
    </xf>
    <xf numFmtId="190" fontId="10" fillId="0" borderId="0" xfId="0" applyNumberFormat="1" applyFont="1" applyAlignment="1">
      <alignment wrapText="1"/>
    </xf>
    <xf numFmtId="4" fontId="224" fillId="0" borderId="0" xfId="0" applyNumberFormat="1" applyFont="1" applyAlignment="1">
      <alignment horizontal="right" wrapText="1"/>
    </xf>
    <xf numFmtId="0" fontId="224" fillId="0" borderId="0" xfId="0" applyFont="1" applyAlignment="1">
      <alignment horizontal="right" wrapText="1"/>
    </xf>
    <xf numFmtId="3" fontId="224" fillId="0" borderId="0" xfId="0" applyNumberFormat="1" applyFont="1" applyAlignment="1">
      <alignment wrapText="1"/>
    </xf>
    <xf numFmtId="185" fontId="9" fillId="0" borderId="0" xfId="0" applyNumberFormat="1" applyFont="1" applyAlignment="1">
      <alignment wrapText="1"/>
    </xf>
    <xf numFmtId="3" fontId="0" fillId="17" borderId="0" xfId="0" applyNumberFormat="1" applyFill="1" applyAlignment="1">
      <alignment horizontal="center" wrapText="1"/>
    </xf>
    <xf numFmtId="190" fontId="22" fillId="2" borderId="0" xfId="0" applyNumberFormat="1" applyFont="1" applyFill="1" applyAlignment="1">
      <alignment horizontal="center" wrapText="1"/>
    </xf>
    <xf numFmtId="3" fontId="0" fillId="17" borderId="0" xfId="0" applyNumberFormat="1" applyFill="1" applyAlignment="1">
      <alignment wrapText="1"/>
    </xf>
    <xf numFmtId="165" fontId="10" fillId="0" borderId="0" xfId="0" quotePrefix="1" applyNumberFormat="1" applyFont="1" applyAlignment="1">
      <alignment horizontal="right" wrapText="1"/>
    </xf>
    <xf numFmtId="3" fontId="22" fillId="2" borderId="0" xfId="0" applyNumberFormat="1" applyFont="1" applyFill="1" applyAlignment="1">
      <alignment wrapText="1"/>
    </xf>
    <xf numFmtId="3" fontId="292" fillId="17" borderId="0" xfId="0" applyNumberFormat="1" applyFont="1" applyFill="1" applyAlignment="1">
      <alignment wrapText="1"/>
    </xf>
    <xf numFmtId="3" fontId="23" fillId="0" borderId="0" xfId="0" applyNumberFormat="1" applyFont="1" applyAlignment="1">
      <alignment wrapText="1"/>
    </xf>
    <xf numFmtId="0" fontId="0" fillId="2" borderId="0" xfId="0" applyFill="1" applyAlignment="1">
      <alignment wrapText="1"/>
    </xf>
    <xf numFmtId="2" fontId="9" fillId="0" borderId="0" xfId="0" applyNumberFormat="1" applyFont="1" applyAlignment="1">
      <alignment wrapText="1"/>
    </xf>
    <xf numFmtId="1" fontId="9" fillId="0" borderId="2" xfId="0" applyNumberFormat="1" applyFont="1" applyBorder="1" applyAlignment="1">
      <alignment wrapText="1"/>
    </xf>
    <xf numFmtId="170" fontId="10" fillId="0" borderId="0" xfId="0" applyNumberFormat="1" applyFont="1" applyAlignment="1">
      <alignment wrapText="1"/>
    </xf>
    <xf numFmtId="10" fontId="202" fillId="0" borderId="0" xfId="0" applyNumberFormat="1" applyFont="1" applyAlignment="1">
      <alignment wrapText="1"/>
    </xf>
    <xf numFmtId="185" fontId="202" fillId="0" borderId="0" xfId="0" applyNumberFormat="1" applyFont="1" applyAlignment="1">
      <alignment wrapText="1"/>
    </xf>
    <xf numFmtId="3" fontId="10" fillId="17" borderId="0" xfId="0" applyNumberFormat="1" applyFont="1" applyFill="1" applyAlignment="1">
      <alignment wrapText="1"/>
    </xf>
    <xf numFmtId="3" fontId="224" fillId="0" borderId="13" xfId="0" applyNumberFormat="1" applyFont="1" applyBorder="1" applyAlignment="1">
      <alignment wrapText="1"/>
    </xf>
    <xf numFmtId="4" fontId="202" fillId="0" borderId="0" xfId="0" applyNumberFormat="1" applyFont="1" applyAlignment="1">
      <alignment wrapText="1"/>
    </xf>
    <xf numFmtId="3" fontId="188" fillId="2" borderId="0" xfId="0" applyNumberFormat="1" applyFont="1" applyFill="1" applyAlignment="1">
      <alignment horizontal="right" wrapText="1"/>
    </xf>
    <xf numFmtId="190" fontId="201" fillId="0" borderId="0" xfId="0" applyNumberFormat="1" applyFont="1" applyAlignment="1">
      <alignment wrapText="1"/>
    </xf>
    <xf numFmtId="1" fontId="201" fillId="0" borderId="0" xfId="0" applyNumberFormat="1" applyFont="1" applyAlignment="1">
      <alignment wrapText="1"/>
    </xf>
    <xf numFmtId="185" fontId="10" fillId="0" borderId="0" xfId="0" quotePrefix="1" applyNumberFormat="1" applyFont="1" applyAlignment="1">
      <alignment wrapText="1"/>
    </xf>
    <xf numFmtId="0" fontId="28" fillId="0" borderId="0" xfId="0" applyFont="1"/>
    <xf numFmtId="0" fontId="28" fillId="0" borderId="0" xfId="0" applyFont="1" applyAlignment="1">
      <alignment horizontal="left" vertical="top"/>
    </xf>
    <xf numFmtId="0" fontId="2" fillId="39" borderId="0" xfId="0" applyFont="1" applyFill="1" applyAlignment="1">
      <alignment horizontal="left" wrapText="1"/>
    </xf>
    <xf numFmtId="0" fontId="2" fillId="39" borderId="20" xfId="0" applyFont="1" applyFill="1" applyBorder="1" applyAlignment="1">
      <alignment horizontal="left" wrapText="1"/>
    </xf>
    <xf numFmtId="0" fontId="12" fillId="0" borderId="0" xfId="0" applyFont="1" applyAlignment="1">
      <alignment horizontal="right" vertical="top" wrapText="1"/>
    </xf>
    <xf numFmtId="0" fontId="12" fillId="0" borderId="0" xfId="0" applyFont="1" applyAlignment="1">
      <alignment horizontal="center" vertical="top" wrapText="1"/>
    </xf>
    <xf numFmtId="0" fontId="12" fillId="0" borderId="20" xfId="0" applyFont="1" applyBorder="1" applyAlignment="1">
      <alignment horizontal="right" vertical="top" wrapText="1"/>
    </xf>
    <xf numFmtId="0" fontId="12" fillId="0" borderId="20" xfId="0" applyFont="1" applyBorder="1" applyAlignment="1">
      <alignment vertical="top" wrapText="1"/>
    </xf>
    <xf numFmtId="0" fontId="12" fillId="0" borderId="20" xfId="0" applyFont="1" applyBorder="1" applyAlignment="1">
      <alignment horizontal="left" wrapText="1"/>
    </xf>
    <xf numFmtId="0" fontId="12" fillId="0" borderId="0" xfId="0" applyFont="1" applyAlignment="1">
      <alignment horizontal="left" wrapText="1"/>
    </xf>
    <xf numFmtId="0" fontId="12" fillId="2" borderId="20" xfId="0" applyFont="1" applyFill="1" applyBorder="1" applyAlignment="1">
      <alignment vertical="top" wrapText="1"/>
    </xf>
    <xf numFmtId="0" fontId="12" fillId="0" borderId="0" xfId="0" applyFont="1" applyAlignment="1">
      <alignment vertical="top" wrapText="1"/>
    </xf>
    <xf numFmtId="0" fontId="352" fillId="0" borderId="20" xfId="0" applyFont="1" applyBorder="1" applyAlignment="1">
      <alignment horizontal="left" wrapText="1"/>
    </xf>
    <xf numFmtId="0" fontId="10" fillId="0" borderId="20" xfId="0" applyFont="1" applyBorder="1" applyAlignment="1">
      <alignment wrapText="1"/>
    </xf>
    <xf numFmtId="0" fontId="9" fillId="0" borderId="20" xfId="0" applyFont="1" applyBorder="1" applyAlignment="1">
      <alignment wrapText="1"/>
    </xf>
    <xf numFmtId="0" fontId="171" fillId="0" borderId="20" xfId="0" applyFont="1" applyBorder="1" applyAlignment="1">
      <alignment horizontal="right" vertical="top" wrapText="1"/>
    </xf>
    <xf numFmtId="0" fontId="171" fillId="0" borderId="20" xfId="0" applyFont="1" applyBorder="1" applyAlignment="1">
      <alignment vertical="top" wrapText="1"/>
    </xf>
    <xf numFmtId="0" fontId="353" fillId="2" borderId="0" xfId="0" applyFont="1" applyFill="1" applyAlignment="1">
      <alignment wrapText="1"/>
    </xf>
    <xf numFmtId="191" fontId="10" fillId="0" borderId="0" xfId="0" applyNumberFormat="1" applyFont="1" applyAlignment="1">
      <alignment wrapText="1"/>
    </xf>
    <xf numFmtId="0" fontId="354" fillId="0" borderId="36" xfId="0" applyFont="1" applyBorder="1" applyAlignment="1">
      <alignment wrapText="1"/>
    </xf>
    <xf numFmtId="0" fontId="201" fillId="28" borderId="41" xfId="0" applyFont="1" applyFill="1" applyBorder="1" applyAlignment="1">
      <alignment wrapText="1"/>
    </xf>
    <xf numFmtId="4" fontId="0" fillId="25" borderId="2" xfId="0" applyNumberFormat="1" applyFill="1" applyBorder="1" applyAlignment="1">
      <alignment wrapText="1"/>
    </xf>
    <xf numFmtId="4" fontId="22" fillId="28" borderId="2" xfId="0" applyNumberFormat="1" applyFont="1" applyFill="1" applyBorder="1" applyAlignment="1">
      <alignment wrapText="1"/>
    </xf>
    <xf numFmtId="0" fontId="10" fillId="28" borderId="49" xfId="0" applyFont="1" applyFill="1" applyBorder="1" applyAlignment="1">
      <alignment wrapText="1"/>
    </xf>
    <xf numFmtId="4" fontId="22" fillId="28" borderId="11" xfId="0" applyNumberFormat="1" applyFont="1" applyFill="1" applyBorder="1" applyAlignment="1">
      <alignment wrapText="1"/>
    </xf>
    <xf numFmtId="4" fontId="0" fillId="17" borderId="43" xfId="0" applyNumberFormat="1" applyFill="1" applyBorder="1" applyAlignment="1">
      <alignment wrapText="1"/>
    </xf>
    <xf numFmtId="4" fontId="0" fillId="25" borderId="50" xfId="0" applyNumberFormat="1" applyFill="1" applyBorder="1" applyAlignment="1">
      <alignment wrapText="1"/>
    </xf>
    <xf numFmtId="4" fontId="289" fillId="27" borderId="51" xfId="0" applyNumberFormat="1" applyFont="1" applyFill="1" applyBorder="1" applyAlignment="1">
      <alignment wrapText="1"/>
    </xf>
    <xf numFmtId="0" fontId="10" fillId="27" borderId="45" xfId="0" applyFont="1" applyFill="1" applyBorder="1" applyAlignment="1">
      <alignment wrapText="1"/>
    </xf>
    <xf numFmtId="4" fontId="0" fillId="28" borderId="50" xfId="0" applyNumberFormat="1" applyFill="1" applyBorder="1" applyAlignment="1">
      <alignment wrapText="1"/>
    </xf>
    <xf numFmtId="0" fontId="10" fillId="28" borderId="45" xfId="0" applyFont="1" applyFill="1" applyBorder="1" applyAlignment="1">
      <alignment wrapText="1"/>
    </xf>
    <xf numFmtId="0" fontId="10" fillId="28" borderId="52" xfId="0" applyFont="1" applyFill="1" applyBorder="1" applyAlignment="1">
      <alignment wrapText="1"/>
    </xf>
    <xf numFmtId="0" fontId="10" fillId="28" borderId="44" xfId="0" applyFont="1" applyFill="1" applyBorder="1" applyAlignment="1">
      <alignment wrapText="1"/>
    </xf>
    <xf numFmtId="183" fontId="22" fillId="28" borderId="36" xfId="0" applyNumberFormat="1" applyFont="1" applyFill="1" applyBorder="1" applyAlignment="1">
      <alignment wrapText="1"/>
    </xf>
    <xf numFmtId="0" fontId="10" fillId="27" borderId="38" xfId="0" applyFont="1" applyFill="1" applyBorder="1" applyAlignment="1">
      <alignment wrapText="1"/>
    </xf>
    <xf numFmtId="0" fontId="355" fillId="27" borderId="0" xfId="0" applyFont="1" applyFill="1" applyAlignment="1">
      <alignment wrapText="1"/>
    </xf>
    <xf numFmtId="4" fontId="355" fillId="27" borderId="0" xfId="0" applyNumberFormat="1" applyFont="1" applyFill="1" applyAlignment="1">
      <alignment wrapText="1"/>
    </xf>
    <xf numFmtId="4" fontId="355" fillId="27" borderId="38" xfId="0" applyNumberFormat="1" applyFont="1" applyFill="1" applyBorder="1" applyAlignment="1">
      <alignment wrapText="1"/>
    </xf>
    <xf numFmtId="0" fontId="202" fillId="28" borderId="41" xfId="0" applyFont="1" applyFill="1" applyBorder="1" applyAlignment="1">
      <alignment wrapText="1"/>
    </xf>
    <xf numFmtId="0" fontId="356" fillId="2" borderId="0" xfId="0" applyFont="1" applyFill="1" applyAlignment="1">
      <alignment horizontal="center" wrapText="1"/>
    </xf>
    <xf numFmtId="0" fontId="357" fillId="40" borderId="0" xfId="0" applyFont="1" applyFill="1" applyAlignment="1">
      <alignment horizontal="left" wrapText="1"/>
    </xf>
    <xf numFmtId="0" fontId="225" fillId="3" borderId="0" xfId="0" applyFont="1" applyFill="1" applyAlignment="1">
      <alignment wrapText="1"/>
    </xf>
    <xf numFmtId="0" fontId="224" fillId="3" borderId="0" xfId="0" applyFont="1" applyFill="1" applyAlignment="1">
      <alignment horizontal="left" wrapText="1"/>
    </xf>
    <xf numFmtId="0" fontId="358" fillId="2" borderId="0" xfId="0" applyFont="1" applyFill="1" applyAlignment="1">
      <alignment wrapText="1"/>
    </xf>
    <xf numFmtId="0" fontId="359" fillId="41" borderId="0" xfId="0" applyFont="1" applyFill="1" applyAlignment="1">
      <alignment horizontal="left" wrapText="1"/>
    </xf>
    <xf numFmtId="0" fontId="360" fillId="2" borderId="0" xfId="0" applyFont="1" applyFill="1" applyAlignment="1">
      <alignment horizontal="left" wrapText="1"/>
    </xf>
    <xf numFmtId="0" fontId="361" fillId="26" borderId="0" xfId="0" applyFont="1" applyFill="1" applyAlignment="1">
      <alignment wrapText="1"/>
    </xf>
    <xf numFmtId="0" fontId="362" fillId="2" borderId="0" xfId="0" applyFont="1" applyFill="1" applyAlignment="1">
      <alignment horizontal="left" wrapText="1"/>
    </xf>
    <xf numFmtId="0" fontId="22" fillId="17" borderId="2" xfId="0" applyFont="1" applyFill="1" applyBorder="1" applyAlignment="1">
      <alignment horizontal="center" wrapText="1"/>
    </xf>
    <xf numFmtId="0" fontId="22" fillId="17" borderId="0" xfId="0" applyFont="1" applyFill="1" applyAlignment="1">
      <alignment horizontal="center" wrapText="1"/>
    </xf>
    <xf numFmtId="0" fontId="22" fillId="0" borderId="11" xfId="0" applyFont="1" applyBorder="1" applyAlignment="1">
      <alignment wrapText="1"/>
    </xf>
    <xf numFmtId="0" fontId="10" fillId="0" borderId="11" xfId="0" applyFont="1" applyBorder="1" applyAlignment="1">
      <alignment horizontal="right" wrapText="1"/>
    </xf>
    <xf numFmtId="0" fontId="22" fillId="0" borderId="8" xfId="0" applyFont="1" applyBorder="1" applyAlignment="1">
      <alignment wrapText="1"/>
    </xf>
    <xf numFmtId="0" fontId="10" fillId="17" borderId="2" xfId="0" applyFont="1" applyFill="1" applyBorder="1" applyAlignment="1">
      <alignment horizontal="left" wrapText="1"/>
    </xf>
    <xf numFmtId="0" fontId="10" fillId="17" borderId="2" xfId="0" applyFont="1" applyFill="1" applyBorder="1" applyAlignment="1">
      <alignment wrapText="1"/>
    </xf>
    <xf numFmtId="0" fontId="22" fillId="17" borderId="2" xfId="0" applyFont="1" applyFill="1" applyBorder="1" applyAlignment="1">
      <alignment wrapText="1"/>
    </xf>
    <xf numFmtId="0" fontId="10" fillId="17" borderId="2" xfId="0" applyFont="1" applyFill="1" applyBorder="1" applyAlignment="1">
      <alignment horizontal="right" wrapText="1"/>
    </xf>
    <xf numFmtId="0" fontId="22" fillId="17" borderId="0" xfId="0" applyFont="1" applyFill="1" applyAlignment="1">
      <alignment wrapText="1"/>
    </xf>
    <xf numFmtId="0" fontId="10" fillId="42" borderId="2" xfId="0" applyFont="1" applyFill="1" applyBorder="1" applyAlignment="1">
      <alignment horizontal="left" wrapText="1"/>
    </xf>
    <xf numFmtId="0" fontId="10" fillId="42" borderId="2" xfId="0" applyFont="1" applyFill="1" applyBorder="1" applyAlignment="1">
      <alignment wrapText="1"/>
    </xf>
    <xf numFmtId="0" fontId="22" fillId="42" borderId="2" xfId="0" applyFont="1" applyFill="1" applyBorder="1" applyAlignment="1">
      <alignment wrapText="1"/>
    </xf>
    <xf numFmtId="0" fontId="22" fillId="42" borderId="8" xfId="0" applyFont="1" applyFill="1" applyBorder="1" applyAlignment="1">
      <alignment wrapText="1"/>
    </xf>
    <xf numFmtId="0" fontId="10" fillId="42" borderId="0" xfId="0" applyFont="1" applyFill="1" applyAlignment="1">
      <alignment wrapText="1"/>
    </xf>
    <xf numFmtId="0" fontId="22" fillId="42" borderId="0" xfId="0" applyFont="1" applyFill="1" applyAlignment="1">
      <alignment horizontal="center" wrapText="1"/>
    </xf>
    <xf numFmtId="0" fontId="10" fillId="42" borderId="11" xfId="0" applyFont="1" applyFill="1" applyBorder="1" applyAlignment="1">
      <alignment wrapText="1"/>
    </xf>
    <xf numFmtId="0" fontId="22" fillId="42" borderId="11" xfId="0" applyFont="1" applyFill="1" applyBorder="1" applyAlignment="1">
      <alignment wrapText="1"/>
    </xf>
    <xf numFmtId="0" fontId="10" fillId="42" borderId="11" xfId="0" applyFont="1" applyFill="1" applyBorder="1" applyAlignment="1">
      <alignment horizontal="right" wrapText="1"/>
    </xf>
    <xf numFmtId="0" fontId="10" fillId="42" borderId="0" xfId="0" applyFont="1" applyFill="1" applyAlignment="1">
      <alignment horizontal="left" wrapText="1"/>
    </xf>
    <xf numFmtId="0" fontId="22" fillId="42" borderId="0" xfId="0" applyFont="1" applyFill="1" applyAlignment="1">
      <alignment wrapText="1"/>
    </xf>
    <xf numFmtId="0" fontId="10" fillId="42" borderId="0" xfId="0" applyFont="1" applyFill="1" applyAlignment="1">
      <alignment horizontal="right" wrapText="1"/>
    </xf>
    <xf numFmtId="0" fontId="10" fillId="42" borderId="2" xfId="0" applyFont="1" applyFill="1" applyBorder="1" applyAlignment="1">
      <alignment horizontal="right" wrapText="1"/>
    </xf>
    <xf numFmtId="0" fontId="324" fillId="17" borderId="11" xfId="0" applyFont="1" applyFill="1" applyBorder="1" applyAlignment="1">
      <alignment wrapText="1"/>
    </xf>
    <xf numFmtId="0" fontId="324" fillId="17" borderId="0" xfId="0" applyFont="1" applyFill="1" applyAlignment="1">
      <alignment wrapText="1"/>
    </xf>
    <xf numFmtId="3" fontId="324" fillId="17" borderId="0" xfId="0" applyNumberFormat="1" applyFont="1" applyFill="1" applyAlignment="1">
      <alignment wrapText="1"/>
    </xf>
    <xf numFmtId="0" fontId="21" fillId="17" borderId="0" xfId="0" applyFont="1" applyFill="1" applyAlignment="1">
      <alignment wrapText="1"/>
    </xf>
    <xf numFmtId="0" fontId="22" fillId="27" borderId="42" xfId="0" applyFont="1" applyFill="1" applyBorder="1" applyAlignment="1">
      <alignment wrapText="1"/>
    </xf>
    <xf numFmtId="4" fontId="289" fillId="27" borderId="36" xfId="0" applyNumberFormat="1" applyFont="1" applyFill="1" applyBorder="1" applyAlignment="1">
      <alignment wrapText="1"/>
    </xf>
    <xf numFmtId="0" fontId="355" fillId="27" borderId="38" xfId="0" applyFont="1" applyFill="1" applyBorder="1" applyAlignment="1">
      <alignment wrapText="1"/>
    </xf>
    <xf numFmtId="0" fontId="22" fillId="0" borderId="36" xfId="0" applyFont="1" applyBorder="1" applyAlignment="1">
      <alignment wrapText="1"/>
    </xf>
    <xf numFmtId="4" fontId="22" fillId="0" borderId="36" xfId="0" applyNumberFormat="1" applyFont="1" applyBorder="1" applyAlignment="1">
      <alignment wrapText="1"/>
    </xf>
    <xf numFmtId="4" fontId="292" fillId="0" borderId="0" xfId="0" applyNumberFormat="1" applyFont="1" applyAlignment="1">
      <alignment wrapText="1"/>
    </xf>
    <xf numFmtId="4" fontId="0" fillId="43" borderId="0" xfId="0" applyNumberFormat="1" applyFill="1" applyAlignment="1">
      <alignment wrapText="1"/>
    </xf>
    <xf numFmtId="4" fontId="0" fillId="15" borderId="0" xfId="0" applyNumberFormat="1" applyFill="1" applyAlignment="1">
      <alignment wrapText="1"/>
    </xf>
    <xf numFmtId="4" fontId="363" fillId="4" borderId="0" xfId="0" applyNumberFormat="1" applyFont="1" applyFill="1" applyAlignment="1">
      <alignment wrapText="1"/>
    </xf>
    <xf numFmtId="0" fontId="28" fillId="44" borderId="0" xfId="0" applyFont="1" applyFill="1"/>
    <xf numFmtId="0" fontId="28" fillId="18" borderId="2" xfId="0" applyFont="1" applyFill="1" applyBorder="1"/>
    <xf numFmtId="0" fontId="28" fillId="28" borderId="0" xfId="0" applyFont="1" applyFill="1"/>
    <xf numFmtId="0" fontId="27" fillId="0" borderId="0" xfId="0" applyFont="1"/>
    <xf numFmtId="0" fontId="27" fillId="0" borderId="0" xfId="0" applyFont="1" applyAlignment="1">
      <alignment horizontal="left" vertical="top"/>
    </xf>
    <xf numFmtId="0" fontId="28" fillId="45" borderId="0" xfId="0" applyFont="1" applyFill="1"/>
    <xf numFmtId="0" fontId="28" fillId="0" borderId="53" xfId="0" applyFont="1" applyBorder="1"/>
    <xf numFmtId="0" fontId="28" fillId="46" borderId="0" xfId="0" applyFont="1" applyFill="1"/>
    <xf numFmtId="0" fontId="28" fillId="0" borderId="54" xfId="0" applyFont="1" applyBorder="1"/>
    <xf numFmtId="0" fontId="28" fillId="0" borderId="55" xfId="0" applyFont="1" applyBorder="1"/>
    <xf numFmtId="0" fontId="28" fillId="47" borderId="0" xfId="0" applyFont="1" applyFill="1"/>
    <xf numFmtId="0" fontId="28" fillId="0" borderId="56" xfId="0" applyFont="1" applyBorder="1"/>
    <xf numFmtId="0" fontId="28" fillId="3" borderId="20" xfId="0" applyFont="1" applyFill="1" applyBorder="1"/>
    <xf numFmtId="0" fontId="28" fillId="0" borderId="57" xfId="0" applyFont="1" applyBorder="1"/>
    <xf numFmtId="0" fontId="28" fillId="48" borderId="0" xfId="0" applyFont="1" applyFill="1"/>
    <xf numFmtId="0" fontId="28" fillId="48" borderId="58" xfId="0" applyFont="1" applyFill="1" applyBorder="1"/>
    <xf numFmtId="0" fontId="28" fillId="0" borderId="58" xfId="0" applyFont="1" applyBorder="1"/>
    <xf numFmtId="0" fontId="28" fillId="0" borderId="59" xfId="0" applyFont="1" applyBorder="1"/>
    <xf numFmtId="0" fontId="28" fillId="0" borderId="60" xfId="0" applyFont="1" applyBorder="1"/>
    <xf numFmtId="0" fontId="28" fillId="0" borderId="61" xfId="0" applyFont="1" applyBorder="1"/>
    <xf numFmtId="0" fontId="28" fillId="0" borderId="62" xfId="0" applyFont="1" applyBorder="1"/>
    <xf numFmtId="0" fontId="28" fillId="0" borderId="63" xfId="0" applyFont="1" applyBorder="1"/>
    <xf numFmtId="0" fontId="28" fillId="0" borderId="64" xfId="0" applyFont="1" applyBorder="1"/>
    <xf numFmtId="0" fontId="28" fillId="0" borderId="65" xfId="0" applyFont="1" applyBorder="1"/>
    <xf numFmtId="0" fontId="28" fillId="0" borderId="66" xfId="0" applyFont="1" applyBorder="1"/>
    <xf numFmtId="0" fontId="28" fillId="0" borderId="67" xfId="0" applyFont="1" applyBorder="1"/>
    <xf numFmtId="0" fontId="28" fillId="0" borderId="68" xfId="0" applyFont="1" applyBorder="1"/>
    <xf numFmtId="0" fontId="28" fillId="0" borderId="69" xfId="0" applyFont="1" applyBorder="1"/>
    <xf numFmtId="0" fontId="28" fillId="0" borderId="70" xfId="0" applyFont="1" applyBorder="1"/>
    <xf numFmtId="0" fontId="28" fillId="0" borderId="71" xfId="0" applyFont="1" applyBorder="1"/>
    <xf numFmtId="0" fontId="28" fillId="0" borderId="72" xfId="0" applyFont="1" applyBorder="1"/>
    <xf numFmtId="0" fontId="28" fillId="0" borderId="73" xfId="0" applyFont="1" applyBorder="1"/>
    <xf numFmtId="0" fontId="28" fillId="0" borderId="74" xfId="0" applyFont="1" applyBorder="1"/>
    <xf numFmtId="0" fontId="28" fillId="0" borderId="75" xfId="0" applyFont="1" applyBorder="1"/>
    <xf numFmtId="0" fontId="28" fillId="0" borderId="76" xfId="0" applyFont="1" applyBorder="1"/>
    <xf numFmtId="0" fontId="28" fillId="28" borderId="77" xfId="0" applyFont="1" applyFill="1" applyBorder="1"/>
    <xf numFmtId="0" fontId="28" fillId="3" borderId="0" xfId="0" applyFont="1" applyFill="1"/>
    <xf numFmtId="0" fontId="28" fillId="28" borderId="73" xfId="0" applyFont="1" applyFill="1" applyBorder="1"/>
    <xf numFmtId="0" fontId="28" fillId="0" borderId="78" xfId="0" applyFont="1" applyBorder="1"/>
    <xf numFmtId="0" fontId="28" fillId="28" borderId="76" xfId="0" applyFont="1" applyFill="1" applyBorder="1"/>
    <xf numFmtId="0" fontId="28" fillId="0" borderId="79" xfId="0" applyFont="1" applyBorder="1"/>
    <xf numFmtId="0" fontId="365" fillId="0" borderId="0" xfId="0" applyFont="1"/>
    <xf numFmtId="0" fontId="28" fillId="0" borderId="80" xfId="0" applyFont="1" applyBorder="1"/>
    <xf numFmtId="0" fontId="28" fillId="0" borderId="81" xfId="0" applyFont="1" applyBorder="1"/>
    <xf numFmtId="0" fontId="28" fillId="0" borderId="82" xfId="0" applyFont="1" applyBorder="1"/>
    <xf numFmtId="0" fontId="28" fillId="0" borderId="83" xfId="0" applyFont="1" applyBorder="1"/>
    <xf numFmtId="0" fontId="28" fillId="0" borderId="84" xfId="0" applyFont="1" applyBorder="1"/>
    <xf numFmtId="0" fontId="28" fillId="0" borderId="85" xfId="0" applyFont="1" applyBorder="1"/>
    <xf numFmtId="0" fontId="28" fillId="0" borderId="86" xfId="0" applyFont="1" applyBorder="1"/>
    <xf numFmtId="0" fontId="28" fillId="0" borderId="87" xfId="0" applyFont="1" applyBorder="1"/>
    <xf numFmtId="0" fontId="28" fillId="0" borderId="88" xfId="0" applyFont="1" applyBorder="1"/>
    <xf numFmtId="0" fontId="28" fillId="0" borderId="89" xfId="0" applyFont="1" applyBorder="1"/>
    <xf numFmtId="0" fontId="28" fillId="0" borderId="90" xfId="0" applyFont="1" applyBorder="1"/>
    <xf numFmtId="0" fontId="28" fillId="0" borderId="91" xfId="0" applyFont="1" applyBorder="1"/>
    <xf numFmtId="0" fontId="28" fillId="28" borderId="92" xfId="0" applyFont="1" applyFill="1" applyBorder="1"/>
    <xf numFmtId="0" fontId="28" fillId="28" borderId="93" xfId="0" applyFont="1" applyFill="1" applyBorder="1"/>
    <xf numFmtId="0" fontId="28" fillId="0" borderId="94" xfId="0" applyFont="1" applyBorder="1"/>
    <xf numFmtId="0" fontId="28" fillId="0" borderId="20" xfId="0" applyFont="1" applyBorder="1"/>
    <xf numFmtId="0" fontId="28" fillId="0" borderId="95" xfId="0" applyFont="1" applyBorder="1"/>
    <xf numFmtId="0" fontId="28" fillId="0" borderId="96" xfId="0" applyFont="1" applyBorder="1"/>
    <xf numFmtId="0" fontId="28" fillId="0" borderId="97" xfId="0" applyFont="1" applyBorder="1"/>
    <xf numFmtId="0" fontId="28" fillId="0" borderId="98" xfId="0" applyFont="1" applyBorder="1"/>
    <xf numFmtId="0" fontId="28" fillId="0" borderId="99" xfId="0" applyFont="1" applyBorder="1"/>
    <xf numFmtId="0" fontId="28" fillId="0" borderId="93" xfId="0" applyFont="1" applyBorder="1"/>
    <xf numFmtId="0" fontId="28" fillId="42" borderId="94" xfId="0" applyFont="1" applyFill="1" applyBorder="1"/>
    <xf numFmtId="0" fontId="28" fillId="42" borderId="0" xfId="0" applyFont="1" applyFill="1"/>
    <xf numFmtId="0" fontId="28" fillId="0" borderId="92" xfId="0" applyFont="1" applyBorder="1"/>
    <xf numFmtId="0" fontId="28" fillId="0" borderId="100" xfId="0" applyFont="1" applyBorder="1"/>
    <xf numFmtId="0" fontId="28" fillId="0" borderId="101" xfId="0" applyFont="1" applyBorder="1"/>
    <xf numFmtId="0" fontId="28" fillId="0" borderId="102" xfId="0" applyFont="1" applyBorder="1"/>
    <xf numFmtId="0" fontId="28" fillId="0" borderId="103" xfId="0" applyFont="1" applyBorder="1"/>
    <xf numFmtId="0" fontId="28" fillId="0" borderId="104" xfId="0" applyFont="1" applyBorder="1"/>
    <xf numFmtId="0" fontId="28" fillId="0" borderId="105" xfId="0" applyFont="1" applyBorder="1"/>
    <xf numFmtId="0" fontId="28" fillId="0" borderId="106" xfId="0" applyFont="1" applyBorder="1"/>
    <xf numFmtId="0" fontId="28" fillId="0" borderId="107" xfId="0" applyFont="1" applyBorder="1"/>
    <xf numFmtId="0" fontId="28" fillId="0" borderId="108" xfId="0" applyFont="1" applyBorder="1"/>
    <xf numFmtId="0" fontId="28" fillId="0" borderId="109" xfId="0" applyFont="1" applyBorder="1"/>
    <xf numFmtId="0" fontId="28" fillId="0" borderId="110" xfId="0" applyFont="1" applyBorder="1"/>
    <xf numFmtId="0" fontId="28" fillId="0" borderId="111" xfId="0" applyFont="1" applyBorder="1"/>
    <xf numFmtId="0" fontId="366" fillId="0" borderId="0" xfId="0" applyFont="1" applyAlignment="1">
      <alignment vertical="top"/>
    </xf>
    <xf numFmtId="0" fontId="368" fillId="0" borderId="0" xfId="0" applyFont="1" applyAlignment="1">
      <alignment horizontal="left" vertical="top"/>
    </xf>
    <xf numFmtId="0" fontId="368" fillId="0" borderId="7" xfId="0" applyFont="1" applyBorder="1" applyAlignment="1">
      <alignment horizontal="left" vertical="top"/>
    </xf>
    <xf numFmtId="0" fontId="215" fillId="0" borderId="7" xfId="0" applyFont="1" applyBorder="1" applyAlignment="1">
      <alignment horizontal="center"/>
    </xf>
    <xf numFmtId="0" fontId="215" fillId="0" borderId="9" xfId="0" applyFont="1" applyBorder="1" applyAlignment="1">
      <alignment horizontal="center"/>
    </xf>
    <xf numFmtId="0" fontId="215" fillId="0" borderId="0" xfId="0" applyFont="1" applyAlignment="1">
      <alignment horizontal="center"/>
    </xf>
    <xf numFmtId="0" fontId="215" fillId="28" borderId="7" xfId="0" applyFont="1" applyFill="1" applyBorder="1" applyAlignment="1">
      <alignment horizontal="center"/>
    </xf>
    <xf numFmtId="0" fontId="215" fillId="28" borderId="8" xfId="0" applyFont="1" applyFill="1" applyBorder="1" applyAlignment="1">
      <alignment horizontal="center"/>
    </xf>
    <xf numFmtId="0" fontId="215" fillId="28" borderId="9" xfId="0" applyFont="1" applyFill="1" applyBorder="1" applyAlignment="1">
      <alignment horizontal="center"/>
    </xf>
    <xf numFmtId="0" fontId="215" fillId="4" borderId="0" xfId="0" applyFont="1" applyFill="1" applyAlignment="1">
      <alignment horizontal="center"/>
    </xf>
    <xf numFmtId="0" fontId="369" fillId="0" borderId="0" xfId="0" applyFont="1" applyAlignment="1">
      <alignment horizontal="center"/>
    </xf>
    <xf numFmtId="0" fontId="27" fillId="0" borderId="0" xfId="0" applyFont="1" applyAlignment="1">
      <alignment horizontal="center"/>
    </xf>
    <xf numFmtId="0" fontId="370" fillId="49" borderId="121" xfId="0" applyFont="1" applyFill="1" applyBorder="1" applyAlignment="1">
      <alignment horizontal="center"/>
    </xf>
    <xf numFmtId="0" fontId="371" fillId="49" borderId="121" xfId="0" applyFont="1" applyFill="1" applyBorder="1" applyAlignment="1">
      <alignment horizontal="center"/>
    </xf>
    <xf numFmtId="0" fontId="371" fillId="0" borderId="0" xfId="0" applyFont="1" applyAlignment="1">
      <alignment horizontal="center"/>
    </xf>
    <xf numFmtId="0" fontId="370" fillId="45" borderId="122" xfId="0" applyFont="1" applyFill="1" applyBorder="1" applyAlignment="1">
      <alignment horizontal="center"/>
    </xf>
    <xf numFmtId="0" fontId="371" fillId="45" borderId="122" xfId="0" applyFont="1" applyFill="1" applyBorder="1" applyAlignment="1">
      <alignment horizontal="center"/>
    </xf>
    <xf numFmtId="0" fontId="370" fillId="50" borderId="123" xfId="0" applyFont="1" applyFill="1" applyBorder="1" applyAlignment="1">
      <alignment horizontal="center"/>
    </xf>
    <xf numFmtId="0" fontId="371" fillId="50" borderId="123" xfId="0" applyFont="1" applyFill="1" applyBorder="1" applyAlignment="1">
      <alignment horizontal="center"/>
    </xf>
    <xf numFmtId="0" fontId="370" fillId="51" borderId="124" xfId="0" applyFont="1" applyFill="1" applyBorder="1" applyAlignment="1">
      <alignment horizontal="center"/>
    </xf>
    <xf numFmtId="0" fontId="371" fillId="51" borderId="124" xfId="0" applyFont="1" applyFill="1" applyBorder="1" applyAlignment="1">
      <alignment horizontal="center"/>
    </xf>
    <xf numFmtId="0" fontId="372" fillId="0" borderId="53" xfId="0" applyFont="1" applyBorder="1" applyAlignment="1">
      <alignment horizontal="center"/>
    </xf>
    <xf numFmtId="0" fontId="372" fillId="0" borderId="0" xfId="0" applyFont="1" applyAlignment="1">
      <alignment horizontal="center"/>
    </xf>
    <xf numFmtId="0" fontId="372" fillId="46" borderId="0" xfId="0" applyFont="1" applyFill="1" applyAlignment="1">
      <alignment horizontal="center"/>
    </xf>
    <xf numFmtId="0" fontId="373" fillId="0" borderId="54" xfId="0" applyFont="1" applyBorder="1" applyAlignment="1">
      <alignment horizontal="center"/>
    </xf>
    <xf numFmtId="0" fontId="24" fillId="0" borderId="0" xfId="0" applyFont="1" applyAlignment="1">
      <alignment horizontal="center"/>
    </xf>
    <xf numFmtId="0" fontId="372" fillId="0" borderId="55" xfId="0" applyFont="1" applyBorder="1" applyAlignment="1">
      <alignment horizontal="center"/>
    </xf>
    <xf numFmtId="0" fontId="373" fillId="0" borderId="125" xfId="0" applyFont="1" applyBorder="1" applyAlignment="1">
      <alignment horizontal="center"/>
    </xf>
    <xf numFmtId="0" fontId="372" fillId="0" borderId="59" xfId="0" applyFont="1" applyBorder="1" applyAlignment="1">
      <alignment horizontal="center"/>
    </xf>
    <xf numFmtId="0" fontId="373" fillId="0" borderId="58" xfId="0" applyFont="1" applyBorder="1" applyAlignment="1">
      <alignment horizontal="center"/>
    </xf>
    <xf numFmtId="0" fontId="372" fillId="0" borderId="56" xfId="0" applyFont="1" applyBorder="1" applyAlignment="1">
      <alignment horizontal="center"/>
    </xf>
    <xf numFmtId="0" fontId="373" fillId="0" borderId="57" xfId="0" applyFont="1" applyBorder="1" applyAlignment="1">
      <alignment horizontal="center"/>
    </xf>
    <xf numFmtId="0" fontId="215" fillId="0" borderId="20" xfId="0" applyFont="1" applyBorder="1" applyAlignment="1">
      <alignment horizontal="center"/>
    </xf>
    <xf numFmtId="0" fontId="373" fillId="0" borderId="20" xfId="0" applyFont="1" applyBorder="1" applyAlignment="1">
      <alignment horizontal="center"/>
    </xf>
    <xf numFmtId="0" fontId="372" fillId="3" borderId="20" xfId="0" applyFont="1" applyFill="1" applyBorder="1" applyAlignment="1">
      <alignment horizontal="center"/>
    </xf>
    <xf numFmtId="0" fontId="372" fillId="0" borderId="60" xfId="0" applyFont="1" applyBorder="1" applyAlignment="1">
      <alignment horizontal="center"/>
    </xf>
    <xf numFmtId="0" fontId="215" fillId="0" borderId="61" xfId="0" applyFont="1" applyBorder="1" applyAlignment="1">
      <alignment horizontal="center"/>
    </xf>
    <xf numFmtId="0" fontId="373" fillId="0" borderId="62" xfId="0" applyFont="1" applyBorder="1" applyAlignment="1">
      <alignment horizontal="center"/>
    </xf>
    <xf numFmtId="0" fontId="372" fillId="0" borderId="63" xfId="0" applyFont="1" applyBorder="1" applyAlignment="1">
      <alignment horizontal="center"/>
    </xf>
    <xf numFmtId="0" fontId="215" fillId="0" borderId="64" xfId="0" applyFont="1" applyBorder="1" applyAlignment="1">
      <alignment horizontal="center"/>
    </xf>
    <xf numFmtId="0" fontId="373" fillId="0" borderId="65" xfId="0" applyFont="1" applyBorder="1" applyAlignment="1">
      <alignment horizontal="center"/>
    </xf>
    <xf numFmtId="0" fontId="372" fillId="0" borderId="66" xfId="0" applyFont="1" applyBorder="1" applyAlignment="1">
      <alignment horizontal="center"/>
    </xf>
    <xf numFmtId="0" fontId="215" fillId="0" borderId="67" xfId="0" applyFont="1" applyBorder="1" applyAlignment="1">
      <alignment horizontal="center"/>
    </xf>
    <xf numFmtId="0" fontId="373" fillId="0" borderId="68" xfId="0" applyFont="1" applyBorder="1" applyAlignment="1">
      <alignment horizontal="center"/>
    </xf>
    <xf numFmtId="0" fontId="372" fillId="0" borderId="69" xfId="0" applyFont="1" applyBorder="1" applyAlignment="1">
      <alignment horizontal="center"/>
    </xf>
    <xf numFmtId="0" fontId="215" fillId="0" borderId="70" xfId="0" applyFont="1" applyBorder="1" applyAlignment="1">
      <alignment horizontal="center"/>
    </xf>
    <xf numFmtId="0" fontId="373" fillId="0" borderId="71" xfId="0" applyFont="1" applyBorder="1" applyAlignment="1">
      <alignment horizontal="center"/>
    </xf>
    <xf numFmtId="0" fontId="374" fillId="0" borderId="0" xfId="0" applyFont="1" applyAlignment="1">
      <alignment horizontal="center"/>
    </xf>
    <xf numFmtId="0" fontId="366" fillId="0" borderId="0" xfId="0" applyFont="1" applyAlignment="1">
      <alignment horizontal="center"/>
    </xf>
    <xf numFmtId="0" fontId="370" fillId="52" borderId="138" xfId="0" applyFont="1" applyFill="1" applyBorder="1" applyAlignment="1">
      <alignment horizontal="center"/>
    </xf>
    <xf numFmtId="0" fontId="371" fillId="52" borderId="138" xfId="0" applyFont="1" applyFill="1" applyBorder="1" applyAlignment="1">
      <alignment horizontal="center"/>
    </xf>
    <xf numFmtId="0" fontId="370" fillId="53" borderId="139" xfId="0" applyFont="1" applyFill="1" applyBorder="1" applyAlignment="1">
      <alignment horizontal="center"/>
    </xf>
    <xf numFmtId="0" fontId="371" fillId="53" borderId="139" xfId="0" applyFont="1" applyFill="1" applyBorder="1" applyAlignment="1">
      <alignment horizontal="center"/>
    </xf>
    <xf numFmtId="0" fontId="370" fillId="54" borderId="140" xfId="0" applyFont="1" applyFill="1" applyBorder="1" applyAlignment="1">
      <alignment horizontal="center"/>
    </xf>
    <xf numFmtId="0" fontId="371" fillId="54" borderId="140" xfId="0" applyFont="1" applyFill="1" applyBorder="1" applyAlignment="1">
      <alignment horizontal="center"/>
    </xf>
    <xf numFmtId="0" fontId="370" fillId="18" borderId="141" xfId="0" applyFont="1" applyFill="1" applyBorder="1" applyAlignment="1">
      <alignment horizontal="center"/>
    </xf>
    <xf numFmtId="0" fontId="371" fillId="18" borderId="141" xfId="0" applyFont="1" applyFill="1" applyBorder="1" applyAlignment="1">
      <alignment horizontal="center"/>
    </xf>
    <xf numFmtId="0" fontId="372" fillId="0" borderId="72" xfId="0" applyFont="1" applyBorder="1" applyAlignment="1">
      <alignment horizontal="center"/>
    </xf>
    <xf numFmtId="0" fontId="373" fillId="0" borderId="73" xfId="0" applyFont="1" applyBorder="1" applyAlignment="1">
      <alignment horizontal="center"/>
    </xf>
    <xf numFmtId="0" fontId="372" fillId="0" borderId="79" xfId="0" applyFont="1" applyBorder="1" applyAlignment="1">
      <alignment horizontal="center"/>
    </xf>
    <xf numFmtId="0" fontId="373" fillId="0" borderId="78" xfId="0" applyFont="1" applyBorder="1" applyAlignment="1">
      <alignment horizontal="center"/>
    </xf>
    <xf numFmtId="0" fontId="372" fillId="0" borderId="74" xfId="0" applyFont="1" applyBorder="1" applyAlignment="1">
      <alignment horizontal="center"/>
    </xf>
    <xf numFmtId="0" fontId="215" fillId="28" borderId="0" xfId="0" applyFont="1" applyFill="1" applyAlignment="1">
      <alignment horizontal="center"/>
    </xf>
    <xf numFmtId="0" fontId="372" fillId="28" borderId="76" xfId="0" applyFont="1" applyFill="1" applyBorder="1" applyAlignment="1">
      <alignment horizontal="center"/>
    </xf>
    <xf numFmtId="0" fontId="373" fillId="28" borderId="77" xfId="0" applyFont="1" applyFill="1" applyBorder="1" applyAlignment="1">
      <alignment horizontal="center"/>
    </xf>
    <xf numFmtId="0" fontId="372" fillId="28" borderId="74" xfId="0" applyFont="1" applyFill="1" applyBorder="1" applyAlignment="1">
      <alignment horizontal="center"/>
    </xf>
    <xf numFmtId="0" fontId="373" fillId="28" borderId="75" xfId="0" applyFont="1" applyFill="1" applyBorder="1" applyAlignment="1">
      <alignment horizontal="center"/>
    </xf>
    <xf numFmtId="0" fontId="375" fillId="0" borderId="78" xfId="0" applyFont="1" applyBorder="1" applyAlignment="1">
      <alignment horizontal="center"/>
    </xf>
    <xf numFmtId="0" fontId="373" fillId="3" borderId="73" xfId="0" applyFont="1" applyFill="1" applyBorder="1" applyAlignment="1">
      <alignment horizontal="center"/>
    </xf>
    <xf numFmtId="0" fontId="372" fillId="0" borderId="80" xfId="0" applyFont="1" applyBorder="1" applyAlignment="1">
      <alignment horizontal="center"/>
    </xf>
    <xf numFmtId="0" fontId="215" fillId="0" borderId="81" xfId="0" applyFont="1" applyBorder="1" applyAlignment="1">
      <alignment horizontal="center"/>
    </xf>
    <xf numFmtId="0" fontId="373" fillId="0" borderId="82" xfId="0" applyFont="1" applyBorder="1" applyAlignment="1">
      <alignment horizontal="center"/>
    </xf>
    <xf numFmtId="0" fontId="372" fillId="0" borderId="83" xfId="0" applyFont="1" applyBorder="1" applyAlignment="1">
      <alignment horizontal="center"/>
    </xf>
    <xf numFmtId="0" fontId="215" fillId="0" borderId="84" xfId="0" applyFont="1" applyBorder="1" applyAlignment="1">
      <alignment horizontal="center"/>
    </xf>
    <xf numFmtId="0" fontId="373" fillId="0" borderId="85" xfId="0" applyFont="1" applyBorder="1" applyAlignment="1">
      <alignment horizontal="center"/>
    </xf>
    <xf numFmtId="0" fontId="372" fillId="0" borderId="86" xfId="0" applyFont="1" applyBorder="1" applyAlignment="1">
      <alignment horizontal="center"/>
    </xf>
    <xf numFmtId="0" fontId="215" fillId="0" borderId="87" xfId="0" applyFont="1" applyBorder="1" applyAlignment="1">
      <alignment horizontal="center"/>
    </xf>
    <xf numFmtId="0" fontId="373" fillId="0" borderId="88" xfId="0" applyFont="1" applyBorder="1" applyAlignment="1">
      <alignment horizontal="center"/>
    </xf>
    <xf numFmtId="0" fontId="372" fillId="28" borderId="89" xfId="0" applyFont="1" applyFill="1" applyBorder="1" applyAlignment="1">
      <alignment horizontal="center"/>
    </xf>
    <xf numFmtId="0" fontId="215" fillId="28" borderId="90" xfId="0" applyFont="1" applyFill="1" applyBorder="1" applyAlignment="1">
      <alignment horizontal="center"/>
    </xf>
    <xf numFmtId="0" fontId="373" fillId="28" borderId="91" xfId="0" applyFont="1" applyFill="1" applyBorder="1" applyAlignment="1">
      <alignment horizontal="center"/>
    </xf>
    <xf numFmtId="0" fontId="370" fillId="55" borderId="154" xfId="0" applyFont="1" applyFill="1" applyBorder="1" applyAlignment="1">
      <alignment horizontal="center"/>
    </xf>
    <xf numFmtId="0" fontId="371" fillId="55" borderId="154" xfId="0" applyFont="1" applyFill="1" applyBorder="1" applyAlignment="1">
      <alignment horizontal="center"/>
    </xf>
    <xf numFmtId="0" fontId="370" fillId="56" borderId="155" xfId="0" applyFont="1" applyFill="1" applyBorder="1" applyAlignment="1">
      <alignment horizontal="center"/>
    </xf>
    <xf numFmtId="0" fontId="371" fillId="56" borderId="155" xfId="0" applyFont="1" applyFill="1" applyBorder="1" applyAlignment="1">
      <alignment horizontal="center"/>
    </xf>
    <xf numFmtId="0" fontId="370" fillId="57" borderId="156" xfId="0" applyFont="1" applyFill="1" applyBorder="1" applyAlignment="1">
      <alignment horizontal="center"/>
    </xf>
    <xf numFmtId="0" fontId="371" fillId="57" borderId="156" xfId="0" applyFont="1" applyFill="1" applyBorder="1" applyAlignment="1">
      <alignment horizontal="center"/>
    </xf>
    <xf numFmtId="0" fontId="370" fillId="58" borderId="157" xfId="0" applyFont="1" applyFill="1" applyBorder="1" applyAlignment="1">
      <alignment horizontal="center"/>
    </xf>
    <xf numFmtId="0" fontId="371" fillId="58" borderId="157" xfId="0" applyFont="1" applyFill="1" applyBorder="1" applyAlignment="1">
      <alignment horizontal="center"/>
    </xf>
    <xf numFmtId="0" fontId="372" fillId="28" borderId="92" xfId="0" applyFont="1" applyFill="1" applyBorder="1" applyAlignment="1">
      <alignment horizontal="center"/>
    </xf>
    <xf numFmtId="0" fontId="373" fillId="28" borderId="93" xfId="0" applyFont="1" applyFill="1" applyBorder="1" applyAlignment="1">
      <alignment horizontal="center"/>
    </xf>
    <xf numFmtId="0" fontId="372" fillId="0" borderId="94" xfId="0" applyFont="1" applyBorder="1" applyAlignment="1">
      <alignment horizontal="center"/>
    </xf>
    <xf numFmtId="0" fontId="373" fillId="0" borderId="95" xfId="0" applyFont="1" applyBorder="1" applyAlignment="1">
      <alignment horizontal="center"/>
    </xf>
    <xf numFmtId="0" fontId="372" fillId="0" borderId="96" xfId="0" applyFont="1" applyBorder="1" applyAlignment="1">
      <alignment horizontal="center"/>
    </xf>
    <xf numFmtId="0" fontId="373" fillId="0" borderId="97" xfId="0" applyFont="1" applyBorder="1" applyAlignment="1">
      <alignment horizontal="center"/>
    </xf>
    <xf numFmtId="0" fontId="372" fillId="0" borderId="98" xfId="0" applyFont="1" applyBorder="1" applyAlignment="1">
      <alignment horizontal="center"/>
    </xf>
    <xf numFmtId="0" fontId="373" fillId="0" borderId="99" xfId="0" applyFont="1" applyBorder="1" applyAlignment="1">
      <alignment horizontal="center"/>
    </xf>
    <xf numFmtId="0" fontId="372" fillId="28" borderId="0" xfId="0" applyFont="1" applyFill="1" applyAlignment="1">
      <alignment horizontal="center"/>
    </xf>
    <xf numFmtId="0" fontId="215" fillId="2" borderId="0" xfId="0" applyFont="1" applyFill="1" applyAlignment="1">
      <alignment horizontal="center"/>
    </xf>
    <xf numFmtId="0" fontId="373" fillId="2" borderId="93" xfId="0" applyFont="1" applyFill="1" applyBorder="1" applyAlignment="1">
      <alignment horizontal="center"/>
    </xf>
    <xf numFmtId="0" fontId="215" fillId="0" borderId="0" xfId="0" applyFont="1"/>
    <xf numFmtId="0" fontId="372" fillId="2" borderId="92" xfId="0" applyFont="1" applyFill="1" applyBorder="1" applyAlignment="1">
      <alignment horizontal="center"/>
    </xf>
    <xf numFmtId="0" fontId="372" fillId="0" borderId="100" xfId="0" applyFont="1" applyBorder="1" applyAlignment="1">
      <alignment horizontal="center"/>
    </xf>
    <xf numFmtId="0" fontId="215" fillId="0" borderId="101" xfId="0" applyFont="1" applyBorder="1" applyAlignment="1">
      <alignment horizontal="center"/>
    </xf>
    <xf numFmtId="0" fontId="373" fillId="0" borderId="102" xfId="0" applyFont="1" applyBorder="1" applyAlignment="1">
      <alignment horizontal="center"/>
    </xf>
    <xf numFmtId="0" fontId="372" fillId="0" borderId="103" xfId="0" applyFont="1" applyBorder="1" applyAlignment="1">
      <alignment horizontal="center"/>
    </xf>
    <xf numFmtId="0" fontId="215" fillId="0" borderId="104" xfId="0" applyFont="1" applyBorder="1" applyAlignment="1">
      <alignment horizontal="center"/>
    </xf>
    <xf numFmtId="0" fontId="373" fillId="0" borderId="105" xfId="0" applyFont="1" applyBorder="1" applyAlignment="1">
      <alignment horizontal="center"/>
    </xf>
    <xf numFmtId="0" fontId="372" fillId="0" borderId="106" xfId="0" applyFont="1" applyBorder="1" applyAlignment="1">
      <alignment horizontal="center"/>
    </xf>
    <xf numFmtId="0" fontId="215" fillId="0" borderId="107" xfId="0" applyFont="1" applyBorder="1" applyAlignment="1">
      <alignment horizontal="center"/>
    </xf>
    <xf numFmtId="0" fontId="373" fillId="0" borderId="108" xfId="0" applyFont="1" applyBorder="1" applyAlignment="1">
      <alignment horizontal="center"/>
    </xf>
    <xf numFmtId="0" fontId="372" fillId="0" borderId="109" xfId="0" applyFont="1" applyBorder="1" applyAlignment="1">
      <alignment horizontal="center"/>
    </xf>
    <xf numFmtId="0" fontId="215" fillId="0" borderId="110" xfId="0" applyFont="1" applyBorder="1" applyAlignment="1">
      <alignment horizontal="center"/>
    </xf>
    <xf numFmtId="0" fontId="372" fillId="0" borderId="110" xfId="0" applyFont="1" applyBorder="1" applyAlignment="1">
      <alignment horizontal="center"/>
    </xf>
    <xf numFmtId="0" fontId="373" fillId="0" borderId="111" xfId="0" applyFont="1" applyBorder="1" applyAlignment="1">
      <alignment horizontal="center"/>
    </xf>
    <xf numFmtId="0" fontId="374" fillId="0" borderId="0" xfId="0" applyFont="1" applyAlignment="1">
      <alignment horizontal="left" vertical="top"/>
    </xf>
    <xf numFmtId="0" fontId="28" fillId="0" borderId="11" xfId="0" applyFont="1" applyBorder="1"/>
    <xf numFmtId="0" fontId="28" fillId="0" borderId="12" xfId="0" applyFont="1" applyBorder="1"/>
    <xf numFmtId="0" fontId="28" fillId="0" borderId="1" xfId="0" applyFont="1" applyBorder="1"/>
    <xf numFmtId="0" fontId="28" fillId="0" borderId="2" xfId="0" applyFont="1" applyBorder="1"/>
    <xf numFmtId="0" fontId="28" fillId="0" borderId="3" xfId="0" applyFont="1" applyBorder="1"/>
    <xf numFmtId="0" fontId="221" fillId="0" borderId="0" xfId="0" applyFont="1" applyAlignment="1">
      <alignment horizontal="right"/>
    </xf>
    <xf numFmtId="0" fontId="222" fillId="0" borderId="0" xfId="0" applyFont="1" applyAlignment="1">
      <alignment horizontal="right" vertical="top"/>
    </xf>
    <xf numFmtId="0" fontId="28" fillId="4" borderId="0" xfId="0" applyFont="1" applyFill="1"/>
    <xf numFmtId="0" fontId="28" fillId="0" borderId="0" xfId="0" applyFont="1" applyAlignment="1">
      <alignment vertical="center"/>
    </xf>
    <xf numFmtId="0" fontId="28" fillId="60" borderId="0" xfId="0" applyFont="1" applyFill="1"/>
    <xf numFmtId="0" fontId="28" fillId="2" borderId="2" xfId="0" applyFont="1" applyFill="1" applyBorder="1" applyAlignment="1">
      <alignment vertical="center"/>
    </xf>
    <xf numFmtId="0" fontId="28" fillId="2" borderId="2" xfId="0" applyFont="1" applyFill="1" applyBorder="1"/>
    <xf numFmtId="0" fontId="28" fillId="2" borderId="3" xfId="0" applyFont="1" applyFill="1" applyBorder="1"/>
    <xf numFmtId="0" fontId="28" fillId="18" borderId="13" xfId="0" applyFont="1" applyFill="1" applyBorder="1"/>
    <xf numFmtId="0" fontId="28" fillId="18" borderId="0" xfId="0" applyFont="1" applyFill="1"/>
    <xf numFmtId="0" fontId="28" fillId="18" borderId="3" xfId="0" applyFont="1" applyFill="1" applyBorder="1"/>
    <xf numFmtId="0" fontId="28" fillId="46" borderId="13" xfId="0" applyFont="1" applyFill="1" applyBorder="1"/>
    <xf numFmtId="0" fontId="28" fillId="61" borderId="1" xfId="0" applyFont="1" applyFill="1" applyBorder="1"/>
    <xf numFmtId="0" fontId="28" fillId="61" borderId="20" xfId="0" applyFont="1" applyFill="1" applyBorder="1"/>
    <xf numFmtId="0" fontId="28" fillId="46" borderId="20" xfId="0" applyFont="1" applyFill="1" applyBorder="1"/>
    <xf numFmtId="0" fontId="28" fillId="62" borderId="0" xfId="0" applyFont="1" applyFill="1"/>
    <xf numFmtId="0" fontId="378" fillId="0" borderId="0" xfId="0" applyFont="1"/>
    <xf numFmtId="0" fontId="28" fillId="46" borderId="4" xfId="0" applyFont="1" applyFill="1" applyBorder="1"/>
    <xf numFmtId="0" fontId="28" fillId="61" borderId="3" xfId="0" applyFont="1" applyFill="1" applyBorder="1"/>
    <xf numFmtId="0" fontId="28" fillId="4" borderId="1" xfId="0" applyFont="1" applyFill="1" applyBorder="1"/>
    <xf numFmtId="0" fontId="28" fillId="4" borderId="13" xfId="0" applyFont="1" applyFill="1" applyBorder="1"/>
    <xf numFmtId="0" fontId="379" fillId="0" borderId="0" xfId="0" applyFont="1"/>
    <xf numFmtId="0" fontId="28" fillId="50" borderId="0" xfId="0" applyFont="1" applyFill="1"/>
    <xf numFmtId="0" fontId="28" fillId="51" borderId="0" xfId="0" applyFont="1" applyFill="1"/>
    <xf numFmtId="0" fontId="28" fillId="49" borderId="0" xfId="0" applyFont="1" applyFill="1"/>
    <xf numFmtId="0" fontId="28" fillId="0" borderId="125" xfId="0" applyFont="1" applyBorder="1"/>
    <xf numFmtId="0" fontId="10" fillId="0" borderId="7" xfId="0" applyFont="1" applyBorder="1" applyAlignment="1">
      <alignment wrapText="1"/>
    </xf>
    <xf numFmtId="0" fontId="28" fillId="52" borderId="0" xfId="0" applyFont="1" applyFill="1"/>
    <xf numFmtId="0" fontId="28" fillId="53" borderId="0" xfId="0" applyFont="1" applyFill="1"/>
    <xf numFmtId="0" fontId="28" fillId="54" borderId="0" xfId="0" applyFont="1" applyFill="1"/>
    <xf numFmtId="0" fontId="9" fillId="0" borderId="11" xfId="0" applyFont="1" applyBorder="1" applyAlignment="1">
      <alignment horizontal="right" wrapText="1"/>
    </xf>
    <xf numFmtId="0" fontId="28" fillId="0" borderId="77" xfId="0" applyFont="1" applyBorder="1"/>
    <xf numFmtId="0" fontId="10" fillId="0" borderId="2" xfId="0" applyFont="1" applyBorder="1" applyAlignment="1">
      <alignment horizontal="right" wrapText="1"/>
    </xf>
    <xf numFmtId="0" fontId="28" fillId="55" borderId="0" xfId="0" applyFont="1" applyFill="1"/>
    <xf numFmtId="0" fontId="28" fillId="56" borderId="0" xfId="0" applyFont="1" applyFill="1"/>
    <xf numFmtId="0" fontId="28" fillId="57" borderId="0" xfId="0" applyFont="1" applyFill="1"/>
    <xf numFmtId="0" fontId="28" fillId="58" borderId="0" xfId="0" applyFont="1" applyFill="1"/>
    <xf numFmtId="0" fontId="28" fillId="2" borderId="13" xfId="0" applyFont="1" applyFill="1" applyBorder="1"/>
    <xf numFmtId="0" fontId="28" fillId="2" borderId="0" xfId="0" applyFont="1" applyFill="1"/>
    <xf numFmtId="0" fontId="27" fillId="2" borderId="0" xfId="0" applyFont="1" applyFill="1"/>
    <xf numFmtId="0" fontId="28" fillId="2" borderId="4" xfId="0" applyFont="1" applyFill="1" applyBorder="1"/>
    <xf numFmtId="0" fontId="27" fillId="2" borderId="13" xfId="0" applyFont="1" applyFill="1" applyBorder="1"/>
    <xf numFmtId="0" fontId="28" fillId="2" borderId="1" xfId="0" applyFont="1" applyFill="1" applyBorder="1"/>
    <xf numFmtId="0" fontId="383" fillId="2" borderId="0" xfId="0" applyFont="1" applyFill="1"/>
    <xf numFmtId="0" fontId="384" fillId="0" borderId="0" xfId="0" applyFont="1"/>
    <xf numFmtId="0" fontId="386" fillId="0" borderId="0" xfId="0" applyFont="1"/>
    <xf numFmtId="0" fontId="9" fillId="3" borderId="2" xfId="0" applyFont="1" applyFill="1" applyBorder="1" applyAlignment="1">
      <alignment wrapText="1"/>
    </xf>
    <xf numFmtId="0" fontId="9" fillId="3" borderId="2" xfId="0" applyFont="1" applyFill="1" applyBorder="1" applyAlignment="1">
      <alignment horizontal="left" wrapText="1"/>
    </xf>
    <xf numFmtId="3" fontId="0" fillId="0" borderId="0" xfId="0" applyNumberFormat="1" applyAlignment="1">
      <alignment wrapText="1"/>
    </xf>
    <xf numFmtId="0" fontId="22" fillId="21" borderId="10" xfId="0" applyFont="1" applyFill="1" applyBorder="1" applyAlignment="1">
      <alignment wrapText="1"/>
    </xf>
    <xf numFmtId="0" fontId="22" fillId="21" borderId="11" xfId="0" applyFont="1" applyFill="1" applyBorder="1" applyAlignment="1">
      <alignment wrapText="1"/>
    </xf>
    <xf numFmtId="0" fontId="22" fillId="8" borderId="10" xfId="0" applyFont="1" applyFill="1" applyBorder="1" applyAlignment="1">
      <alignment wrapText="1"/>
    </xf>
    <xf numFmtId="0" fontId="28" fillId="8" borderId="11" xfId="0" applyFont="1" applyFill="1" applyBorder="1" applyAlignment="1">
      <alignment horizontal="right" wrapText="1"/>
    </xf>
    <xf numFmtId="0" fontId="10" fillId="64" borderId="11" xfId="0" applyFont="1" applyFill="1" applyBorder="1" applyAlignment="1">
      <alignment horizontal="right" wrapText="1"/>
    </xf>
    <xf numFmtId="0" fontId="10" fillId="8" borderId="11" xfId="0" applyFont="1" applyFill="1" applyBorder="1" applyAlignment="1">
      <alignment wrapText="1"/>
    </xf>
    <xf numFmtId="0" fontId="10" fillId="8" borderId="12" xfId="0" applyFont="1" applyFill="1" applyBorder="1" applyAlignment="1">
      <alignment wrapText="1"/>
    </xf>
    <xf numFmtId="0" fontId="10" fillId="8" borderId="10" xfId="0" applyFont="1" applyFill="1" applyBorder="1" applyAlignment="1">
      <alignment wrapText="1"/>
    </xf>
    <xf numFmtId="0" fontId="10" fillId="8" borderId="13" xfId="0" applyFont="1" applyFill="1" applyBorder="1" applyAlignment="1">
      <alignment wrapText="1"/>
    </xf>
    <xf numFmtId="0" fontId="28" fillId="8" borderId="0" xfId="0" applyFont="1" applyFill="1" applyAlignment="1">
      <alignment horizontal="right" wrapText="1"/>
    </xf>
    <xf numFmtId="0" fontId="10" fillId="64" borderId="0" xfId="0" applyFont="1" applyFill="1" applyAlignment="1">
      <alignment wrapText="1"/>
    </xf>
    <xf numFmtId="0" fontId="27" fillId="8" borderId="0" xfId="0" applyFont="1" applyFill="1" applyAlignment="1">
      <alignment horizontal="right" wrapText="1"/>
    </xf>
    <xf numFmtId="0" fontId="22" fillId="64" borderId="0" xfId="0" applyFont="1" applyFill="1" applyAlignment="1">
      <alignment horizontal="right" wrapText="1"/>
    </xf>
    <xf numFmtId="0" fontId="10" fillId="8" borderId="0" xfId="0" applyFont="1" applyFill="1" applyAlignment="1">
      <alignment wrapText="1"/>
    </xf>
    <xf numFmtId="0" fontId="9" fillId="8" borderId="1" xfId="0" applyFont="1" applyFill="1" applyBorder="1" applyAlignment="1">
      <alignment horizontal="right" wrapText="1"/>
    </xf>
    <xf numFmtId="0" fontId="22" fillId="8" borderId="1" xfId="0" applyFont="1" applyFill="1" applyBorder="1" applyAlignment="1">
      <alignment horizontal="right" wrapText="1"/>
    </xf>
    <xf numFmtId="3" fontId="12" fillId="0" borderId="0" xfId="0" applyNumberFormat="1" applyFont="1" applyAlignment="1">
      <alignment horizontal="right" wrapText="1"/>
    </xf>
    <xf numFmtId="3" fontId="0" fillId="64" borderId="0" xfId="0" applyNumberFormat="1" applyFill="1" applyAlignment="1">
      <alignment wrapText="1"/>
    </xf>
    <xf numFmtId="3" fontId="299" fillId="0" borderId="0" xfId="0" applyNumberFormat="1" applyFont="1" applyAlignment="1">
      <alignment wrapText="1"/>
    </xf>
    <xf numFmtId="0" fontId="22" fillId="0" borderId="13" xfId="0" applyFont="1" applyBorder="1" applyAlignment="1">
      <alignment wrapText="1"/>
    </xf>
    <xf numFmtId="3" fontId="297" fillId="64" borderId="0" xfId="0" applyNumberFormat="1" applyFont="1" applyFill="1" applyAlignment="1">
      <alignment wrapText="1"/>
    </xf>
    <xf numFmtId="3" fontId="12" fillId="0" borderId="0" xfId="0" applyNumberFormat="1" applyFont="1" applyAlignment="1">
      <alignment wrapText="1"/>
    </xf>
    <xf numFmtId="3" fontId="28" fillId="2" borderId="0" xfId="0" applyNumberFormat="1" applyFont="1" applyFill="1" applyAlignment="1">
      <alignment wrapText="1"/>
    </xf>
    <xf numFmtId="0" fontId="10" fillId="21" borderId="11" xfId="0" applyFont="1" applyFill="1" applyBorder="1" applyAlignment="1">
      <alignment wrapText="1"/>
    </xf>
    <xf numFmtId="0" fontId="10" fillId="21" borderId="12" xfId="0" applyFont="1" applyFill="1" applyBorder="1" applyAlignment="1">
      <alignment wrapText="1"/>
    </xf>
    <xf numFmtId="3" fontId="387" fillId="0" borderId="0" xfId="0" applyNumberFormat="1" applyFont="1" applyAlignment="1">
      <alignment horizontal="right" wrapText="1"/>
    </xf>
    <xf numFmtId="3" fontId="12" fillId="3" borderId="0" xfId="0" applyNumberFormat="1" applyFont="1" applyFill="1" applyAlignment="1">
      <alignment horizontal="right" wrapText="1"/>
    </xf>
    <xf numFmtId="3" fontId="201" fillId="64" borderId="0" xfId="0" applyNumberFormat="1" applyFont="1" applyFill="1" applyAlignment="1">
      <alignment wrapText="1"/>
    </xf>
    <xf numFmtId="0" fontId="22" fillId="0" borderId="4" xfId="0" applyFont="1" applyBorder="1" applyAlignment="1">
      <alignment wrapText="1"/>
    </xf>
    <xf numFmtId="0" fontId="201" fillId="64" borderId="2" xfId="0" applyFont="1" applyFill="1" applyBorder="1" applyAlignment="1">
      <alignment wrapText="1"/>
    </xf>
    <xf numFmtId="171" fontId="28" fillId="0" borderId="0" xfId="0" applyNumberFormat="1" applyFont="1" applyAlignment="1">
      <alignment horizontal="right" wrapText="1"/>
    </xf>
    <xf numFmtId="171" fontId="10" fillId="64" borderId="0" xfId="0" applyNumberFormat="1" applyFont="1" applyFill="1" applyAlignment="1">
      <alignment wrapText="1"/>
    </xf>
    <xf numFmtId="4" fontId="10" fillId="64" borderId="0" xfId="0" applyNumberFormat="1" applyFont="1" applyFill="1" applyAlignment="1">
      <alignment wrapText="1"/>
    </xf>
    <xf numFmtId="0" fontId="201" fillId="2" borderId="0" xfId="0" applyFont="1" applyFill="1" applyAlignment="1">
      <alignment wrapText="1"/>
    </xf>
    <xf numFmtId="4" fontId="388" fillId="2" borderId="0" xfId="0" applyNumberFormat="1" applyFont="1" applyFill="1" applyAlignment="1">
      <alignment wrapText="1"/>
    </xf>
    <xf numFmtId="4" fontId="201" fillId="2" borderId="0" xfId="0" applyNumberFormat="1" applyFont="1" applyFill="1" applyAlignment="1">
      <alignment wrapText="1"/>
    </xf>
    <xf numFmtId="4" fontId="201" fillId="2" borderId="1" xfId="0" applyNumberFormat="1" applyFont="1" applyFill="1" applyBorder="1" applyAlignment="1">
      <alignment wrapText="1"/>
    </xf>
    <xf numFmtId="4" fontId="388" fillId="2" borderId="1" xfId="0" applyNumberFormat="1" applyFont="1" applyFill="1" applyBorder="1" applyAlignment="1">
      <alignment wrapText="1"/>
    </xf>
    <xf numFmtId="0" fontId="22" fillId="2" borderId="0" xfId="0" applyFont="1" applyFill="1" applyAlignment="1">
      <alignment wrapText="1"/>
    </xf>
    <xf numFmtId="3" fontId="299" fillId="0" borderId="1" xfId="0" applyNumberFormat="1" applyFont="1" applyBorder="1" applyAlignment="1">
      <alignment wrapText="1"/>
    </xf>
    <xf numFmtId="0" fontId="22" fillId="2" borderId="10" xfId="0" applyFont="1" applyFill="1" applyBorder="1" applyAlignment="1">
      <alignment wrapText="1"/>
    </xf>
    <xf numFmtId="0" fontId="10" fillId="2" borderId="11" xfId="0" applyFont="1" applyFill="1" applyBorder="1" applyAlignment="1">
      <alignment wrapText="1"/>
    </xf>
    <xf numFmtId="3" fontId="10" fillId="2" borderId="11" xfId="0" applyNumberFormat="1" applyFont="1" applyFill="1" applyBorder="1" applyAlignment="1">
      <alignment wrapText="1"/>
    </xf>
    <xf numFmtId="3" fontId="10" fillId="2" borderId="12" xfId="0" applyNumberFormat="1" applyFont="1" applyFill="1" applyBorder="1" applyAlignment="1">
      <alignment wrapText="1"/>
    </xf>
    <xf numFmtId="3" fontId="292" fillId="0" borderId="0" xfId="0" applyNumberFormat="1" applyFont="1" applyAlignment="1">
      <alignment horizontal="right" wrapText="1"/>
    </xf>
    <xf numFmtId="3" fontId="201" fillId="0" borderId="13" xfId="0" applyNumberFormat="1" applyFont="1" applyBorder="1" applyAlignment="1">
      <alignment wrapText="1"/>
    </xf>
    <xf numFmtId="0" fontId="201" fillId="0" borderId="1" xfId="0" applyFont="1" applyBorder="1" applyAlignment="1">
      <alignment wrapText="1"/>
    </xf>
    <xf numFmtId="3" fontId="0" fillId="3" borderId="0" xfId="0" applyNumberFormat="1" applyFill="1" applyAlignment="1">
      <alignment wrapText="1"/>
    </xf>
    <xf numFmtId="3" fontId="0" fillId="2" borderId="0" xfId="0" applyNumberFormat="1" applyFill="1" applyAlignment="1">
      <alignment wrapText="1"/>
    </xf>
    <xf numFmtId="3" fontId="190" fillId="0" borderId="0" xfId="0" applyNumberFormat="1" applyFont="1" applyAlignment="1">
      <alignment wrapText="1"/>
    </xf>
    <xf numFmtId="3" fontId="22" fillId="0" borderId="13" xfId="0" applyNumberFormat="1" applyFont="1" applyBorder="1" applyAlignment="1">
      <alignment wrapText="1"/>
    </xf>
    <xf numFmtId="3" fontId="22" fillId="0" borderId="1" xfId="0" applyNumberFormat="1" applyFont="1" applyBorder="1" applyAlignment="1">
      <alignment wrapText="1"/>
    </xf>
    <xf numFmtId="0" fontId="224" fillId="0" borderId="13" xfId="0" applyFont="1" applyBorder="1" applyAlignment="1">
      <alignment wrapText="1"/>
    </xf>
    <xf numFmtId="0" fontId="10" fillId="0" borderId="8" xfId="0" applyFont="1" applyBorder="1" applyAlignment="1">
      <alignment wrapText="1"/>
    </xf>
    <xf numFmtId="0" fontId="22" fillId="21" borderId="12" xfId="0" applyFont="1" applyFill="1" applyBorder="1" applyAlignment="1">
      <alignment wrapText="1"/>
    </xf>
    <xf numFmtId="0" fontId="22" fillId="21" borderId="13" xfId="0" applyFont="1" applyFill="1" applyBorder="1" applyAlignment="1">
      <alignment wrapText="1"/>
    </xf>
    <xf numFmtId="0" fontId="22" fillId="21" borderId="11" xfId="0" applyFont="1" applyFill="1" applyBorder="1" applyAlignment="1">
      <alignment horizontal="right" wrapText="1"/>
    </xf>
    <xf numFmtId="0" fontId="10" fillId="2" borderId="1" xfId="0" applyFont="1" applyFill="1" applyBorder="1" applyAlignment="1">
      <alignment wrapText="1"/>
    </xf>
    <xf numFmtId="0" fontId="22" fillId="2" borderId="3" xfId="0" applyFont="1" applyFill="1" applyBorder="1" applyAlignment="1">
      <alignment wrapText="1"/>
    </xf>
    <xf numFmtId="3" fontId="22" fillId="0" borderId="2" xfId="0" applyNumberFormat="1" applyFont="1" applyBorder="1" applyAlignment="1">
      <alignment wrapText="1"/>
    </xf>
    <xf numFmtId="0" fontId="10" fillId="0" borderId="3" xfId="0" applyFont="1" applyBorder="1" applyAlignment="1">
      <alignment horizontal="left" wrapText="1"/>
    </xf>
    <xf numFmtId="0" fontId="10" fillId="0" borderId="9" xfId="0" applyFont="1" applyBorder="1" applyAlignment="1">
      <alignment wrapText="1"/>
    </xf>
    <xf numFmtId="0" fontId="9" fillId="0" borderId="10" xfId="0" applyFont="1" applyBorder="1" applyAlignment="1">
      <alignment horizontal="left" wrapText="1"/>
    </xf>
    <xf numFmtId="0" fontId="9" fillId="0" borderId="12" xfId="0" applyFont="1" applyBorder="1" applyAlignment="1">
      <alignment horizontal="left" wrapText="1"/>
    </xf>
    <xf numFmtId="14" fontId="10" fillId="0" borderId="13" xfId="0" applyNumberFormat="1" applyFont="1" applyBorder="1" applyAlignment="1">
      <alignment horizontal="left" wrapText="1"/>
    </xf>
    <xf numFmtId="14" fontId="10" fillId="0" borderId="13" xfId="0" applyNumberFormat="1" applyFont="1" applyBorder="1" applyAlignment="1">
      <alignment wrapText="1"/>
    </xf>
    <xf numFmtId="0" fontId="9" fillId="0" borderId="3" xfId="0" applyFont="1" applyBorder="1" applyAlignment="1">
      <alignment wrapText="1"/>
    </xf>
    <xf numFmtId="0" fontId="10" fillId="0" borderId="13" xfId="0" applyFont="1" applyBorder="1" applyAlignment="1">
      <alignment horizontal="left" wrapText="1"/>
    </xf>
    <xf numFmtId="0" fontId="9" fillId="0" borderId="4" xfId="0" applyFont="1" applyBorder="1" applyAlignment="1">
      <alignment horizontal="left" wrapText="1"/>
    </xf>
    <xf numFmtId="3" fontId="9" fillId="0" borderId="3" xfId="0" applyNumberFormat="1" applyFont="1" applyBorder="1" applyAlignment="1">
      <alignment horizontal="left" wrapText="1"/>
    </xf>
    <xf numFmtId="0" fontId="10" fillId="8" borderId="11" xfId="0" applyFont="1" applyFill="1" applyBorder="1" applyAlignment="1">
      <alignment horizontal="right" wrapText="1"/>
    </xf>
    <xf numFmtId="0" fontId="10" fillId="8" borderId="0" xfId="0" applyFont="1" applyFill="1" applyAlignment="1">
      <alignment horizontal="right" wrapText="1"/>
    </xf>
    <xf numFmtId="0" fontId="10" fillId="8" borderId="12" xfId="0" applyFont="1" applyFill="1" applyBorder="1" applyAlignment="1">
      <alignment horizontal="right" wrapText="1"/>
    </xf>
    <xf numFmtId="171" fontId="10" fillId="8" borderId="0" xfId="0" applyNumberFormat="1" applyFont="1" applyFill="1" applyAlignment="1">
      <alignment wrapText="1"/>
    </xf>
    <xf numFmtId="171" fontId="10" fillId="8" borderId="1" xfId="0" applyNumberFormat="1" applyFont="1" applyFill="1" applyBorder="1" applyAlignment="1">
      <alignment wrapText="1"/>
    </xf>
    <xf numFmtId="0" fontId="22" fillId="8" borderId="0" xfId="0" applyFont="1" applyFill="1" applyAlignment="1">
      <alignment horizontal="right" wrapText="1"/>
    </xf>
    <xf numFmtId="0" fontId="9" fillId="8" borderId="0" xfId="0" applyFont="1" applyFill="1" applyAlignment="1">
      <alignment wrapText="1"/>
    </xf>
    <xf numFmtId="0" fontId="9" fillId="8" borderId="1" xfId="0" applyFont="1" applyFill="1" applyBorder="1" applyAlignment="1">
      <alignment wrapText="1"/>
    </xf>
    <xf numFmtId="3" fontId="297" fillId="0" borderId="0" xfId="0" applyNumberFormat="1" applyFont="1" applyAlignment="1">
      <alignment wrapText="1"/>
    </xf>
    <xf numFmtId="3" fontId="0" fillId="0" borderId="1" xfId="0" applyNumberFormat="1" applyBorder="1" applyAlignment="1">
      <alignment wrapText="1"/>
    </xf>
    <xf numFmtId="3" fontId="201" fillId="3" borderId="0" xfId="0" applyNumberFormat="1" applyFont="1" applyFill="1" applyAlignment="1">
      <alignment wrapText="1"/>
    </xf>
    <xf numFmtId="3" fontId="201" fillId="0" borderId="1" xfId="0" applyNumberFormat="1" applyFont="1" applyBorder="1" applyAlignment="1">
      <alignment wrapText="1"/>
    </xf>
    <xf numFmtId="0" fontId="201" fillId="2" borderId="2" xfId="0" applyFont="1" applyFill="1" applyBorder="1" applyAlignment="1">
      <alignment wrapText="1"/>
    </xf>
    <xf numFmtId="0" fontId="201" fillId="0" borderId="2" xfId="0" applyFont="1" applyBorder="1" applyAlignment="1">
      <alignment wrapText="1"/>
    </xf>
    <xf numFmtId="0" fontId="201" fillId="0" borderId="3" xfId="0" applyFont="1" applyBorder="1" applyAlignment="1">
      <alignment wrapText="1"/>
    </xf>
    <xf numFmtId="0" fontId="10" fillId="65" borderId="0" xfId="0" applyFont="1" applyFill="1" applyAlignment="1">
      <alignment wrapText="1"/>
    </xf>
    <xf numFmtId="171" fontId="10" fillId="0" borderId="1" xfId="0" applyNumberFormat="1" applyFont="1" applyBorder="1" applyAlignment="1">
      <alignment wrapText="1"/>
    </xf>
    <xf numFmtId="4" fontId="10" fillId="65" borderId="0" xfId="0" applyNumberFormat="1" applyFont="1" applyFill="1" applyAlignment="1">
      <alignment wrapText="1"/>
    </xf>
    <xf numFmtId="4" fontId="10" fillId="0" borderId="1" xfId="0" applyNumberFormat="1" applyFont="1" applyBorder="1" applyAlignment="1">
      <alignment wrapText="1"/>
    </xf>
    <xf numFmtId="0" fontId="388" fillId="2" borderId="0" xfId="0" applyFont="1" applyFill="1" applyAlignment="1">
      <alignment wrapText="1"/>
    </xf>
    <xf numFmtId="0" fontId="10" fillId="3" borderId="41" xfId="0" applyFont="1" applyFill="1" applyBorder="1" applyAlignment="1">
      <alignment wrapText="1"/>
    </xf>
    <xf numFmtId="4" fontId="10" fillId="3" borderId="0" xfId="0" applyNumberFormat="1" applyFont="1" applyFill="1" applyAlignment="1">
      <alignment wrapText="1"/>
    </xf>
    <xf numFmtId="183" fontId="22" fillId="3" borderId="0" xfId="0" applyNumberFormat="1" applyFont="1" applyFill="1" applyAlignment="1">
      <alignment wrapText="1"/>
    </xf>
    <xf numFmtId="0" fontId="10" fillId="0" borderId="46" xfId="0" applyFont="1" applyBorder="1" applyAlignment="1">
      <alignment wrapText="1"/>
    </xf>
    <xf numFmtId="0" fontId="9" fillId="28" borderId="158" xfId="0" applyFont="1" applyFill="1" applyBorder="1" applyAlignment="1">
      <alignment wrapText="1"/>
    </xf>
    <xf numFmtId="4" fontId="327" fillId="25" borderId="0" xfId="0" applyNumberFormat="1" applyFont="1" applyFill="1" applyAlignment="1">
      <alignment wrapText="1"/>
    </xf>
    <xf numFmtId="0" fontId="28" fillId="27" borderId="42" xfId="0" applyFont="1" applyFill="1" applyBorder="1" applyAlignment="1">
      <alignment wrapText="1"/>
    </xf>
    <xf numFmtId="0" fontId="28" fillId="28" borderId="0" xfId="0" applyFont="1" applyFill="1" applyAlignment="1">
      <alignment wrapText="1"/>
    </xf>
    <xf numFmtId="4" fontId="12" fillId="25" borderId="0" xfId="0" applyNumberFormat="1" applyFont="1" applyFill="1" applyAlignment="1">
      <alignment horizontal="right" wrapText="1"/>
    </xf>
    <xf numFmtId="4" fontId="27" fillId="28" borderId="0" xfId="0" applyNumberFormat="1" applyFont="1" applyFill="1" applyAlignment="1">
      <alignment horizontal="right" wrapText="1"/>
    </xf>
    <xf numFmtId="183" fontId="28" fillId="27" borderId="42" xfId="0" applyNumberFormat="1" applyFont="1" applyFill="1" applyBorder="1" applyAlignment="1">
      <alignment wrapText="1"/>
    </xf>
    <xf numFmtId="4" fontId="28" fillId="25" borderId="0" xfId="0" applyNumberFormat="1" applyFont="1" applyFill="1" applyAlignment="1">
      <alignment wrapText="1"/>
    </xf>
    <xf numFmtId="0" fontId="27" fillId="28" borderId="2" xfId="0" applyFont="1" applyFill="1" applyBorder="1" applyAlignment="1">
      <alignment wrapText="1"/>
    </xf>
    <xf numFmtId="4" fontId="2" fillId="25" borderId="2" xfId="0" applyNumberFormat="1" applyFont="1" applyFill="1" applyBorder="1" applyAlignment="1">
      <alignment horizontal="right" wrapText="1"/>
    </xf>
    <xf numFmtId="183" fontId="28" fillId="27" borderId="0" xfId="0" applyNumberFormat="1" applyFont="1" applyFill="1" applyAlignment="1">
      <alignment wrapText="1"/>
    </xf>
    <xf numFmtId="4" fontId="26" fillId="25" borderId="0" xfId="0" applyNumberFormat="1" applyFont="1" applyFill="1" applyAlignment="1">
      <alignment horizontal="right" wrapText="1"/>
    </xf>
    <xf numFmtId="3" fontId="28" fillId="4" borderId="0" xfId="0" applyNumberFormat="1" applyFont="1" applyFill="1" applyAlignment="1">
      <alignment horizontal="right" wrapText="1"/>
    </xf>
    <xf numFmtId="4" fontId="299" fillId="17" borderId="0" xfId="0" applyNumberFormat="1" applyFont="1" applyFill="1" applyAlignment="1">
      <alignment wrapText="1"/>
    </xf>
    <xf numFmtId="0" fontId="93" fillId="0" borderId="0" xfId="0" applyFont="1" applyAlignment="1">
      <alignment horizontal="center" wrapText="1"/>
    </xf>
    <xf numFmtId="0" fontId="13" fillId="3" borderId="0" xfId="0" applyFont="1" applyFill="1" applyAlignment="1">
      <alignment horizontal="left" wrapText="1"/>
    </xf>
    <xf numFmtId="0" fontId="13" fillId="3" borderId="0" xfId="0" quotePrefix="1" applyFont="1" applyFill="1" applyAlignment="1">
      <alignment horizontal="left" wrapText="1"/>
    </xf>
    <xf numFmtId="0" fontId="389" fillId="0" borderId="10" xfId="0" applyFont="1" applyBorder="1" applyAlignment="1">
      <alignment horizontal="right" wrapText="1"/>
    </xf>
    <xf numFmtId="0" fontId="389" fillId="0" borderId="11" xfId="0" applyFont="1" applyBorder="1" applyAlignment="1">
      <alignment horizontal="right" wrapText="1"/>
    </xf>
    <xf numFmtId="0" fontId="28" fillId="0" borderId="11" xfId="0" applyFont="1" applyBorder="1" applyAlignment="1">
      <alignment horizontal="right" wrapText="1"/>
    </xf>
    <xf numFmtId="0" fontId="389" fillId="0" borderId="12" xfId="0" applyFont="1" applyBorder="1" applyAlignment="1">
      <alignment horizontal="right" wrapText="1"/>
    </xf>
    <xf numFmtId="0" fontId="390" fillId="66" borderId="13" xfId="0" applyFont="1" applyFill="1" applyBorder="1" applyAlignment="1">
      <alignment horizontal="right" wrapText="1"/>
    </xf>
    <xf numFmtId="0" fontId="390" fillId="66" borderId="0" xfId="0" applyFont="1" applyFill="1" applyAlignment="1">
      <alignment horizontal="right" wrapText="1"/>
    </xf>
    <xf numFmtId="0" fontId="390" fillId="45" borderId="0" xfId="0" applyFont="1" applyFill="1" applyAlignment="1">
      <alignment horizontal="right" wrapText="1"/>
    </xf>
    <xf numFmtId="0" fontId="28" fillId="45" borderId="0" xfId="0" applyFont="1" applyFill="1" applyAlignment="1">
      <alignment horizontal="right" wrapText="1"/>
    </xf>
    <xf numFmtId="0" fontId="28" fillId="45" borderId="1" xfId="0" applyFont="1" applyFill="1" applyBorder="1" applyAlignment="1">
      <alignment horizontal="right" wrapText="1"/>
    </xf>
    <xf numFmtId="0" fontId="390" fillId="66" borderId="1" xfId="0" applyFont="1" applyFill="1" applyBorder="1" applyAlignment="1">
      <alignment horizontal="right" wrapText="1"/>
    </xf>
    <xf numFmtId="0" fontId="390" fillId="53" borderId="13" xfId="0" applyFont="1" applyFill="1" applyBorder="1" applyAlignment="1">
      <alignment horizontal="right" wrapText="1"/>
    </xf>
    <xf numFmtId="0" fontId="390" fillId="53" borderId="0" xfId="0" applyFont="1" applyFill="1" applyAlignment="1">
      <alignment horizontal="right" wrapText="1"/>
    </xf>
    <xf numFmtId="0" fontId="390" fillId="45" borderId="13" xfId="0" applyFont="1" applyFill="1" applyBorder="1" applyAlignment="1">
      <alignment horizontal="right" wrapText="1"/>
    </xf>
    <xf numFmtId="0" fontId="390" fillId="53" borderId="1" xfId="0" applyFont="1" applyFill="1" applyBorder="1" applyAlignment="1">
      <alignment horizontal="right" wrapText="1"/>
    </xf>
    <xf numFmtId="0" fontId="28" fillId="0" borderId="1" xfId="0" applyFont="1" applyBorder="1" applyAlignment="1">
      <alignment horizontal="right" wrapText="1"/>
    </xf>
    <xf numFmtId="0" fontId="390" fillId="66" borderId="4" xfId="0" applyFont="1" applyFill="1" applyBorder="1" applyAlignment="1">
      <alignment horizontal="right" wrapText="1"/>
    </xf>
    <xf numFmtId="0" fontId="390" fillId="66" borderId="2" xfId="0" applyFont="1" applyFill="1" applyBorder="1" applyAlignment="1">
      <alignment horizontal="right" wrapText="1"/>
    </xf>
    <xf numFmtId="0" fontId="28" fillId="0" borderId="2" xfId="0" applyFont="1" applyBorder="1" applyAlignment="1">
      <alignment horizontal="right" wrapText="1"/>
    </xf>
    <xf numFmtId="0" fontId="390" fillId="45" borderId="2" xfId="0" applyFont="1" applyFill="1" applyBorder="1" applyAlignment="1">
      <alignment horizontal="right" wrapText="1"/>
    </xf>
    <xf numFmtId="0" fontId="28" fillId="45" borderId="2" xfId="0" applyFont="1" applyFill="1" applyBorder="1" applyAlignment="1">
      <alignment horizontal="right" wrapText="1"/>
    </xf>
    <xf numFmtId="0" fontId="28" fillId="0" borderId="3" xfId="0" applyFont="1" applyBorder="1" applyAlignment="1">
      <alignment horizontal="right" wrapText="1"/>
    </xf>
    <xf numFmtId="0" fontId="3" fillId="2" borderId="0" xfId="0" applyFont="1" applyFill="1" applyAlignment="1">
      <alignment horizontal="right" wrapText="1"/>
    </xf>
    <xf numFmtId="0" fontId="391" fillId="23" borderId="0" xfId="0" applyFont="1" applyFill="1" applyAlignment="1">
      <alignment wrapText="1"/>
    </xf>
    <xf numFmtId="0" fontId="392" fillId="2" borderId="0" xfId="0" applyFont="1" applyFill="1" applyAlignment="1">
      <alignment wrapText="1"/>
    </xf>
    <xf numFmtId="0" fontId="393" fillId="67" borderId="0" xfId="0" applyFont="1" applyFill="1" applyAlignment="1">
      <alignment wrapText="1"/>
    </xf>
    <xf numFmtId="0" fontId="10" fillId="16" borderId="0" xfId="0" applyFont="1" applyFill="1" applyAlignment="1">
      <alignment wrapText="1"/>
    </xf>
    <xf numFmtId="0" fontId="394" fillId="2" borderId="0" xfId="0" applyFont="1" applyFill="1" applyAlignment="1">
      <alignment wrapText="1"/>
    </xf>
    <xf numFmtId="0" fontId="25" fillId="0" borderId="0" xfId="0" applyFont="1" applyAlignment="1">
      <alignment wrapText="1"/>
    </xf>
    <xf numFmtId="3" fontId="0" fillId="4" borderId="0" xfId="0" applyNumberFormat="1" applyFill="1" applyAlignment="1">
      <alignment wrapText="1"/>
    </xf>
    <xf numFmtId="3" fontId="10" fillId="21" borderId="11" xfId="0" applyNumberFormat="1" applyFont="1" applyFill="1" applyBorder="1" applyAlignment="1">
      <alignment wrapText="1"/>
    </xf>
    <xf numFmtId="3" fontId="10" fillId="21" borderId="12" xfId="0" applyNumberFormat="1" applyFont="1" applyFill="1" applyBorder="1" applyAlignment="1">
      <alignment wrapText="1"/>
    </xf>
    <xf numFmtId="0" fontId="10" fillId="8" borderId="1" xfId="0" applyFont="1" applyFill="1" applyBorder="1" applyAlignment="1">
      <alignment wrapText="1"/>
    </xf>
    <xf numFmtId="3" fontId="149" fillId="0" borderId="0" xfId="0" applyNumberFormat="1" applyFont="1" applyAlignment="1">
      <alignment wrapText="1"/>
    </xf>
    <xf numFmtId="3" fontId="140" fillId="0" borderId="0" xfId="0" applyNumberFormat="1" applyFont="1" applyAlignment="1">
      <alignment wrapText="1"/>
    </xf>
    <xf numFmtId="3" fontId="292" fillId="0" borderId="0" xfId="0" applyNumberFormat="1" applyFont="1" applyAlignment="1">
      <alignment wrapText="1"/>
    </xf>
    <xf numFmtId="3" fontId="149" fillId="2" borderId="0" xfId="0" applyNumberFormat="1" applyFont="1" applyFill="1" applyAlignment="1">
      <alignment wrapText="1"/>
    </xf>
    <xf numFmtId="3" fontId="395" fillId="0" borderId="0" xfId="0" applyNumberFormat="1" applyFont="1" applyAlignment="1">
      <alignment wrapText="1"/>
    </xf>
    <xf numFmtId="3" fontId="10" fillId="2" borderId="1" xfId="0" applyNumberFormat="1" applyFont="1" applyFill="1" applyBorder="1" applyAlignment="1">
      <alignment wrapText="1"/>
    </xf>
    <xf numFmtId="3" fontId="140" fillId="2" borderId="0" xfId="0" applyNumberFormat="1" applyFont="1" applyFill="1" applyAlignment="1">
      <alignment wrapText="1"/>
    </xf>
    <xf numFmtId="0" fontId="299" fillId="0" borderId="0" xfId="0" applyFont="1" applyAlignment="1">
      <alignment wrapText="1"/>
    </xf>
    <xf numFmtId="183" fontId="10" fillId="3" borderId="0" xfId="0" applyNumberFormat="1" applyFont="1" applyFill="1" applyAlignment="1">
      <alignment wrapText="1"/>
    </xf>
    <xf numFmtId="183" fontId="9" fillId="3" borderId="0" xfId="0" applyNumberFormat="1" applyFont="1" applyFill="1" applyAlignment="1">
      <alignment wrapText="1"/>
    </xf>
    <xf numFmtId="4" fontId="9" fillId="3" borderId="0" xfId="0" applyNumberFormat="1" applyFont="1" applyFill="1" applyAlignment="1">
      <alignment wrapText="1"/>
    </xf>
    <xf numFmtId="0" fontId="10" fillId="0" borderId="41" xfId="0" applyFont="1" applyBorder="1" applyAlignment="1">
      <alignment wrapText="1"/>
    </xf>
    <xf numFmtId="0" fontId="0" fillId="17" borderId="43" xfId="0" applyFill="1" applyBorder="1" applyAlignment="1">
      <alignment wrapText="1"/>
    </xf>
    <xf numFmtId="3" fontId="10" fillId="0" borderId="41" xfId="0" applyNumberFormat="1" applyFont="1" applyBorder="1" applyAlignment="1">
      <alignment wrapText="1"/>
    </xf>
    <xf numFmtId="3" fontId="22" fillId="0" borderId="41" xfId="0" applyNumberFormat="1" applyFont="1" applyBorder="1" applyAlignment="1">
      <alignment horizontal="right" wrapText="1"/>
    </xf>
    <xf numFmtId="3" fontId="22" fillId="0" borderId="41" xfId="0" applyNumberFormat="1" applyFont="1" applyBorder="1" applyAlignment="1">
      <alignment wrapText="1"/>
    </xf>
    <xf numFmtId="3" fontId="289" fillId="2" borderId="41" xfId="0" applyNumberFormat="1" applyFont="1" applyFill="1" applyBorder="1" applyAlignment="1">
      <alignment wrapText="1"/>
    </xf>
    <xf numFmtId="0" fontId="289" fillId="2" borderId="0" xfId="0" applyFont="1" applyFill="1" applyAlignment="1">
      <alignment wrapText="1"/>
    </xf>
    <xf numFmtId="4" fontId="0" fillId="42" borderId="0" xfId="0" applyNumberFormat="1" applyFill="1" applyAlignment="1">
      <alignment wrapText="1"/>
    </xf>
    <xf numFmtId="4" fontId="149" fillId="2" borderId="0" xfId="0" applyNumberFormat="1" applyFont="1" applyFill="1" applyAlignment="1">
      <alignment wrapText="1"/>
    </xf>
    <xf numFmtId="3" fontId="10" fillId="17" borderId="36" xfId="0" applyNumberFormat="1" applyFont="1" applyFill="1" applyBorder="1" applyAlignment="1">
      <alignment wrapText="1"/>
    </xf>
    <xf numFmtId="0" fontId="10" fillId="17" borderId="36" xfId="0" applyFont="1" applyFill="1" applyBorder="1" applyAlignment="1">
      <alignment wrapText="1"/>
    </xf>
    <xf numFmtId="0" fontId="10" fillId="0" borderId="159" xfId="0" applyFont="1" applyBorder="1" applyAlignment="1">
      <alignment wrapText="1"/>
    </xf>
    <xf numFmtId="4" fontId="396" fillId="0" borderId="0" xfId="0" applyNumberFormat="1" applyFont="1" applyAlignment="1">
      <alignment wrapText="1"/>
    </xf>
    <xf numFmtId="3" fontId="396" fillId="0" borderId="0" xfId="0" applyNumberFormat="1" applyFont="1" applyAlignment="1">
      <alignment wrapText="1"/>
    </xf>
    <xf numFmtId="0" fontId="22" fillId="0" borderId="10" xfId="0" applyFont="1" applyBorder="1" applyAlignment="1">
      <alignment wrapText="1"/>
    </xf>
    <xf numFmtId="3" fontId="10" fillId="0" borderId="11" xfId="0" applyNumberFormat="1" applyFont="1" applyBorder="1" applyAlignment="1">
      <alignment wrapText="1"/>
    </xf>
    <xf numFmtId="3" fontId="10" fillId="0" borderId="12" xfId="0" applyNumberFormat="1" applyFont="1" applyBorder="1" applyAlignment="1">
      <alignment wrapText="1"/>
    </xf>
    <xf numFmtId="0" fontId="22" fillId="0" borderId="12" xfId="0" applyFont="1" applyBorder="1" applyAlignment="1">
      <alignment wrapText="1"/>
    </xf>
    <xf numFmtId="0" fontId="22" fillId="0" borderId="1" xfId="0" applyFont="1" applyBorder="1" applyAlignment="1">
      <alignment wrapText="1"/>
    </xf>
    <xf numFmtId="0" fontId="10" fillId="0" borderId="1" xfId="0" applyFont="1" applyBorder="1" applyAlignment="1">
      <alignment horizontal="right" wrapText="1"/>
    </xf>
    <xf numFmtId="0" fontId="22" fillId="2" borderId="2" xfId="0" applyFont="1" applyFill="1" applyBorder="1" applyAlignment="1">
      <alignment wrapText="1"/>
    </xf>
    <xf numFmtId="0" fontId="22" fillId="0" borderId="11" xfId="0" applyFont="1" applyBorder="1" applyAlignment="1">
      <alignment horizontal="right" wrapText="1"/>
    </xf>
    <xf numFmtId="0" fontId="22" fillId="0" borderId="12" xfId="0" applyFont="1" applyBorder="1" applyAlignment="1">
      <alignment horizontal="right" wrapText="1"/>
    </xf>
    <xf numFmtId="0" fontId="10" fillId="0" borderId="13" xfId="0" quotePrefix="1" applyFont="1" applyBorder="1" applyAlignment="1">
      <alignment wrapText="1"/>
    </xf>
    <xf numFmtId="3" fontId="22" fillId="0" borderId="3" xfId="0" applyNumberFormat="1" applyFont="1" applyBorder="1" applyAlignment="1">
      <alignment wrapText="1"/>
    </xf>
    <xf numFmtId="0" fontId="10" fillId="28" borderId="158" xfId="0" applyFont="1" applyFill="1" applyBorder="1" applyAlignment="1">
      <alignment wrapText="1"/>
    </xf>
    <xf numFmtId="4" fontId="397" fillId="27" borderId="38" xfId="0" applyNumberFormat="1" applyFont="1" applyFill="1" applyBorder="1" applyAlignment="1">
      <alignment wrapText="1"/>
    </xf>
    <xf numFmtId="0" fontId="10" fillId="27" borderId="160" xfId="0" applyFont="1" applyFill="1" applyBorder="1" applyAlignment="1">
      <alignment wrapText="1"/>
    </xf>
    <xf numFmtId="3" fontId="10" fillId="17" borderId="41" xfId="0" applyNumberFormat="1" applyFont="1" applyFill="1" applyBorder="1" applyAlignment="1">
      <alignment wrapText="1"/>
    </xf>
    <xf numFmtId="0" fontId="22" fillId="28" borderId="37" xfId="0" applyFont="1" applyFill="1" applyBorder="1" applyAlignment="1">
      <alignment horizontal="center" wrapText="1"/>
    </xf>
    <xf numFmtId="0" fontId="22" fillId="28" borderId="38" xfId="0" applyFont="1" applyFill="1" applyBorder="1" applyAlignment="1">
      <alignment horizontal="center" wrapText="1"/>
    </xf>
    <xf numFmtId="183" fontId="22" fillId="28" borderId="39" xfId="0" applyNumberFormat="1" applyFont="1" applyFill="1" applyBorder="1" applyAlignment="1">
      <alignment horizontal="right" wrapText="1"/>
    </xf>
    <xf numFmtId="0" fontId="22" fillId="27" borderId="160" xfId="0" applyFont="1" applyFill="1" applyBorder="1" applyAlignment="1">
      <alignment horizontal="right" wrapText="1"/>
    </xf>
    <xf numFmtId="183" fontId="22" fillId="28" borderId="42" xfId="0" applyNumberFormat="1" applyFont="1" applyFill="1" applyBorder="1" applyAlignment="1">
      <alignment wrapText="1"/>
    </xf>
    <xf numFmtId="0" fontId="10" fillId="68" borderId="41" xfId="0" applyFont="1" applyFill="1" applyBorder="1" applyAlignment="1">
      <alignment wrapText="1"/>
    </xf>
    <xf numFmtId="4" fontId="10" fillId="68" borderId="0" xfId="0" applyNumberFormat="1" applyFont="1" applyFill="1" applyAlignment="1">
      <alignment wrapText="1"/>
    </xf>
    <xf numFmtId="183" fontId="22" fillId="68" borderId="42" xfId="0" applyNumberFormat="1" applyFont="1" applyFill="1" applyBorder="1" applyAlignment="1">
      <alignment wrapText="1"/>
    </xf>
    <xf numFmtId="4" fontId="22" fillId="28" borderId="42" xfId="0" applyNumberFormat="1" applyFont="1" applyFill="1" applyBorder="1" applyAlignment="1">
      <alignment wrapText="1"/>
    </xf>
    <xf numFmtId="183" fontId="22" fillId="27" borderId="160" xfId="0" applyNumberFormat="1" applyFont="1" applyFill="1" applyBorder="1" applyAlignment="1">
      <alignment wrapText="1"/>
    </xf>
    <xf numFmtId="3" fontId="22" fillId="17" borderId="0" xfId="0" applyNumberFormat="1" applyFont="1" applyFill="1" applyAlignment="1">
      <alignment wrapText="1"/>
    </xf>
    <xf numFmtId="4" fontId="292" fillId="4" borderId="0" xfId="0" applyNumberFormat="1" applyFont="1" applyFill="1" applyAlignment="1">
      <alignment wrapText="1"/>
    </xf>
    <xf numFmtId="4" fontId="327" fillId="28" borderId="42" xfId="0" applyNumberFormat="1" applyFont="1" applyFill="1" applyBorder="1" applyAlignment="1">
      <alignment wrapText="1"/>
    </xf>
    <xf numFmtId="183" fontId="10" fillId="27" borderId="160" xfId="0" applyNumberFormat="1" applyFont="1" applyFill="1" applyBorder="1" applyAlignment="1">
      <alignment wrapText="1"/>
    </xf>
    <xf numFmtId="4" fontId="22" fillId="28" borderId="163" xfId="0" applyNumberFormat="1" applyFont="1" applyFill="1" applyBorder="1" applyAlignment="1">
      <alignment wrapText="1"/>
    </xf>
    <xf numFmtId="4" fontId="0" fillId="25" borderId="1" xfId="0" applyNumberFormat="1" applyFill="1" applyBorder="1" applyAlignment="1">
      <alignment wrapText="1"/>
    </xf>
    <xf numFmtId="4" fontId="22" fillId="28" borderId="164" xfId="0" applyNumberFormat="1" applyFont="1" applyFill="1" applyBorder="1" applyAlignment="1">
      <alignment wrapText="1"/>
    </xf>
    <xf numFmtId="4" fontId="22" fillId="28" borderId="165" xfId="0" applyNumberFormat="1" applyFont="1" applyFill="1" applyBorder="1" applyAlignment="1">
      <alignment wrapText="1"/>
    </xf>
    <xf numFmtId="4" fontId="22" fillId="28" borderId="166" xfId="0" applyNumberFormat="1" applyFont="1" applyFill="1" applyBorder="1" applyAlignment="1">
      <alignment wrapText="1"/>
    </xf>
    <xf numFmtId="4" fontId="22" fillId="28" borderId="167" xfId="0" applyNumberFormat="1" applyFont="1" applyFill="1" applyBorder="1" applyAlignment="1">
      <alignment wrapText="1"/>
    </xf>
    <xf numFmtId="0" fontId="289" fillId="27" borderId="41" xfId="0" applyFont="1" applyFill="1" applyBorder="1" applyAlignment="1">
      <alignment wrapText="1"/>
    </xf>
    <xf numFmtId="4" fontId="289" fillId="27" borderId="0" xfId="0" applyNumberFormat="1" applyFont="1" applyFill="1" applyAlignment="1">
      <alignment wrapText="1"/>
    </xf>
    <xf numFmtId="4" fontId="289" fillId="27" borderId="42" xfId="0" applyNumberFormat="1" applyFont="1" applyFill="1" applyBorder="1" applyAlignment="1">
      <alignment wrapText="1"/>
    </xf>
    <xf numFmtId="0" fontId="289" fillId="27" borderId="40" xfId="0" applyFont="1" applyFill="1" applyBorder="1" applyAlignment="1">
      <alignment wrapText="1"/>
    </xf>
    <xf numFmtId="0" fontId="10" fillId="27" borderId="168" xfId="0" applyFont="1" applyFill="1" applyBorder="1" applyAlignment="1">
      <alignment wrapText="1"/>
    </xf>
    <xf numFmtId="0" fontId="289" fillId="27" borderId="168" xfId="0" applyFont="1" applyFill="1" applyBorder="1" applyAlignment="1">
      <alignment wrapText="1"/>
    </xf>
    <xf numFmtId="4" fontId="0" fillId="25" borderId="169" xfId="0" applyNumberFormat="1" applyFill="1" applyBorder="1" applyAlignment="1">
      <alignment wrapText="1"/>
    </xf>
    <xf numFmtId="183" fontId="22" fillId="28" borderId="167" xfId="0" applyNumberFormat="1" applyFont="1" applyFill="1" applyBorder="1" applyAlignment="1">
      <alignment wrapText="1"/>
    </xf>
    <xf numFmtId="0" fontId="10" fillId="2" borderId="52" xfId="0" applyFont="1" applyFill="1" applyBorder="1" applyAlignment="1">
      <alignment wrapText="1"/>
    </xf>
    <xf numFmtId="0" fontId="289" fillId="2" borderId="44" xfId="0" applyFont="1" applyFill="1" applyBorder="1" applyAlignment="1">
      <alignment wrapText="1"/>
    </xf>
    <xf numFmtId="4" fontId="289" fillId="2" borderId="36" xfId="0" applyNumberFormat="1" applyFont="1" applyFill="1" applyBorder="1" applyAlignment="1">
      <alignment wrapText="1"/>
    </xf>
    <xf numFmtId="4" fontId="289" fillId="2" borderId="45" xfId="0" applyNumberFormat="1" applyFont="1" applyFill="1" applyBorder="1" applyAlignment="1">
      <alignment wrapText="1"/>
    </xf>
    <xf numFmtId="0" fontId="289" fillId="2" borderId="52" xfId="0" applyFont="1" applyFill="1" applyBorder="1" applyAlignment="1">
      <alignment wrapText="1"/>
    </xf>
    <xf numFmtId="0" fontId="22" fillId="0" borderId="42" xfId="0" applyFont="1" applyBorder="1" applyAlignment="1">
      <alignment wrapText="1"/>
    </xf>
    <xf numFmtId="0" fontId="10" fillId="0" borderId="42" xfId="0" applyFont="1" applyBorder="1" applyAlignment="1">
      <alignment wrapText="1"/>
    </xf>
    <xf numFmtId="4" fontId="22" fillId="3" borderId="42" xfId="0" applyNumberFormat="1" applyFont="1" applyFill="1" applyBorder="1" applyAlignment="1">
      <alignment wrapText="1"/>
    </xf>
    <xf numFmtId="0" fontId="289" fillId="2" borderId="42" xfId="0" applyFont="1" applyFill="1" applyBorder="1" applyAlignment="1">
      <alignment wrapText="1"/>
    </xf>
    <xf numFmtId="0" fontId="10" fillId="0" borderId="165" xfId="0" applyFont="1" applyBorder="1" applyAlignment="1">
      <alignment wrapText="1"/>
    </xf>
    <xf numFmtId="0" fontId="10" fillId="0" borderId="158" xfId="0" applyFont="1" applyBorder="1" applyAlignment="1">
      <alignment wrapText="1"/>
    </xf>
    <xf numFmtId="4" fontId="10" fillId="0" borderId="2" xfId="0" applyNumberFormat="1" applyFont="1" applyBorder="1" applyAlignment="1">
      <alignment wrapText="1"/>
    </xf>
    <xf numFmtId="4" fontId="10" fillId="0" borderId="3" xfId="0" applyNumberFormat="1" applyFont="1" applyBorder="1" applyAlignment="1">
      <alignment wrapText="1"/>
    </xf>
    <xf numFmtId="3" fontId="10" fillId="0" borderId="49" xfId="0" applyNumberFormat="1" applyFont="1" applyBorder="1" applyAlignment="1">
      <alignment wrapText="1"/>
    </xf>
    <xf numFmtId="4" fontId="10" fillId="0" borderId="11" xfId="0" applyNumberFormat="1" applyFont="1" applyBorder="1" applyAlignment="1">
      <alignment wrapText="1"/>
    </xf>
    <xf numFmtId="4" fontId="10" fillId="2" borderId="11" xfId="0" applyNumberFormat="1" applyFont="1" applyFill="1" applyBorder="1" applyAlignment="1">
      <alignment wrapText="1"/>
    </xf>
    <xf numFmtId="4" fontId="10" fillId="0" borderId="12" xfId="0" applyNumberFormat="1" applyFont="1" applyBorder="1" applyAlignment="1">
      <alignment wrapText="1"/>
    </xf>
    <xf numFmtId="0" fontId="22" fillId="0" borderId="158" xfId="0" applyFont="1" applyBorder="1" applyAlignment="1">
      <alignment wrapText="1"/>
    </xf>
    <xf numFmtId="0" fontId="10" fillId="0" borderId="49" xfId="0" applyFont="1" applyBorder="1" applyAlignment="1">
      <alignment wrapText="1"/>
    </xf>
    <xf numFmtId="4" fontId="10" fillId="0" borderId="8" xfId="0" applyNumberFormat="1" applyFont="1" applyBorder="1" applyAlignment="1">
      <alignment wrapText="1"/>
    </xf>
    <xf numFmtId="0" fontId="22" fillId="0" borderId="170" xfId="0" applyFont="1" applyBorder="1" applyAlignment="1">
      <alignment wrapText="1"/>
    </xf>
    <xf numFmtId="4" fontId="22" fillId="0" borderId="2" xfId="0" applyNumberFormat="1" applyFont="1" applyBorder="1" applyAlignment="1">
      <alignment wrapText="1"/>
    </xf>
    <xf numFmtId="4" fontId="22" fillId="0" borderId="3" xfId="0" applyNumberFormat="1" applyFont="1" applyBorder="1" applyAlignment="1">
      <alignment wrapText="1"/>
    </xf>
    <xf numFmtId="0" fontId="22" fillId="0" borderId="171" xfId="0" applyFont="1" applyBorder="1" applyAlignment="1">
      <alignment wrapText="1"/>
    </xf>
    <xf numFmtId="0" fontId="22" fillId="0" borderId="41" xfId="0" applyFont="1" applyBorder="1" applyAlignment="1">
      <alignment horizontal="right" wrapText="1"/>
    </xf>
    <xf numFmtId="3" fontId="10" fillId="0" borderId="158" xfId="0" applyNumberFormat="1" applyFont="1" applyBorder="1" applyAlignment="1">
      <alignment wrapText="1"/>
    </xf>
    <xf numFmtId="9" fontId="10" fillId="0" borderId="13" xfId="0" applyNumberFormat="1" applyFont="1" applyBorder="1" applyAlignment="1">
      <alignment wrapText="1"/>
    </xf>
    <xf numFmtId="0" fontId="22" fillId="69" borderId="158" xfId="0" applyFont="1" applyFill="1" applyBorder="1" applyAlignment="1">
      <alignment wrapText="1"/>
    </xf>
    <xf numFmtId="4" fontId="22" fillId="69" borderId="2" xfId="0" applyNumberFormat="1" applyFont="1" applyFill="1" applyBorder="1" applyAlignment="1">
      <alignment wrapText="1"/>
    </xf>
    <xf numFmtId="4" fontId="22" fillId="69" borderId="3" xfId="0" applyNumberFormat="1" applyFont="1" applyFill="1" applyBorder="1" applyAlignment="1">
      <alignment wrapText="1"/>
    </xf>
    <xf numFmtId="183" fontId="22" fillId="0" borderId="41" xfId="0" applyNumberFormat="1" applyFont="1" applyBorder="1" applyAlignment="1">
      <alignment wrapText="1"/>
    </xf>
    <xf numFmtId="183" fontId="10" fillId="0" borderId="41" xfId="0" applyNumberFormat="1" applyFont="1" applyBorder="1" applyAlignment="1">
      <alignment wrapText="1"/>
    </xf>
    <xf numFmtId="183" fontId="289" fillId="2" borderId="41" xfId="0" applyNumberFormat="1" applyFont="1" applyFill="1" applyBorder="1" applyAlignment="1">
      <alignment wrapText="1"/>
    </xf>
    <xf numFmtId="183" fontId="22" fillId="0" borderId="0" xfId="0" applyNumberFormat="1" applyFont="1" applyAlignment="1">
      <alignment wrapText="1"/>
    </xf>
    <xf numFmtId="183" fontId="10" fillId="17" borderId="0" xfId="0" applyNumberFormat="1" applyFont="1" applyFill="1" applyAlignment="1">
      <alignment wrapText="1"/>
    </xf>
    <xf numFmtId="3" fontId="398" fillId="17" borderId="0" xfId="0" applyNumberFormat="1" applyFont="1" applyFill="1" applyAlignment="1">
      <alignment wrapText="1"/>
    </xf>
    <xf numFmtId="3" fontId="398" fillId="3" borderId="0" xfId="0" applyNumberFormat="1" applyFont="1" applyFill="1" applyAlignment="1">
      <alignment wrapText="1"/>
    </xf>
    <xf numFmtId="3" fontId="22" fillId="3" borderId="0" xfId="0" applyNumberFormat="1" applyFont="1" applyFill="1" applyAlignment="1">
      <alignment wrapText="1"/>
    </xf>
    <xf numFmtId="0" fontId="398" fillId="0" borderId="2" xfId="0" applyFont="1" applyBorder="1" applyAlignment="1">
      <alignment wrapText="1"/>
    </xf>
    <xf numFmtId="3" fontId="327" fillId="0" borderId="2" xfId="0" applyNumberFormat="1" applyFont="1" applyBorder="1" applyAlignment="1">
      <alignment wrapText="1"/>
    </xf>
    <xf numFmtId="3" fontId="327" fillId="3" borderId="2" xfId="0" applyNumberFormat="1" applyFont="1" applyFill="1" applyBorder="1" applyAlignment="1">
      <alignment wrapText="1"/>
    </xf>
    <xf numFmtId="3" fontId="327" fillId="0" borderId="0" xfId="0" applyNumberFormat="1" applyFont="1" applyAlignment="1">
      <alignment wrapText="1"/>
    </xf>
    <xf numFmtId="0" fontId="10" fillId="17" borderId="1" xfId="0" applyFont="1" applyFill="1" applyBorder="1" applyAlignment="1">
      <alignment wrapText="1"/>
    </xf>
    <xf numFmtId="0" fontId="22" fillId="17" borderId="10" xfId="0" applyFont="1" applyFill="1" applyBorder="1" applyAlignment="1">
      <alignment wrapText="1"/>
    </xf>
    <xf numFmtId="0" fontId="10" fillId="3" borderId="11" xfId="0" applyFont="1" applyFill="1" applyBorder="1" applyAlignment="1">
      <alignment wrapText="1"/>
    </xf>
    <xf numFmtId="0" fontId="10" fillId="17" borderId="12" xfId="0" applyFont="1" applyFill="1" applyBorder="1" applyAlignment="1">
      <alignment wrapText="1"/>
    </xf>
    <xf numFmtId="0" fontId="10" fillId="17" borderId="13" xfId="0" applyFont="1" applyFill="1" applyBorder="1" applyAlignment="1">
      <alignment wrapText="1"/>
    </xf>
    <xf numFmtId="3" fontId="10" fillId="17" borderId="1" xfId="0" applyNumberFormat="1" applyFont="1" applyFill="1" applyBorder="1" applyAlignment="1">
      <alignment wrapText="1"/>
    </xf>
    <xf numFmtId="3" fontId="10" fillId="17" borderId="13" xfId="0" applyNumberFormat="1" applyFont="1" applyFill="1" applyBorder="1" applyAlignment="1">
      <alignment wrapText="1"/>
    </xf>
    <xf numFmtId="0" fontId="22" fillId="17" borderId="1" xfId="0" applyFont="1" applyFill="1" applyBorder="1" applyAlignment="1">
      <alignment wrapText="1"/>
    </xf>
    <xf numFmtId="0" fontId="22" fillId="17" borderId="13" xfId="0" applyFont="1" applyFill="1" applyBorder="1" applyAlignment="1">
      <alignment wrapText="1"/>
    </xf>
    <xf numFmtId="3" fontId="22" fillId="17" borderId="1" xfId="0" applyNumberFormat="1" applyFont="1" applyFill="1" applyBorder="1" applyAlignment="1">
      <alignment wrapText="1"/>
    </xf>
    <xf numFmtId="3" fontId="22" fillId="17" borderId="13" xfId="0" applyNumberFormat="1" applyFont="1" applyFill="1" applyBorder="1" applyAlignment="1">
      <alignment wrapText="1"/>
    </xf>
    <xf numFmtId="183" fontId="22" fillId="17" borderId="0" xfId="0" applyNumberFormat="1" applyFont="1" applyFill="1" applyAlignment="1">
      <alignment wrapText="1"/>
    </xf>
    <xf numFmtId="0" fontId="398" fillId="0" borderId="4" xfId="0" applyFont="1" applyBorder="1" applyAlignment="1">
      <alignment wrapText="1"/>
    </xf>
    <xf numFmtId="3" fontId="327" fillId="0" borderId="3" xfId="0" applyNumberFormat="1" applyFont="1" applyBorder="1" applyAlignment="1">
      <alignment wrapText="1"/>
    </xf>
    <xf numFmtId="3" fontId="327" fillId="0" borderId="13" xfId="0" applyNumberFormat="1" applyFont="1" applyBorder="1" applyAlignment="1">
      <alignment wrapText="1"/>
    </xf>
    <xf numFmtId="0" fontId="10" fillId="0" borderId="168" xfId="0" applyFont="1" applyBorder="1" applyAlignment="1">
      <alignment wrapText="1"/>
    </xf>
    <xf numFmtId="4" fontId="22" fillId="0" borderId="42" xfId="0" applyNumberFormat="1" applyFont="1" applyBorder="1" applyAlignment="1">
      <alignment wrapText="1"/>
    </xf>
    <xf numFmtId="0" fontId="10" fillId="0" borderId="52" xfId="0" applyFont="1" applyBorder="1" applyAlignment="1">
      <alignment wrapText="1"/>
    </xf>
    <xf numFmtId="0" fontId="10" fillId="0" borderId="44" xfId="0" applyFont="1" applyBorder="1" applyAlignment="1">
      <alignment wrapText="1"/>
    </xf>
    <xf numFmtId="3" fontId="10" fillId="0" borderId="36" xfId="0" applyNumberFormat="1" applyFont="1" applyBorder="1" applyAlignment="1">
      <alignment wrapText="1"/>
    </xf>
    <xf numFmtId="3" fontId="10" fillId="0" borderId="45" xfId="0" applyNumberFormat="1" applyFont="1" applyBorder="1" applyAlignment="1">
      <alignment wrapText="1"/>
    </xf>
    <xf numFmtId="0" fontId="297" fillId="0" borderId="38" xfId="0" applyFont="1" applyBorder="1" applyAlignment="1">
      <alignment wrapText="1"/>
    </xf>
    <xf numFmtId="4" fontId="0" fillId="0" borderId="38" xfId="0" applyNumberFormat="1" applyBorder="1" applyAlignment="1">
      <alignment wrapText="1"/>
    </xf>
    <xf numFmtId="4" fontId="297" fillId="0" borderId="38" xfId="0" applyNumberFormat="1" applyFont="1" applyBorder="1" applyAlignment="1">
      <alignment wrapText="1"/>
    </xf>
    <xf numFmtId="0" fontId="398" fillId="0" borderId="0" xfId="0" applyFont="1" applyAlignment="1">
      <alignment wrapText="1"/>
    </xf>
    <xf numFmtId="0" fontId="22" fillId="0" borderId="172" xfId="0" applyFont="1" applyBorder="1" applyAlignment="1">
      <alignment wrapText="1"/>
    </xf>
    <xf numFmtId="0" fontId="22" fillId="0" borderId="32" xfId="0" applyFont="1" applyBorder="1" applyAlignment="1">
      <alignment wrapText="1"/>
    </xf>
    <xf numFmtId="0" fontId="10" fillId="0" borderId="171" xfId="0" applyFont="1" applyBorder="1" applyAlignment="1">
      <alignment wrapText="1"/>
    </xf>
    <xf numFmtId="0" fontId="224" fillId="0" borderId="32" xfId="0" applyFont="1" applyBorder="1" applyAlignment="1">
      <alignment wrapText="1"/>
    </xf>
    <xf numFmtId="0" fontId="10" fillId="3" borderId="32" xfId="0" applyFont="1" applyFill="1" applyBorder="1" applyAlignment="1">
      <alignment wrapText="1"/>
    </xf>
    <xf numFmtId="0" fontId="10" fillId="70" borderId="172" xfId="0" applyFont="1" applyFill="1" applyBorder="1" applyAlignment="1">
      <alignment wrapText="1"/>
    </xf>
    <xf numFmtId="0" fontId="10" fillId="70" borderId="32" xfId="0" applyFont="1" applyFill="1" applyBorder="1" applyAlignment="1">
      <alignment wrapText="1"/>
    </xf>
    <xf numFmtId="0" fontId="399" fillId="0" borderId="0" xfId="0" applyFont="1" applyAlignment="1">
      <alignment horizontal="right" wrapText="1"/>
    </xf>
    <xf numFmtId="0" fontId="10" fillId="70" borderId="171" xfId="0" applyFont="1" applyFill="1" applyBorder="1" applyAlignment="1">
      <alignment wrapText="1"/>
    </xf>
    <xf numFmtId="0" fontId="399" fillId="0" borderId="1" xfId="0" applyFont="1" applyBorder="1" applyAlignment="1">
      <alignment horizontal="right" wrapText="1"/>
    </xf>
    <xf numFmtId="0" fontId="10" fillId="0" borderId="32" xfId="0" applyFont="1" applyBorder="1" applyAlignment="1">
      <alignment horizontal="right" wrapText="1"/>
    </xf>
    <xf numFmtId="0" fontId="10" fillId="0" borderId="32" xfId="0" applyFont="1" applyBorder="1" applyAlignment="1">
      <alignment horizontal="left" wrapText="1"/>
    </xf>
    <xf numFmtId="0" fontId="10" fillId="0" borderId="3" xfId="0" applyFont="1" applyBorder="1" applyAlignment="1">
      <alignment horizontal="right" wrapText="1"/>
    </xf>
    <xf numFmtId="0" fontId="224" fillId="0" borderId="4" xfId="0" applyFont="1" applyBorder="1" applyAlignment="1">
      <alignment wrapText="1"/>
    </xf>
    <xf numFmtId="0" fontId="402" fillId="0" borderId="171" xfId="0" applyFont="1" applyBorder="1" applyAlignment="1">
      <alignment wrapText="1"/>
    </xf>
    <xf numFmtId="0" fontId="401" fillId="2" borderId="9" xfId="0" applyFont="1" applyFill="1" applyBorder="1" applyAlignment="1">
      <alignment horizontal="center" wrapText="1"/>
    </xf>
    <xf numFmtId="0" fontId="403" fillId="71" borderId="20" xfId="0" applyFont="1" applyFill="1" applyBorder="1" applyAlignment="1">
      <alignment horizontal="left" wrapText="1"/>
    </xf>
    <xf numFmtId="0" fontId="20" fillId="0" borderId="20" xfId="0" applyFont="1" applyBorder="1" applyAlignment="1">
      <alignment horizontal="left" wrapText="1"/>
    </xf>
    <xf numFmtId="0" fontId="10" fillId="0" borderId="172" xfId="0" applyFont="1" applyBorder="1" applyAlignment="1">
      <alignment wrapText="1"/>
    </xf>
    <xf numFmtId="0" fontId="404" fillId="0" borderId="20" xfId="0" applyFont="1" applyBorder="1" applyAlignment="1">
      <alignment horizontal="left" wrapText="1"/>
    </xf>
    <xf numFmtId="3" fontId="404" fillId="0" borderId="20" xfId="0" applyNumberFormat="1" applyFont="1" applyBorder="1" applyAlignment="1">
      <alignment horizontal="right" wrapText="1"/>
    </xf>
    <xf numFmtId="4" fontId="404" fillId="0" borderId="20" xfId="0" applyNumberFormat="1" applyFont="1" applyBorder="1" applyAlignment="1">
      <alignment horizontal="right" wrapText="1"/>
    </xf>
    <xf numFmtId="10" fontId="404" fillId="0" borderId="20" xfId="0" applyNumberFormat="1" applyFont="1" applyBorder="1" applyAlignment="1">
      <alignment horizontal="right" wrapText="1"/>
    </xf>
    <xf numFmtId="0" fontId="404" fillId="0" borderId="20" xfId="0" applyFont="1" applyBorder="1" applyAlignment="1">
      <alignment horizontal="right" wrapText="1"/>
    </xf>
    <xf numFmtId="9" fontId="404" fillId="0" borderId="20" xfId="0" applyNumberFormat="1" applyFont="1" applyBorder="1" applyAlignment="1">
      <alignment horizontal="right" wrapText="1"/>
    </xf>
    <xf numFmtId="3" fontId="20" fillId="3" borderId="20" xfId="0" applyNumberFormat="1" applyFont="1" applyFill="1" applyBorder="1" applyAlignment="1">
      <alignment horizontal="right" wrapText="1"/>
    </xf>
    <xf numFmtId="3" fontId="401" fillId="3" borderId="20" xfId="0" applyNumberFormat="1" applyFont="1" applyFill="1" applyBorder="1" applyAlignment="1">
      <alignment horizontal="right" wrapText="1"/>
    </xf>
    <xf numFmtId="0" fontId="405" fillId="72" borderId="20" xfId="0" applyFont="1" applyFill="1" applyBorder="1" applyAlignment="1">
      <alignment horizontal="left" wrapText="1"/>
    </xf>
    <xf numFmtId="3" fontId="405" fillId="72" borderId="20" xfId="0" applyNumberFormat="1" applyFont="1" applyFill="1" applyBorder="1" applyAlignment="1">
      <alignment horizontal="right" wrapText="1"/>
    </xf>
    <xf numFmtId="4" fontId="405" fillId="72" borderId="20" xfId="0" applyNumberFormat="1" applyFont="1" applyFill="1" applyBorder="1" applyAlignment="1">
      <alignment horizontal="right" wrapText="1"/>
    </xf>
    <xf numFmtId="1" fontId="405" fillId="72" borderId="20" xfId="0" applyNumberFormat="1" applyFont="1" applyFill="1" applyBorder="1" applyAlignment="1">
      <alignment horizontal="right" wrapText="1"/>
    </xf>
    <xf numFmtId="0" fontId="405" fillId="72" borderId="20" xfId="0" applyFont="1" applyFill="1" applyBorder="1" applyAlignment="1">
      <alignment horizontal="right" wrapText="1"/>
    </xf>
    <xf numFmtId="0" fontId="403" fillId="72" borderId="20" xfId="0" applyFont="1" applyFill="1" applyBorder="1" applyAlignment="1">
      <alignment horizontal="left" wrapText="1"/>
    </xf>
    <xf numFmtId="3" fontId="403" fillId="72" borderId="20" xfId="0" applyNumberFormat="1" applyFont="1" applyFill="1" applyBorder="1" applyAlignment="1">
      <alignment horizontal="right" wrapText="1"/>
    </xf>
    <xf numFmtId="4" fontId="403" fillId="72" borderId="20" xfId="0" applyNumberFormat="1" applyFont="1" applyFill="1" applyBorder="1" applyAlignment="1">
      <alignment horizontal="right" wrapText="1"/>
    </xf>
    <xf numFmtId="0" fontId="403" fillId="72" borderId="20" xfId="0" applyFont="1" applyFill="1" applyBorder="1" applyAlignment="1">
      <alignment horizontal="right" wrapText="1"/>
    </xf>
    <xf numFmtId="0" fontId="406" fillId="28" borderId="20" xfId="0" applyFont="1" applyFill="1" applyBorder="1" applyAlignment="1">
      <alignment horizontal="left" wrapText="1"/>
    </xf>
    <xf numFmtId="0" fontId="401" fillId="28" borderId="20" xfId="0" applyFont="1" applyFill="1" applyBorder="1" applyAlignment="1">
      <alignment horizontal="right" wrapText="1"/>
    </xf>
    <xf numFmtId="4" fontId="406" fillId="28" borderId="20" xfId="0" applyNumberFormat="1" applyFont="1" applyFill="1" applyBorder="1" applyAlignment="1">
      <alignment horizontal="right" wrapText="1"/>
    </xf>
    <xf numFmtId="0" fontId="0" fillId="2" borderId="1" xfId="0" applyFill="1" applyBorder="1" applyAlignment="1">
      <alignment wrapText="1"/>
    </xf>
    <xf numFmtId="0" fontId="20" fillId="3" borderId="20" xfId="0" applyFont="1" applyFill="1" applyBorder="1" applyAlignment="1">
      <alignment horizontal="left" wrapText="1"/>
    </xf>
    <xf numFmtId="4" fontId="20" fillId="3" borderId="20" xfId="0" applyNumberFormat="1" applyFont="1" applyFill="1" applyBorder="1" applyAlignment="1">
      <alignment horizontal="right" wrapText="1"/>
    </xf>
    <xf numFmtId="0" fontId="406" fillId="2" borderId="20" xfId="0" applyFont="1" applyFill="1" applyBorder="1" applyAlignment="1">
      <alignment horizontal="left" wrapText="1"/>
    </xf>
    <xf numFmtId="0" fontId="20" fillId="3" borderId="20" xfId="0" applyFont="1" applyFill="1" applyBorder="1" applyAlignment="1">
      <alignment horizontal="right" wrapText="1"/>
    </xf>
    <xf numFmtId="0" fontId="407" fillId="0" borderId="20" xfId="0" applyFont="1" applyBorder="1" applyAlignment="1">
      <alignment horizontal="left" wrapText="1"/>
    </xf>
    <xf numFmtId="3" fontId="407" fillId="0" borderId="20" xfId="0" applyNumberFormat="1" applyFont="1" applyBorder="1" applyAlignment="1">
      <alignment horizontal="right" wrapText="1"/>
    </xf>
    <xf numFmtId="10" fontId="407" fillId="0" borderId="20" xfId="0" applyNumberFormat="1" applyFont="1" applyBorder="1" applyAlignment="1">
      <alignment horizontal="right" wrapText="1"/>
    </xf>
    <xf numFmtId="0" fontId="408" fillId="0" borderId="1" xfId="0" applyFont="1" applyBorder="1" applyAlignment="1">
      <alignment wrapText="1"/>
    </xf>
    <xf numFmtId="0" fontId="409" fillId="0" borderId="172" xfId="0" applyFont="1" applyBorder="1" applyAlignment="1">
      <alignment horizontal="left" wrapText="1"/>
    </xf>
    <xf numFmtId="3" fontId="401" fillId="28" borderId="20" xfId="0" applyNumberFormat="1" applyFont="1" applyFill="1" applyBorder="1" applyAlignment="1">
      <alignment horizontal="right" wrapText="1"/>
    </xf>
    <xf numFmtId="0" fontId="410" fillId="0" borderId="0" xfId="0" applyFont="1" applyAlignment="1">
      <alignment wrapText="1"/>
    </xf>
    <xf numFmtId="0" fontId="410" fillId="0" borderId="2" xfId="0" applyFont="1" applyBorder="1" applyAlignment="1">
      <alignment wrapText="1"/>
    </xf>
    <xf numFmtId="10" fontId="20" fillId="0" borderId="20" xfId="0" applyNumberFormat="1" applyFont="1" applyBorder="1" applyAlignment="1">
      <alignment horizontal="right" wrapText="1"/>
    </xf>
    <xf numFmtId="0" fontId="327" fillId="0" borderId="1" xfId="0" applyFont="1" applyBorder="1" applyAlignment="1">
      <alignment wrapText="1"/>
    </xf>
    <xf numFmtId="0" fontId="409" fillId="0" borderId="20" xfId="0" applyFont="1" applyBorder="1" applyAlignment="1">
      <alignment horizontal="left" wrapText="1"/>
    </xf>
    <xf numFmtId="0" fontId="409" fillId="0" borderId="20" xfId="0" applyFont="1" applyBorder="1" applyAlignment="1">
      <alignment horizontal="right" wrapText="1"/>
    </xf>
    <xf numFmtId="4" fontId="409" fillId="0" borderId="20" xfId="0" applyNumberFormat="1" applyFont="1" applyBorder="1" applyAlignment="1">
      <alignment horizontal="right" wrapText="1"/>
    </xf>
    <xf numFmtId="4" fontId="10" fillId="0" borderId="13" xfId="0" applyNumberFormat="1" applyFont="1" applyBorder="1" applyAlignment="1">
      <alignment wrapText="1"/>
    </xf>
    <xf numFmtId="0" fontId="404" fillId="0" borderId="0" xfId="0" applyFont="1" applyAlignment="1">
      <alignment horizontal="left" wrapText="1"/>
    </xf>
    <xf numFmtId="0" fontId="22" fillId="3" borderId="0" xfId="0" applyFont="1" applyFill="1" applyAlignment="1">
      <alignment horizontal="left" wrapText="1"/>
    </xf>
    <xf numFmtId="0" fontId="22" fillId="3" borderId="0" xfId="0" applyFont="1" applyFill="1" applyAlignment="1">
      <alignment horizontal="right" wrapText="1"/>
    </xf>
    <xf numFmtId="4" fontId="22" fillId="3" borderId="0" xfId="0" applyNumberFormat="1" applyFont="1" applyFill="1" applyAlignment="1">
      <alignment horizontal="right" wrapText="1"/>
    </xf>
    <xf numFmtId="0" fontId="22" fillId="27" borderId="0" xfId="0" applyFont="1" applyFill="1" applyAlignment="1">
      <alignment wrapText="1"/>
    </xf>
    <xf numFmtId="0" fontId="22" fillId="27" borderId="0" xfId="0" applyFont="1" applyFill="1" applyAlignment="1">
      <alignment horizontal="right" wrapText="1"/>
    </xf>
    <xf numFmtId="0" fontId="11" fillId="2" borderId="1" xfId="0" applyFont="1" applyFill="1" applyBorder="1" applyAlignment="1">
      <alignment horizontal="left" vertical="top"/>
    </xf>
    <xf numFmtId="171" fontId="18" fillId="0" borderId="0" xfId="0" applyNumberFormat="1" applyFont="1"/>
    <xf numFmtId="0" fontId="0" fillId="0" borderId="0" xfId="0"/>
    <xf numFmtId="3" fontId="10" fillId="0" borderId="0" xfId="0" applyNumberFormat="1" applyFont="1"/>
    <xf numFmtId="168" fontId="10" fillId="0" borderId="0" xfId="0" applyNumberFormat="1" applyFont="1"/>
    <xf numFmtId="3" fontId="9" fillId="0" borderId="0" xfId="0" applyNumberFormat="1" applyFont="1" applyAlignment="1">
      <alignment horizontal="center"/>
    </xf>
    <xf numFmtId="0" fontId="10" fillId="0" borderId="6" xfId="0" applyFont="1" applyBorder="1"/>
    <xf numFmtId="4" fontId="10" fillId="0" borderId="0" xfId="0" applyNumberFormat="1" applyFont="1"/>
    <xf numFmtId="166" fontId="9" fillId="0" borderId="8" xfId="0" applyNumberFormat="1" applyFont="1" applyBorder="1"/>
    <xf numFmtId="9" fontId="10" fillId="0" borderId="0" xfId="0" applyNumberFormat="1" applyFont="1"/>
    <xf numFmtId="0" fontId="10" fillId="0" borderId="10" xfId="0" applyFont="1" applyBorder="1"/>
    <xf numFmtId="0" fontId="10" fillId="0" borderId="11" xfId="0" applyFont="1" applyBorder="1"/>
    <xf numFmtId="0" fontId="10" fillId="0" borderId="12" xfId="0" applyFont="1" applyBorder="1"/>
    <xf numFmtId="0" fontId="9" fillId="0" borderId="0" xfId="0" applyFont="1"/>
    <xf numFmtId="10" fontId="10" fillId="0" borderId="0" xfId="0" applyNumberFormat="1" applyFont="1"/>
    <xf numFmtId="3" fontId="9" fillId="0" borderId="0" xfId="0" applyNumberFormat="1" applyFont="1"/>
    <xf numFmtId="3" fontId="9" fillId="0" borderId="0" xfId="0" applyNumberFormat="1" applyFont="1" applyAlignment="1">
      <alignment horizontal="right"/>
    </xf>
    <xf numFmtId="3" fontId="10" fillId="0" borderId="0" xfId="0" applyNumberFormat="1" applyFont="1" applyAlignment="1">
      <alignment horizontal="right"/>
    </xf>
    <xf numFmtId="0" fontId="9" fillId="0" borderId="13" xfId="0" applyFont="1" applyBorder="1"/>
    <xf numFmtId="0" fontId="19" fillId="2" borderId="0" xfId="0" applyFont="1" applyFill="1"/>
    <xf numFmtId="1" fontId="9" fillId="0" borderId="0" xfId="0" applyNumberFormat="1" applyFont="1"/>
    <xf numFmtId="3" fontId="9" fillId="0" borderId="1" xfId="0" applyNumberFormat="1" applyFont="1" applyBorder="1"/>
    <xf numFmtId="3" fontId="21" fillId="73" borderId="14" xfId="0" applyNumberFormat="1" applyFont="1" applyFill="1" applyBorder="1" applyAlignment="1">
      <alignment wrapText="1"/>
    </xf>
    <xf numFmtId="0" fontId="201" fillId="15" borderId="0" xfId="0" applyFont="1" applyFill="1" applyAlignment="1">
      <alignment horizontal="right"/>
    </xf>
    <xf numFmtId="173" fontId="203" fillId="15" borderId="0" xfId="0" applyNumberFormat="1" applyFont="1" applyFill="1" applyAlignment="1">
      <alignment horizontal="right" vertical="top"/>
    </xf>
    <xf numFmtId="0" fontId="424" fillId="2" borderId="173" xfId="0" applyFont="1" applyFill="1" applyBorder="1" applyAlignment="1">
      <alignment wrapText="1"/>
    </xf>
    <xf numFmtId="49" fontId="424" fillId="2" borderId="173" xfId="0" applyNumberFormat="1" applyFont="1" applyFill="1" applyBorder="1" applyAlignment="1">
      <alignment horizontal="right" wrapText="1"/>
    </xf>
    <xf numFmtId="0" fontId="424" fillId="2" borderId="173" xfId="0" applyFont="1" applyFill="1" applyBorder="1" applyAlignment="1">
      <alignment horizontal="right" wrapText="1"/>
    </xf>
    <xf numFmtId="0" fontId="215" fillId="2" borderId="173" xfId="0" applyFont="1" applyFill="1" applyBorder="1" applyAlignment="1">
      <alignment horizontal="right" wrapText="1"/>
    </xf>
    <xf numFmtId="0" fontId="0" fillId="0" borderId="173" xfId="0" applyBorder="1" applyAlignment="1">
      <alignment wrapText="1"/>
    </xf>
    <xf numFmtId="0" fontId="425" fillId="2" borderId="173" xfId="0" applyFont="1" applyFill="1" applyBorder="1" applyAlignment="1">
      <alignment wrapText="1"/>
    </xf>
    <xf numFmtId="181" fontId="215" fillId="2" borderId="173" xfId="0" applyNumberFormat="1" applyFont="1" applyFill="1" applyBorder="1" applyAlignment="1">
      <alignment horizontal="right" wrapText="1"/>
    </xf>
    <xf numFmtId="0" fontId="390" fillId="2" borderId="173" xfId="0" applyFont="1" applyFill="1" applyBorder="1" applyAlignment="1">
      <alignment wrapText="1"/>
    </xf>
    <xf numFmtId="0" fontId="28" fillId="2" borderId="173" xfId="0" applyFont="1" applyFill="1" applyBorder="1" applyAlignment="1">
      <alignment wrapText="1"/>
    </xf>
    <xf numFmtId="0" fontId="214" fillId="0" borderId="173" xfId="0" applyFont="1" applyBorder="1" applyAlignment="1">
      <alignment wrapText="1"/>
    </xf>
    <xf numFmtId="49" fontId="214" fillId="0" borderId="173" xfId="0" applyNumberFormat="1" applyFont="1" applyBorder="1" applyAlignment="1">
      <alignment horizontal="center" wrapText="1"/>
    </xf>
    <xf numFmtId="180" fontId="216" fillId="2" borderId="173" xfId="0" applyNumberFormat="1" applyFont="1" applyFill="1" applyBorder="1" applyAlignment="1">
      <alignment wrapText="1"/>
    </xf>
    <xf numFmtId="0" fontId="28" fillId="0" borderId="173" xfId="0" applyFont="1" applyBorder="1" applyAlignment="1">
      <alignment wrapText="1"/>
    </xf>
    <xf numFmtId="49" fontId="27" fillId="0" borderId="173" xfId="0" applyNumberFormat="1" applyFont="1" applyBorder="1" applyAlignment="1">
      <alignment wrapText="1"/>
    </xf>
    <xf numFmtId="49" fontId="27" fillId="2" borderId="173" xfId="0" applyNumberFormat="1" applyFont="1" applyFill="1" applyBorder="1" applyAlignment="1">
      <alignment wrapText="1"/>
    </xf>
    <xf numFmtId="173" fontId="28" fillId="0" borderId="173" xfId="0" applyNumberFormat="1" applyFont="1" applyBorder="1" applyAlignment="1">
      <alignment wrapText="1"/>
    </xf>
    <xf numFmtId="181" fontId="28" fillId="0" borderId="173" xfId="0" applyNumberFormat="1" applyFont="1" applyBorder="1" applyAlignment="1">
      <alignment wrapText="1"/>
    </xf>
    <xf numFmtId="49" fontId="9" fillId="0" borderId="173" xfId="0" applyNumberFormat="1" applyFont="1" applyBorder="1" applyAlignment="1">
      <alignment wrapText="1"/>
    </xf>
    <xf numFmtId="16" fontId="0" fillId="0" borderId="0" xfId="0" applyNumberFormat="1" applyAlignment="1">
      <alignment wrapText="1"/>
    </xf>
    <xf numFmtId="0" fontId="10" fillId="74" borderId="0" xfId="0" applyFont="1" applyFill="1" applyAlignment="1">
      <alignment wrapText="1"/>
    </xf>
    <xf numFmtId="0" fontId="12" fillId="0" borderId="0" xfId="0" applyFont="1"/>
    <xf numFmtId="166" fontId="10" fillId="0" borderId="0" xfId="0" applyNumberFormat="1" applyFont="1"/>
    <xf numFmtId="0" fontId="10" fillId="0" borderId="0" xfId="0" applyFont="1" applyAlignment="1">
      <alignment horizontal="center"/>
    </xf>
    <xf numFmtId="18" fontId="10" fillId="0" borderId="0" xfId="0" applyNumberFormat="1" applyFont="1"/>
    <xf numFmtId="0" fontId="13" fillId="0" borderId="0" xfId="0" applyFont="1"/>
    <xf numFmtId="0" fontId="87" fillId="2" borderId="0" xfId="0" applyFont="1" applyFill="1" applyAlignment="1">
      <alignment horizontal="left" wrapText="1"/>
    </xf>
    <xf numFmtId="0" fontId="426" fillId="2" borderId="0" xfId="0" applyFont="1" applyFill="1" applyAlignment="1">
      <alignment horizontal="left" wrapText="1"/>
    </xf>
    <xf numFmtId="0" fontId="106" fillId="2" borderId="0" xfId="0" applyFont="1" applyFill="1" applyAlignment="1">
      <alignment horizontal="left" wrapText="1"/>
    </xf>
    <xf numFmtId="0" fontId="118" fillId="2" borderId="0" xfId="0" applyFont="1" applyFill="1" applyAlignment="1">
      <alignment horizontal="left" wrapText="1"/>
    </xf>
    <xf numFmtId="0" fontId="427" fillId="2" borderId="0" xfId="0" applyFont="1" applyFill="1" applyAlignment="1">
      <alignment horizontal="left" wrapText="1"/>
    </xf>
    <xf numFmtId="0" fontId="428" fillId="2" borderId="0" xfId="0" applyFont="1" applyFill="1" applyAlignment="1">
      <alignment horizontal="left" wrapText="1"/>
    </xf>
    <xf numFmtId="0" fontId="81" fillId="2" borderId="0" xfId="0" applyFont="1" applyFill="1" applyAlignment="1">
      <alignment horizontal="left" wrapText="1"/>
    </xf>
    <xf numFmtId="0" fontId="147" fillId="2" borderId="0" xfId="0" applyFont="1" applyFill="1" applyAlignment="1">
      <alignment horizontal="left"/>
    </xf>
    <xf numFmtId="0" fontId="67" fillId="0" borderId="0" xfId="0" applyFont="1" applyAlignment="1">
      <alignment horizontal="left" wrapText="1"/>
    </xf>
    <xf numFmtId="0" fontId="423" fillId="0" borderId="0" xfId="1" applyAlignment="1">
      <alignment wrapText="1"/>
    </xf>
    <xf numFmtId="0" fontId="27" fillId="0" borderId="19" xfId="0" applyFont="1" applyBorder="1" applyAlignment="1">
      <alignment wrapText="1"/>
    </xf>
    <xf numFmtId="0" fontId="24" fillId="0" borderId="0" xfId="0" applyFont="1"/>
    <xf numFmtId="0" fontId="27" fillId="0" borderId="19" xfId="0" applyFont="1" applyBorder="1"/>
    <xf numFmtId="4" fontId="28" fillId="0" borderId="0" xfId="0" applyNumberFormat="1" applyFont="1" applyAlignment="1">
      <alignment horizontal="right"/>
    </xf>
    <xf numFmtId="3" fontId="28" fillId="0" borderId="0" xfId="0" applyNumberFormat="1" applyFont="1" applyAlignment="1">
      <alignment horizontal="right"/>
    </xf>
    <xf numFmtId="4" fontId="9" fillId="0" borderId="0" xfId="0" applyNumberFormat="1" applyFont="1"/>
    <xf numFmtId="0" fontId="9" fillId="3" borderId="0" xfId="0" applyFont="1" applyFill="1"/>
    <xf numFmtId="166" fontId="9" fillId="0" borderId="0" xfId="0" applyNumberFormat="1" applyFont="1" applyAlignment="1">
      <alignment horizontal="left" wrapText="1"/>
    </xf>
    <xf numFmtId="10" fontId="28" fillId="0" borderId="0" xfId="0" applyNumberFormat="1" applyFont="1" applyAlignment="1">
      <alignment horizontal="right" wrapText="1"/>
    </xf>
    <xf numFmtId="0" fontId="28" fillId="0" borderId="19" xfId="0" applyFont="1" applyBorder="1" applyAlignment="1">
      <alignment wrapText="1"/>
    </xf>
    <xf numFmtId="172" fontId="29" fillId="0" borderId="0" xfId="0" applyNumberFormat="1" applyFont="1" applyAlignment="1">
      <alignment horizontal="right" vertical="top" wrapText="1"/>
    </xf>
    <xf numFmtId="168" fontId="14" fillId="0" borderId="0" xfId="0" applyNumberFormat="1" applyFont="1" applyAlignment="1">
      <alignment horizontal="right" vertical="top" wrapText="1"/>
    </xf>
    <xf numFmtId="172" fontId="29" fillId="0" borderId="0" xfId="0" applyNumberFormat="1" applyFont="1" applyAlignment="1">
      <alignment horizontal="right" vertical="top"/>
    </xf>
    <xf numFmtId="168" fontId="14" fillId="0" borderId="0" xfId="0" applyNumberFormat="1" applyFont="1" applyAlignment="1">
      <alignment horizontal="right" vertical="top"/>
    </xf>
    <xf numFmtId="0" fontId="2" fillId="0" borderId="19" xfId="0" applyFont="1" applyBorder="1" applyAlignment="1">
      <alignment horizontal="center" vertical="top"/>
    </xf>
    <xf numFmtId="0" fontId="2" fillId="0" borderId="0" xfId="0" applyFont="1" applyAlignment="1">
      <alignment horizontal="center" vertical="top"/>
    </xf>
    <xf numFmtId="0" fontId="5" fillId="0" borderId="0" xfId="0" applyFont="1" applyAlignment="1">
      <alignment horizontal="center" vertical="top"/>
    </xf>
    <xf numFmtId="0" fontId="5" fillId="0" borderId="6" xfId="0" applyFont="1" applyBorder="1" applyAlignment="1">
      <alignment horizontal="center" vertical="top"/>
    </xf>
    <xf numFmtId="4" fontId="26" fillId="0" borderId="0" xfId="0" applyNumberFormat="1" applyFont="1" applyAlignment="1">
      <alignment horizontal="right"/>
    </xf>
    <xf numFmtId="3" fontId="9" fillId="3" borderId="0" xfId="0" applyNumberFormat="1" applyFont="1" applyFill="1"/>
    <xf numFmtId="0" fontId="27" fillId="0" borderId="19" xfId="0" applyFont="1" applyBorder="1" applyAlignment="1">
      <alignment horizontal="center" wrapText="1"/>
    </xf>
    <xf numFmtId="173" fontId="10" fillId="0" borderId="0" xfId="0" applyNumberFormat="1" applyFont="1"/>
    <xf numFmtId="0" fontId="11" fillId="0" borderId="0" xfId="0" applyFont="1" applyAlignment="1">
      <alignment wrapText="1"/>
    </xf>
    <xf numFmtId="0" fontId="19" fillId="0" borderId="0" xfId="0" applyFont="1"/>
    <xf numFmtId="0" fontId="24" fillId="0" borderId="19" xfId="0" applyFont="1" applyBorder="1" applyAlignment="1">
      <alignment wrapText="1"/>
    </xf>
    <xf numFmtId="0" fontId="39" fillId="0" borderId="0" xfId="0" applyFont="1" applyAlignment="1">
      <alignment wrapText="1"/>
    </xf>
    <xf numFmtId="0" fontId="24" fillId="0" borderId="0" xfId="0" applyFont="1" applyAlignment="1">
      <alignment wrapText="1"/>
    </xf>
    <xf numFmtId="0" fontId="28" fillId="0" borderId="19" xfId="0" applyFont="1" applyBorder="1" applyAlignment="1">
      <alignment horizontal="left" wrapText="1"/>
    </xf>
    <xf numFmtId="171" fontId="43" fillId="0" borderId="24" xfId="0" applyNumberFormat="1" applyFont="1" applyBorder="1" applyAlignment="1">
      <alignment horizontal="left" wrapText="1"/>
    </xf>
    <xf numFmtId="9" fontId="11" fillId="0" borderId="26" xfId="0" applyNumberFormat="1" applyFont="1" applyBorder="1" applyAlignment="1">
      <alignment horizontal="left"/>
    </xf>
    <xf numFmtId="0" fontId="28" fillId="0" borderId="19" xfId="0" applyFont="1" applyBorder="1"/>
    <xf numFmtId="0" fontId="18" fillId="0" borderId="0" xfId="0" applyFont="1"/>
    <xf numFmtId="3" fontId="28" fillId="2" borderId="0" xfId="0" applyNumberFormat="1" applyFont="1" applyFill="1" applyAlignment="1">
      <alignment horizontal="right"/>
    </xf>
    <xf numFmtId="0" fontId="3" fillId="2" borderId="0" xfId="0" applyFont="1" applyFill="1" applyAlignment="1">
      <alignment horizontal="left" vertical="top"/>
    </xf>
    <xf numFmtId="0" fontId="2" fillId="2" borderId="0" xfId="0" applyFont="1" applyFill="1"/>
    <xf numFmtId="3" fontId="27" fillId="0" borderId="0" xfId="0" applyNumberFormat="1" applyFont="1" applyAlignment="1">
      <alignment horizontal="left"/>
    </xf>
    <xf numFmtId="2" fontId="27" fillId="3" borderId="0" xfId="0" applyNumberFormat="1" applyFont="1" applyFill="1" applyAlignment="1">
      <alignment horizontal="left"/>
    </xf>
    <xf numFmtId="3" fontId="27" fillId="3" borderId="0" xfId="0" applyNumberFormat="1" applyFont="1" applyFill="1" applyAlignment="1">
      <alignment horizontal="right"/>
    </xf>
    <xf numFmtId="166" fontId="10" fillId="0" borderId="0" xfId="0" applyNumberFormat="1" applyFont="1" applyAlignment="1">
      <alignment horizontal="center"/>
    </xf>
    <xf numFmtId="0" fontId="10" fillId="0" borderId="19" xfId="0" applyFont="1" applyBorder="1"/>
    <xf numFmtId="3" fontId="26" fillId="0" borderId="0" xfId="0" applyNumberFormat="1" applyFont="1" applyAlignment="1">
      <alignment horizontal="right"/>
    </xf>
    <xf numFmtId="0" fontId="15" fillId="3" borderId="0" xfId="0" applyFont="1" applyFill="1"/>
    <xf numFmtId="3" fontId="28" fillId="3" borderId="0" xfId="0" applyNumberFormat="1" applyFont="1" applyFill="1" applyAlignment="1">
      <alignment horizontal="right"/>
    </xf>
    <xf numFmtId="2" fontId="28" fillId="2" borderId="0" xfId="0" applyNumberFormat="1" applyFont="1" applyFill="1" applyAlignment="1">
      <alignment horizontal="right"/>
    </xf>
    <xf numFmtId="3" fontId="27" fillId="2" borderId="0" xfId="0" applyNumberFormat="1" applyFont="1" applyFill="1" applyAlignment="1">
      <alignment horizontal="right"/>
    </xf>
    <xf numFmtId="3" fontId="27" fillId="0" borderId="0" xfId="0" applyNumberFormat="1" applyFont="1" applyAlignment="1">
      <alignment horizontal="right"/>
    </xf>
    <xf numFmtId="166" fontId="27" fillId="0" borderId="0" xfId="0" applyNumberFormat="1" applyFont="1" applyAlignment="1">
      <alignment horizontal="right"/>
    </xf>
    <xf numFmtId="171" fontId="10" fillId="0" borderId="0" xfId="0" applyNumberFormat="1" applyFont="1" applyAlignment="1">
      <alignment horizontal="center"/>
    </xf>
    <xf numFmtId="3" fontId="10" fillId="3" borderId="0" xfId="0" applyNumberFormat="1" applyFont="1" applyFill="1"/>
    <xf numFmtId="1" fontId="10" fillId="0" borderId="0" xfId="0" applyNumberFormat="1" applyFont="1"/>
    <xf numFmtId="0" fontId="17" fillId="0" borderId="0" xfId="0" applyFont="1" applyAlignment="1">
      <alignment wrapText="1"/>
    </xf>
    <xf numFmtId="0" fontId="17" fillId="0" borderId="0" xfId="0" applyFont="1"/>
    <xf numFmtId="0" fontId="232" fillId="0" borderId="0" xfId="0" applyFont="1" applyAlignment="1">
      <alignment horizontal="left" vertical="top" wrapText="1"/>
    </xf>
    <xf numFmtId="0" fontId="232" fillId="0" borderId="0" xfId="0" applyFont="1" applyAlignment="1">
      <alignment horizontal="left" vertical="top"/>
    </xf>
    <xf numFmtId="0" fontId="235" fillId="0" borderId="0" xfId="0" applyFont="1" applyAlignment="1">
      <alignment wrapText="1"/>
    </xf>
    <xf numFmtId="0" fontId="238" fillId="0" borderId="0" xfId="0" applyFont="1" applyAlignment="1">
      <alignment wrapText="1"/>
    </xf>
    <xf numFmtId="0" fontId="14" fillId="0" borderId="0" xfId="0" applyFont="1" applyAlignment="1">
      <alignment horizontal="left" wrapText="1"/>
    </xf>
    <xf numFmtId="0" fontId="236" fillId="0" borderId="0" xfId="0" applyFont="1" applyAlignment="1">
      <alignment wrapText="1"/>
    </xf>
    <xf numFmtId="0" fontId="223" fillId="0" borderId="0" xfId="0" applyFont="1" applyAlignment="1">
      <alignment wrapText="1"/>
    </xf>
    <xf numFmtId="0" fontId="15" fillId="0" borderId="0" xfId="0" applyFont="1" applyAlignment="1">
      <alignment horizontal="right"/>
    </xf>
    <xf numFmtId="0" fontId="228" fillId="0" borderId="0" xfId="0" applyFont="1" applyAlignment="1">
      <alignment wrapText="1"/>
    </xf>
    <xf numFmtId="0" fontId="82" fillId="0" borderId="0" xfId="0" applyFont="1" applyAlignment="1">
      <alignment wrapText="1"/>
    </xf>
    <xf numFmtId="182" fontId="223" fillId="0" borderId="0" xfId="0" applyNumberFormat="1" applyFont="1" applyAlignment="1">
      <alignment horizontal="left" wrapText="1"/>
    </xf>
    <xf numFmtId="0" fontId="15" fillId="19" borderId="0" xfId="0" applyFont="1" applyFill="1"/>
    <xf numFmtId="0" fontId="10" fillId="19" borderId="0" xfId="0" applyFont="1" applyFill="1"/>
    <xf numFmtId="0" fontId="125" fillId="0" borderId="0" xfId="0" applyFont="1" applyAlignment="1">
      <alignment wrapText="1"/>
    </xf>
    <xf numFmtId="0" fontId="229" fillId="0" borderId="0" xfId="0" applyFont="1" applyAlignment="1">
      <alignment wrapText="1"/>
    </xf>
    <xf numFmtId="0" fontId="406" fillId="0" borderId="0" xfId="0" applyFont="1" applyAlignment="1">
      <alignment wrapText="1"/>
    </xf>
    <xf numFmtId="0" fontId="239" fillId="0" borderId="0" xfId="0" applyFont="1" applyAlignment="1">
      <alignment wrapText="1"/>
    </xf>
    <xf numFmtId="0" fontId="240" fillId="0" borderId="0" xfId="0" applyFont="1" applyAlignment="1">
      <alignment wrapText="1"/>
    </xf>
    <xf numFmtId="0" fontId="241" fillId="0" borderId="0" xfId="0" applyFont="1" applyAlignment="1">
      <alignment horizontal="left" wrapText="1"/>
    </xf>
    <xf numFmtId="0" fontId="242" fillId="0" borderId="0" xfId="0" applyFont="1" applyAlignment="1">
      <alignment wrapText="1"/>
    </xf>
    <xf numFmtId="0" fontId="243" fillId="0" borderId="0" xfId="0" applyFont="1" applyAlignment="1">
      <alignment horizontal="left" vertical="top" wrapText="1"/>
    </xf>
    <xf numFmtId="0" fontId="224" fillId="0" borderId="174" xfId="0" applyFont="1" applyBorder="1" applyAlignment="1">
      <alignment horizontal="left" wrapText="1"/>
    </xf>
    <xf numFmtId="0" fontId="244" fillId="0" borderId="0" xfId="0" applyFont="1" applyAlignment="1">
      <alignment horizontal="left" wrapText="1"/>
    </xf>
    <xf numFmtId="0" fontId="246" fillId="0" borderId="0" xfId="0" applyFont="1" applyAlignment="1">
      <alignment wrapText="1"/>
    </xf>
    <xf numFmtId="0" fontId="248" fillId="0" borderId="0" xfId="0" applyFont="1" applyAlignment="1">
      <alignment horizontal="left" wrapText="1"/>
    </xf>
    <xf numFmtId="0" fontId="250" fillId="0" borderId="0" xfId="0" applyFont="1" applyAlignment="1">
      <alignment horizontal="left" vertical="top" wrapText="1"/>
    </xf>
    <xf numFmtId="0" fontId="14" fillId="0" borderId="0" xfId="0" applyFont="1" applyAlignment="1">
      <alignment wrapText="1"/>
    </xf>
    <xf numFmtId="0" fontId="251" fillId="0" borderId="0" xfId="0" applyFont="1" applyAlignment="1">
      <alignment wrapText="1"/>
    </xf>
    <xf numFmtId="0" fontId="252" fillId="0" borderId="0" xfId="0" applyFont="1" applyAlignment="1">
      <alignment wrapText="1"/>
    </xf>
    <xf numFmtId="0" fontId="253" fillId="0" borderId="0" xfId="0" applyFont="1" applyAlignment="1">
      <alignment wrapText="1"/>
    </xf>
    <xf numFmtId="0" fontId="254" fillId="0" borderId="0" xfId="0" applyFont="1" applyAlignment="1">
      <alignment horizontal="left" wrapText="1"/>
    </xf>
    <xf numFmtId="0" fontId="255" fillId="0" borderId="0" xfId="0" applyFont="1" applyAlignment="1">
      <alignment wrapText="1"/>
    </xf>
    <xf numFmtId="0" fontId="256" fillId="0" borderId="0" xfId="0" applyFont="1" applyAlignment="1">
      <alignment wrapText="1"/>
    </xf>
    <xf numFmtId="0" fontId="247" fillId="0" borderId="0" xfId="0" applyFont="1" applyAlignment="1">
      <alignment wrapText="1"/>
    </xf>
    <xf numFmtId="0" fontId="257" fillId="0" borderId="0" xfId="0" applyFont="1" applyAlignment="1">
      <alignment horizontal="left" wrapText="1"/>
    </xf>
    <xf numFmtId="0" fontId="258" fillId="0" borderId="0" xfId="0" applyFont="1" applyAlignment="1">
      <alignment wrapText="1"/>
    </xf>
    <xf numFmtId="0" fontId="259" fillId="0" borderId="0" xfId="0" applyFont="1" applyAlignment="1">
      <alignment wrapText="1"/>
    </xf>
    <xf numFmtId="0" fontId="260" fillId="0" borderId="0" xfId="0" applyFont="1" applyAlignment="1">
      <alignment horizontal="left" wrapText="1"/>
    </xf>
    <xf numFmtId="0" fontId="261" fillId="0" borderId="0" xfId="0" applyFont="1" applyAlignment="1">
      <alignment wrapText="1"/>
    </xf>
    <xf numFmtId="181" fontId="223" fillId="0" borderId="0" xfId="0" applyNumberFormat="1" applyFont="1" applyAlignment="1">
      <alignment wrapText="1"/>
    </xf>
    <xf numFmtId="0" fontId="262" fillId="0" borderId="0" xfId="0" applyFont="1" applyAlignment="1">
      <alignment wrapText="1"/>
    </xf>
    <xf numFmtId="0" fontId="3" fillId="0" borderId="0" xfId="0" applyFont="1" applyAlignment="1">
      <alignment horizontal="left" wrapText="1"/>
    </xf>
    <xf numFmtId="0" fontId="249" fillId="0" borderId="0" xfId="0" applyFont="1" applyAlignment="1">
      <alignment horizontal="left"/>
    </xf>
    <xf numFmtId="0" fontId="263" fillId="0" borderId="0" xfId="0" applyFont="1" applyAlignment="1">
      <alignment wrapText="1"/>
    </xf>
    <xf numFmtId="0" fontId="266" fillId="0" borderId="0" xfId="0" applyFont="1" applyAlignment="1">
      <alignment wrapText="1"/>
    </xf>
    <xf numFmtId="0" fontId="264" fillId="0" borderId="0" xfId="0" applyFont="1" applyAlignment="1">
      <alignment wrapText="1"/>
    </xf>
    <xf numFmtId="0" fontId="265" fillId="0" borderId="0" xfId="0" applyFont="1" applyAlignment="1">
      <alignment horizontal="left" wrapText="1"/>
    </xf>
    <xf numFmtId="0" fontId="268" fillId="0" borderId="0" xfId="0" applyFont="1" applyAlignment="1">
      <alignment wrapText="1"/>
    </xf>
    <xf numFmtId="0" fontId="270" fillId="0" borderId="0" xfId="0" applyFont="1" applyAlignment="1">
      <alignment wrapText="1"/>
    </xf>
    <xf numFmtId="0" fontId="271" fillId="0" borderId="0" xfId="0" applyFont="1" applyAlignment="1">
      <alignment wrapText="1"/>
    </xf>
    <xf numFmtId="0" fontId="273" fillId="0" borderId="0" xfId="0" applyFont="1" applyAlignment="1">
      <alignment wrapText="1"/>
    </xf>
    <xf numFmtId="0" fontId="274" fillId="0" borderId="0" xfId="0" applyFont="1" applyAlignment="1">
      <alignment horizontal="right" wrapText="1"/>
    </xf>
    <xf numFmtId="0" fontId="275" fillId="0" borderId="0" xfId="0" applyFont="1" applyAlignment="1">
      <alignment wrapText="1"/>
    </xf>
    <xf numFmtId="0" fontId="276" fillId="0" borderId="0" xfId="0" applyFont="1" applyAlignment="1">
      <alignment wrapText="1"/>
    </xf>
    <xf numFmtId="0" fontId="277" fillId="0" borderId="0" xfId="0" applyFont="1" applyAlignment="1">
      <alignment wrapText="1"/>
    </xf>
    <xf numFmtId="0" fontId="278" fillId="0" borderId="0" xfId="0" applyFont="1" applyAlignment="1">
      <alignment wrapText="1"/>
    </xf>
    <xf numFmtId="0" fontId="279" fillId="0" borderId="0" xfId="0" applyFont="1" applyAlignment="1">
      <alignment wrapText="1"/>
    </xf>
    <xf numFmtId="0" fontId="172" fillId="0" borderId="0" xfId="0" applyFont="1" applyAlignment="1">
      <alignment horizontal="left" vertical="top" wrapText="1"/>
    </xf>
    <xf numFmtId="0" fontId="280" fillId="0" borderId="0" xfId="0" applyFont="1" applyAlignment="1">
      <alignment horizontal="left" vertical="top" wrapText="1"/>
    </xf>
    <xf numFmtId="0" fontId="281" fillId="0" borderId="0" xfId="0" applyFont="1" applyAlignment="1">
      <alignment wrapText="1"/>
    </xf>
    <xf numFmtId="0" fontId="282" fillId="0" borderId="0" xfId="0" applyFont="1" applyAlignment="1">
      <alignment horizontal="left" vertical="top" wrapText="1"/>
    </xf>
    <xf numFmtId="0" fontId="226" fillId="0" borderId="0" xfId="0" applyFont="1" applyAlignment="1">
      <alignment horizontal="left" vertical="top"/>
    </xf>
    <xf numFmtId="0" fontId="264" fillId="0" borderId="0" xfId="0" applyFont="1"/>
    <xf numFmtId="0" fontId="272" fillId="0" borderId="0" xfId="0" applyFont="1" applyAlignment="1">
      <alignment horizontal="center"/>
    </xf>
    <xf numFmtId="0" fontId="224" fillId="0" borderId="0" xfId="0" applyFont="1"/>
    <xf numFmtId="0" fontId="269" fillId="0" borderId="0" xfId="0" applyFont="1"/>
    <xf numFmtId="0" fontId="233" fillId="0" borderId="0" xfId="0" applyFont="1" applyAlignment="1">
      <alignment horizontal="right" vertical="top" wrapText="1"/>
    </xf>
    <xf numFmtId="0" fontId="233" fillId="0" borderId="0" xfId="0" applyFont="1" applyAlignment="1">
      <alignment horizontal="right" vertical="top"/>
    </xf>
    <xf numFmtId="0" fontId="237" fillId="0" borderId="0" xfId="0" applyFont="1"/>
    <xf numFmtId="0" fontId="238" fillId="0" borderId="0" xfId="0" applyFont="1"/>
    <xf numFmtId="0" fontId="239" fillId="0" borderId="0" xfId="0" applyFont="1"/>
    <xf numFmtId="0" fontId="125" fillId="0" borderId="174" xfId="0" applyFont="1" applyBorder="1" applyAlignment="1">
      <alignment wrapText="1"/>
    </xf>
    <xf numFmtId="0" fontId="14" fillId="0" borderId="174" xfId="0" applyFont="1" applyBorder="1" applyAlignment="1">
      <alignment horizontal="left" wrapText="1"/>
    </xf>
    <xf numFmtId="0" fontId="224" fillId="0" borderId="174" xfId="0" applyFont="1" applyBorder="1" applyAlignment="1">
      <alignment wrapText="1"/>
    </xf>
    <xf numFmtId="0" fontId="223" fillId="0" borderId="0" xfId="0" applyFont="1"/>
    <xf numFmtId="0" fontId="68" fillId="0" borderId="0" xfId="0" applyFont="1"/>
    <xf numFmtId="0" fontId="237" fillId="0" borderId="175" xfId="0" applyFont="1" applyBorder="1" applyAlignment="1">
      <alignment wrapText="1"/>
    </xf>
    <xf numFmtId="0" fontId="429" fillId="75" borderId="175" xfId="0" applyFont="1" applyFill="1" applyBorder="1" applyAlignment="1">
      <alignment wrapText="1"/>
    </xf>
    <xf numFmtId="0" fontId="201" fillId="0" borderId="175" xfId="0" applyFont="1" applyBorder="1" applyAlignment="1">
      <alignment wrapText="1"/>
    </xf>
    <xf numFmtId="0" fontId="229" fillId="0" borderId="0" xfId="0" applyFont="1"/>
    <xf numFmtId="0" fontId="230" fillId="0" borderId="0" xfId="0" applyFont="1"/>
    <xf numFmtId="0" fontId="195" fillId="2" borderId="0" xfId="0" applyFont="1" applyFill="1"/>
    <xf numFmtId="0" fontId="13" fillId="0" borderId="0" xfId="0" applyFont="1" applyAlignment="1">
      <alignment horizontal="left"/>
    </xf>
    <xf numFmtId="0" fontId="196" fillId="0" borderId="0" xfId="0" applyFont="1" applyAlignment="1">
      <alignment horizontal="left"/>
    </xf>
    <xf numFmtId="0" fontId="10" fillId="3" borderId="0" xfId="0" applyFont="1" applyFill="1" applyAlignment="1">
      <alignment horizontal="left"/>
    </xf>
    <xf numFmtId="173" fontId="10" fillId="0" borderId="0" xfId="0" applyNumberFormat="1" applyFont="1" applyAlignment="1">
      <alignment horizontal="left"/>
    </xf>
    <xf numFmtId="2" fontId="10" fillId="0" borderId="0" xfId="0" applyNumberFormat="1" applyFont="1" applyAlignment="1">
      <alignment horizontal="left"/>
    </xf>
    <xf numFmtId="0" fontId="204" fillId="2" borderId="0" xfId="0" applyFont="1" applyFill="1" applyAlignment="1">
      <alignment horizontal="left"/>
    </xf>
    <xf numFmtId="0" fontId="197" fillId="0" borderId="0" xfId="0" applyFont="1" applyAlignment="1">
      <alignment horizontal="left"/>
    </xf>
    <xf numFmtId="0" fontId="195" fillId="3" borderId="0" xfId="0" applyFont="1" applyFill="1"/>
    <xf numFmtId="0" fontId="189" fillId="0" borderId="0" xfId="0" applyFont="1"/>
    <xf numFmtId="175" fontId="172" fillId="15" borderId="0" xfId="0" applyNumberFormat="1" applyFont="1" applyFill="1" applyAlignment="1">
      <alignment vertical="top"/>
    </xf>
    <xf numFmtId="0" fontId="172" fillId="15" borderId="0" xfId="0" applyFont="1" applyFill="1" applyAlignment="1">
      <alignment vertical="top"/>
    </xf>
    <xf numFmtId="0" fontId="10" fillId="0" borderId="0" xfId="0" quotePrefix="1" applyFont="1"/>
    <xf numFmtId="0" fontId="196" fillId="2" borderId="0" xfId="0" applyFont="1" applyFill="1" applyAlignment="1">
      <alignment horizontal="left"/>
    </xf>
    <xf numFmtId="0" fontId="201" fillId="0" borderId="0" xfId="0" applyFont="1"/>
    <xf numFmtId="0" fontId="13" fillId="0" borderId="0" xfId="0" quotePrefix="1" applyFont="1"/>
    <xf numFmtId="0" fontId="198" fillId="15" borderId="0" xfId="0" quotePrefix="1" applyFont="1" applyFill="1" applyAlignment="1">
      <alignment vertical="top"/>
    </xf>
    <xf numFmtId="0" fontId="197" fillId="2" borderId="0" xfId="0" applyFont="1" applyFill="1" applyAlignment="1">
      <alignment horizontal="left"/>
    </xf>
    <xf numFmtId="0" fontId="198" fillId="2" borderId="0" xfId="0" quotePrefix="1" applyFont="1" applyFill="1" applyAlignment="1">
      <alignment vertical="top"/>
    </xf>
    <xf numFmtId="0" fontId="172" fillId="3" borderId="0" xfId="0" quotePrefix="1" applyFont="1" applyFill="1" applyAlignment="1">
      <alignment vertical="top"/>
    </xf>
    <xf numFmtId="166" fontId="172" fillId="2" borderId="0" xfId="0" applyNumberFormat="1" applyFont="1" applyFill="1" applyAlignment="1">
      <alignment vertical="top"/>
    </xf>
    <xf numFmtId="0" fontId="198" fillId="3" borderId="0" xfId="0" quotePrefix="1" applyFont="1" applyFill="1" applyAlignment="1">
      <alignment vertical="top"/>
    </xf>
    <xf numFmtId="0" fontId="201" fillId="15" borderId="0" xfId="0" quotePrefix="1" applyFont="1" applyFill="1" applyAlignment="1">
      <alignment horizontal="right"/>
    </xf>
    <xf numFmtId="0" fontId="10" fillId="15" borderId="0" xfId="0" quotePrefix="1" applyFont="1" applyFill="1"/>
    <xf numFmtId="166" fontId="10" fillId="15" borderId="0" xfId="0" applyNumberFormat="1" applyFont="1" applyFill="1"/>
    <xf numFmtId="0" fontId="189" fillId="2" borderId="11" xfId="0" applyFont="1" applyFill="1" applyBorder="1"/>
    <xf numFmtId="0" fontId="189" fillId="3" borderId="0" xfId="0" applyFont="1" applyFill="1"/>
    <xf numFmtId="49" fontId="10" fillId="0" borderId="0" xfId="0" applyNumberFormat="1" applyFont="1" applyAlignment="1">
      <alignment horizontal="left"/>
    </xf>
    <xf numFmtId="0" fontId="202" fillId="15" borderId="0" xfId="0" applyFont="1" applyFill="1" applyAlignment="1">
      <alignment horizontal="right"/>
    </xf>
    <xf numFmtId="0" fontId="194" fillId="3" borderId="0" xfId="0" applyFont="1" applyFill="1"/>
    <xf numFmtId="0" fontId="202" fillId="2" borderId="0" xfId="0" quotePrefix="1" applyFont="1" applyFill="1" applyAlignment="1">
      <alignment horizontal="right"/>
    </xf>
    <xf numFmtId="0" fontId="202" fillId="3" borderId="0" xfId="0" quotePrefix="1" applyFont="1" applyFill="1" applyAlignment="1">
      <alignment horizontal="right"/>
    </xf>
    <xf numFmtId="0" fontId="202" fillId="15" borderId="0" xfId="0" quotePrefix="1" applyFont="1" applyFill="1" applyAlignment="1">
      <alignment horizontal="right"/>
    </xf>
    <xf numFmtId="0" fontId="95" fillId="15" borderId="0" xfId="0" applyFont="1" applyFill="1" applyAlignment="1">
      <alignment horizontal="right"/>
    </xf>
    <xf numFmtId="0" fontId="95" fillId="15" borderId="0" xfId="0" quotePrefix="1" applyFont="1" applyFill="1" applyAlignment="1">
      <alignment horizontal="right"/>
    </xf>
    <xf numFmtId="2" fontId="95" fillId="15" borderId="0" xfId="0" applyNumberFormat="1" applyFont="1" applyFill="1" applyAlignment="1">
      <alignment horizontal="right"/>
    </xf>
    <xf numFmtId="0" fontId="95" fillId="3" borderId="0" xfId="0" quotePrefix="1" applyFont="1" applyFill="1" applyAlignment="1">
      <alignment horizontal="right"/>
    </xf>
    <xf numFmtId="173" fontId="95" fillId="15" borderId="0" xfId="0" applyNumberFormat="1" applyFont="1" applyFill="1" applyAlignment="1">
      <alignment horizontal="right"/>
    </xf>
    <xf numFmtId="0" fontId="9" fillId="15" borderId="0" xfId="0" applyFont="1" applyFill="1"/>
    <xf numFmtId="173" fontId="190" fillId="15" borderId="0" xfId="0" applyNumberFormat="1" applyFont="1" applyFill="1" applyAlignment="1">
      <alignment horizontal="right"/>
    </xf>
    <xf numFmtId="0" fontId="190" fillId="15" borderId="0" xfId="0" applyFont="1" applyFill="1" applyAlignment="1">
      <alignment horizontal="right"/>
    </xf>
    <xf numFmtId="3" fontId="9" fillId="15" borderId="0" xfId="0" applyNumberFormat="1" applyFont="1" applyFill="1" applyAlignment="1">
      <alignment horizontal="right"/>
    </xf>
    <xf numFmtId="0" fontId="9" fillId="15" borderId="0" xfId="0" applyFont="1" applyFill="1" applyAlignment="1">
      <alignment horizontal="right"/>
    </xf>
    <xf numFmtId="0" fontId="192" fillId="2" borderId="0" xfId="0" applyFont="1" applyFill="1" applyAlignment="1">
      <alignment vertical="top"/>
    </xf>
    <xf numFmtId="175" fontId="192" fillId="2" borderId="0" xfId="0" applyNumberFormat="1" applyFont="1" applyFill="1" applyAlignment="1">
      <alignment vertical="top"/>
    </xf>
    <xf numFmtId="166" fontId="9" fillId="15" borderId="0" xfId="0" applyNumberFormat="1" applyFont="1" applyFill="1" applyAlignment="1">
      <alignment horizontal="right"/>
    </xf>
    <xf numFmtId="0" fontId="205" fillId="0" borderId="0" xfId="0" applyFont="1"/>
    <xf numFmtId="0" fontId="9" fillId="3" borderId="0" xfId="0" applyFont="1" applyFill="1" applyAlignment="1">
      <alignment horizontal="right"/>
    </xf>
    <xf numFmtId="0" fontId="194" fillId="3" borderId="11" xfId="0" applyFont="1" applyFill="1" applyBorder="1"/>
    <xf numFmtId="166" fontId="9" fillId="3" borderId="0" xfId="0" applyNumberFormat="1" applyFont="1" applyFill="1" applyAlignment="1">
      <alignment horizontal="right"/>
    </xf>
    <xf numFmtId="0" fontId="192" fillId="2" borderId="0" xfId="0" quotePrefix="1" applyFont="1" applyFill="1" applyAlignment="1">
      <alignment vertical="top"/>
    </xf>
    <xf numFmtId="4" fontId="10" fillId="15" borderId="0" xfId="0" applyNumberFormat="1" applyFont="1" applyFill="1"/>
    <xf numFmtId="0" fontId="9" fillId="15" borderId="0" xfId="0" applyFont="1" applyFill="1" applyAlignment="1">
      <alignment horizontal="center"/>
    </xf>
    <xf numFmtId="0" fontId="9" fillId="15" borderId="2" xfId="0" applyFont="1" applyFill="1" applyBorder="1" applyAlignment="1">
      <alignment horizontal="center"/>
    </xf>
    <xf numFmtId="0" fontId="10" fillId="15" borderId="2" xfId="0" applyFont="1" applyFill="1" applyBorder="1"/>
    <xf numFmtId="4" fontId="10" fillId="15" borderId="2" xfId="0" applyNumberFormat="1" applyFont="1" applyFill="1" applyBorder="1"/>
    <xf numFmtId="0" fontId="10" fillId="15" borderId="0" xfId="0" applyFont="1" applyFill="1" applyAlignment="1">
      <alignment horizontal="right"/>
    </xf>
    <xf numFmtId="4" fontId="9" fillId="15" borderId="0" xfId="0" applyNumberFormat="1" applyFont="1" applyFill="1"/>
    <xf numFmtId="16" fontId="10" fillId="15" borderId="0" xfId="0" applyNumberFormat="1" applyFont="1" applyFill="1"/>
    <xf numFmtId="0" fontId="416" fillId="0" borderId="0" xfId="0" applyFont="1"/>
    <xf numFmtId="44" fontId="9" fillId="0" borderId="0" xfId="2" applyFont="1" applyAlignment="1">
      <alignment vertical="center" wrapText="1"/>
    </xf>
    <xf numFmtId="9" fontId="10" fillId="0" borderId="0" xfId="3" applyFont="1" applyAlignment="1">
      <alignment wrapText="1"/>
    </xf>
    <xf numFmtId="9" fontId="10" fillId="0" borderId="0" xfId="3" applyFont="1" applyAlignment="1"/>
    <xf numFmtId="0" fontId="431" fillId="0" borderId="0" xfId="0" applyFont="1"/>
    <xf numFmtId="16" fontId="9" fillId="0" borderId="0" xfId="0" applyNumberFormat="1" applyFont="1" applyAlignment="1">
      <alignment horizontal="left" wrapText="1"/>
    </xf>
    <xf numFmtId="14" fontId="9" fillId="0" borderId="0" xfId="0" quotePrefix="1" applyNumberFormat="1" applyFont="1" applyAlignment="1">
      <alignment horizontal="left" wrapText="1"/>
    </xf>
    <xf numFmtId="9" fontId="10" fillId="0" borderId="6" xfId="3" applyFont="1" applyBorder="1" applyAlignment="1">
      <alignment wrapText="1"/>
    </xf>
    <xf numFmtId="0" fontId="0" fillId="0" borderId="176" xfId="0" applyBorder="1" applyAlignment="1">
      <alignment wrapText="1"/>
    </xf>
    <xf numFmtId="3" fontId="7" fillId="0" borderId="0" xfId="0" applyNumberFormat="1" applyFont="1"/>
    <xf numFmtId="1" fontId="14" fillId="0" borderId="0" xfId="4" applyNumberFormat="1" applyFont="1" applyBorder="1" applyAlignment="1">
      <alignment horizontal="right" vertical="top" wrapText="1"/>
    </xf>
    <xf numFmtId="0" fontId="435" fillId="0" borderId="0" xfId="0" applyFont="1" applyAlignment="1">
      <alignment wrapText="1"/>
    </xf>
    <xf numFmtId="0" fontId="404" fillId="0" borderId="0" xfId="0" applyFont="1" applyAlignment="1">
      <alignment wrapText="1"/>
    </xf>
    <xf numFmtId="4" fontId="0" fillId="25" borderId="0" xfId="0" applyNumberFormat="1" applyFill="1"/>
    <xf numFmtId="4" fontId="22" fillId="28" borderId="0" xfId="0" applyNumberFormat="1" applyFont="1" applyFill="1"/>
    <xf numFmtId="183" fontId="10" fillId="27" borderId="0" xfId="0" applyNumberFormat="1" applyFont="1" applyFill="1"/>
    <xf numFmtId="0" fontId="10" fillId="28" borderId="41" xfId="0" applyFont="1" applyFill="1" applyBorder="1"/>
    <xf numFmtId="4" fontId="0" fillId="25" borderId="43" xfId="0" applyNumberFormat="1" applyFill="1" applyBorder="1"/>
    <xf numFmtId="4" fontId="0" fillId="2" borderId="43" xfId="0" applyNumberFormat="1" applyFill="1" applyBorder="1"/>
    <xf numFmtId="183" fontId="10" fillId="27" borderId="42" xfId="0" applyNumberFormat="1" applyFont="1" applyFill="1" applyBorder="1"/>
    <xf numFmtId="0" fontId="9" fillId="3" borderId="177" xfId="0" applyFont="1" applyFill="1" applyBorder="1" applyAlignment="1">
      <alignment horizontal="center" wrapText="1"/>
    </xf>
    <xf numFmtId="0" fontId="190" fillId="74" borderId="177" xfId="0" applyFont="1" applyFill="1" applyBorder="1" applyAlignment="1">
      <alignment horizontal="center" wrapText="1"/>
    </xf>
    <xf numFmtId="0" fontId="9" fillId="3" borderId="177" xfId="0" quotePrefix="1" applyFont="1" applyFill="1" applyBorder="1" applyAlignment="1">
      <alignment horizontal="center" wrapText="1"/>
    </xf>
    <xf numFmtId="165" fontId="9" fillId="3" borderId="177" xfId="0" applyNumberFormat="1" applyFont="1" applyFill="1" applyBorder="1" applyAlignment="1">
      <alignment horizontal="center" wrapText="1"/>
    </xf>
    <xf numFmtId="165" fontId="9" fillId="3" borderId="177" xfId="0" applyNumberFormat="1" applyFont="1" applyFill="1" applyBorder="1" applyAlignment="1">
      <alignment horizontal="right" wrapText="1"/>
    </xf>
    <xf numFmtId="0" fontId="9" fillId="3" borderId="177" xfId="0" applyFont="1" applyFill="1" applyBorder="1" applyAlignment="1">
      <alignment horizontal="right" wrapText="1"/>
    </xf>
    <xf numFmtId="0" fontId="10" fillId="3" borderId="177" xfId="0" applyFont="1" applyFill="1" applyBorder="1" applyAlignment="1">
      <alignment horizontal="right" wrapText="1"/>
    </xf>
    <xf numFmtId="0" fontId="10" fillId="3" borderId="177" xfId="0" applyFont="1" applyFill="1" applyBorder="1" applyAlignment="1">
      <alignment wrapText="1"/>
    </xf>
    <xf numFmtId="0" fontId="9" fillId="3" borderId="177" xfId="0" applyFont="1" applyFill="1" applyBorder="1" applyAlignment="1">
      <alignment wrapText="1"/>
    </xf>
    <xf numFmtId="0" fontId="0" fillId="0" borderId="177" xfId="0" applyBorder="1" applyAlignment="1">
      <alignment wrapText="1"/>
    </xf>
    <xf numFmtId="0" fontId="27" fillId="3" borderId="177" xfId="0" applyFont="1" applyFill="1" applyBorder="1" applyAlignment="1">
      <alignment wrapText="1"/>
    </xf>
    <xf numFmtId="0" fontId="12" fillId="3" borderId="177" xfId="0" applyFont="1" applyFill="1" applyBorder="1" applyAlignment="1">
      <alignment wrapText="1"/>
    </xf>
    <xf numFmtId="0" fontId="12" fillId="3" borderId="177" xfId="0" applyFont="1" applyFill="1" applyBorder="1" applyAlignment="1">
      <alignment horizontal="center" wrapText="1"/>
    </xf>
    <xf numFmtId="0" fontId="0" fillId="0" borderId="178" xfId="0" applyBorder="1" applyAlignment="1">
      <alignment wrapText="1"/>
    </xf>
    <xf numFmtId="3" fontId="190" fillId="0" borderId="178" xfId="0" applyNumberFormat="1" applyFont="1" applyBorder="1" applyAlignment="1">
      <alignment wrapText="1"/>
    </xf>
    <xf numFmtId="4" fontId="190" fillId="3" borderId="178" xfId="0" applyNumberFormat="1" applyFont="1" applyFill="1" applyBorder="1" applyAlignment="1">
      <alignment wrapText="1"/>
    </xf>
    <xf numFmtId="4" fontId="190" fillId="0" borderId="178" xfId="0" applyNumberFormat="1" applyFont="1" applyBorder="1" applyAlignment="1">
      <alignment wrapText="1"/>
    </xf>
    <xf numFmtId="4" fontId="9" fillId="0" borderId="178" xfId="0" applyNumberFormat="1" applyFont="1" applyBorder="1" applyAlignment="1">
      <alignment wrapText="1"/>
    </xf>
    <xf numFmtId="0" fontId="9" fillId="0" borderId="178" xfId="0" applyFont="1" applyBorder="1" applyAlignment="1">
      <alignment wrapText="1"/>
    </xf>
    <xf numFmtId="0" fontId="190" fillId="0" borderId="178" xfId="0" applyFont="1" applyBorder="1" applyAlignment="1">
      <alignment horizontal="right" wrapText="1"/>
    </xf>
    <xf numFmtId="0" fontId="9" fillId="0" borderId="178" xfId="0" applyFont="1" applyBorder="1" applyAlignment="1">
      <alignment horizontal="right" wrapText="1"/>
    </xf>
    <xf numFmtId="0" fontId="10" fillId="0" borderId="178" xfId="0" applyFont="1" applyBorder="1" applyAlignment="1">
      <alignment wrapText="1"/>
    </xf>
    <xf numFmtId="3" fontId="10" fillId="0" borderId="178" xfId="0" applyNumberFormat="1" applyFont="1" applyBorder="1" applyAlignment="1">
      <alignment wrapText="1"/>
    </xf>
    <xf numFmtId="179" fontId="10" fillId="0" borderId="178" xfId="0" applyNumberFormat="1" applyFont="1" applyBorder="1" applyAlignment="1">
      <alignment wrapText="1"/>
    </xf>
    <xf numFmtId="0" fontId="12" fillId="0" borderId="178" xfId="0" applyFont="1" applyBorder="1" applyAlignment="1">
      <alignment wrapText="1"/>
    </xf>
    <xf numFmtId="0" fontId="12" fillId="0" borderId="178" xfId="0" applyFont="1" applyBorder="1" applyAlignment="1">
      <alignment horizontal="center" wrapText="1"/>
    </xf>
    <xf numFmtId="0" fontId="190" fillId="74" borderId="178" xfId="0" applyFont="1" applyFill="1" applyBorder="1" applyAlignment="1">
      <alignment wrapText="1"/>
    </xf>
    <xf numFmtId="0" fontId="190" fillId="2" borderId="178" xfId="0" applyFont="1" applyFill="1" applyBorder="1" applyAlignment="1">
      <alignment horizontal="right" wrapText="1"/>
    </xf>
    <xf numFmtId="0" fontId="9" fillId="2" borderId="178" xfId="0" applyFont="1" applyFill="1" applyBorder="1" applyAlignment="1">
      <alignment horizontal="right" wrapText="1"/>
    </xf>
    <xf numFmtId="0" fontId="28" fillId="0" borderId="178" xfId="0" applyFont="1" applyBorder="1" applyAlignment="1">
      <alignment wrapText="1"/>
    </xf>
    <xf numFmtId="0" fontId="12" fillId="0" borderId="178" xfId="0" applyFont="1" applyBorder="1" applyAlignment="1">
      <alignment horizontal="right" wrapText="1"/>
    </xf>
    <xf numFmtId="0" fontId="0" fillId="0" borderId="178" xfId="0" applyBorder="1"/>
    <xf numFmtId="4" fontId="190" fillId="2" borderId="178" xfId="0" applyNumberFormat="1" applyFont="1" applyFill="1" applyBorder="1" applyAlignment="1">
      <alignment wrapText="1"/>
    </xf>
    <xf numFmtId="0" fontId="190" fillId="0" borderId="178" xfId="0" applyFont="1" applyBorder="1" applyAlignment="1">
      <alignment wrapText="1"/>
    </xf>
    <xf numFmtId="173" fontId="9" fillId="0" borderId="178" xfId="0" applyNumberFormat="1" applyFont="1" applyBorder="1" applyAlignment="1">
      <alignment horizontal="right" wrapText="1"/>
    </xf>
    <xf numFmtId="0" fontId="190" fillId="2" borderId="178" xfId="0" applyFont="1" applyFill="1" applyBorder="1" applyAlignment="1">
      <alignment horizontal="right"/>
    </xf>
    <xf numFmtId="0" fontId="9" fillId="2" borderId="178" xfId="0" applyFont="1" applyFill="1" applyBorder="1" applyAlignment="1">
      <alignment horizontal="right"/>
    </xf>
    <xf numFmtId="0" fontId="10" fillId="0" borderId="178" xfId="0" applyFont="1" applyBorder="1"/>
    <xf numFmtId="0" fontId="28" fillId="0" borderId="178" xfId="0" applyFont="1" applyBorder="1"/>
    <xf numFmtId="0" fontId="12" fillId="0" borderId="178" xfId="0" applyFont="1" applyBorder="1" applyAlignment="1">
      <alignment horizontal="right"/>
    </xf>
    <xf numFmtId="0" fontId="12" fillId="0" borderId="178" xfId="0" applyFont="1" applyBorder="1" applyAlignment="1">
      <alignment horizontal="center"/>
    </xf>
    <xf numFmtId="0" fontId="12" fillId="0" borderId="178" xfId="0" applyFont="1" applyBorder="1"/>
    <xf numFmtId="0" fontId="0" fillId="74" borderId="178" xfId="0" applyFill="1" applyBorder="1" applyAlignment="1">
      <alignment wrapText="1"/>
    </xf>
    <xf numFmtId="4" fontId="190" fillId="3" borderId="178" xfId="0" applyNumberFormat="1" applyFont="1" applyFill="1" applyBorder="1" applyAlignment="1">
      <alignment horizontal="right" wrapText="1"/>
    </xf>
    <xf numFmtId="0" fontId="201" fillId="0" borderId="178" xfId="0" applyFont="1" applyBorder="1" applyAlignment="1">
      <alignment wrapText="1"/>
    </xf>
    <xf numFmtId="0" fontId="0" fillId="0" borderId="179" xfId="0" applyBorder="1"/>
    <xf numFmtId="175" fontId="172" fillId="2" borderId="179" xfId="0" applyNumberFormat="1" applyFont="1" applyFill="1" applyBorder="1" applyAlignment="1">
      <alignment vertical="top"/>
    </xf>
    <xf numFmtId="0" fontId="9" fillId="2" borderId="179" xfId="0" applyFont="1" applyFill="1" applyBorder="1" applyAlignment="1">
      <alignment horizontal="right"/>
    </xf>
    <xf numFmtId="0" fontId="10" fillId="2" borderId="179" xfId="0" applyFont="1" applyFill="1" applyBorder="1"/>
    <xf numFmtId="0" fontId="10" fillId="2" borderId="179" xfId="0" applyFont="1" applyFill="1" applyBorder="1" applyAlignment="1">
      <alignment horizontal="right"/>
    </xf>
    <xf numFmtId="0" fontId="28" fillId="2" borderId="179" xfId="0" applyFont="1" applyFill="1" applyBorder="1"/>
    <xf numFmtId="0" fontId="12" fillId="2" borderId="179" xfId="0" applyFont="1" applyFill="1" applyBorder="1" applyAlignment="1">
      <alignment horizontal="right"/>
    </xf>
    <xf numFmtId="0" fontId="12" fillId="2" borderId="179" xfId="0" applyFont="1" applyFill="1" applyBorder="1" applyAlignment="1">
      <alignment horizontal="center"/>
    </xf>
    <xf numFmtId="0" fontId="12" fillId="2" borderId="179" xfId="0" applyFont="1" applyFill="1" applyBorder="1"/>
    <xf numFmtId="0" fontId="190" fillId="74" borderId="177" xfId="0" applyFont="1" applyFill="1" applyBorder="1" applyAlignment="1">
      <alignment wrapText="1"/>
    </xf>
    <xf numFmtId="4" fontId="190" fillId="3" borderId="177" xfId="0" applyNumberFormat="1" applyFont="1" applyFill="1" applyBorder="1" applyAlignment="1">
      <alignment wrapText="1"/>
    </xf>
    <xf numFmtId="0" fontId="190" fillId="74" borderId="179" xfId="0" applyFont="1" applyFill="1" applyBorder="1" applyAlignment="1">
      <alignment wrapText="1"/>
    </xf>
    <xf numFmtId="0" fontId="190" fillId="3" borderId="179" xfId="0" applyFont="1" applyFill="1" applyBorder="1" applyAlignment="1">
      <alignment horizontal="right" wrapText="1"/>
    </xf>
    <xf numFmtId="3" fontId="201" fillId="0" borderId="0" xfId="0" applyNumberFormat="1" applyFont="1"/>
    <xf numFmtId="192" fontId="0" fillId="0" borderId="0" xfId="0" applyNumberFormat="1" applyAlignment="1">
      <alignment wrapText="1"/>
    </xf>
    <xf numFmtId="192" fontId="12" fillId="0" borderId="0" xfId="0" applyNumberFormat="1" applyFont="1" applyAlignment="1">
      <alignment wrapText="1"/>
    </xf>
    <xf numFmtId="192" fontId="10" fillId="0" borderId="0" xfId="0" applyNumberFormat="1" applyFont="1" applyAlignment="1">
      <alignment wrapText="1"/>
    </xf>
    <xf numFmtId="3" fontId="7" fillId="0" borderId="0" xfId="0" applyNumberFormat="1" applyFont="1" applyAlignment="1">
      <alignment wrapText="1"/>
    </xf>
    <xf numFmtId="0" fontId="10" fillId="0" borderId="180" xfId="0" applyFont="1" applyBorder="1" applyAlignment="1">
      <alignment wrapText="1"/>
    </xf>
    <xf numFmtId="193" fontId="10" fillId="0" borderId="0" xfId="4" applyNumberFormat="1" applyFont="1" applyAlignment="1">
      <alignment horizontal="left" wrapText="1"/>
    </xf>
    <xf numFmtId="4" fontId="0" fillId="0" borderId="0" xfId="0" applyNumberFormat="1" applyAlignment="1">
      <alignment wrapText="1"/>
    </xf>
    <xf numFmtId="0" fontId="125" fillId="3" borderId="0" xfId="0" applyFont="1" applyFill="1"/>
    <xf numFmtId="0" fontId="13" fillId="17" borderId="0" xfId="0" applyFont="1" applyFill="1"/>
    <xf numFmtId="44" fontId="13" fillId="17" borderId="0" xfId="0" applyNumberFormat="1" applyFont="1" applyFill="1"/>
    <xf numFmtId="171" fontId="13" fillId="17" borderId="0" xfId="0" applyNumberFormat="1" applyFont="1" applyFill="1"/>
    <xf numFmtId="14" fontId="0" fillId="0" borderId="0" xfId="0" applyNumberFormat="1"/>
    <xf numFmtId="0" fontId="10" fillId="17" borderId="0" xfId="0" applyFont="1" applyFill="1"/>
    <xf numFmtId="14" fontId="10" fillId="17" borderId="0" xfId="0" applyNumberFormat="1" applyFont="1" applyFill="1"/>
    <xf numFmtId="0" fontId="437" fillId="0" borderId="0" xfId="0" applyFont="1" applyAlignment="1">
      <alignment vertical="top" wrapText="1"/>
    </xf>
    <xf numFmtId="43" fontId="201" fillId="0" borderId="181" xfId="4" applyFont="1" applyBorder="1"/>
    <xf numFmtId="3" fontId="7" fillId="0" borderId="183" xfId="0" applyNumberFormat="1" applyFont="1" applyBorder="1"/>
    <xf numFmtId="0" fontId="438" fillId="0" borderId="0" xfId="0" applyFont="1" applyAlignment="1">
      <alignment wrapText="1"/>
    </xf>
    <xf numFmtId="16" fontId="0" fillId="0" borderId="0" xfId="0" applyNumberFormat="1" applyAlignment="1">
      <alignment horizontal="left" wrapText="1"/>
    </xf>
    <xf numFmtId="4" fontId="28" fillId="0" borderId="0" xfId="0" quotePrefix="1" applyNumberFormat="1" applyFont="1" applyAlignment="1">
      <alignment horizontal="right" wrapText="1"/>
    </xf>
    <xf numFmtId="194" fontId="315" fillId="0" borderId="0" xfId="3" applyNumberFormat="1" applyFont="1" applyAlignment="1">
      <alignment wrapText="1"/>
    </xf>
    <xf numFmtId="194" fontId="315" fillId="0" borderId="0" xfId="3" applyNumberFormat="1" applyFont="1" applyAlignment="1"/>
    <xf numFmtId="194" fontId="69" fillId="0" borderId="0" xfId="0" applyNumberFormat="1" applyFont="1" applyAlignment="1">
      <alignment wrapText="1"/>
    </xf>
    <xf numFmtId="194" fontId="66" fillId="2" borderId="0" xfId="0" applyNumberFormat="1" applyFont="1" applyFill="1" applyAlignment="1">
      <alignment wrapText="1"/>
    </xf>
    <xf numFmtId="194" fontId="10" fillId="0" borderId="0" xfId="0" applyNumberFormat="1" applyFont="1"/>
    <xf numFmtId="194" fontId="10" fillId="0" borderId="0" xfId="0" applyNumberFormat="1" applyFont="1" applyAlignment="1">
      <alignment wrapText="1"/>
    </xf>
    <xf numFmtId="194" fontId="69" fillId="0" borderId="0" xfId="0" applyNumberFormat="1" applyFont="1"/>
    <xf numFmtId="194" fontId="201" fillId="0" borderId="0" xfId="0" applyNumberFormat="1" applyFont="1" applyAlignment="1">
      <alignment wrapText="1"/>
    </xf>
    <xf numFmtId="194" fontId="0" fillId="0" borderId="0" xfId="0" applyNumberFormat="1"/>
    <xf numFmtId="194" fontId="1" fillId="0" borderId="0" xfId="0" applyNumberFormat="1" applyFont="1" applyAlignment="1">
      <alignment wrapText="1"/>
    </xf>
    <xf numFmtId="194" fontId="71" fillId="9" borderId="0" xfId="0" applyNumberFormat="1" applyFont="1" applyFill="1" applyAlignment="1">
      <alignment horizontal="left" wrapText="1"/>
    </xf>
    <xf numFmtId="194" fontId="439" fillId="0" borderId="0" xfId="0" quotePrefix="1" applyNumberFormat="1" applyFont="1" applyAlignment="1">
      <alignment wrapText="1"/>
    </xf>
    <xf numFmtId="2" fontId="0" fillId="0" borderId="0" xfId="0" applyNumberFormat="1" applyAlignment="1">
      <alignment wrapText="1"/>
    </xf>
    <xf numFmtId="2" fontId="0" fillId="0" borderId="0" xfId="3" applyNumberFormat="1" applyFont="1" applyAlignment="1">
      <alignment wrapText="1"/>
    </xf>
    <xf numFmtId="0" fontId="201" fillId="0" borderId="0" xfId="0" quotePrefix="1" applyFont="1" applyAlignment="1">
      <alignment wrapText="1"/>
    </xf>
    <xf numFmtId="9" fontId="10" fillId="0" borderId="0" xfId="3" applyFont="1"/>
    <xf numFmtId="193" fontId="9" fillId="0" borderId="0" xfId="0" applyNumberFormat="1" applyFont="1" applyAlignment="1">
      <alignment horizontal="left" wrapText="1"/>
    </xf>
    <xf numFmtId="8" fontId="0" fillId="0" borderId="0" xfId="0" applyNumberFormat="1"/>
    <xf numFmtId="6" fontId="0" fillId="0" borderId="0" xfId="0" applyNumberFormat="1"/>
    <xf numFmtId="9" fontId="18" fillId="0" borderId="0" xfId="3" applyFont="1"/>
    <xf numFmtId="0" fontId="10" fillId="0" borderId="186" xfId="0" applyFont="1" applyBorder="1" applyAlignment="1">
      <alignment wrapText="1"/>
    </xf>
    <xf numFmtId="0" fontId="10" fillId="0" borderId="188" xfId="0" applyFont="1" applyBorder="1" applyAlignment="1">
      <alignment wrapText="1"/>
    </xf>
    <xf numFmtId="0" fontId="423" fillId="0" borderId="0" xfId="1" applyAlignment="1">
      <alignment horizontal="left" wrapText="1"/>
    </xf>
    <xf numFmtId="0" fontId="190" fillId="0" borderId="0" xfId="0" applyFont="1"/>
    <xf numFmtId="16" fontId="0" fillId="0" borderId="0" xfId="0" applyNumberFormat="1"/>
    <xf numFmtId="0" fontId="190" fillId="74" borderId="177" xfId="0" quotePrefix="1" applyFont="1" applyFill="1" applyBorder="1" applyAlignment="1">
      <alignment horizontal="center" wrapText="1"/>
    </xf>
    <xf numFmtId="4" fontId="190" fillId="74" borderId="178" xfId="0" applyNumberFormat="1" applyFont="1" applyFill="1" applyBorder="1" applyAlignment="1">
      <alignment wrapText="1"/>
    </xf>
    <xf numFmtId="0" fontId="440" fillId="0" borderId="0" xfId="0" applyFont="1" applyAlignment="1">
      <alignment wrapText="1"/>
    </xf>
    <xf numFmtId="44" fontId="13" fillId="0" borderId="0" xfId="0" applyNumberFormat="1" applyFont="1" applyAlignment="1">
      <alignment wrapText="1"/>
    </xf>
    <xf numFmtId="14" fontId="440" fillId="0" borderId="0" xfId="0" applyNumberFormat="1" applyFont="1" applyAlignment="1">
      <alignment wrapText="1"/>
    </xf>
    <xf numFmtId="0" fontId="422" fillId="0" borderId="0" xfId="0" applyFont="1" applyAlignment="1">
      <alignment wrapText="1"/>
    </xf>
    <xf numFmtId="0" fontId="441" fillId="0" borderId="0" xfId="0" quotePrefix="1" applyFont="1" applyAlignment="1">
      <alignment wrapText="1"/>
    </xf>
    <xf numFmtId="0" fontId="423" fillId="0" borderId="0" xfId="1" applyAlignment="1">
      <alignment vertical="top" wrapText="1"/>
    </xf>
    <xf numFmtId="43" fontId="190" fillId="0" borderId="0" xfId="4" applyFont="1" applyBorder="1"/>
    <xf numFmtId="0" fontId="9" fillId="0" borderId="0" xfId="0" applyFont="1" applyAlignment="1">
      <alignment horizontal="left"/>
    </xf>
    <xf numFmtId="172" fontId="29" fillId="0" borderId="190" xfId="0" applyNumberFormat="1" applyFont="1" applyBorder="1" applyAlignment="1">
      <alignment horizontal="right" vertical="top" wrapText="1"/>
    </xf>
    <xf numFmtId="0" fontId="442" fillId="0" borderId="0" xfId="0" applyFont="1"/>
    <xf numFmtId="0" fontId="423" fillId="0" borderId="0" xfId="1" quotePrefix="1" applyAlignment="1">
      <alignment vertical="center" wrapText="1"/>
    </xf>
    <xf numFmtId="8" fontId="201" fillId="0" borderId="0" xfId="0" applyNumberFormat="1" applyFont="1"/>
    <xf numFmtId="4" fontId="10" fillId="0" borderId="0" xfId="0" applyNumberFormat="1" applyFont="1" applyAlignment="1">
      <alignment vertical="center" wrapText="1"/>
    </xf>
    <xf numFmtId="3" fontId="444" fillId="3" borderId="173" xfId="0" applyNumberFormat="1" applyFont="1" applyFill="1" applyBorder="1" applyAlignment="1">
      <alignment wrapText="1"/>
    </xf>
    <xf numFmtId="14" fontId="0" fillId="0" borderId="0" xfId="0" applyNumberFormat="1" applyAlignment="1">
      <alignment wrapText="1"/>
    </xf>
    <xf numFmtId="0" fontId="445" fillId="0" borderId="0" xfId="0" applyFont="1"/>
    <xf numFmtId="0" fontId="10" fillId="0" borderId="191" xfId="0" applyFont="1" applyBorder="1" applyAlignment="1">
      <alignment wrapText="1"/>
    </xf>
    <xf numFmtId="0" fontId="10" fillId="0" borderId="192" xfId="0" applyFont="1" applyBorder="1" applyAlignment="1">
      <alignment wrapText="1"/>
    </xf>
    <xf numFmtId="0" fontId="415" fillId="0" borderId="0" xfId="0" applyFont="1" applyAlignment="1">
      <alignment vertical="center" wrapText="1"/>
    </xf>
    <xf numFmtId="0" fontId="423" fillId="0" borderId="0" xfId="1" applyAlignment="1">
      <alignment vertical="center" wrapText="1"/>
    </xf>
    <xf numFmtId="3" fontId="28" fillId="0" borderId="0" xfId="0" quotePrefix="1" applyNumberFormat="1" applyFont="1" applyAlignment="1">
      <alignment horizontal="right" wrapText="1"/>
    </xf>
    <xf numFmtId="168" fontId="10" fillId="0" borderId="193" xfId="3" applyNumberFormat="1" applyFont="1" applyBorder="1" applyAlignment="1">
      <alignment wrapText="1"/>
    </xf>
    <xf numFmtId="193" fontId="10" fillId="0" borderId="187" xfId="4" applyNumberFormat="1" applyFont="1" applyBorder="1" applyAlignment="1">
      <alignment horizontal="left" wrapText="1"/>
    </xf>
    <xf numFmtId="193" fontId="9" fillId="0" borderId="189" xfId="4" applyNumberFormat="1" applyFont="1" applyBorder="1" applyAlignment="1">
      <alignment horizontal="left" wrapText="1"/>
    </xf>
    <xf numFmtId="0" fontId="0" fillId="0" borderId="0" xfId="0" applyAlignment="1">
      <alignment horizontal="left"/>
    </xf>
    <xf numFmtId="0" fontId="9" fillId="28" borderId="41" xfId="0" applyFont="1" applyFill="1" applyBorder="1" applyAlignment="1">
      <alignment horizontal="center" wrapText="1"/>
    </xf>
    <xf numFmtId="0" fontId="9" fillId="28" borderId="41" xfId="0" applyFont="1" applyFill="1" applyBorder="1" applyAlignment="1">
      <alignment wrapText="1"/>
    </xf>
    <xf numFmtId="4" fontId="28" fillId="76" borderId="0" xfId="0" applyNumberFormat="1" applyFont="1" applyFill="1" applyAlignment="1">
      <alignment horizontal="right" wrapText="1"/>
    </xf>
    <xf numFmtId="16" fontId="10" fillId="0" borderId="0" xfId="0" applyNumberFormat="1" applyFont="1" applyAlignment="1">
      <alignment horizontal="center" wrapText="1"/>
    </xf>
    <xf numFmtId="43" fontId="0" fillId="0" borderId="182" xfId="4" applyFont="1" applyBorder="1"/>
    <xf numFmtId="0" fontId="190" fillId="0" borderId="0" xfId="0" applyFont="1" applyAlignment="1">
      <alignment horizontal="center" wrapText="1"/>
    </xf>
    <xf numFmtId="166" fontId="23" fillId="0" borderId="0" xfId="0" applyNumberFormat="1" applyFont="1"/>
    <xf numFmtId="195" fontId="24" fillId="0" borderId="0" xfId="2" applyNumberFormat="1" applyFont="1" applyAlignment="1">
      <alignment horizontal="right"/>
    </xf>
    <xf numFmtId="4" fontId="27" fillId="0" borderId="0" xfId="0" applyNumberFormat="1" applyFont="1" applyAlignment="1">
      <alignment horizontal="right"/>
    </xf>
    <xf numFmtId="4" fontId="10" fillId="0" borderId="0" xfId="0" applyNumberFormat="1" applyFont="1" applyAlignment="1">
      <alignment horizontal="left"/>
    </xf>
    <xf numFmtId="3" fontId="0" fillId="0" borderId="0" xfId="0" applyNumberFormat="1"/>
    <xf numFmtId="3" fontId="9" fillId="74" borderId="0" xfId="0" applyNumberFormat="1" applyFont="1" applyFill="1"/>
    <xf numFmtId="0" fontId="190" fillId="0" borderId="0" xfId="0" applyFont="1" applyAlignment="1">
      <alignment wrapText="1"/>
    </xf>
    <xf numFmtId="16" fontId="10" fillId="0" borderId="0" xfId="0" quotePrefix="1" applyNumberFormat="1" applyFont="1" applyAlignment="1">
      <alignment horizontal="center" vertical="center" wrapText="1"/>
    </xf>
    <xf numFmtId="0" fontId="0" fillId="0" borderId="184" xfId="0" applyBorder="1" applyAlignment="1">
      <alignment wrapText="1"/>
    </xf>
    <xf numFmtId="0" fontId="0" fillId="0" borderId="185" xfId="0" applyBorder="1" applyAlignment="1">
      <alignment wrapText="1"/>
    </xf>
    <xf numFmtId="3" fontId="7" fillId="2" borderId="196" xfId="0" applyNumberFormat="1" applyFont="1" applyFill="1" applyBorder="1"/>
    <xf numFmtId="0" fontId="9" fillId="0" borderId="197" xfId="0" applyFont="1" applyBorder="1" applyAlignment="1">
      <alignment horizontal="right"/>
    </xf>
    <xf numFmtId="3" fontId="10" fillId="0" borderId="187" xfId="0" applyNumberFormat="1" applyFont="1" applyBorder="1" applyAlignment="1">
      <alignment wrapText="1"/>
    </xf>
    <xf numFmtId="0" fontId="10" fillId="0" borderId="186" xfId="0" applyFont="1" applyBorder="1"/>
    <xf numFmtId="3" fontId="10" fillId="0" borderId="187" xfId="0" applyNumberFormat="1" applyFont="1" applyBorder="1"/>
    <xf numFmtId="0" fontId="9" fillId="74" borderId="186" xfId="0" applyFont="1" applyFill="1" applyBorder="1"/>
    <xf numFmtId="3" fontId="9" fillId="74" borderId="187" xfId="0" applyNumberFormat="1" applyFont="1" applyFill="1" applyBorder="1"/>
    <xf numFmtId="3" fontId="9" fillId="0" borderId="195" xfId="0" applyNumberFormat="1" applyFont="1" applyBorder="1" applyAlignment="1">
      <alignment wrapText="1"/>
    </xf>
    <xf numFmtId="3" fontId="9" fillId="0" borderId="189" xfId="0" applyNumberFormat="1" applyFont="1" applyBorder="1" applyAlignment="1">
      <alignment wrapText="1"/>
    </xf>
    <xf numFmtId="16" fontId="10" fillId="0" borderId="0" xfId="0" applyNumberFormat="1" applyFont="1" applyAlignment="1">
      <alignment horizontal="left" wrapText="1"/>
    </xf>
    <xf numFmtId="168" fontId="10" fillId="0" borderId="6" xfId="3" applyNumberFormat="1" applyFont="1" applyBorder="1" applyAlignment="1">
      <alignment wrapText="1"/>
    </xf>
    <xf numFmtId="3" fontId="27" fillId="74" borderId="0" xfId="0" applyNumberFormat="1" applyFont="1" applyFill="1" applyAlignment="1">
      <alignment horizontal="right" wrapText="1"/>
    </xf>
    <xf numFmtId="3" fontId="9" fillId="74" borderId="0" xfId="0" applyNumberFormat="1" applyFont="1" applyFill="1" applyAlignment="1">
      <alignment wrapText="1"/>
    </xf>
    <xf numFmtId="172" fontId="371" fillId="74" borderId="0" xfId="0" applyNumberFormat="1" applyFont="1" applyFill="1" applyAlignment="1">
      <alignment horizontal="right" vertical="top" wrapText="1"/>
    </xf>
    <xf numFmtId="0" fontId="2" fillId="0" borderId="2" xfId="0" applyFont="1" applyBorder="1" applyAlignment="1">
      <alignment horizontal="center" vertical="top" wrapText="1"/>
    </xf>
    <xf numFmtId="0" fontId="3" fillId="0" borderId="4" xfId="0" applyFont="1" applyBorder="1" applyAlignment="1">
      <alignment horizontal="center" vertical="top" wrapText="1"/>
    </xf>
    <xf numFmtId="0" fontId="3" fillId="0" borderId="2" xfId="0" applyFont="1" applyBorder="1" applyAlignment="1">
      <alignment horizontal="center" vertical="top" wrapText="1"/>
    </xf>
    <xf numFmtId="0" fontId="2" fillId="0" borderId="2" xfId="0" applyFont="1" applyBorder="1" applyAlignment="1">
      <alignment horizontal="left" vertical="top" wrapText="1"/>
    </xf>
    <xf numFmtId="0" fontId="4" fillId="0" borderId="2" xfId="0" applyFont="1" applyBorder="1" applyAlignment="1">
      <alignment horizontal="center" vertical="top" wrapText="1"/>
    </xf>
    <xf numFmtId="0" fontId="5" fillId="0" borderId="2" xfId="0" applyFont="1" applyBorder="1" applyAlignment="1">
      <alignment horizontal="center" vertical="top" wrapText="1"/>
    </xf>
    <xf numFmtId="0" fontId="3" fillId="0" borderId="3" xfId="0" applyFont="1" applyBorder="1" applyAlignment="1">
      <alignment horizontal="center" vertical="top" wrapText="1"/>
    </xf>
    <xf numFmtId="0" fontId="6" fillId="0" borderId="2" xfId="0" applyFont="1" applyBorder="1" applyAlignment="1">
      <alignment horizontal="center" vertical="top" wrapText="1"/>
    </xf>
    <xf numFmtId="0" fontId="7" fillId="0" borderId="2" xfId="0" applyFont="1" applyBorder="1" applyAlignment="1">
      <alignment horizontal="center" vertical="top" wrapText="1"/>
    </xf>
    <xf numFmtId="0" fontId="8" fillId="0" borderId="5" xfId="0" applyFont="1" applyBorder="1" applyAlignment="1">
      <alignment horizontal="center" vertical="top" wrapText="1"/>
    </xf>
    <xf numFmtId="3" fontId="14" fillId="0" borderId="0" xfId="0" applyNumberFormat="1" applyFont="1"/>
    <xf numFmtId="3" fontId="28" fillId="74" borderId="0" xfId="0" applyNumberFormat="1" applyFont="1" applyFill="1" applyAlignment="1">
      <alignment horizontal="right" wrapText="1"/>
    </xf>
    <xf numFmtId="2" fontId="201" fillId="0" borderId="0" xfId="0" applyNumberFormat="1" applyFont="1" applyAlignment="1">
      <alignment horizontal="right" wrapText="1"/>
    </xf>
    <xf numFmtId="16" fontId="190" fillId="74" borderId="177" xfId="0" quotePrefix="1" applyNumberFormat="1" applyFont="1" applyFill="1" applyBorder="1" applyAlignment="1">
      <alignment horizontal="center" wrapText="1"/>
    </xf>
    <xf numFmtId="3" fontId="0" fillId="0" borderId="178" xfId="0" applyNumberFormat="1" applyBorder="1" applyAlignment="1">
      <alignment wrapText="1"/>
    </xf>
    <xf numFmtId="180" fontId="188" fillId="2" borderId="0" xfId="0" applyNumberFormat="1" applyFont="1" applyFill="1" applyAlignment="1">
      <alignment horizontal="left"/>
    </xf>
    <xf numFmtId="181" fontId="215" fillId="17" borderId="0" xfId="0" applyNumberFormat="1" applyFont="1" applyFill="1"/>
    <xf numFmtId="0" fontId="215" fillId="17" borderId="13" xfId="0" applyFont="1" applyFill="1" applyBorder="1"/>
    <xf numFmtId="4" fontId="215" fillId="17" borderId="0" xfId="0" applyNumberFormat="1" applyFont="1" applyFill="1"/>
    <xf numFmtId="0" fontId="215" fillId="3" borderId="0" xfId="0" applyFont="1" applyFill="1"/>
    <xf numFmtId="0" fontId="215" fillId="0" borderId="13" xfId="0" applyFont="1" applyBorder="1"/>
    <xf numFmtId="4" fontId="215" fillId="0" borderId="0" xfId="0" applyNumberFormat="1" applyFont="1"/>
    <xf numFmtId="0" fontId="24" fillId="17" borderId="0" xfId="0" applyFont="1" applyFill="1"/>
    <xf numFmtId="181" fontId="215" fillId="17" borderId="0" xfId="0" applyNumberFormat="1" applyFont="1" applyFill="1" applyAlignment="1">
      <alignment horizontal="right"/>
    </xf>
    <xf numFmtId="0" fontId="214" fillId="17" borderId="0" xfId="0" applyFont="1" applyFill="1"/>
    <xf numFmtId="0" fontId="125" fillId="0" borderId="0" xfId="0" applyFont="1"/>
    <xf numFmtId="0" fontId="231" fillId="0" borderId="0" xfId="0" applyFont="1"/>
    <xf numFmtId="0" fontId="234" fillId="0" borderId="0" xfId="0" applyFont="1"/>
    <xf numFmtId="0" fontId="235" fillId="0" borderId="0" xfId="0" applyFont="1"/>
    <xf numFmtId="0" fontId="236" fillId="0" borderId="0" xfId="0" applyFont="1"/>
    <xf numFmtId="169" fontId="10" fillId="0" borderId="0" xfId="0" applyNumberFormat="1" applyFont="1"/>
    <xf numFmtId="3" fontId="190" fillId="0" borderId="0" xfId="0" applyNumberFormat="1" applyFont="1"/>
    <xf numFmtId="0" fontId="9" fillId="0" borderId="188" xfId="0" applyFont="1" applyBorder="1" applyAlignment="1">
      <alignment wrapText="1"/>
    </xf>
    <xf numFmtId="0" fontId="190" fillId="0" borderId="194" xfId="0" applyFont="1" applyBorder="1" applyAlignment="1">
      <alignment wrapText="1"/>
    </xf>
    <xf numFmtId="0" fontId="190" fillId="0" borderId="0" xfId="0" applyFont="1" applyAlignment="1">
      <alignment horizontal="center"/>
    </xf>
    <xf numFmtId="10" fontId="9" fillId="0" borderId="0" xfId="0" applyNumberFormat="1" applyFont="1"/>
    <xf numFmtId="3" fontId="190" fillId="0" borderId="178" xfId="0" applyNumberFormat="1" applyFont="1" applyBorder="1"/>
    <xf numFmtId="0" fontId="190" fillId="0" borderId="178" xfId="0" applyFont="1" applyBorder="1"/>
    <xf numFmtId="0" fontId="190" fillId="74" borderId="178" xfId="0" applyFont="1" applyFill="1" applyBorder="1"/>
    <xf numFmtId="4" fontId="190" fillId="3" borderId="178" xfId="0" applyNumberFormat="1" applyFont="1" applyFill="1" applyBorder="1"/>
    <xf numFmtId="173" fontId="190" fillId="0" borderId="178" xfId="0" applyNumberFormat="1" applyFont="1" applyBorder="1" applyAlignment="1">
      <alignment horizontal="right"/>
    </xf>
    <xf numFmtId="173" fontId="9" fillId="0" borderId="178" xfId="0" applyNumberFormat="1" applyFont="1" applyBorder="1" applyAlignment="1">
      <alignment horizontal="right"/>
    </xf>
    <xf numFmtId="0" fontId="9" fillId="0" borderId="178" xfId="0" applyFont="1" applyBorder="1" applyAlignment="1">
      <alignment horizontal="right"/>
    </xf>
    <xf numFmtId="0" fontId="10" fillId="0" borderId="178" xfId="0" applyFont="1" applyBorder="1" applyAlignment="1">
      <alignment horizontal="right"/>
    </xf>
    <xf numFmtId="0" fontId="10" fillId="0" borderId="178" xfId="0" quotePrefix="1" applyFont="1" applyBorder="1" applyAlignment="1">
      <alignment horizontal="right"/>
    </xf>
    <xf numFmtId="44" fontId="9" fillId="0" borderId="174" xfId="2" applyFont="1" applyBorder="1" applyAlignment="1">
      <alignment vertical="center" wrapText="1"/>
    </xf>
    <xf numFmtId="0" fontId="10" fillId="0" borderId="198" xfId="0" applyFont="1" applyBorder="1" applyAlignment="1">
      <alignment horizontal="left" wrapText="1"/>
    </xf>
    <xf numFmtId="44" fontId="9" fillId="0" borderId="0" xfId="2" applyFont="1" applyBorder="1" applyAlignment="1">
      <alignment vertical="center" wrapText="1"/>
    </xf>
    <xf numFmtId="0" fontId="0" fillId="0" borderId="19" xfId="0" applyBorder="1" applyAlignment="1">
      <alignment wrapText="1"/>
    </xf>
    <xf numFmtId="16" fontId="10" fillId="0" borderId="187" xfId="0" applyNumberFormat="1" applyFont="1" applyBorder="1" applyAlignment="1">
      <alignment horizontal="left" wrapText="1"/>
    </xf>
    <xf numFmtId="166" fontId="10" fillId="0" borderId="0" xfId="0" quotePrefix="1" applyNumberFormat="1" applyFont="1" applyAlignment="1">
      <alignment wrapText="1"/>
    </xf>
    <xf numFmtId="0" fontId="69" fillId="0" borderId="0" xfId="0" applyFont="1" applyAlignment="1">
      <alignment wrapText="1"/>
    </xf>
    <xf numFmtId="0" fontId="69" fillId="0" borderId="0" xfId="0" quotePrefix="1" applyFont="1" applyAlignment="1">
      <alignment wrapText="1"/>
    </xf>
    <xf numFmtId="0" fontId="446" fillId="0" borderId="0" xfId="0" applyFont="1" applyAlignment="1">
      <alignment wrapText="1"/>
    </xf>
    <xf numFmtId="16" fontId="10" fillId="0" borderId="0" xfId="0" applyNumberFormat="1" applyFont="1" applyAlignment="1">
      <alignment horizontal="center"/>
    </xf>
    <xf numFmtId="0" fontId="201" fillId="0" borderId="0" xfId="0" applyFont="1" applyAlignment="1">
      <alignment horizontal="center"/>
    </xf>
    <xf numFmtId="0" fontId="20" fillId="0" borderId="16" xfId="0" applyFont="1" applyBorder="1" applyAlignment="1">
      <alignment horizontal="center" wrapText="1"/>
    </xf>
    <xf numFmtId="0" fontId="25" fillId="0" borderId="17" xfId="0" applyFont="1" applyBorder="1" applyAlignment="1">
      <alignment wrapText="1"/>
    </xf>
    <xf numFmtId="0" fontId="25" fillId="0" borderId="18" xfId="0" applyFont="1" applyBorder="1" applyAlignment="1">
      <alignment wrapText="1"/>
    </xf>
    <xf numFmtId="0" fontId="9" fillId="0" borderId="0" xfId="0" applyFont="1" applyAlignment="1">
      <alignment wrapText="1"/>
    </xf>
    <xf numFmtId="0" fontId="0" fillId="0" borderId="0" xfId="0" applyAlignment="1">
      <alignment wrapText="1"/>
    </xf>
    <xf numFmtId="0" fontId="10" fillId="0" borderId="0" xfId="0" applyFont="1" applyAlignment="1">
      <alignment wrapText="1"/>
    </xf>
    <xf numFmtId="4" fontId="9" fillId="0" borderId="0" xfId="0" applyNumberFormat="1" applyFont="1" applyAlignment="1">
      <alignment wrapText="1"/>
    </xf>
    <xf numFmtId="0" fontId="9" fillId="0" borderId="184" xfId="0" applyFont="1" applyBorder="1" applyAlignment="1">
      <alignment horizontal="center" wrapText="1"/>
    </xf>
    <xf numFmtId="0" fontId="9" fillId="0" borderId="185" xfId="0" applyFont="1" applyBorder="1" applyAlignment="1">
      <alignment horizontal="center" wrapText="1"/>
    </xf>
    <xf numFmtId="3" fontId="27" fillId="0" borderId="0" xfId="0" applyNumberFormat="1" applyFont="1" applyAlignment="1">
      <alignment horizontal="left" wrapText="1"/>
    </xf>
    <xf numFmtId="0" fontId="27" fillId="0" borderId="10" xfId="0" applyFont="1" applyBorder="1" applyAlignment="1">
      <alignment horizontal="center" wrapText="1"/>
    </xf>
    <xf numFmtId="0" fontId="25" fillId="0" borderId="11" xfId="0" applyFont="1" applyBorder="1" applyAlignment="1">
      <alignment wrapText="1"/>
    </xf>
    <xf numFmtId="0" fontId="25" fillId="0" borderId="12" xfId="0" applyFont="1" applyBorder="1" applyAlignment="1">
      <alignment wrapText="1"/>
    </xf>
    <xf numFmtId="0" fontId="31" fillId="0" borderId="0" xfId="0" applyFont="1" applyAlignment="1">
      <alignment wrapText="1"/>
    </xf>
    <xf numFmtId="0" fontId="15" fillId="0" borderId="0" xfId="0" applyFont="1" applyAlignment="1">
      <alignment wrapText="1"/>
    </xf>
    <xf numFmtId="4" fontId="26" fillId="0" borderId="0" xfId="0" applyNumberFormat="1" applyFont="1" applyAlignment="1">
      <alignment horizontal="center" wrapText="1"/>
    </xf>
    <xf numFmtId="3" fontId="28" fillId="2" borderId="0" xfId="0" applyNumberFormat="1" applyFont="1" applyFill="1" applyAlignment="1">
      <alignment horizontal="left" wrapText="1"/>
    </xf>
    <xf numFmtId="0" fontId="28" fillId="0" borderId="0" xfId="0" applyFont="1" applyAlignment="1">
      <alignment wrapText="1"/>
    </xf>
    <xf numFmtId="0" fontId="9" fillId="0" borderId="7" xfId="0" applyFont="1" applyBorder="1" applyAlignment="1">
      <alignment horizontal="center" wrapText="1"/>
    </xf>
    <xf numFmtId="0" fontId="25" fillId="0" borderId="8" xfId="0" applyFont="1" applyBorder="1" applyAlignment="1">
      <alignment wrapText="1"/>
    </xf>
    <xf numFmtId="0" fontId="25" fillId="0" borderId="9" xfId="0" applyFont="1" applyBorder="1" applyAlignment="1">
      <alignment wrapText="1"/>
    </xf>
    <xf numFmtId="3" fontId="31" fillId="0" borderId="0" xfId="0" applyNumberFormat="1" applyFont="1" applyAlignment="1">
      <alignment wrapText="1"/>
    </xf>
    <xf numFmtId="0" fontId="9" fillId="0" borderId="0" xfId="0" applyFont="1" applyAlignment="1">
      <alignment horizontal="center" wrapText="1"/>
    </xf>
    <xf numFmtId="0" fontId="10" fillId="0" borderId="0" xfId="0" applyFont="1" applyAlignment="1">
      <alignment horizontal="left" wrapText="1"/>
    </xf>
    <xf numFmtId="0" fontId="9" fillId="0" borderId="10" xfId="0" applyFont="1" applyBorder="1" applyAlignment="1">
      <alignment horizontal="center" wrapText="1"/>
    </xf>
    <xf numFmtId="0" fontId="9" fillId="0" borderId="11" xfId="0" applyFont="1" applyBorder="1" applyAlignment="1">
      <alignment wrapText="1"/>
    </xf>
    <xf numFmtId="0" fontId="10" fillId="3" borderId="177" xfId="0" applyFont="1" applyFill="1" applyBorder="1" applyAlignment="1">
      <alignment wrapText="1"/>
    </xf>
    <xf numFmtId="0" fontId="25" fillId="0" borderId="177" xfId="0" applyFont="1" applyBorder="1" applyAlignment="1">
      <alignment wrapText="1"/>
    </xf>
    <xf numFmtId="0" fontId="0" fillId="0" borderId="177" xfId="0" applyBorder="1" applyAlignment="1">
      <alignment wrapText="1"/>
    </xf>
    <xf numFmtId="0" fontId="10" fillId="0" borderId="178" xfId="0" applyFont="1" applyBorder="1"/>
    <xf numFmtId="0" fontId="25" fillId="0" borderId="178" xfId="0" applyFont="1" applyBorder="1"/>
    <xf numFmtId="0" fontId="10" fillId="2" borderId="179" xfId="0" applyFont="1" applyFill="1" applyBorder="1"/>
    <xf numFmtId="0" fontId="25" fillId="0" borderId="179" xfId="0" applyFont="1" applyBorder="1"/>
    <xf numFmtId="0" fontId="10" fillId="0" borderId="4" xfId="0" applyFont="1" applyBorder="1" applyAlignment="1">
      <alignment wrapText="1"/>
    </xf>
    <xf numFmtId="0" fontId="25" fillId="0" borderId="3" xfId="0" applyFont="1" applyBorder="1" applyAlignment="1">
      <alignment wrapText="1"/>
    </xf>
    <xf numFmtId="0" fontId="10" fillId="15" borderId="7" xfId="0" applyFont="1" applyFill="1" applyBorder="1" applyAlignment="1">
      <alignment horizontal="center" wrapText="1"/>
    </xf>
    <xf numFmtId="0" fontId="9" fillId="15" borderId="7" xfId="0" applyFont="1" applyFill="1" applyBorder="1" applyAlignment="1">
      <alignment horizontal="center" wrapText="1"/>
    </xf>
    <xf numFmtId="0" fontId="9" fillId="15" borderId="0" xfId="0" applyFont="1" applyFill="1" applyAlignment="1">
      <alignment horizontal="right" wrapText="1"/>
    </xf>
    <xf numFmtId="0" fontId="9" fillId="15" borderId="0" xfId="0" applyFont="1" applyFill="1" applyAlignment="1">
      <alignment horizontal="center" wrapText="1"/>
    </xf>
    <xf numFmtId="0" fontId="125" fillId="15" borderId="0" xfId="0" applyFont="1" applyFill="1" applyAlignment="1">
      <alignment wrapText="1"/>
    </xf>
    <xf numFmtId="0" fontId="206" fillId="15" borderId="0" xfId="0" applyFont="1" applyFill="1" applyAlignment="1">
      <alignment horizontal="left" wrapText="1"/>
    </xf>
    <xf numFmtId="0" fontId="207" fillId="15" borderId="0" xfId="0" applyFont="1" applyFill="1" applyAlignment="1">
      <alignment wrapText="1"/>
    </xf>
    <xf numFmtId="0" fontId="9" fillId="15" borderId="0" xfId="0" applyFont="1" applyFill="1" applyAlignment="1">
      <alignment wrapText="1"/>
    </xf>
    <xf numFmtId="0" fontId="289" fillId="27" borderId="37" xfId="0" applyFont="1" applyFill="1" applyBorder="1" applyAlignment="1">
      <alignment horizontal="center" wrapText="1"/>
    </xf>
    <xf numFmtId="0" fontId="25" fillId="0" borderId="38" xfId="0" applyFont="1" applyBorder="1" applyAlignment="1">
      <alignment wrapText="1"/>
    </xf>
    <xf numFmtId="0" fontId="25" fillId="0" borderId="39" xfId="0" applyFont="1" applyBorder="1" applyAlignment="1">
      <alignment wrapText="1"/>
    </xf>
    <xf numFmtId="0" fontId="22" fillId="0" borderId="0" xfId="0" applyFont="1" applyAlignment="1">
      <alignment wrapText="1"/>
    </xf>
    <xf numFmtId="0" fontId="10" fillId="21" borderId="0" xfId="0" applyFont="1" applyFill="1" applyAlignment="1">
      <alignment wrapText="1"/>
    </xf>
    <xf numFmtId="0" fontId="324" fillId="0" borderId="0" xfId="0" applyFont="1" applyAlignment="1">
      <alignment horizontal="center" wrapText="1"/>
    </xf>
    <xf numFmtId="0" fontId="276" fillId="2" borderId="0" xfId="0" applyFont="1" applyFill="1" applyAlignment="1">
      <alignment wrapText="1"/>
    </xf>
    <xf numFmtId="0" fontId="47" fillId="2" borderId="0" xfId="0" applyFont="1" applyFill="1" applyAlignment="1">
      <alignment wrapText="1"/>
    </xf>
    <xf numFmtId="0" fontId="51" fillId="0" borderId="28" xfId="0" applyFont="1" applyBorder="1" applyAlignment="1">
      <alignment horizontal="center" wrapText="1"/>
    </xf>
    <xf numFmtId="0" fontId="25" fillId="0" borderId="28" xfId="0" applyFont="1" applyBorder="1" applyAlignment="1">
      <alignment wrapText="1"/>
    </xf>
    <xf numFmtId="0" fontId="323" fillId="2" borderId="19" xfId="0" applyFont="1" applyFill="1" applyBorder="1" applyAlignment="1">
      <alignment horizontal="center" wrapText="1"/>
    </xf>
    <xf numFmtId="0" fontId="25" fillId="0" borderId="1" xfId="0" applyFont="1" applyBorder="1" applyAlignment="1">
      <alignment wrapText="1"/>
    </xf>
    <xf numFmtId="0" fontId="9" fillId="0" borderId="11" xfId="0" applyFont="1" applyBorder="1" applyAlignment="1">
      <alignment vertical="center" wrapText="1"/>
    </xf>
    <xf numFmtId="0" fontId="9" fillId="0" borderId="26" xfId="0" applyFont="1" applyBorder="1" applyAlignment="1">
      <alignment horizontal="center" wrapText="1"/>
    </xf>
    <xf numFmtId="0" fontId="25" fillId="0" borderId="26" xfId="0" applyFont="1" applyBorder="1" applyAlignment="1">
      <alignment wrapText="1"/>
    </xf>
    <xf numFmtId="0" fontId="9" fillId="0" borderId="24" xfId="0" applyFont="1" applyBorder="1" applyAlignment="1">
      <alignment horizontal="center" vertical="center" wrapText="1"/>
    </xf>
    <xf numFmtId="0" fontId="25" fillId="0" borderId="25" xfId="0" applyFont="1" applyBorder="1" applyAlignment="1">
      <alignment wrapText="1"/>
    </xf>
    <xf numFmtId="0" fontId="324" fillId="0" borderId="2" xfId="0" applyFont="1" applyBorder="1" applyAlignment="1">
      <alignment horizontal="center" wrapText="1"/>
    </xf>
    <xf numFmtId="0" fontId="25" fillId="0" borderId="2" xfId="0" applyFont="1" applyBorder="1" applyAlignment="1">
      <alignment wrapText="1"/>
    </xf>
    <xf numFmtId="0" fontId="22" fillId="0" borderId="0" xfId="0" applyFont="1" applyAlignment="1">
      <alignment horizontal="center" wrapText="1"/>
    </xf>
    <xf numFmtId="3" fontId="9" fillId="0" borderId="0" xfId="0" applyNumberFormat="1" applyFont="1" applyAlignment="1">
      <alignment horizontal="center" wrapText="1"/>
    </xf>
    <xf numFmtId="0" fontId="9" fillId="0" borderId="10" xfId="0" applyFont="1" applyBorder="1" applyAlignment="1">
      <alignment wrapText="1"/>
    </xf>
    <xf numFmtId="3" fontId="10" fillId="0" borderId="0" xfId="0" applyNumberFormat="1" applyFont="1" applyAlignment="1">
      <alignment wrapText="1"/>
    </xf>
    <xf numFmtId="0" fontId="13" fillId="0" borderId="0" xfId="0" applyFont="1" applyAlignment="1">
      <alignment wrapText="1"/>
    </xf>
    <xf numFmtId="0" fontId="2" fillId="0" borderId="0" xfId="0" applyFont="1" applyAlignment="1">
      <alignment horizontal="center" vertical="top" wrapText="1"/>
    </xf>
    <xf numFmtId="0" fontId="10" fillId="0" borderId="36" xfId="0" applyFont="1" applyBorder="1" applyAlignment="1">
      <alignment wrapText="1"/>
    </xf>
    <xf numFmtId="0" fontId="25" fillId="0" borderId="36" xfId="0" applyFont="1" applyBorder="1" applyAlignment="1">
      <alignment wrapText="1"/>
    </xf>
    <xf numFmtId="4" fontId="0" fillId="3" borderId="0" xfId="0" applyNumberFormat="1" applyFill="1" applyAlignment="1">
      <alignment wrapText="1"/>
    </xf>
    <xf numFmtId="0" fontId="10" fillId="17" borderId="0" xfId="0" applyFont="1" applyFill="1" applyAlignment="1">
      <alignment wrapText="1"/>
    </xf>
    <xf numFmtId="0" fontId="22" fillId="17" borderId="2" xfId="0" applyFont="1" applyFill="1" applyBorder="1" applyAlignment="1">
      <alignment horizontal="center" wrapText="1"/>
    </xf>
    <xf numFmtId="0" fontId="22" fillId="17" borderId="2" xfId="0" quotePrefix="1" applyFont="1" applyFill="1" applyBorder="1" applyAlignment="1">
      <alignment horizontal="center" wrapText="1"/>
    </xf>
    <xf numFmtId="165" fontId="22" fillId="17" borderId="2" xfId="0" applyNumberFormat="1" applyFont="1" applyFill="1" applyBorder="1" applyAlignment="1">
      <alignment horizontal="center" wrapText="1"/>
    </xf>
    <xf numFmtId="0" fontId="324" fillId="17" borderId="0" xfId="0" applyFont="1" applyFill="1" applyAlignment="1">
      <alignment wrapText="1"/>
    </xf>
    <xf numFmtId="0" fontId="21" fillId="17" borderId="0" xfId="0" applyFont="1" applyFill="1" applyAlignment="1">
      <alignment wrapText="1"/>
    </xf>
    <xf numFmtId="2" fontId="10" fillId="0" borderId="0" xfId="0" applyNumberFormat="1" applyFont="1" applyAlignment="1">
      <alignment wrapText="1"/>
    </xf>
    <xf numFmtId="0" fontId="22" fillId="21" borderId="0" xfId="0" applyFont="1" applyFill="1" applyAlignment="1">
      <alignment wrapText="1"/>
    </xf>
    <xf numFmtId="164" fontId="28" fillId="0" borderId="0" xfId="0" applyNumberFormat="1" applyFont="1"/>
    <xf numFmtId="0" fontId="27" fillId="45" borderId="0" xfId="0" applyFont="1" applyFill="1"/>
    <xf numFmtId="0" fontId="366" fillId="50" borderId="66" xfId="0" applyFont="1" applyFill="1" applyBorder="1" applyAlignment="1">
      <alignment horizontal="center"/>
    </xf>
    <xf numFmtId="0" fontId="25" fillId="0" borderId="67" xfId="0" applyFont="1" applyBorder="1" applyAlignment="1">
      <alignment wrapText="1"/>
    </xf>
    <xf numFmtId="0" fontId="25" fillId="0" borderId="68" xfId="0" applyFont="1" applyBorder="1" applyAlignment="1">
      <alignment wrapText="1"/>
    </xf>
    <xf numFmtId="0" fontId="366" fillId="51" borderId="118" xfId="0" applyFont="1" applyFill="1" applyBorder="1" applyAlignment="1">
      <alignment horizontal="center"/>
    </xf>
    <xf numFmtId="0" fontId="25" fillId="0" borderId="119" xfId="0" applyFont="1" applyBorder="1" applyAlignment="1">
      <alignment wrapText="1"/>
    </xf>
    <xf numFmtId="0" fontId="25" fillId="0" borderId="120" xfId="0" applyFont="1" applyBorder="1" applyAlignment="1">
      <alignment wrapText="1"/>
    </xf>
    <xf numFmtId="0" fontId="367" fillId="0" borderId="0" xfId="0" applyFont="1" applyAlignment="1">
      <alignment horizontal="left" vertical="top"/>
    </xf>
    <xf numFmtId="0" fontId="366" fillId="49" borderId="112" xfId="0" applyFont="1" applyFill="1" applyBorder="1" applyAlignment="1">
      <alignment horizontal="center"/>
    </xf>
    <xf numFmtId="0" fontId="25" fillId="0" borderId="113" xfId="0" applyFont="1" applyBorder="1" applyAlignment="1">
      <alignment wrapText="1"/>
    </xf>
    <xf numFmtId="0" fontId="25" fillId="0" borderId="114" xfId="0" applyFont="1" applyBorder="1" applyAlignment="1">
      <alignment wrapText="1"/>
    </xf>
    <xf numFmtId="0" fontId="366" fillId="45" borderId="115" xfId="0" applyFont="1" applyFill="1" applyBorder="1" applyAlignment="1">
      <alignment horizontal="center"/>
    </xf>
    <xf numFmtId="0" fontId="25" fillId="0" borderId="116" xfId="0" applyFont="1" applyBorder="1" applyAlignment="1">
      <alignment wrapText="1"/>
    </xf>
    <xf numFmtId="0" fontId="25" fillId="0" borderId="117" xfId="0" applyFont="1" applyBorder="1" applyAlignment="1">
      <alignment wrapText="1"/>
    </xf>
    <xf numFmtId="0" fontId="364" fillId="0" borderId="0" xfId="0" applyFont="1"/>
    <xf numFmtId="0" fontId="28" fillId="0" borderId="0" xfId="0" applyFont="1"/>
    <xf numFmtId="0" fontId="28" fillId="0" borderId="0" xfId="0" applyFont="1" applyAlignment="1">
      <alignment horizontal="left" vertical="top"/>
    </xf>
    <xf numFmtId="0" fontId="366" fillId="52" borderId="126" xfId="0" applyFont="1" applyFill="1" applyBorder="1" applyAlignment="1">
      <alignment horizontal="center"/>
    </xf>
    <xf numFmtId="0" fontId="25" fillId="0" borderId="127" xfId="0" applyFont="1" applyBorder="1" applyAlignment="1">
      <alignment wrapText="1"/>
    </xf>
    <xf numFmtId="0" fontId="25" fillId="0" borderId="128" xfId="0" applyFont="1" applyBorder="1" applyAlignment="1">
      <alignment wrapText="1"/>
    </xf>
    <xf numFmtId="0" fontId="366" fillId="53" borderId="129" xfId="0" applyFont="1" applyFill="1" applyBorder="1" applyAlignment="1">
      <alignment horizontal="center"/>
    </xf>
    <xf numFmtId="0" fontId="25" fillId="0" borderId="130" xfId="0" applyFont="1" applyBorder="1" applyAlignment="1">
      <alignment wrapText="1"/>
    </xf>
    <xf numFmtId="0" fontId="25" fillId="0" borderId="131" xfId="0" applyFont="1" applyBorder="1" applyAlignment="1">
      <alignment wrapText="1"/>
    </xf>
    <xf numFmtId="0" fontId="366" fillId="54" borderId="132" xfId="0" applyFont="1" applyFill="1" applyBorder="1" applyAlignment="1">
      <alignment horizontal="center"/>
    </xf>
    <xf numFmtId="0" fontId="25" fillId="0" borderId="133" xfId="0" applyFont="1" applyBorder="1" applyAlignment="1">
      <alignment wrapText="1"/>
    </xf>
    <xf numFmtId="0" fontId="25" fillId="0" borderId="134" xfId="0" applyFont="1" applyBorder="1" applyAlignment="1">
      <alignment wrapText="1"/>
    </xf>
    <xf numFmtId="0" fontId="366" fillId="18" borderId="135" xfId="0" applyFont="1" applyFill="1" applyBorder="1" applyAlignment="1">
      <alignment horizontal="center"/>
    </xf>
    <xf numFmtId="0" fontId="25" fillId="0" borderId="136" xfId="0" applyFont="1" applyBorder="1" applyAlignment="1">
      <alignment wrapText="1"/>
    </xf>
    <xf numFmtId="0" fontId="25" fillId="0" borderId="137" xfId="0" applyFont="1" applyBorder="1" applyAlignment="1">
      <alignment wrapText="1"/>
    </xf>
    <xf numFmtId="0" fontId="366" fillId="56" borderId="145" xfId="0" applyFont="1" applyFill="1" applyBorder="1" applyAlignment="1">
      <alignment horizontal="center"/>
    </xf>
    <xf numFmtId="0" fontId="25" fillId="0" borderId="146" xfId="0" applyFont="1" applyBorder="1" applyAlignment="1">
      <alignment wrapText="1"/>
    </xf>
    <xf numFmtId="0" fontId="25" fillId="0" borderId="147" xfId="0" applyFont="1" applyBorder="1" applyAlignment="1">
      <alignment wrapText="1"/>
    </xf>
    <xf numFmtId="0" fontId="366" fillId="57" borderId="148" xfId="0" applyFont="1" applyFill="1" applyBorder="1" applyAlignment="1">
      <alignment horizontal="center"/>
    </xf>
    <xf numFmtId="0" fontId="25" fillId="0" borderId="149" xfId="0" applyFont="1" applyBorder="1" applyAlignment="1">
      <alignment wrapText="1"/>
    </xf>
    <xf numFmtId="0" fontId="25" fillId="0" borderId="150" xfId="0" applyFont="1" applyBorder="1" applyAlignment="1">
      <alignment wrapText="1"/>
    </xf>
    <xf numFmtId="0" fontId="366" fillId="58" borderId="151" xfId="0" applyFont="1" applyFill="1" applyBorder="1" applyAlignment="1">
      <alignment horizontal="center"/>
    </xf>
    <xf numFmtId="0" fontId="25" fillId="0" borderId="152" xfId="0" applyFont="1" applyBorder="1" applyAlignment="1">
      <alignment wrapText="1"/>
    </xf>
    <xf numFmtId="0" fontId="25" fillId="0" borderId="153" xfId="0" applyFont="1" applyBorder="1" applyAlignment="1">
      <alignment wrapText="1"/>
    </xf>
    <xf numFmtId="0" fontId="28" fillId="0" borderId="11" xfId="0" applyFont="1" applyBorder="1"/>
    <xf numFmtId="165" fontId="28" fillId="0" borderId="11" xfId="0" applyNumberFormat="1" applyFont="1" applyBorder="1"/>
    <xf numFmtId="165" fontId="28" fillId="0" borderId="0" xfId="0" applyNumberFormat="1" applyFont="1"/>
    <xf numFmtId="0" fontId="366" fillId="55" borderId="142" xfId="0" applyFont="1" applyFill="1" applyBorder="1" applyAlignment="1">
      <alignment horizontal="center"/>
    </xf>
    <xf numFmtId="0" fontId="25" fillId="0" borderId="143" xfId="0" applyFont="1" applyBorder="1" applyAlignment="1">
      <alignment wrapText="1"/>
    </xf>
    <xf numFmtId="0" fontId="25" fillId="0" borderId="144" xfId="0" applyFont="1" applyBorder="1" applyAlignment="1">
      <alignment wrapText="1"/>
    </xf>
    <xf numFmtId="0" fontId="366" fillId="0" borderId="0" xfId="0" applyFont="1" applyAlignment="1">
      <alignment horizontal="left" vertical="top"/>
    </xf>
    <xf numFmtId="165" fontId="28" fillId="0" borderId="10" xfId="0" applyNumberFormat="1" applyFont="1" applyBorder="1"/>
    <xf numFmtId="164" fontId="28" fillId="0" borderId="11" xfId="0" applyNumberFormat="1" applyFont="1" applyBorder="1"/>
    <xf numFmtId="165" fontId="28" fillId="0" borderId="2" xfId="0" applyNumberFormat="1" applyFont="1" applyBorder="1"/>
    <xf numFmtId="165" fontId="28" fillId="0" borderId="13" xfId="0" applyNumberFormat="1" applyFont="1" applyBorder="1"/>
    <xf numFmtId="165" fontId="28" fillId="0" borderId="4" xfId="0" applyNumberFormat="1" applyFont="1" applyBorder="1"/>
    <xf numFmtId="0" fontId="28" fillId="0" borderId="2" xfId="0" applyFont="1" applyBorder="1"/>
    <xf numFmtId="0" fontId="27" fillId="2" borderId="8" xfId="0" applyFont="1" applyFill="1" applyBorder="1"/>
    <xf numFmtId="0" fontId="28" fillId="0" borderId="0" xfId="0" applyFont="1" applyAlignment="1">
      <alignment vertical="center"/>
    </xf>
    <xf numFmtId="0" fontId="376" fillId="0" borderId="0" xfId="0" applyFont="1" applyAlignment="1">
      <alignment horizontal="left" vertical="top"/>
    </xf>
    <xf numFmtId="0" fontId="377" fillId="59" borderId="0" xfId="0" applyFont="1" applyFill="1"/>
    <xf numFmtId="0" fontId="28" fillId="49" borderId="112" xfId="0" applyFont="1" applyFill="1" applyBorder="1"/>
    <xf numFmtId="0" fontId="28" fillId="45" borderId="0" xfId="0" applyFont="1" applyFill="1"/>
    <xf numFmtId="0" fontId="28" fillId="50" borderId="0" xfId="0" applyFont="1" applyFill="1"/>
    <xf numFmtId="0" fontId="28" fillId="51" borderId="0" xfId="0" applyFont="1" applyFill="1"/>
    <xf numFmtId="0" fontId="10" fillId="0" borderId="2" xfId="0" applyFont="1" applyBorder="1" applyAlignment="1">
      <alignment wrapText="1"/>
    </xf>
    <xf numFmtId="0" fontId="9" fillId="0" borderId="11" xfId="0" applyFont="1" applyBorder="1" applyAlignment="1">
      <alignment horizontal="right" wrapText="1"/>
    </xf>
    <xf numFmtId="0" fontId="10" fillId="0" borderId="13" xfId="0" applyFont="1" applyBorder="1" applyAlignment="1">
      <alignment wrapText="1"/>
    </xf>
    <xf numFmtId="0" fontId="10" fillId="0" borderId="0" xfId="0" quotePrefix="1" applyFont="1" applyAlignment="1">
      <alignment horizontal="right" wrapText="1"/>
    </xf>
    <xf numFmtId="0" fontId="10" fillId="0" borderId="0" xfId="0" applyFont="1" applyAlignment="1">
      <alignment horizontal="right" wrapText="1"/>
    </xf>
    <xf numFmtId="164" fontId="10" fillId="0" borderId="0" xfId="0" applyNumberFormat="1" applyFont="1" applyAlignment="1">
      <alignment horizontal="right" wrapText="1"/>
    </xf>
    <xf numFmtId="0" fontId="10" fillId="0" borderId="7" xfId="0" applyFont="1" applyBorder="1" applyAlignment="1">
      <alignment wrapText="1"/>
    </xf>
    <xf numFmtId="0" fontId="28" fillId="52" borderId="0" xfId="0" applyFont="1" applyFill="1"/>
    <xf numFmtId="0" fontId="28" fillId="53" borderId="0" xfId="0" applyFont="1" applyFill="1"/>
    <xf numFmtId="0" fontId="28" fillId="54" borderId="0" xfId="0" applyFont="1" applyFill="1"/>
    <xf numFmtId="0" fontId="28" fillId="18" borderId="0" xfId="0" applyFont="1" applyFill="1"/>
    <xf numFmtId="0" fontId="28" fillId="55" borderId="0" xfId="0" applyFont="1" applyFill="1"/>
    <xf numFmtId="0" fontId="28" fillId="56" borderId="0" xfId="0" applyFont="1" applyFill="1"/>
    <xf numFmtId="0" fontId="28" fillId="57" borderId="0" xfId="0" applyFont="1" applyFill="1"/>
    <xf numFmtId="0" fontId="28" fillId="58" borderId="0" xfId="0" applyFont="1" applyFill="1"/>
    <xf numFmtId="0" fontId="10" fillId="0" borderId="2" xfId="0" applyFont="1" applyBorder="1" applyAlignment="1">
      <alignment horizontal="right" wrapText="1"/>
    </xf>
    <xf numFmtId="164" fontId="10" fillId="0" borderId="2" xfId="0" applyNumberFormat="1" applyFont="1" applyBorder="1" applyAlignment="1">
      <alignment horizontal="right" wrapText="1"/>
    </xf>
    <xf numFmtId="179" fontId="28" fillId="2" borderId="0" xfId="0" applyNumberFormat="1" applyFont="1" applyFill="1"/>
    <xf numFmtId="0" fontId="28" fillId="2" borderId="13" xfId="0" quotePrefix="1" applyFont="1" applyFill="1" applyBorder="1" applyAlignment="1">
      <alignment horizontal="left"/>
    </xf>
    <xf numFmtId="0" fontId="28" fillId="2" borderId="0" xfId="0" applyFont="1" applyFill="1" applyAlignment="1">
      <alignment horizontal="right"/>
    </xf>
    <xf numFmtId="0" fontId="381" fillId="2" borderId="0" xfId="0" applyFont="1" applyFill="1" applyAlignment="1">
      <alignment horizontal="right" wrapText="1"/>
    </xf>
    <xf numFmtId="0" fontId="28" fillId="2" borderId="0" xfId="0" applyFont="1" applyFill="1"/>
    <xf numFmtId="0" fontId="10" fillId="0" borderId="10" xfId="0" applyFont="1" applyBorder="1" applyAlignment="1">
      <alignment wrapText="1"/>
    </xf>
    <xf numFmtId="0" fontId="380" fillId="2" borderId="0" xfId="0" applyFont="1" applyFill="1" applyAlignment="1">
      <alignment horizontal="left" wrapText="1"/>
    </xf>
    <xf numFmtId="0" fontId="10" fillId="0" borderId="11" xfId="0" applyFont="1" applyBorder="1" applyAlignment="1">
      <alignment wrapText="1"/>
    </xf>
    <xf numFmtId="164" fontId="10" fillId="0" borderId="11" xfId="0" applyNumberFormat="1" applyFont="1" applyBorder="1" applyAlignment="1">
      <alignment horizontal="right" wrapText="1"/>
    </xf>
    <xf numFmtId="0" fontId="10" fillId="0" borderId="11" xfId="0" applyFont="1" applyBorder="1" applyAlignment="1">
      <alignment horizontal="right" wrapText="1"/>
    </xf>
    <xf numFmtId="179" fontId="28" fillId="2" borderId="0" xfId="0" applyNumberFormat="1" applyFont="1" applyFill="1" applyAlignment="1">
      <alignment horizontal="right"/>
    </xf>
    <xf numFmtId="0" fontId="14" fillId="2" borderId="0" xfId="0" applyFont="1" applyFill="1" applyAlignment="1">
      <alignment wrapText="1"/>
    </xf>
    <xf numFmtId="0" fontId="188" fillId="2" borderId="0" xfId="0" applyFont="1" applyFill="1" applyAlignment="1">
      <alignment horizontal="right" wrapText="1"/>
    </xf>
    <xf numFmtId="0" fontId="9" fillId="0" borderId="13" xfId="0" applyFont="1" applyBorder="1" applyAlignment="1">
      <alignment wrapText="1"/>
    </xf>
    <xf numFmtId="164" fontId="10" fillId="0" borderId="2" xfId="0" applyNumberFormat="1" applyFont="1" applyBorder="1" applyAlignment="1">
      <alignment wrapText="1"/>
    </xf>
    <xf numFmtId="0" fontId="27" fillId="2" borderId="0" xfId="0" applyFont="1" applyFill="1" applyAlignment="1">
      <alignment horizontal="right"/>
    </xf>
    <xf numFmtId="0" fontId="27" fillId="2" borderId="0" xfId="0" applyFont="1" applyFill="1" applyAlignment="1">
      <alignment horizontal="center"/>
    </xf>
    <xf numFmtId="0" fontId="27" fillId="2" borderId="7" xfId="0" applyFont="1" applyFill="1" applyBorder="1" applyAlignment="1">
      <alignment horizontal="center"/>
    </xf>
    <xf numFmtId="0" fontId="27" fillId="2" borderId="0" xfId="0" applyFont="1" applyFill="1"/>
    <xf numFmtId="0" fontId="10" fillId="0" borderId="0" xfId="0" quotePrefix="1" applyFont="1" applyAlignment="1">
      <alignment wrapText="1"/>
    </xf>
    <xf numFmtId="0" fontId="28" fillId="2" borderId="0" xfId="0" quotePrefix="1" applyFont="1" applyFill="1" applyAlignment="1">
      <alignment horizontal="right"/>
    </xf>
    <xf numFmtId="0" fontId="27" fillId="2" borderId="13" xfId="0" applyFont="1" applyFill="1" applyBorder="1" applyAlignment="1">
      <alignment horizontal="center"/>
    </xf>
    <xf numFmtId="0" fontId="382" fillId="63" borderId="0" xfId="0" applyFont="1" applyFill="1" applyAlignment="1">
      <alignment wrapText="1"/>
    </xf>
    <xf numFmtId="179" fontId="27" fillId="2" borderId="2" xfId="0" applyNumberFormat="1" applyFont="1" applyFill="1" applyBorder="1" applyAlignment="1">
      <alignment horizontal="right"/>
    </xf>
    <xf numFmtId="166" fontId="28" fillId="2" borderId="13" xfId="0" applyNumberFormat="1" applyFont="1" applyFill="1" applyBorder="1" applyAlignment="1">
      <alignment horizontal="center"/>
    </xf>
    <xf numFmtId="166" fontId="28" fillId="2" borderId="0" xfId="0" applyNumberFormat="1" applyFont="1" applyFill="1" applyAlignment="1">
      <alignment horizontal="center"/>
    </xf>
    <xf numFmtId="179" fontId="28" fillId="2" borderId="0" xfId="0" applyNumberFormat="1" applyFont="1" applyFill="1" applyAlignment="1">
      <alignment horizontal="center"/>
    </xf>
    <xf numFmtId="179" fontId="27" fillId="2" borderId="2" xfId="0" applyNumberFormat="1" applyFont="1" applyFill="1" applyBorder="1" applyAlignment="1">
      <alignment horizontal="center"/>
    </xf>
    <xf numFmtId="0" fontId="9" fillId="0" borderId="0" xfId="0" applyFont="1" applyAlignment="1">
      <alignment horizontal="right" wrapText="1"/>
    </xf>
    <xf numFmtId="0" fontId="385" fillId="2" borderId="0" xfId="0" applyFont="1" applyFill="1" applyAlignment="1">
      <alignment horizontal="left" wrapText="1"/>
    </xf>
    <xf numFmtId="0" fontId="10" fillId="8" borderId="10" xfId="0" applyFont="1" applyFill="1" applyBorder="1" applyAlignment="1">
      <alignment wrapText="1"/>
    </xf>
    <xf numFmtId="0" fontId="22" fillId="8" borderId="0" xfId="0" applyFont="1" applyFill="1" applyAlignment="1">
      <alignment wrapText="1"/>
    </xf>
    <xf numFmtId="0" fontId="9" fillId="8" borderId="13" xfId="0" applyFont="1" applyFill="1" applyBorder="1" applyAlignment="1">
      <alignment wrapText="1"/>
    </xf>
    <xf numFmtId="0" fontId="201" fillId="2" borderId="0" xfId="0" applyFont="1" applyFill="1" applyAlignment="1">
      <alignment wrapText="1"/>
    </xf>
    <xf numFmtId="0" fontId="22" fillId="21" borderId="10" xfId="0" applyFont="1" applyFill="1" applyBorder="1" applyAlignment="1">
      <alignment wrapText="1"/>
    </xf>
    <xf numFmtId="0" fontId="9" fillId="0" borderId="11" xfId="0" applyFont="1" applyBorder="1" applyAlignment="1">
      <alignment horizontal="left" wrapText="1"/>
    </xf>
    <xf numFmtId="0" fontId="9" fillId="0" borderId="2" xfId="0" applyFont="1" applyBorder="1" applyAlignment="1">
      <alignment wrapText="1"/>
    </xf>
    <xf numFmtId="0" fontId="22" fillId="21" borderId="0" xfId="0" applyFont="1" applyFill="1" applyAlignment="1">
      <alignment horizontal="left" wrapText="1"/>
    </xf>
    <xf numFmtId="0" fontId="22" fillId="8" borderId="13" xfId="0" applyFont="1" applyFill="1" applyBorder="1" applyAlignment="1">
      <alignment wrapText="1"/>
    </xf>
    <xf numFmtId="0" fontId="22" fillId="21" borderId="10" xfId="0" applyFont="1" applyFill="1" applyBorder="1" applyAlignment="1">
      <alignment horizontal="left" wrapText="1"/>
    </xf>
    <xf numFmtId="0" fontId="10" fillId="3" borderId="0" xfId="0" applyFont="1" applyFill="1" applyAlignment="1">
      <alignment horizontal="left" wrapText="1"/>
    </xf>
    <xf numFmtId="0" fontId="0" fillId="0" borderId="159" xfId="0" applyBorder="1" applyAlignment="1">
      <alignment wrapText="1"/>
    </xf>
    <xf numFmtId="0" fontId="25" fillId="0" borderId="159" xfId="0" applyFont="1" applyBorder="1" applyAlignment="1">
      <alignment wrapText="1"/>
    </xf>
    <xf numFmtId="0" fontId="10" fillId="17" borderId="0" xfId="0" applyFont="1" applyFill="1" applyAlignment="1">
      <alignment horizontal="center" wrapText="1"/>
    </xf>
    <xf numFmtId="0" fontId="289" fillId="27" borderId="161" xfId="0" applyFont="1" applyFill="1" applyBorder="1" applyAlignment="1">
      <alignment horizontal="center" wrapText="1"/>
    </xf>
    <xf numFmtId="0" fontId="25" fillId="0" borderId="46" xfId="0" applyFont="1" applyBorder="1" applyAlignment="1">
      <alignment wrapText="1"/>
    </xf>
    <xf numFmtId="0" fontId="25" fillId="0" borderId="162" xfId="0" applyFont="1" applyBorder="1" applyAlignment="1">
      <alignment wrapText="1"/>
    </xf>
    <xf numFmtId="0" fontId="10" fillId="0" borderId="36" xfId="0" applyFont="1" applyBorder="1"/>
    <xf numFmtId="0" fontId="324" fillId="0" borderId="7" xfId="0" applyFont="1" applyBorder="1" applyAlignment="1">
      <alignment horizontal="center" wrapText="1"/>
    </xf>
    <xf numFmtId="0" fontId="22" fillId="0" borderId="10" xfId="0" applyFont="1" applyBorder="1" applyAlignment="1">
      <alignment wrapText="1"/>
    </xf>
    <xf numFmtId="0" fontId="224" fillId="0" borderId="13" xfId="0" applyFont="1" applyBorder="1" applyAlignment="1">
      <alignment wrapText="1"/>
    </xf>
    <xf numFmtId="0" fontId="400" fillId="0" borderId="10" xfId="0" applyFont="1" applyBorder="1" applyAlignment="1">
      <alignment horizontal="center" wrapText="1"/>
    </xf>
    <xf numFmtId="0" fontId="224" fillId="0" borderId="0" xfId="0" applyFont="1" applyAlignment="1">
      <alignment wrapText="1"/>
    </xf>
    <xf numFmtId="0" fontId="401" fillId="3" borderId="7" xfId="0" applyFont="1" applyFill="1" applyBorder="1" applyAlignment="1">
      <alignment horizontal="center" wrapText="1"/>
    </xf>
    <xf numFmtId="0" fontId="403" fillId="71" borderId="7" xfId="0" applyFont="1" applyFill="1" applyBorder="1" applyAlignment="1">
      <alignment horizontal="left" wrapText="1"/>
    </xf>
    <xf numFmtId="9" fontId="201" fillId="0" borderId="0" xfId="0" applyNumberFormat="1" applyFont="1" applyAlignment="1">
      <alignment wrapText="1"/>
    </xf>
    <xf numFmtId="0" fontId="201" fillId="0" borderId="0" xfId="0" applyFont="1" applyAlignment="1"/>
    <xf numFmtId="9" fontId="0" fillId="0" borderId="0" xfId="3" applyFont="1" applyAlignment="1">
      <alignment wrapText="1"/>
    </xf>
    <xf numFmtId="3" fontId="10" fillId="74" borderId="0" xfId="0" applyNumberFormat="1" applyFont="1" applyFill="1" applyAlignment="1">
      <alignment wrapText="1"/>
    </xf>
    <xf numFmtId="0" fontId="0" fillId="74" borderId="0" xfId="0" applyFill="1" applyAlignment="1">
      <alignment wrapText="1"/>
    </xf>
    <xf numFmtId="17" fontId="201" fillId="0" borderId="0" xfId="0" applyNumberFormat="1" applyFont="1" applyAlignment="1">
      <alignment wrapText="1"/>
    </xf>
    <xf numFmtId="0" fontId="190" fillId="74" borderId="0" xfId="0" applyFont="1" applyFill="1" applyAlignment="1">
      <alignment wrapText="1"/>
    </xf>
    <xf numFmtId="0" fontId="190" fillId="74" borderId="0" xfId="0" applyFont="1" applyFill="1" applyAlignment="1"/>
    <xf numFmtId="0" fontId="0" fillId="0" borderId="0" xfId="0" applyAlignment="1"/>
    <xf numFmtId="0" fontId="423" fillId="0" borderId="0" xfId="1" applyAlignment="1"/>
    <xf numFmtId="9" fontId="0" fillId="0" borderId="0" xfId="0" applyNumberFormat="1" applyAlignment="1">
      <alignment wrapText="1"/>
    </xf>
    <xf numFmtId="3" fontId="9" fillId="0" borderId="0" xfId="0" applyNumberFormat="1" applyFont="1" applyFill="1" applyBorder="1" applyAlignment="1">
      <alignment wrapText="1"/>
    </xf>
    <xf numFmtId="0" fontId="9" fillId="77" borderId="0" xfId="0" applyFont="1" applyFill="1" applyAlignment="1">
      <alignment wrapText="1"/>
    </xf>
    <xf numFmtId="0" fontId="190" fillId="0" borderId="0" xfId="0" applyFont="1" applyAlignment="1"/>
    <xf numFmtId="0" fontId="190" fillId="0" borderId="0" xfId="0" applyFont="1" applyAlignment="1">
      <alignment horizontal="right" wrapText="1"/>
    </xf>
    <xf numFmtId="187" fontId="330" fillId="35" borderId="0" xfId="0" applyNumberFormat="1" applyFont="1" applyFill="1" applyAlignment="1">
      <alignment horizontal="left"/>
    </xf>
    <xf numFmtId="0" fontId="330" fillId="35" borderId="0" xfId="0" applyFont="1" applyFill="1" applyAlignment="1">
      <alignment horizontal="left"/>
    </xf>
    <xf numFmtId="18" fontId="330" fillId="35" borderId="0" xfId="0" applyNumberFormat="1" applyFont="1" applyFill="1" applyAlignment="1">
      <alignment horizontal="left"/>
    </xf>
    <xf numFmtId="0" fontId="10" fillId="0" borderId="0" xfId="0" applyFont="1" applyAlignment="1"/>
    <xf numFmtId="0" fontId="13" fillId="0" borderId="0" xfId="0" applyFont="1" applyAlignment="1"/>
    <xf numFmtId="3" fontId="10" fillId="0" borderId="0" xfId="0" applyNumberFormat="1" applyFont="1" applyAlignment="1">
      <alignment horizontal="left"/>
    </xf>
    <xf numFmtId="166" fontId="10" fillId="0" borderId="0" xfId="0" applyNumberFormat="1" applyFont="1" applyAlignment="1"/>
    <xf numFmtId="187" fontId="330" fillId="34" borderId="0" xfId="0" applyNumberFormat="1" applyFont="1" applyFill="1" applyAlignment="1">
      <alignment horizontal="left"/>
    </xf>
    <xf numFmtId="0" fontId="330" fillId="34" borderId="0" xfId="0" applyFont="1" applyFill="1" applyAlignment="1">
      <alignment horizontal="left"/>
    </xf>
    <xf numFmtId="18" fontId="330" fillId="34" borderId="0" xfId="0" applyNumberFormat="1" applyFont="1" applyFill="1" applyAlignment="1">
      <alignment horizontal="left"/>
    </xf>
    <xf numFmtId="0" fontId="329" fillId="34" borderId="0" xfId="0" applyFont="1" applyFill="1" applyAlignment="1">
      <alignment horizontal="left"/>
    </xf>
    <xf numFmtId="0" fontId="336" fillId="36" borderId="0" xfId="0" applyFont="1" applyFill="1" applyAlignment="1">
      <alignment horizontal="left" vertical="top"/>
    </xf>
    <xf numFmtId="18" fontId="333" fillId="36" borderId="0" xfId="0" applyNumberFormat="1" applyFont="1" applyFill="1" applyAlignment="1">
      <alignment horizontal="left" vertical="top"/>
    </xf>
    <xf numFmtId="0" fontId="334" fillId="34" borderId="0" xfId="0" applyFont="1" applyFill="1" applyAlignment="1">
      <alignment horizontal="left"/>
    </xf>
    <xf numFmtId="18" fontId="333" fillId="0" borderId="0" xfId="0" applyNumberFormat="1" applyFont="1" applyAlignment="1">
      <alignment horizontal="left" vertical="top"/>
    </xf>
    <xf numFmtId="0" fontId="333" fillId="0" borderId="0" xfId="0" applyFont="1" applyAlignment="1">
      <alignment horizontal="left" vertical="top"/>
    </xf>
    <xf numFmtId="0" fontId="333" fillId="36" borderId="0" xfId="0" applyFont="1" applyFill="1" applyAlignment="1">
      <alignment horizontal="left" vertical="top"/>
    </xf>
    <xf numFmtId="0" fontId="196" fillId="0" borderId="0" xfId="0" quotePrefix="1" applyFont="1" applyAlignment="1"/>
    <xf numFmtId="0" fontId="10" fillId="0" borderId="0" xfId="0" applyFont="1" applyFill="1" applyAlignment="1"/>
    <xf numFmtId="0" fontId="12" fillId="0" borderId="0" xfId="0" applyFont="1" applyFill="1" applyAlignment="1"/>
    <xf numFmtId="0" fontId="0" fillId="0" borderId="0" xfId="0" applyFill="1" applyAlignment="1"/>
    <xf numFmtId="0" fontId="94" fillId="0" borderId="0" xfId="0" applyFont="1" applyAlignment="1">
      <alignment wrapText="1"/>
    </xf>
    <xf numFmtId="3" fontId="10" fillId="0" borderId="0" xfId="0" applyNumberFormat="1" applyFont="1" applyAlignment="1">
      <alignment horizontal="center"/>
    </xf>
  </cellXfs>
  <cellStyles count="5">
    <cellStyle name="Comma" xfId="4" builtinId="3"/>
    <cellStyle name="Currency" xfId="2" builtinId="4"/>
    <cellStyle name="Hyperlink" xfId="1" builtinId="8"/>
    <cellStyle name="Normal" xfId="0" builtinId="0"/>
    <cellStyle name="Percent" xfId="3" builtinId="5"/>
  </cellStyles>
  <dxfs count="8">
    <dxf>
      <font>
        <color rgb="FF0000FF"/>
      </font>
      <fill>
        <patternFill patternType="solid">
          <fgColor rgb="FFFFFF00"/>
          <bgColor rgb="FFFFFF00"/>
        </patternFill>
      </fill>
    </dxf>
    <dxf>
      <font>
        <color rgb="FFFF0000"/>
      </font>
      <fill>
        <patternFill patternType="solid">
          <fgColor rgb="FFFFFFFF"/>
          <bgColor rgb="FFFFFFFF"/>
        </patternFill>
      </fill>
    </dxf>
    <dxf>
      <font>
        <color rgb="FF0000FF"/>
      </font>
      <fill>
        <patternFill patternType="solid">
          <fgColor rgb="FFFFFF00"/>
          <bgColor rgb="FFFFFF00"/>
        </patternFill>
      </fill>
    </dxf>
    <dxf>
      <font>
        <color rgb="FFFF0000"/>
      </font>
      <fill>
        <patternFill patternType="solid">
          <fgColor rgb="FFFFFFFF"/>
          <bgColor rgb="FFFFFFFF"/>
        </patternFill>
      </fill>
    </dxf>
    <dxf>
      <font>
        <color rgb="FF0000FF"/>
      </font>
      <fill>
        <patternFill patternType="solid">
          <fgColor rgb="FFFFFF00"/>
          <bgColor rgb="FFFFFF00"/>
        </patternFill>
      </fill>
    </dxf>
    <dxf>
      <font>
        <color rgb="FFFF0000"/>
      </font>
      <fill>
        <patternFill patternType="solid">
          <fgColor rgb="FFFFFFFF"/>
          <bgColor rgb="FFFFFFFF"/>
        </patternFill>
      </fill>
    </dxf>
    <dxf>
      <font>
        <color rgb="FF0000FF"/>
      </font>
      <fill>
        <patternFill patternType="solid">
          <fgColor rgb="FFFFFF00"/>
          <bgColor rgb="FFFFFF00"/>
        </patternFill>
      </fill>
    </dxf>
    <dxf>
      <font>
        <color rgb="FFFF0000"/>
      </font>
      <fill>
        <patternFill patternType="solid">
          <fgColor rgb="FFFFFFFF"/>
          <bgColor rgb="FFFFFF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sheetMetadata" Target="metadata.xml"/><Relationship Id="rId68" Type="http://schemas.microsoft.com/office/2017/06/relationships/rdSupportingPropertyBag" Target="richData/rdsupportingpropertybag.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microsoft.com/office/2017/06/relationships/richStyles" Target="richData/richStyles.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microsoft.com/office/2017/06/relationships/rdRichValue" Target="richData/rdrichvalue.xml"/><Relationship Id="rId69" Type="http://schemas.microsoft.com/office/2017/06/relationships/rdRichValueTypes" Target="richData/rdRichValueTyp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microsoft.com/office/2017/06/relationships/rdSupportingPropertyBagStructure" Target="richData/rdsupportingpropertybagstructure.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7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757575"/>
                </a:solidFill>
                <a:latin typeface="+mn-lt"/>
              </a:defRPr>
            </a:pPr>
            <a:r>
              <a:rPr lang="en-US" b="0">
                <a:solidFill>
                  <a:srgbClr val="757575"/>
                </a:solidFill>
                <a:latin typeface="+mn-lt"/>
              </a:rPr>
              <a:t>Annual Returns With Dividends vs. Year</a:t>
            </a:r>
          </a:p>
        </c:rich>
      </c:tx>
      <c:overlay val="0"/>
    </c:title>
    <c:autoTitleDeleted val="0"/>
    <c:plotArea>
      <c:layout/>
      <c:barChart>
        <c:barDir val="col"/>
        <c:grouping val="clustered"/>
        <c:varyColors val="1"/>
        <c:ser>
          <c:idx val="0"/>
          <c:order val="0"/>
          <c:spPr>
            <a:solidFill>
              <a:srgbClr val="4285F4"/>
            </a:solidFill>
            <a:ln cmpd="sng">
              <a:solidFill>
                <a:srgbClr val="000000"/>
              </a:solidFill>
            </a:ln>
          </c:spPr>
          <c:invertIfNegative val="1"/>
          <c:cat>
            <c:numRef>
              <c:f>Sheet62!$A$3:$A$31</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Sheet62!$B$3:$B$31</c:f>
              <c:numCache>
                <c:formatCode>0.00%</c:formatCode>
                <c:ptCount val="29"/>
                <c:pt idx="0">
                  <c:v>0.372</c:v>
                </c:pt>
                <c:pt idx="1">
                  <c:v>0.2268</c:v>
                </c:pt>
                <c:pt idx="2">
                  <c:v>0.33100000000000002</c:v>
                </c:pt>
                <c:pt idx="3">
                  <c:v>0.28339999999999999</c:v>
                </c:pt>
                <c:pt idx="4">
                  <c:v>0.2089</c:v>
                </c:pt>
                <c:pt idx="5">
                  <c:v>-9.0300000000000005E-2</c:v>
                </c:pt>
                <c:pt idx="6">
                  <c:v>-0.11849999999999999</c:v>
                </c:pt>
                <c:pt idx="7">
                  <c:v>-0.21970000000000001</c:v>
                </c:pt>
                <c:pt idx="8">
                  <c:v>0.28360000000000002</c:v>
                </c:pt>
                <c:pt idx="9">
                  <c:v>0.1074</c:v>
                </c:pt>
                <c:pt idx="10">
                  <c:v>4.8300000000000003E-2</c:v>
                </c:pt>
                <c:pt idx="11">
                  <c:v>0.15609999999999999</c:v>
                </c:pt>
                <c:pt idx="12">
                  <c:v>5.4800000000000001E-2</c:v>
                </c:pt>
                <c:pt idx="13">
                  <c:v>-0.36549999999999999</c:v>
                </c:pt>
                <c:pt idx="14">
                  <c:v>0.25940000000000002</c:v>
                </c:pt>
                <c:pt idx="15">
                  <c:v>0.1482</c:v>
                </c:pt>
                <c:pt idx="16">
                  <c:v>2.1000000000000001E-2</c:v>
                </c:pt>
                <c:pt idx="17">
                  <c:v>0.15890000000000001</c:v>
                </c:pt>
                <c:pt idx="18">
                  <c:v>0.32150000000000001</c:v>
                </c:pt>
                <c:pt idx="19">
                  <c:v>0.13519999999999999</c:v>
                </c:pt>
                <c:pt idx="20">
                  <c:v>1.38E-2</c:v>
                </c:pt>
                <c:pt idx="21">
                  <c:v>0.1177</c:v>
                </c:pt>
                <c:pt idx="22">
                  <c:v>0.21609999999999999</c:v>
                </c:pt>
                <c:pt idx="23">
                  <c:v>-4.2299999999999997E-2</c:v>
                </c:pt>
                <c:pt idx="24">
                  <c:v>0.31209999999999999</c:v>
                </c:pt>
                <c:pt idx="25">
                  <c:v>0.1802</c:v>
                </c:pt>
                <c:pt idx="26">
                  <c:v>0.28470000000000001</c:v>
                </c:pt>
                <c:pt idx="27">
                  <c:v>-0.18010000000000001</c:v>
                </c:pt>
                <c:pt idx="28">
                  <c:v>0.23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92B-4CD5-A3F3-88480CF5A4DD}"/>
            </c:ext>
          </c:extLst>
        </c:ser>
        <c:dLbls>
          <c:showLegendKey val="0"/>
          <c:showVal val="0"/>
          <c:showCatName val="0"/>
          <c:showSerName val="0"/>
          <c:showPercent val="0"/>
          <c:showBubbleSize val="0"/>
        </c:dLbls>
        <c:gapWidth val="150"/>
        <c:axId val="1612043553"/>
        <c:axId val="1032847371"/>
      </c:barChart>
      <c:catAx>
        <c:axId val="1612043553"/>
        <c:scaling>
          <c:orientation val="minMax"/>
        </c:scaling>
        <c:delete val="0"/>
        <c:axPos val="b"/>
        <c:title>
          <c:tx>
            <c:rich>
              <a:bodyPr/>
              <a:lstStyle/>
              <a:p>
                <a:pPr lvl="0">
                  <a:defRPr b="0">
                    <a:solidFill>
                      <a:srgbClr val="000000"/>
                    </a:solidFill>
                    <a:latin typeface="+mn-lt"/>
                  </a:defRPr>
                </a:pPr>
                <a:r>
                  <a:rPr lang="en-US" b="0">
                    <a:solidFill>
                      <a:srgbClr val="000000"/>
                    </a:solidFill>
                    <a:latin typeface="+mn-lt"/>
                  </a:rPr>
                  <a:t>Year</a:t>
                </a:r>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032847371"/>
        <c:crosses val="autoZero"/>
        <c:auto val="1"/>
        <c:lblAlgn val="ctr"/>
        <c:lblOffset val="100"/>
        <c:noMultiLvlLbl val="1"/>
      </c:catAx>
      <c:valAx>
        <c:axId val="103284737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lang="en-US" b="0">
                    <a:solidFill>
                      <a:srgbClr val="000000"/>
                    </a:solidFill>
                    <a:latin typeface="+mn-lt"/>
                  </a:rPr>
                  <a:t>Annual Returns With Dividends</a:t>
                </a: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612043553"/>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757575"/>
                </a:solidFill>
                <a:latin typeface="+mn-lt"/>
              </a:defRPr>
            </a:pPr>
            <a:r>
              <a:rPr b="0">
                <a:solidFill>
                  <a:srgbClr val="757575"/>
                </a:solidFill>
                <a:latin typeface="+mn-lt"/>
              </a:rPr>
              <a:t>Annual
% Change vs. S&amp;P 500 Index - Historical Annual Data</a:t>
            </a:r>
          </a:p>
        </c:rich>
      </c:tx>
      <c:overlay val="0"/>
    </c:title>
    <c:autoTitleDeleted val="0"/>
    <c:plotArea>
      <c:layout/>
      <c:barChart>
        <c:barDir val="col"/>
        <c:grouping val="clustered"/>
        <c:varyColors val="1"/>
        <c:ser>
          <c:idx val="0"/>
          <c:order val="0"/>
          <c:tx>
            <c:strRef>
              <c:f>Sheet62!$G$34:$G$35</c:f>
              <c:strCache>
                <c:ptCount val="2"/>
                <c:pt idx="1">
                  <c:v>Annual
% Change</c:v>
                </c:pt>
              </c:strCache>
            </c:strRef>
          </c:tx>
          <c:spPr>
            <a:solidFill>
              <a:srgbClr val="4285F4"/>
            </a:solidFill>
            <a:ln cmpd="sng">
              <a:solidFill>
                <a:srgbClr val="000000"/>
              </a:solidFill>
            </a:ln>
          </c:spPr>
          <c:invertIfNegative val="1"/>
          <c:cat>
            <c:numRef>
              <c:f>Sheet62!$H$36:$H$131</c:f>
              <c:numCache>
                <c:formatCode>General</c:formatCode>
                <c:ptCount val="96"/>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pt idx="34">
                  <c:v>1989</c:v>
                </c:pt>
                <c:pt idx="35">
                  <c:v>1988</c:v>
                </c:pt>
                <c:pt idx="36">
                  <c:v>1987</c:v>
                </c:pt>
                <c:pt idx="37">
                  <c:v>1986</c:v>
                </c:pt>
                <c:pt idx="38">
                  <c:v>1985</c:v>
                </c:pt>
                <c:pt idx="39">
                  <c:v>1984</c:v>
                </c:pt>
                <c:pt idx="40">
                  <c:v>1983</c:v>
                </c:pt>
                <c:pt idx="41">
                  <c:v>1982</c:v>
                </c:pt>
                <c:pt idx="42">
                  <c:v>1981</c:v>
                </c:pt>
                <c:pt idx="43">
                  <c:v>1980</c:v>
                </c:pt>
                <c:pt idx="44">
                  <c:v>1979</c:v>
                </c:pt>
                <c:pt idx="45">
                  <c:v>1978</c:v>
                </c:pt>
                <c:pt idx="46">
                  <c:v>1977</c:v>
                </c:pt>
                <c:pt idx="47">
                  <c:v>1976</c:v>
                </c:pt>
                <c:pt idx="48">
                  <c:v>1975</c:v>
                </c:pt>
                <c:pt idx="49">
                  <c:v>1974</c:v>
                </c:pt>
                <c:pt idx="50">
                  <c:v>1973</c:v>
                </c:pt>
                <c:pt idx="51">
                  <c:v>1972</c:v>
                </c:pt>
                <c:pt idx="52">
                  <c:v>1971</c:v>
                </c:pt>
                <c:pt idx="53">
                  <c:v>1970</c:v>
                </c:pt>
                <c:pt idx="54">
                  <c:v>1969</c:v>
                </c:pt>
                <c:pt idx="55">
                  <c:v>1968</c:v>
                </c:pt>
                <c:pt idx="56">
                  <c:v>1967</c:v>
                </c:pt>
                <c:pt idx="57">
                  <c:v>1966</c:v>
                </c:pt>
                <c:pt idx="58">
                  <c:v>1965</c:v>
                </c:pt>
                <c:pt idx="59">
                  <c:v>1964</c:v>
                </c:pt>
                <c:pt idx="60">
                  <c:v>1963</c:v>
                </c:pt>
                <c:pt idx="61">
                  <c:v>1962</c:v>
                </c:pt>
                <c:pt idx="62">
                  <c:v>1961</c:v>
                </c:pt>
                <c:pt idx="63">
                  <c:v>1960</c:v>
                </c:pt>
                <c:pt idx="64">
                  <c:v>1959</c:v>
                </c:pt>
                <c:pt idx="65">
                  <c:v>1958</c:v>
                </c:pt>
                <c:pt idx="66">
                  <c:v>1957</c:v>
                </c:pt>
                <c:pt idx="67">
                  <c:v>1956</c:v>
                </c:pt>
                <c:pt idx="68">
                  <c:v>1955</c:v>
                </c:pt>
                <c:pt idx="69">
                  <c:v>1954</c:v>
                </c:pt>
                <c:pt idx="70">
                  <c:v>1953</c:v>
                </c:pt>
                <c:pt idx="71">
                  <c:v>1952</c:v>
                </c:pt>
                <c:pt idx="72">
                  <c:v>1951</c:v>
                </c:pt>
                <c:pt idx="73">
                  <c:v>1950</c:v>
                </c:pt>
                <c:pt idx="74">
                  <c:v>1949</c:v>
                </c:pt>
                <c:pt idx="75">
                  <c:v>1948</c:v>
                </c:pt>
                <c:pt idx="76">
                  <c:v>1947</c:v>
                </c:pt>
                <c:pt idx="77">
                  <c:v>1946</c:v>
                </c:pt>
                <c:pt idx="78">
                  <c:v>1945</c:v>
                </c:pt>
                <c:pt idx="79">
                  <c:v>1944</c:v>
                </c:pt>
                <c:pt idx="80">
                  <c:v>1943</c:v>
                </c:pt>
                <c:pt idx="81">
                  <c:v>1942</c:v>
                </c:pt>
                <c:pt idx="82">
                  <c:v>1941</c:v>
                </c:pt>
                <c:pt idx="83">
                  <c:v>1940</c:v>
                </c:pt>
                <c:pt idx="84">
                  <c:v>1939</c:v>
                </c:pt>
                <c:pt idx="85">
                  <c:v>1938</c:v>
                </c:pt>
                <c:pt idx="86">
                  <c:v>1937</c:v>
                </c:pt>
                <c:pt idx="87">
                  <c:v>1936</c:v>
                </c:pt>
                <c:pt idx="88">
                  <c:v>1935</c:v>
                </c:pt>
                <c:pt idx="89">
                  <c:v>1934</c:v>
                </c:pt>
                <c:pt idx="90">
                  <c:v>1933</c:v>
                </c:pt>
              </c:numCache>
            </c:numRef>
          </c:cat>
          <c:val>
            <c:numRef>
              <c:f>Sheet62!$G$36:$G$131</c:f>
              <c:numCache>
                <c:formatCode>0.00%</c:formatCode>
                <c:ptCount val="96"/>
                <c:pt idx="0">
                  <c:v>0.23830000000000001</c:v>
                </c:pt>
                <c:pt idx="1">
                  <c:v>-0.19439999999999999</c:v>
                </c:pt>
                <c:pt idx="2">
                  <c:v>0.26889999999999997</c:v>
                </c:pt>
                <c:pt idx="3">
                  <c:v>0.16259999999999999</c:v>
                </c:pt>
                <c:pt idx="4">
                  <c:v>0.2888</c:v>
                </c:pt>
                <c:pt idx="5">
                  <c:v>-6.2399999999999997E-2</c:v>
                </c:pt>
                <c:pt idx="6">
                  <c:v>0.19420000000000001</c:v>
                </c:pt>
                <c:pt idx="7">
                  <c:v>9.5399999999999999E-2</c:v>
                </c:pt>
                <c:pt idx="8">
                  <c:v>-7.3000000000000001E-3</c:v>
                </c:pt>
                <c:pt idx="9">
                  <c:v>0.1139</c:v>
                </c:pt>
                <c:pt idx="10">
                  <c:v>0.29599999999999999</c:v>
                </c:pt>
                <c:pt idx="11">
                  <c:v>0.1341</c:v>
                </c:pt>
                <c:pt idx="12">
                  <c:v>0</c:v>
                </c:pt>
                <c:pt idx="13">
                  <c:v>0.1278</c:v>
                </c:pt>
                <c:pt idx="14">
                  <c:v>0.23449999999999999</c:v>
                </c:pt>
                <c:pt idx="15">
                  <c:v>-0.38490000000000002</c:v>
                </c:pt>
                <c:pt idx="16">
                  <c:v>3.5299999999999998E-2</c:v>
                </c:pt>
                <c:pt idx="17">
                  <c:v>0.13619999999999999</c:v>
                </c:pt>
                <c:pt idx="18">
                  <c:v>0.03</c:v>
                </c:pt>
                <c:pt idx="19">
                  <c:v>8.9899999999999994E-2</c:v>
                </c:pt>
                <c:pt idx="20">
                  <c:v>0.26379999999999998</c:v>
                </c:pt>
                <c:pt idx="21">
                  <c:v>-0.23369999999999999</c:v>
                </c:pt>
                <c:pt idx="22">
                  <c:v>-0.13039999999999999</c:v>
                </c:pt>
                <c:pt idx="23">
                  <c:v>-0.1014</c:v>
                </c:pt>
                <c:pt idx="24">
                  <c:v>0.1953</c:v>
                </c:pt>
                <c:pt idx="25">
                  <c:v>0.26669999999999999</c:v>
                </c:pt>
                <c:pt idx="26">
                  <c:v>0.31009999999999999</c:v>
                </c:pt>
                <c:pt idx="27">
                  <c:v>0.2026</c:v>
                </c:pt>
                <c:pt idx="28">
                  <c:v>0.34110000000000001</c:v>
                </c:pt>
                <c:pt idx="29">
                  <c:v>-1.54E-2</c:v>
                </c:pt>
                <c:pt idx="30">
                  <c:v>7.0599999999999996E-2</c:v>
                </c:pt>
                <c:pt idx="31">
                  <c:v>4.4600000000000001E-2</c:v>
                </c:pt>
                <c:pt idx="32">
                  <c:v>0.2631</c:v>
                </c:pt>
                <c:pt idx="33">
                  <c:v>-6.5600000000000006E-2</c:v>
                </c:pt>
                <c:pt idx="34">
                  <c:v>0.27250000000000002</c:v>
                </c:pt>
                <c:pt idx="35">
                  <c:v>0.124</c:v>
                </c:pt>
                <c:pt idx="36">
                  <c:v>2.0299999999999999E-2</c:v>
                </c:pt>
                <c:pt idx="37">
                  <c:v>0.1462</c:v>
                </c:pt>
                <c:pt idx="38">
                  <c:v>0.26329999999999998</c:v>
                </c:pt>
                <c:pt idx="39">
                  <c:v>1.4E-2</c:v>
                </c:pt>
                <c:pt idx="40">
                  <c:v>0.17269999999999999</c:v>
                </c:pt>
                <c:pt idx="41">
                  <c:v>0.14760000000000001</c:v>
                </c:pt>
                <c:pt idx="42">
                  <c:v>-9.7299999999999998E-2</c:v>
                </c:pt>
                <c:pt idx="43">
                  <c:v>0.25769999999999998</c:v>
                </c:pt>
                <c:pt idx="44">
                  <c:v>0.1231</c:v>
                </c:pt>
                <c:pt idx="45">
                  <c:v>1.06E-2</c:v>
                </c:pt>
                <c:pt idx="46">
                  <c:v>-0.115</c:v>
                </c:pt>
                <c:pt idx="47">
                  <c:v>0.1915</c:v>
                </c:pt>
                <c:pt idx="48">
                  <c:v>0.3155</c:v>
                </c:pt>
                <c:pt idx="49">
                  <c:v>-0.29720000000000002</c:v>
                </c:pt>
                <c:pt idx="50">
                  <c:v>-0.17369999999999999</c:v>
                </c:pt>
                <c:pt idx="51">
                  <c:v>0.15629999999999999</c:v>
                </c:pt>
                <c:pt idx="52">
                  <c:v>0.1079</c:v>
                </c:pt>
                <c:pt idx="53">
                  <c:v>1E-3</c:v>
                </c:pt>
                <c:pt idx="54">
                  <c:v>-0.11360000000000001</c:v>
                </c:pt>
                <c:pt idx="55">
                  <c:v>7.6600000000000001E-2</c:v>
                </c:pt>
                <c:pt idx="56">
                  <c:v>0.2009</c:v>
                </c:pt>
                <c:pt idx="57">
                  <c:v>-0.13089999999999999</c:v>
                </c:pt>
                <c:pt idx="58">
                  <c:v>9.06E-2</c:v>
                </c:pt>
                <c:pt idx="59">
                  <c:v>0.12970000000000001</c:v>
                </c:pt>
                <c:pt idx="60">
                  <c:v>0.18890000000000001</c:v>
                </c:pt>
                <c:pt idx="61">
                  <c:v>-0.1181</c:v>
                </c:pt>
                <c:pt idx="62">
                  <c:v>0.23130000000000001</c:v>
                </c:pt>
                <c:pt idx="63">
                  <c:v>-2.9700000000000001E-2</c:v>
                </c:pt>
                <c:pt idx="64">
                  <c:v>8.48E-2</c:v>
                </c:pt>
                <c:pt idx="65">
                  <c:v>0.38059999999999999</c:v>
                </c:pt>
                <c:pt idx="66">
                  <c:v>-0.1431</c:v>
                </c:pt>
                <c:pt idx="67">
                  <c:v>2.6200000000000001E-2</c:v>
                </c:pt>
                <c:pt idx="68">
                  <c:v>0.26400000000000001</c:v>
                </c:pt>
                <c:pt idx="69">
                  <c:v>0.45019999999999999</c:v>
                </c:pt>
                <c:pt idx="70">
                  <c:v>-6.6199999999999995E-2</c:v>
                </c:pt>
                <c:pt idx="71">
                  <c:v>0.1178</c:v>
                </c:pt>
                <c:pt idx="72">
                  <c:v>0.1646</c:v>
                </c:pt>
                <c:pt idx="73">
                  <c:v>0.21779999999999999</c:v>
                </c:pt>
                <c:pt idx="74">
                  <c:v>0.1026</c:v>
                </c:pt>
                <c:pt idx="75">
                  <c:v>-6.4999999999999997E-3</c:v>
                </c:pt>
                <c:pt idx="76">
                  <c:v>0</c:v>
                </c:pt>
                <c:pt idx="77">
                  <c:v>-0.1187</c:v>
                </c:pt>
                <c:pt idx="78">
                  <c:v>0.30719999999999997</c:v>
                </c:pt>
                <c:pt idx="79">
                  <c:v>0.13800000000000001</c:v>
                </c:pt>
                <c:pt idx="80">
                  <c:v>0.19450000000000001</c:v>
                </c:pt>
                <c:pt idx="81">
                  <c:v>0.12429999999999999</c:v>
                </c:pt>
                <c:pt idx="82">
                  <c:v>-0.17860000000000001</c:v>
                </c:pt>
                <c:pt idx="83">
                  <c:v>-0.15290000000000001</c:v>
                </c:pt>
                <c:pt idx="84">
                  <c:v>-5.45E-2</c:v>
                </c:pt>
                <c:pt idx="85">
                  <c:v>0.25209999999999999</c:v>
                </c:pt>
                <c:pt idx="86">
                  <c:v>-0.38590000000000002</c:v>
                </c:pt>
                <c:pt idx="87">
                  <c:v>0.2792</c:v>
                </c:pt>
                <c:pt idx="88">
                  <c:v>0.41370000000000001</c:v>
                </c:pt>
                <c:pt idx="89">
                  <c:v>-5.9400000000000001E-2</c:v>
                </c:pt>
                <c:pt idx="90">
                  <c:v>0.46589999999999998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8AB-4E28-82D4-DB6151ABCE81}"/>
            </c:ext>
          </c:extLst>
        </c:ser>
        <c:dLbls>
          <c:showLegendKey val="0"/>
          <c:showVal val="0"/>
          <c:showCatName val="0"/>
          <c:showSerName val="0"/>
          <c:showPercent val="0"/>
          <c:showBubbleSize val="0"/>
        </c:dLbls>
        <c:gapWidth val="150"/>
        <c:axId val="9957408"/>
        <c:axId val="1846665814"/>
      </c:barChart>
      <c:catAx>
        <c:axId val="9957408"/>
        <c:scaling>
          <c:orientation val="minMax"/>
        </c:scaling>
        <c:delete val="0"/>
        <c:axPos val="b"/>
        <c:title>
          <c:tx>
            <c:rich>
              <a:bodyPr/>
              <a:lstStyle/>
              <a:p>
                <a:pPr lvl="0">
                  <a:defRPr b="0">
                    <a:solidFill>
                      <a:srgbClr val="000000"/>
                    </a:solidFill>
                    <a:latin typeface="+mn-lt"/>
                  </a:defRPr>
                </a:pPr>
                <a:r>
                  <a:rPr b="0">
                    <a:solidFill>
                      <a:srgbClr val="000000"/>
                    </a:solidFill>
                    <a:latin typeface="+mn-lt"/>
                  </a:rPr>
                  <a:t>S&amp;P 500 Index - Historical Annual Data</a:t>
                </a:r>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846665814"/>
        <c:crosses val="autoZero"/>
        <c:auto val="1"/>
        <c:lblAlgn val="ctr"/>
        <c:lblOffset val="100"/>
        <c:noMultiLvlLbl val="1"/>
      </c:catAx>
      <c:valAx>
        <c:axId val="184666581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Annual
% Change</a:t>
                </a: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9957408"/>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36</xdr:row>
      <xdr:rowOff>0</xdr:rowOff>
    </xdr:from>
    <xdr:to>
      <xdr:col>14</xdr:col>
      <xdr:colOff>187240</xdr:colOff>
      <xdr:row>69</xdr:row>
      <xdr:rowOff>41244</xdr:rowOff>
    </xdr:to>
    <xdr:pic>
      <xdr:nvPicPr>
        <xdr:cNvPr id="2" name="Picture 1">
          <a:extLst>
            <a:ext uri="{FF2B5EF4-FFF2-40B4-BE49-F238E27FC236}">
              <a16:creationId xmlns:a16="http://schemas.microsoft.com/office/drawing/2014/main" id="{DE86D9C3-399B-B468-5604-F0FBC1060FB9}"/>
            </a:ext>
          </a:extLst>
        </xdr:cNvPr>
        <xdr:cNvPicPr>
          <a:picLocks noChangeAspect="1"/>
        </xdr:cNvPicPr>
      </xdr:nvPicPr>
      <xdr:blipFill>
        <a:blip xmlns:r="http://schemas.openxmlformats.org/officeDocument/2006/relationships" r:embed="rId1"/>
        <a:stretch>
          <a:fillRect/>
        </a:stretch>
      </xdr:blipFill>
      <xdr:spPr>
        <a:xfrm>
          <a:off x="0" y="5760720"/>
          <a:ext cx="10838095" cy="5323809"/>
        </a:xfrm>
        <a:prstGeom prst="rect">
          <a:avLst/>
        </a:prstGeom>
      </xdr:spPr>
    </xdr:pic>
    <xdr:clientData/>
  </xdr:twoCellAnchor>
  <xdr:twoCellAnchor editAs="oneCell">
    <xdr:from>
      <xdr:col>15</xdr:col>
      <xdr:colOff>0</xdr:colOff>
      <xdr:row>36</xdr:row>
      <xdr:rowOff>0</xdr:rowOff>
    </xdr:from>
    <xdr:to>
      <xdr:col>22</xdr:col>
      <xdr:colOff>422097</xdr:colOff>
      <xdr:row>58</xdr:row>
      <xdr:rowOff>117655</xdr:rowOff>
    </xdr:to>
    <xdr:pic>
      <xdr:nvPicPr>
        <xdr:cNvPr id="3" name="Picture 2">
          <a:extLst>
            <a:ext uri="{FF2B5EF4-FFF2-40B4-BE49-F238E27FC236}">
              <a16:creationId xmlns:a16="http://schemas.microsoft.com/office/drawing/2014/main" id="{D8979C65-3AB3-3EEB-F77D-4EBA3516291F}"/>
            </a:ext>
          </a:extLst>
        </xdr:cNvPr>
        <xdr:cNvPicPr>
          <a:picLocks noChangeAspect="1"/>
        </xdr:cNvPicPr>
      </xdr:nvPicPr>
      <xdr:blipFill>
        <a:blip xmlns:r="http://schemas.openxmlformats.org/officeDocument/2006/relationships" r:embed="rId2"/>
        <a:stretch>
          <a:fillRect/>
        </a:stretch>
      </xdr:blipFill>
      <xdr:spPr>
        <a:xfrm>
          <a:off x="11330940" y="5760720"/>
          <a:ext cx="6504762" cy="3638095"/>
        </a:xfrm>
        <a:prstGeom prst="rect">
          <a:avLst/>
        </a:prstGeom>
      </xdr:spPr>
    </xdr:pic>
    <xdr:clientData/>
  </xdr:twoCellAnchor>
  <xdr:twoCellAnchor editAs="oneCell">
    <xdr:from>
      <xdr:col>18</xdr:col>
      <xdr:colOff>0</xdr:colOff>
      <xdr:row>0</xdr:row>
      <xdr:rowOff>0</xdr:rowOff>
    </xdr:from>
    <xdr:to>
      <xdr:col>25</xdr:col>
      <xdr:colOff>498308</xdr:colOff>
      <xdr:row>23</xdr:row>
      <xdr:rowOff>155730</xdr:rowOff>
    </xdr:to>
    <xdr:pic>
      <xdr:nvPicPr>
        <xdr:cNvPr id="4" name="Picture 3">
          <a:extLst>
            <a:ext uri="{FF2B5EF4-FFF2-40B4-BE49-F238E27FC236}">
              <a16:creationId xmlns:a16="http://schemas.microsoft.com/office/drawing/2014/main" id="{23D3C67B-0ADA-B636-6D9F-7CCAE5B7413D}"/>
            </a:ext>
          </a:extLst>
        </xdr:cNvPr>
        <xdr:cNvPicPr>
          <a:picLocks noChangeAspect="1"/>
        </xdr:cNvPicPr>
      </xdr:nvPicPr>
      <xdr:blipFill>
        <a:blip xmlns:r="http://schemas.openxmlformats.org/officeDocument/2006/relationships" r:embed="rId3"/>
        <a:stretch>
          <a:fillRect/>
        </a:stretch>
      </xdr:blipFill>
      <xdr:spPr>
        <a:xfrm>
          <a:off x="14013180" y="0"/>
          <a:ext cx="6419048" cy="3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104775</xdr:colOff>
      <xdr:row>1</xdr:row>
      <xdr:rowOff>142875</xdr:rowOff>
    </xdr:from>
    <xdr:ext cx="12030075" cy="3533775"/>
    <xdr:graphicFrame macro="">
      <xdr:nvGraphicFramePr>
        <xdr:cNvPr id="2" name="Chart 1" title="Chart">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285750</xdr:colOff>
      <xdr:row>142</xdr:row>
      <xdr:rowOff>142875</xdr:rowOff>
    </xdr:from>
    <xdr:ext cx="13315950" cy="3533775"/>
    <xdr:graphicFrame macro="">
      <xdr:nvGraphicFramePr>
        <xdr:cNvPr id="3" name="Chart 2" title="Chart">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persons/person.xml><?xml version="1.0" encoding="utf-8"?>
<personList xmlns="http://schemas.microsoft.com/office/spreadsheetml/2018/threadedcomments" xmlns:x="http://schemas.openxmlformats.org/spreadsheetml/2006/main"/>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
      <keyFlags>
        <key name="%cvi">
          <flag name="ShowInCardView" value="0"/>
          <flag name="ShowInDotNotation" value="0"/>
          <flag name="ShowInAutoComplete" value="0"/>
          <flag name="ExcludeFromCalcComparison" value="1"/>
        </key>
      </keyFlags>
    </type>
    <type name="_linkedentitycore">
      <keyFlags>
        <key name="%EntityServiceId">
          <flag name="ShowInCardView" value="0"/>
          <flag name="ShowInDotNotation" value="0"/>
          <flag name="ShowInAutoComplete" value="0"/>
        </key>
        <key name="%EntitySubDomain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s>
</rvTypesInfo>
</file>

<file path=xl/richData/rdrichvalue.xml><?xml version="1.0" encoding="utf-8"?>
<rvData xmlns="http://schemas.microsoft.com/office/spreadsheetml/2017/richdata" count="18">
  <rv s="0">
    <v>https://www.bing.com/financeapi/forcetrigger?t=a1yv52&amp;q=XNAS%3aNVDA&amp;form=skydnc</v>
    <v>Learn more on Bing</v>
  </rv>
  <rv s="1">
    <v>en-US</v>
    <v>a1yv52</v>
    <v>268435456</v>
    <v>1</v>
    <v>Powered by Refinitiv</v>
    <v>0</v>
    <v>NVIDIA CORPORATION (XNAS:NVDA)</v>
    <v>2</v>
    <v>3</v>
    <v>Finance</v>
    <v>4</v>
    <v>153.13</v>
    <v>59.938000000000002</v>
    <v>1.6346000000000001</v>
    <v>-4.5999999999999996</v>
    <v>-4.2069999999999998E-3</v>
    <v>-3.1245999999999999E-2</v>
    <v>-0.6</v>
    <v>USD</v>
    <v>NVIDIA Corporation is a full-stack computing infrastructure company. The Company is engaged in accelerated computing to help solve the challenging computational problems. The Company’s segments include Compute &amp; Networking and Graphics. The Compute &amp; Networking segment includes its Data Center accelerated computing platforms and artificial intelligence (AI) solutions and software; networking; automotive platforms and autonomous and electric vehicle solutions; Jetson for robotics and other embedded platforms, and DGX Cloud computing services. The Graphics segment includes GeForce GPUs for gaming and PCs, the GeForce NOW game streaming service and related infrastructure, and solutions for gaming platforms; Quadro/NVIDIA RTX GPUs for enterprise workstation graphics; virtual GPU software for cloud-based visual and virtual computing; automotive platforms for infotainment systems, and Omniverse Enterprise software for building and operating three-dimensional Internet applications.</v>
    <v>29600</v>
    <v>Nasdaq Stock Market</v>
    <v>XNAS</v>
    <v>XNAS</v>
    <v>2788 San Tomas Expressway, SANTA CLARA, CA, 95051 US</v>
    <v>148.97</v>
    <v>Semiconductors &amp; Semiconductor Equipment</v>
    <v>Stock</v>
    <v>45682.041650983592</v>
    <v>0</v>
    <v>141.88</v>
    <v>3492763800000</v>
    <v>NVIDIA CORPORATION</v>
    <v>NVIDIA CORPORATION</v>
    <v>148.37</v>
    <v>56.196100000000001</v>
    <v>147.22</v>
    <v>142.62</v>
    <v>142.02000000000001</v>
    <v>24490000000</v>
    <v>NVDA</v>
    <v>NVIDIA CORPORATION (XNAS:NVDA)</v>
    <v>234657635</v>
    <v>209991937</v>
    <v>1998</v>
  </rv>
  <rv s="2">
    <v>1</v>
  </rv>
  <rv s="0">
    <v>https://www.bing.com/financeapi/forcetrigger?t=a1mou2&amp;q=XNAS%3aAAPL&amp;form=skydnc</v>
    <v>Learn more on Bing</v>
  </rv>
  <rv s="1">
    <v>en-US</v>
    <v>a1mou2</v>
    <v>268435456</v>
    <v>1</v>
    <v>Powered by Refinitiv</v>
    <v>0</v>
    <v>APPLE INC. (XNAS:AAPL)</v>
    <v>2</v>
    <v>3</v>
    <v>Finance</v>
    <v>4</v>
    <v>260.10000000000002</v>
    <v>164.07499999999999</v>
    <v>1.1802999999999999</v>
    <v>-0.88</v>
    <v>-2.738E-3</v>
    <v>-3.9350000000000001E-3</v>
    <v>-0.61</v>
    <v>USD</v>
    <v>Apple Inc. designs, manufactures and markets smartphones, personal computers, tablets, wearables and accessories, and sells a variety of related services. Its product categories include iPhone, Mac, iPad, and Wearables, Home and Accessories. Its software platforms include iOS, iPadOS, macOS, watchOS, visionOS, and tvOS. Its services include advertising, AppleCare, cloud services, digital content and payment services. The Company operates various platforms, including the App Store, that allow customers to discover and download applications and digital content, such as books, music, video, games and podcasts. It also offers digital content through subscription-based services, including Apple Arcade, Apple Fitness+, Apple Music, Apple News+, and Apple TV+. Its products include iPhone 16 Pro, iPhone 16, iPhone 15, iPhone 14, iPhone SE, MacBook Air, MacBook Pro, iMac, Mac mini, Mac Studio, Mac Pro, iPad Pro, iPad Air, AirPods, AirPods Pro, AirPods Max, Apple TV and Apple Vision Pro.</v>
    <v>164000</v>
    <v>Nasdaq Stock Market</v>
    <v>XNAS</v>
    <v>XNAS</v>
    <v>One Apple Park Way, CUPERTINO, CA, 95014 US</v>
    <v>225.63</v>
    <v>Computers, Phones &amp; Household Electronics</v>
    <v>Stock</v>
    <v>45682.041646168749</v>
    <v>3</v>
    <v>221.41</v>
    <v>3350136678600</v>
    <v>APPLE INC.</v>
    <v>APPLE INC.</v>
    <v>224.78</v>
    <v>33.183999999999997</v>
    <v>223.66</v>
    <v>222.78</v>
    <v>222.17</v>
    <v>15037870000</v>
    <v>AAPL</v>
    <v>APPLE INC. (XNAS:AAPL)</v>
    <v>54697907</v>
    <v>53990240</v>
    <v>1977</v>
  </rv>
  <rv s="2">
    <v>4</v>
  </rv>
  <rv s="0">
    <v>https://www.bing.com/financeapi/forcetrigger?t=a268f2&amp;q=ARCX%3aXLU&amp;form=skydnc</v>
    <v>Learn more on Bing</v>
  </rv>
  <rv s="3">
    <v>en-US</v>
    <v>a268f2</v>
    <v>268435456</v>
    <v>1</v>
    <v>Powered by Refinitiv</v>
    <v>5</v>
    <v>Sel Sector:Util SPDR (ARCX:XLU)</v>
    <v>6</v>
    <v>7</v>
    <v>Finance</v>
    <v>8</v>
    <v>83.41</v>
    <v>59.14</v>
    <v>0.99670000000000003</v>
    <v>0.8</v>
    <v>-1.132E-3</v>
    <v>1.0166E-2</v>
    <v>-0.09</v>
    <v>USD</v>
    <v>NYSE Arca</v>
    <v>ARCX</v>
    <v>8.0000000000000004E-4</v>
    <v>79.72</v>
    <v>ETF</v>
    <v>45682.04166668906</v>
    <v>6</v>
    <v>78.400000000000006</v>
    <v>16394082704.290001</v>
    <v>Sel Sector:Util SPDR</v>
    <v>78.569999999999993</v>
    <v>78.69</v>
    <v>79.489999999999995</v>
    <v>79.400000000000006</v>
    <v>XLU</v>
    <v>Sel Sector:Util SPDR (ARCX:XLU)</v>
    <v>8385099</v>
    <v>10457773</v>
  </rv>
  <rv s="2">
    <v>7</v>
  </rv>
  <rv s="0">
    <v>https://www.bing.com/financeapi/forcetrigger?t=a23hqh&amp;q=ARCX%3aSPY&amp;form=skydnc</v>
    <v>Learn more on Bing</v>
  </rv>
  <rv s="3">
    <v>en-US</v>
    <v>a23hqh</v>
    <v>268435456</v>
    <v>1</v>
    <v>Powered by Refinitiv</v>
    <v>5</v>
    <v>SPDR S&amp;P 500 (ARCX:SPY)</v>
    <v>6</v>
    <v>7</v>
    <v>Finance</v>
    <v>8</v>
    <v>610.78</v>
    <v>482.86</v>
    <v>0.99829999999999997</v>
    <v>-1.78</v>
    <v>-8.0600000000000008E-4</v>
    <v>-2.9189999999999997E-3</v>
    <v>-0.49</v>
    <v>USD</v>
    <v>NYSE Arca</v>
    <v>ARCX</v>
    <v>8.9999999999999998E-4</v>
    <v>610.78</v>
    <v>ETF</v>
    <v>45682.041666678124</v>
    <v>9</v>
    <v>606.79999999999995</v>
    <v>623795251613.90002</v>
    <v>SPDR S&amp;P 500</v>
    <v>609.80999999999995</v>
    <v>609.75</v>
    <v>607.97</v>
    <v>607.48</v>
    <v>SPY</v>
    <v>SPDR S&amp;P 500 (ARCX:SPY)</v>
    <v>34604693</v>
    <v>45581155</v>
  </rv>
  <rv s="2">
    <v>10</v>
  </rv>
  <rv s="0">
    <v>https://www.bing.com/financeapi/forcetrigger?t=a23tkr&amp;q=BATS%3aSVXY&amp;form=skydnc</v>
    <v>Learn more on Bing</v>
  </rv>
  <rv s="3">
    <v>en-US</v>
    <v>a23tkr</v>
    <v>268435456</v>
    <v>1</v>
    <v>Powered by Refinitiv</v>
    <v>5</v>
    <v>ProShs II:ShVIX STF (BATS:SVXY)</v>
    <v>6</v>
    <v>7</v>
    <v>Finance</v>
    <v>9</v>
    <v>64.219700000000003</v>
    <v>38.600099999999998</v>
    <v>1.1615</v>
    <v>0.14000000000000001</v>
    <v>-1.7230000000000001E-3</v>
    <v>2.6919999999999999E-3</v>
    <v>-8.9800000000000005E-2</v>
    <v>USD</v>
    <v>CBOE BZX Exchange</v>
    <v>BATS</v>
    <v>1.1599999999999999E-2</v>
    <v>52.31</v>
    <v>ETF</v>
    <v>45681.936116110941</v>
    <v>12</v>
    <v>51.89</v>
    <v>266083424.96000001</v>
    <v>ProShs II:ShVIX STF</v>
    <v>52.16</v>
    <v>52</v>
    <v>52.14</v>
    <v>52.020200000000003</v>
    <v>SVXY</v>
    <v>ProShs II:ShVIX STF (BATS:SVXY)</v>
    <v>686398</v>
    <v>1327733</v>
  </rv>
  <rv s="2">
    <v>13</v>
  </rv>
  <rv s="0">
    <v>https://www.bing.com/financeapi/forcetrigger?t=a21lur&amp;q=ARCX%3aQLD&amp;form=skydnc</v>
    <v>Learn more on Bing</v>
  </rv>
  <rv s="3">
    <v>en-US</v>
    <v>a21lur</v>
    <v>268435456</v>
    <v>1</v>
    <v>Powered by Refinitiv</v>
    <v>5</v>
    <v>ProShares:Ult QQQ (ARCX:QLD)</v>
    <v>6</v>
    <v>7</v>
    <v>Finance</v>
    <v>8</v>
    <v>120.6799</v>
    <v>75.28</v>
    <v>2.1528</v>
    <v>-1.38</v>
    <v>-1.645E-3</v>
    <v>-1.1808000000000001E-2</v>
    <v>-0.19</v>
    <v>USD</v>
    <v>NYSE Arca</v>
    <v>ARCX</v>
    <v>9.4999999999999998E-3</v>
    <v>117.3</v>
    <v>ETF</v>
    <v>45682.041666700781</v>
    <v>15</v>
    <v>114.82989999999999</v>
    <v>7671558386.0699997</v>
    <v>ProShares:Ult QQQ</v>
    <v>116.96</v>
    <v>116.87</v>
    <v>115.49</v>
    <v>115.3</v>
    <v>QLD</v>
    <v>ProShares:Ult QQQ (ARCX:QLD)</v>
    <v>2297986</v>
    <v>3699489</v>
  </rv>
  <rv s="2">
    <v>16</v>
  </rv>
</rvData>
</file>

<file path=xl/richData/rdrichvaluestructure.xml><?xml version="1.0" encoding="utf-8"?>
<rvStructures xmlns="http://schemas.microsoft.com/office/spreadsheetml/2017/richdata" count="4">
  <s t="_hyperlink">
    <k n="Address" t="s"/>
    <k n="Text" t="s"/>
  </s>
  <s t="_linkedentitycore">
    <k n="%EntityCulture" t="s"/>
    <k n="%EntityId" t="s"/>
    <k n="%EntityServiceId"/>
    <k n="%IsRefreshable" t="b"/>
    <k n="%ProviderInfo" t="s"/>
    <k n="_Display" t="spb"/>
    <k n="_DisplayString" t="s"/>
    <k n="_Flags" t="spb"/>
    <k n="_Format" t="spb"/>
    <k n="_Icon" t="s"/>
    <k n="_SubLabel" t="spb"/>
    <k n="52 week high"/>
    <k n="52 week low"/>
    <k n="Beta"/>
    <k n="Change"/>
    <k n="Change % (Extended hours)"/>
    <k n="Change (%)"/>
    <k n="Change (Extended hours)"/>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Price (Extended hours)"/>
    <k n="Shares outstanding"/>
    <k n="Ticker symbol" t="s"/>
    <k n="UniqueName" t="s"/>
    <k n="Volume"/>
    <k n="Volume average"/>
    <k n="Year incorporated"/>
  </s>
  <s t="_linkedentity">
    <k n="%cvi" t="r"/>
  </s>
  <s t="_linkedentitycore">
    <k n="%EntityCulture" t="s"/>
    <k n="%EntityId" t="s"/>
    <k n="%EntityServiceId"/>
    <k n="%IsRefreshable" t="b"/>
    <k n="%ProviderInfo" t="s"/>
    <k n="_Display" t="spb"/>
    <k n="_DisplayString" t="s"/>
    <k n="_Flags" t="spb"/>
    <k n="_Format" t="spb"/>
    <k n="_Icon" t="s"/>
    <k n="_SubLabel" t="spb"/>
    <k n="52 week high"/>
    <k n="52 week low"/>
    <k n="Beta"/>
    <k n="Change"/>
    <k n="Change % (Extended hours)"/>
    <k n="Change (%)"/>
    <k n="Change (Extended hours)"/>
    <k n="Currency" t="s"/>
    <k n="Exchange" t="s"/>
    <k n="Exchange abbreviation" t="s"/>
    <k n="Expense ratio"/>
    <k n="High"/>
    <k n="Instrument type" t="s"/>
    <k n="Last trade time"/>
    <k n="LearnMoreOnLink" t="r"/>
    <k n="Low"/>
    <k n="Market cap"/>
    <k n="Name" t="s"/>
    <k n="Open"/>
    <k n="Previous close"/>
    <k n="Price"/>
    <k n="Price (Extended hours)"/>
    <k n="Ticker symbol" t="s"/>
    <k n="UniqueName" t="s"/>
    <k n="Volume"/>
    <k n="Volume average"/>
  </s>
</rvStructures>
</file>

<file path=xl/richData/rdsupportingpropertybag.xml><?xml version="1.0" encoding="utf-8"?>
<supportingPropertyBags xmlns="http://schemas.microsoft.com/office/spreadsheetml/2017/richdata2">
  <spbArrays count="2">
    <a count="45">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Market cap</v>
      <v t="s">Beta</v>
      <v t="s">P/E</v>
      <v t="s">Shares outstanding</v>
      <v t="s">Description</v>
      <v t="s">Employees</v>
      <v t="s">Headquarters</v>
      <v t="s">Industry</v>
      <v t="s">Instrument type</v>
      <v t="s">Year incorporated</v>
      <v t="s">_Flags</v>
      <v t="s">UniqueName</v>
      <v t="s">_DisplayString</v>
      <v t="s">LearnMoreOnLink</v>
      <v t="s">ExchangeID</v>
      <v t="s">%ProviderInfo</v>
    </a>
    <a count="37">
      <v t="s">%EntityServiceId</v>
      <v t="s">_Format</v>
      <v t="s">%IsRefreshable</v>
      <v t="s">%EntityCulture</v>
      <v t="s">%EntityId</v>
      <v t="s">_Icon</v>
      <v t="s">_Display</v>
      <v t="s">Name</v>
      <v t="s">_SubLabel</v>
      <v t="s">Price</v>
      <v t="s">Price (Extended hours)</v>
      <v t="s">Exchange</v>
      <v t="s">Last trade time</v>
      <v t="s">Ticker symbol</v>
      <v t="s">Exchange abbreviation</v>
      <v t="s">Change</v>
      <v t="s">Change (Extended hours)</v>
      <v t="s">Expense ratio</v>
      <v t="s">Change (%)</v>
      <v t="s">Change % (Extended hours)</v>
      <v t="s">Currency</v>
      <v t="s">Previous close</v>
      <v t="s">Open</v>
      <v t="s">High</v>
      <v t="s">Low</v>
      <v t="s">52 week high</v>
      <v t="s">52 week low</v>
      <v t="s">Volume</v>
      <v t="s">Volume average</v>
      <v t="s">Market cap</v>
      <v t="s">Beta</v>
      <v t="s">Instrument type</v>
      <v t="s">_Flags</v>
      <v t="s">UniqueName</v>
      <v t="s">_DisplayString</v>
      <v t="s">LearnMoreOnLink</v>
      <v t="s">%ProviderInfo</v>
    </a>
  </spbArrays>
  <spbData count="10">
    <spb s="0">
      <v>0</v>
      <v>Name</v>
      <v>LearnMoreOnLink</v>
    </spb>
    <spb s="1">
      <v>0</v>
      <v>0</v>
      <v>0</v>
    </spb>
    <spb s="2">
      <v>1</v>
      <v>1</v>
      <v>1</v>
      <v>1</v>
    </spb>
    <spb s="3">
      <v>1</v>
      <v>2</v>
      <v>2</v>
      <v>1</v>
      <v>3</v>
      <v>1</v>
      <v>1</v>
      <v>1</v>
      <v>4</v>
      <v>4</v>
      <v>5</v>
      <v>6</v>
      <v>1</v>
      <v>1</v>
      <v>1</v>
      <v>4</v>
      <v>7</v>
      <v>8</v>
      <v>9</v>
      <v>4</v>
      <v>1</v>
      <v>1</v>
      <v>5</v>
    </spb>
    <spb s="4">
      <v>at close</v>
      <v>from previous close</v>
      <v>from previous close</v>
      <v>Source: Nasdaq</v>
      <v>GMT</v>
      <v>Delayed 15 minutes</v>
      <v>from close</v>
      <v>from close</v>
    </spb>
    <spb s="0">
      <v>1</v>
      <v>Name</v>
      <v>LearnMoreOnLink</v>
    </spb>
    <spb s="5">
      <v>1</v>
      <v>1</v>
      <v>1</v>
    </spb>
    <spb s="6">
      <v>1</v>
      <v>2</v>
      <v>1</v>
      <v>3</v>
      <v>1</v>
      <v>1</v>
      <v>1</v>
      <v>4</v>
      <v>5</v>
      <v>6</v>
      <v>1</v>
      <v>1</v>
      <v>5</v>
      <v>1</v>
      <v>4</v>
      <v>7</v>
      <v>9</v>
      <v>1</v>
      <v>1</v>
      <v>5</v>
    </spb>
    <spb s="7">
      <v>at close</v>
      <v>from previous close</v>
      <v>Source: Nasdaq</v>
      <v>from previous close</v>
      <v>GMT</v>
      <v>Delayed 15 minutes</v>
      <v>from close</v>
      <v>from close</v>
    </spb>
    <spb s="7">
      <v>at close</v>
      <v>from previous close</v>
      <v>Source: Nasdaq Last Sale</v>
      <v>from previous close</v>
      <v>GMT</v>
      <v>Real-Time Nasdaq Last Sale</v>
      <v>from close</v>
      <v>from close</v>
    </spb>
  </spbData>
</supportingPropertyBags>
</file>

<file path=xl/richData/rdsupportingpropertybagstructure.xml><?xml version="1.0" encoding="utf-8"?>
<spbStructures xmlns="http://schemas.microsoft.com/office/spreadsheetml/2017/richdata2" count="8">
  <s>
    <k n="^Order" t="spba"/>
    <k n="TitleProperty" t="s"/>
    <k n="SubTitleProperty" t="s"/>
  </s>
  <s>
    <k n="ShowInCardView" t="b"/>
    <k n="ShowInDotNotation" t="b"/>
    <k n="ShowInAutoComplete" t="b"/>
  </s>
  <s>
    <k n="ExchangeID" t="spb"/>
    <k n="UniqueName" t="spb"/>
    <k n="`%ProviderInfo" t="spb"/>
    <k n="LearnMoreOnLink" t="spb"/>
  </s>
  <s>
    <k n="Low" t="i"/>
    <k n="P/E" t="i"/>
    <k n="Beta"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k n="Price (Extended hours)" t="i"/>
    <k n="Change (Extended hours)" t="i"/>
    <k n="Change % (Extended hours)" t="i"/>
  </s>
  <s>
    <k n="Price" t="s"/>
    <k n="Change" t="s"/>
    <k n="Change (%)" t="s"/>
    <k n="ExchangeID" t="s"/>
    <k n="Last trade time" t="s"/>
    <k n="Price (Extended hours)" t="s"/>
    <k n="Change (Extended hours)" t="s"/>
    <k n="Change % (Extended hours)" t="s"/>
  </s>
  <s>
    <k n="UniqueName" t="spb"/>
    <k n="`%ProviderInfo" t="spb"/>
    <k n="LearnMoreOnLink" t="spb"/>
  </s>
  <s>
    <k n="Low" t="i"/>
    <k n="Beta" t="i"/>
    <k n="High" t="i"/>
    <k n="Name" t="i"/>
    <k n="Open" t="i"/>
    <k n="Price" t="i"/>
    <k n="Change" t="i"/>
    <k n="Volume" t="i"/>
    <k n="Change (%)" t="i"/>
    <k n="Market cap" t="i"/>
    <k n="52 week low" t="i"/>
    <k n="52 week high" t="i"/>
    <k n="Expense ratio" t="i"/>
    <k n="Previous close" t="i"/>
    <k n="Volume average" t="i"/>
    <k n="Last trade time" t="i"/>
    <k n="`%EntityServiceId" t="i"/>
    <k n="Price (Extended hours)" t="i"/>
    <k n="Change (Extended hours)" t="i"/>
    <k n="Change % (Extended hours)" t="i"/>
  </s>
  <s>
    <k n="Price" t="s"/>
    <k n="Change" t="s"/>
    <k n="Exchange" t="s"/>
    <k n="Change (%)" t="s"/>
    <k n="Last trade time" t="s"/>
    <k n="Price (Extended hours)" t="s"/>
    <k n="Change (Extended hours)" t="s"/>
    <k n="Change % (Extended hours)" t="s"/>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7">
    <x:dxf>
      <x:numFmt numFmtId="2" formatCode="0.00"/>
    </x:dxf>
    <x:dxf>
      <x:numFmt numFmtId="0" formatCode="General"/>
    </x:dxf>
    <x:dxf>
      <x:numFmt numFmtId="27" formatCode="m/d/yyyy\ h:mm"/>
    </x:dxf>
    <x:dxf>
      <x:numFmt numFmtId="14" formatCode="0.00%"/>
    </x:dxf>
    <x:dxf>
      <x:numFmt numFmtId="3" formatCode="#,##0"/>
    </x:dxf>
    <x:dxf>
      <x:numFmt numFmtId="4" formatCode="#,##0.00"/>
    </x:dxf>
    <x:dxf>
      <x:numFmt numFmtId="1" formatCode="0"/>
    </x:dxf>
  </dxfs>
  <richProperties>
    <rPr n="NumberFormat" t="s"/>
    <rPr n="IsTitleField" t="b"/>
  </richProperties>
  <richStyles>
    <rSty dxfid="1">
      <rpv i="0">_([$$-en-US]* #,##0.00_);_([$$-en-US]* (#,##0.00);_([$$-en-US]* "-"??_);_(@_)</rpv>
    </rSty>
    <rSty dxfid="5">
      <rpv i="0">#,##0.00</rpv>
    </rSty>
    <rSty>
      <rpv i="1">1</rpv>
    </rSty>
    <rSty dxfid="4">
      <rpv i="0">#,##0</rpv>
    </rSty>
    <rSty dxfid="3"/>
    <rSty dxfid="1">
      <rpv i="0">_([$$-en-US]* #,##0_);_([$$-en-US]* (#,##0);_([$$-en-US]* "-"_);_(@_)</rpv>
    </rSty>
    <rSty dxfid="2"/>
    <rSty dxfid="6">
      <rpv i="0">0</rpv>
    </rSty>
    <rSty dxfid="0">
      <rpv i="0">0.00</rpv>
    </rSty>
  </richStyles>
</richStyleShee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invest.ameritrade.com/cgi-bin/apps/u/ConsolidatedOrderStatus" TargetMode="External"/><Relationship Id="rId2" Type="http://schemas.openxmlformats.org/officeDocument/2006/relationships/hyperlink" Target="https://invest.ameritrade.com/cgi-bin/apps/u/ConsolidatedOrderStatus" TargetMode="External"/><Relationship Id="rId1" Type="http://schemas.openxmlformats.org/officeDocument/2006/relationships/hyperlink" Target="https://invest.ameritrade.com/cgi-bin/apps/u/ConsolidatedOrderStatus"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hyperlink" Target="http://dividendinvestor.com/"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s://www.worldometers.info/world-population/morocco-population/" TargetMode="External"/><Relationship Id="rId21" Type="http://schemas.openxmlformats.org/officeDocument/2006/relationships/hyperlink" Target="https://www.worldometers.info/world-population/bolivia-population/" TargetMode="External"/><Relationship Id="rId42" Type="http://schemas.openxmlformats.org/officeDocument/2006/relationships/hyperlink" Target="https://www.worldometers.info/world-population/cuba-population/" TargetMode="External"/><Relationship Id="rId63" Type="http://schemas.openxmlformats.org/officeDocument/2006/relationships/hyperlink" Target="https://www.worldometers.info/world-population/gambia-population/" TargetMode="External"/><Relationship Id="rId84" Type="http://schemas.openxmlformats.org/officeDocument/2006/relationships/hyperlink" Target="https://www.worldometers.info/world-population/italy-population/" TargetMode="External"/><Relationship Id="rId138" Type="http://schemas.openxmlformats.org/officeDocument/2006/relationships/hyperlink" Target="https://www.worldometers.info/world-population/philippines-population/" TargetMode="External"/><Relationship Id="rId159" Type="http://schemas.openxmlformats.org/officeDocument/2006/relationships/hyperlink" Target="https://www.worldometers.info/world-population/somalia-population/" TargetMode="External"/><Relationship Id="rId170" Type="http://schemas.openxmlformats.org/officeDocument/2006/relationships/hyperlink" Target="https://www.worldometers.info/world-population/switzerland-population/" TargetMode="External"/><Relationship Id="rId191" Type="http://schemas.openxmlformats.org/officeDocument/2006/relationships/hyperlink" Target="https://www.worldometers.info/world-population/venezuela-population/" TargetMode="External"/><Relationship Id="rId107" Type="http://schemas.openxmlformats.org/officeDocument/2006/relationships/hyperlink" Target="https://www.worldometers.info/world-population/malta-population/" TargetMode="External"/><Relationship Id="rId11" Type="http://schemas.openxmlformats.org/officeDocument/2006/relationships/hyperlink" Target="https://www.worldometers.info/world-population/azerbaijan-population/" TargetMode="External"/><Relationship Id="rId32" Type="http://schemas.openxmlformats.org/officeDocument/2006/relationships/hyperlink" Target="https://www.worldometers.info/world-population/canada-population/" TargetMode="External"/><Relationship Id="rId53" Type="http://schemas.openxmlformats.org/officeDocument/2006/relationships/hyperlink" Target="https://www.worldometers.info/world-population/el-salvador-population/" TargetMode="External"/><Relationship Id="rId74" Type="http://schemas.openxmlformats.org/officeDocument/2006/relationships/hyperlink" Target="https://www.worldometers.info/world-population/holy-see-population/" TargetMode="External"/><Relationship Id="rId128" Type="http://schemas.openxmlformats.org/officeDocument/2006/relationships/hyperlink" Target="https://www.worldometers.info/world-population/north-korea-population/" TargetMode="External"/><Relationship Id="rId149" Type="http://schemas.openxmlformats.org/officeDocument/2006/relationships/hyperlink" Target="https://www.worldometers.info/world-population/sao-tome-and-principe-population/" TargetMode="External"/><Relationship Id="rId5" Type="http://schemas.openxmlformats.org/officeDocument/2006/relationships/hyperlink" Target="https://www.worldometers.info/world-population/angola-population/" TargetMode="External"/><Relationship Id="rId95" Type="http://schemas.openxmlformats.org/officeDocument/2006/relationships/hyperlink" Target="https://www.worldometers.info/world-population/lebanon-population/" TargetMode="External"/><Relationship Id="rId160" Type="http://schemas.openxmlformats.org/officeDocument/2006/relationships/hyperlink" Target="https://www.worldometers.info/world-population/south-africa-population/" TargetMode="External"/><Relationship Id="rId181" Type="http://schemas.openxmlformats.org/officeDocument/2006/relationships/hyperlink" Target="https://www.worldometers.info/world-population/turkmenistan-population/" TargetMode="External"/><Relationship Id="rId22" Type="http://schemas.openxmlformats.org/officeDocument/2006/relationships/hyperlink" Target="https://www.worldometers.info/world-population/bosnia-and-herzegovina-population/" TargetMode="External"/><Relationship Id="rId43" Type="http://schemas.openxmlformats.org/officeDocument/2006/relationships/hyperlink" Target="https://www.worldometers.info/world-population/cyprus-population/" TargetMode="External"/><Relationship Id="rId64" Type="http://schemas.openxmlformats.org/officeDocument/2006/relationships/hyperlink" Target="https://www.worldometers.info/world-population/georgia-population/" TargetMode="External"/><Relationship Id="rId118" Type="http://schemas.openxmlformats.org/officeDocument/2006/relationships/hyperlink" Target="https://www.worldometers.info/world-population/mozambique-population/" TargetMode="External"/><Relationship Id="rId139" Type="http://schemas.openxmlformats.org/officeDocument/2006/relationships/hyperlink" Target="https://www.worldometers.info/world-population/poland-population/" TargetMode="External"/><Relationship Id="rId85" Type="http://schemas.openxmlformats.org/officeDocument/2006/relationships/hyperlink" Target="https://www.worldometers.info/world-population/jamaica-population/" TargetMode="External"/><Relationship Id="rId150" Type="http://schemas.openxmlformats.org/officeDocument/2006/relationships/hyperlink" Target="https://www.worldometers.info/world-population/saudi-arabia-population/" TargetMode="External"/><Relationship Id="rId171" Type="http://schemas.openxmlformats.org/officeDocument/2006/relationships/hyperlink" Target="https://www.worldometers.info/world-population/syria-population/" TargetMode="External"/><Relationship Id="rId192" Type="http://schemas.openxmlformats.org/officeDocument/2006/relationships/hyperlink" Target="https://www.worldometers.info/world-population/vietnam-population/" TargetMode="External"/><Relationship Id="rId12" Type="http://schemas.openxmlformats.org/officeDocument/2006/relationships/hyperlink" Target="https://www.worldometers.info/world-population/bahamas-population/" TargetMode="External"/><Relationship Id="rId33" Type="http://schemas.openxmlformats.org/officeDocument/2006/relationships/hyperlink" Target="https://www.worldometers.info/world-population/central-african-republic-population/" TargetMode="External"/><Relationship Id="rId108" Type="http://schemas.openxmlformats.org/officeDocument/2006/relationships/hyperlink" Target="https://www.worldometers.info/world-population/marshall-islands-population/" TargetMode="External"/><Relationship Id="rId129" Type="http://schemas.openxmlformats.org/officeDocument/2006/relationships/hyperlink" Target="https://www.worldometers.info/world-population/macedonia-population/" TargetMode="External"/><Relationship Id="rId54" Type="http://schemas.openxmlformats.org/officeDocument/2006/relationships/hyperlink" Target="https://www.worldometers.info/world-population/equatorial-guinea-population/" TargetMode="External"/><Relationship Id="rId75" Type="http://schemas.openxmlformats.org/officeDocument/2006/relationships/hyperlink" Target="https://www.worldometers.info/world-population/honduras-population/" TargetMode="External"/><Relationship Id="rId96" Type="http://schemas.openxmlformats.org/officeDocument/2006/relationships/hyperlink" Target="https://www.worldometers.info/world-population/lesotho-population/" TargetMode="External"/><Relationship Id="rId140" Type="http://schemas.openxmlformats.org/officeDocument/2006/relationships/hyperlink" Target="https://www.worldometers.info/world-population/portugal-population/" TargetMode="External"/><Relationship Id="rId161" Type="http://schemas.openxmlformats.org/officeDocument/2006/relationships/hyperlink" Target="https://www.worldometers.info/world-population/south-korea-population/" TargetMode="External"/><Relationship Id="rId182" Type="http://schemas.openxmlformats.org/officeDocument/2006/relationships/hyperlink" Target="https://www.worldometers.info/world-population/tuvalu-population/" TargetMode="External"/><Relationship Id="rId6" Type="http://schemas.openxmlformats.org/officeDocument/2006/relationships/hyperlink" Target="https://www.worldometers.info/world-population/antigua-and-barbuda-population/" TargetMode="External"/><Relationship Id="rId23" Type="http://schemas.openxmlformats.org/officeDocument/2006/relationships/hyperlink" Target="https://www.worldometers.info/world-population/botswana-population/" TargetMode="External"/><Relationship Id="rId119" Type="http://schemas.openxmlformats.org/officeDocument/2006/relationships/hyperlink" Target="https://www.worldometers.info/world-population/myanmar-population/" TargetMode="External"/><Relationship Id="rId44" Type="http://schemas.openxmlformats.org/officeDocument/2006/relationships/hyperlink" Target="https://www.worldometers.info/world-population/czech-republic-population/" TargetMode="External"/><Relationship Id="rId65" Type="http://schemas.openxmlformats.org/officeDocument/2006/relationships/hyperlink" Target="https://www.worldometers.info/world-population/germany-population/" TargetMode="External"/><Relationship Id="rId86" Type="http://schemas.openxmlformats.org/officeDocument/2006/relationships/hyperlink" Target="https://www.worldometers.info/world-population/japan-population/" TargetMode="External"/><Relationship Id="rId130" Type="http://schemas.openxmlformats.org/officeDocument/2006/relationships/hyperlink" Target="https://www.worldometers.info/world-population/norway-population/" TargetMode="External"/><Relationship Id="rId151" Type="http://schemas.openxmlformats.org/officeDocument/2006/relationships/hyperlink" Target="https://www.worldometers.info/world-population/senegal-population/" TargetMode="External"/><Relationship Id="rId172" Type="http://schemas.openxmlformats.org/officeDocument/2006/relationships/hyperlink" Target="https://www.worldometers.info/world-population/tajikistan-population/" TargetMode="External"/><Relationship Id="rId193" Type="http://schemas.openxmlformats.org/officeDocument/2006/relationships/hyperlink" Target="https://www.worldometers.info/world-population/yemen-population/" TargetMode="External"/><Relationship Id="rId13" Type="http://schemas.openxmlformats.org/officeDocument/2006/relationships/hyperlink" Target="https://www.worldometers.info/world-population/bahrain-population/" TargetMode="External"/><Relationship Id="rId109" Type="http://schemas.openxmlformats.org/officeDocument/2006/relationships/hyperlink" Target="https://www.worldometers.info/world-population/mauritania-population/" TargetMode="External"/><Relationship Id="rId34" Type="http://schemas.openxmlformats.org/officeDocument/2006/relationships/hyperlink" Target="https://www.worldometers.info/world-population/chad-population/" TargetMode="External"/><Relationship Id="rId50" Type="http://schemas.openxmlformats.org/officeDocument/2006/relationships/hyperlink" Target="https://www.worldometers.info/world-population/democratic-republic-of-the-congo-population/" TargetMode="External"/><Relationship Id="rId55" Type="http://schemas.openxmlformats.org/officeDocument/2006/relationships/hyperlink" Target="https://www.worldometers.info/world-population/eritrea-population/" TargetMode="External"/><Relationship Id="rId76" Type="http://schemas.openxmlformats.org/officeDocument/2006/relationships/hyperlink" Target="https://www.worldometers.info/world-population/hungary-population/" TargetMode="External"/><Relationship Id="rId97" Type="http://schemas.openxmlformats.org/officeDocument/2006/relationships/hyperlink" Target="https://www.worldometers.info/world-population/liberia-population/" TargetMode="External"/><Relationship Id="rId104" Type="http://schemas.openxmlformats.org/officeDocument/2006/relationships/hyperlink" Target="https://www.worldometers.info/world-population/malaysia-population/" TargetMode="External"/><Relationship Id="rId120" Type="http://schemas.openxmlformats.org/officeDocument/2006/relationships/hyperlink" Target="https://www.worldometers.info/world-population/namibia-population/" TargetMode="External"/><Relationship Id="rId125" Type="http://schemas.openxmlformats.org/officeDocument/2006/relationships/hyperlink" Target="https://www.worldometers.info/world-population/nicaragua-population/" TargetMode="External"/><Relationship Id="rId141" Type="http://schemas.openxmlformats.org/officeDocument/2006/relationships/hyperlink" Target="https://www.worldometers.info/world-population/qatar-population/" TargetMode="External"/><Relationship Id="rId146" Type="http://schemas.openxmlformats.org/officeDocument/2006/relationships/hyperlink" Target="https://www.worldometers.info/world-population/saint-lucia-population/" TargetMode="External"/><Relationship Id="rId167" Type="http://schemas.openxmlformats.org/officeDocument/2006/relationships/hyperlink" Target="https://www.worldometers.info/world-population/sudan-population/" TargetMode="External"/><Relationship Id="rId188" Type="http://schemas.openxmlformats.org/officeDocument/2006/relationships/hyperlink" Target="https://www.worldometers.info/world-population/uruguay-population/" TargetMode="External"/><Relationship Id="rId7" Type="http://schemas.openxmlformats.org/officeDocument/2006/relationships/hyperlink" Target="https://www.worldometers.info/world-population/argentina-population/" TargetMode="External"/><Relationship Id="rId71" Type="http://schemas.openxmlformats.org/officeDocument/2006/relationships/hyperlink" Target="https://www.worldometers.info/world-population/guinea-bissau-population/" TargetMode="External"/><Relationship Id="rId92" Type="http://schemas.openxmlformats.org/officeDocument/2006/relationships/hyperlink" Target="https://www.worldometers.info/world-population/kyrgyzstan-population/" TargetMode="External"/><Relationship Id="rId162" Type="http://schemas.openxmlformats.org/officeDocument/2006/relationships/hyperlink" Target="https://www.worldometers.info/world-population/south-sudan-population/" TargetMode="External"/><Relationship Id="rId183" Type="http://schemas.openxmlformats.org/officeDocument/2006/relationships/hyperlink" Target="https://www.worldometers.info/world-population/uganda-population/" TargetMode="External"/><Relationship Id="rId2" Type="http://schemas.openxmlformats.org/officeDocument/2006/relationships/hyperlink" Target="https://www.worldometers.info/world-population/albania-population/" TargetMode="External"/><Relationship Id="rId29" Type="http://schemas.openxmlformats.org/officeDocument/2006/relationships/hyperlink" Target="https://www.worldometers.info/world-population/cabo-verde-population/" TargetMode="External"/><Relationship Id="rId24" Type="http://schemas.openxmlformats.org/officeDocument/2006/relationships/hyperlink" Target="https://www.worldometers.info/world-population/brazil-population/" TargetMode="External"/><Relationship Id="rId40" Type="http://schemas.openxmlformats.org/officeDocument/2006/relationships/hyperlink" Target="https://www.worldometers.info/world-population/costa-rica-population/" TargetMode="External"/><Relationship Id="rId45" Type="http://schemas.openxmlformats.org/officeDocument/2006/relationships/hyperlink" Target="https://www.worldometers.info/world-population/cote-d-ivoire-population/" TargetMode="External"/><Relationship Id="rId66" Type="http://schemas.openxmlformats.org/officeDocument/2006/relationships/hyperlink" Target="https://www.worldometers.info/world-population/ghana-population/" TargetMode="External"/><Relationship Id="rId87" Type="http://schemas.openxmlformats.org/officeDocument/2006/relationships/hyperlink" Target="https://www.worldometers.info/world-population/jordan-population/" TargetMode="External"/><Relationship Id="rId110" Type="http://schemas.openxmlformats.org/officeDocument/2006/relationships/hyperlink" Target="https://www.worldometers.info/world-population/mauritius-population/" TargetMode="External"/><Relationship Id="rId115" Type="http://schemas.openxmlformats.org/officeDocument/2006/relationships/hyperlink" Target="https://www.worldometers.info/world-population/mongolia-population/" TargetMode="External"/><Relationship Id="rId131" Type="http://schemas.openxmlformats.org/officeDocument/2006/relationships/hyperlink" Target="https://www.worldometers.info/world-population/oman-population/" TargetMode="External"/><Relationship Id="rId136" Type="http://schemas.openxmlformats.org/officeDocument/2006/relationships/hyperlink" Target="https://www.worldometers.info/world-population/paraguay-population/" TargetMode="External"/><Relationship Id="rId157" Type="http://schemas.openxmlformats.org/officeDocument/2006/relationships/hyperlink" Target="https://www.worldometers.info/world-population/slovenia-population/" TargetMode="External"/><Relationship Id="rId178" Type="http://schemas.openxmlformats.org/officeDocument/2006/relationships/hyperlink" Target="https://www.worldometers.info/world-population/trinidad-and-tobago-population/" TargetMode="External"/><Relationship Id="rId61" Type="http://schemas.openxmlformats.org/officeDocument/2006/relationships/hyperlink" Target="https://www.worldometers.info/world-population/france-population/" TargetMode="External"/><Relationship Id="rId82" Type="http://schemas.openxmlformats.org/officeDocument/2006/relationships/hyperlink" Target="https://www.worldometers.info/world-population/ireland-population/" TargetMode="External"/><Relationship Id="rId152" Type="http://schemas.openxmlformats.org/officeDocument/2006/relationships/hyperlink" Target="https://www.worldometers.info/world-population/serbia-population/" TargetMode="External"/><Relationship Id="rId173" Type="http://schemas.openxmlformats.org/officeDocument/2006/relationships/hyperlink" Target="https://www.worldometers.info/world-population/tanzania-population/" TargetMode="External"/><Relationship Id="rId194" Type="http://schemas.openxmlformats.org/officeDocument/2006/relationships/hyperlink" Target="https://www.worldometers.info/world-population/zambia-population/" TargetMode="External"/><Relationship Id="rId19" Type="http://schemas.openxmlformats.org/officeDocument/2006/relationships/hyperlink" Target="https://www.worldometers.info/world-population/benin-population/" TargetMode="External"/><Relationship Id="rId14" Type="http://schemas.openxmlformats.org/officeDocument/2006/relationships/hyperlink" Target="https://www.worldometers.info/world-population/bangladesh-population/" TargetMode="External"/><Relationship Id="rId30" Type="http://schemas.openxmlformats.org/officeDocument/2006/relationships/hyperlink" Target="https://www.worldometers.info/world-population/cambodia-population/" TargetMode="External"/><Relationship Id="rId35" Type="http://schemas.openxmlformats.org/officeDocument/2006/relationships/hyperlink" Target="https://www.worldometers.info/world-population/chile-population/" TargetMode="External"/><Relationship Id="rId56" Type="http://schemas.openxmlformats.org/officeDocument/2006/relationships/hyperlink" Target="https://www.worldometers.info/world-population/estonia-population/" TargetMode="External"/><Relationship Id="rId77" Type="http://schemas.openxmlformats.org/officeDocument/2006/relationships/hyperlink" Target="https://www.worldometers.info/world-population/iceland-population/" TargetMode="External"/><Relationship Id="rId100" Type="http://schemas.openxmlformats.org/officeDocument/2006/relationships/hyperlink" Target="https://www.worldometers.info/world-population/lithuania-population/" TargetMode="External"/><Relationship Id="rId105" Type="http://schemas.openxmlformats.org/officeDocument/2006/relationships/hyperlink" Target="https://www.worldometers.info/world-population/maldives-population/" TargetMode="External"/><Relationship Id="rId126" Type="http://schemas.openxmlformats.org/officeDocument/2006/relationships/hyperlink" Target="https://www.worldometers.info/world-population/niger-population/" TargetMode="External"/><Relationship Id="rId147" Type="http://schemas.openxmlformats.org/officeDocument/2006/relationships/hyperlink" Target="https://www.worldometers.info/world-population/samoa-population/" TargetMode="External"/><Relationship Id="rId168" Type="http://schemas.openxmlformats.org/officeDocument/2006/relationships/hyperlink" Target="https://www.worldometers.info/world-population/suriname-population/" TargetMode="External"/><Relationship Id="rId8" Type="http://schemas.openxmlformats.org/officeDocument/2006/relationships/hyperlink" Target="https://www.worldometers.info/world-population/armenia-population/" TargetMode="External"/><Relationship Id="rId51" Type="http://schemas.openxmlformats.org/officeDocument/2006/relationships/hyperlink" Target="https://www.worldometers.info/world-population/ecuador-population/" TargetMode="External"/><Relationship Id="rId72" Type="http://schemas.openxmlformats.org/officeDocument/2006/relationships/hyperlink" Target="https://www.worldometers.info/world-population/guyana-population/" TargetMode="External"/><Relationship Id="rId93" Type="http://schemas.openxmlformats.org/officeDocument/2006/relationships/hyperlink" Target="https://www.worldometers.info/world-population/laos-population/" TargetMode="External"/><Relationship Id="rId98" Type="http://schemas.openxmlformats.org/officeDocument/2006/relationships/hyperlink" Target="https://www.worldometers.info/world-population/libya-population/" TargetMode="External"/><Relationship Id="rId121" Type="http://schemas.openxmlformats.org/officeDocument/2006/relationships/hyperlink" Target="https://www.worldometers.info/world-population/nauru-population/" TargetMode="External"/><Relationship Id="rId142" Type="http://schemas.openxmlformats.org/officeDocument/2006/relationships/hyperlink" Target="https://www.worldometers.info/world-population/romania-population/" TargetMode="External"/><Relationship Id="rId163" Type="http://schemas.openxmlformats.org/officeDocument/2006/relationships/hyperlink" Target="https://www.worldometers.info/world-population/spain-population/" TargetMode="External"/><Relationship Id="rId184" Type="http://schemas.openxmlformats.org/officeDocument/2006/relationships/hyperlink" Target="https://www.worldometers.info/world-population/ukraine-population/" TargetMode="External"/><Relationship Id="rId189" Type="http://schemas.openxmlformats.org/officeDocument/2006/relationships/hyperlink" Target="https://www.worldometers.info/world-population/uzbekistan-population/" TargetMode="External"/><Relationship Id="rId3" Type="http://schemas.openxmlformats.org/officeDocument/2006/relationships/hyperlink" Target="https://www.worldometers.info/world-population/algeria-population/" TargetMode="External"/><Relationship Id="rId25" Type="http://schemas.openxmlformats.org/officeDocument/2006/relationships/hyperlink" Target="https://www.worldometers.info/world-population/brunei-darussalam-population/" TargetMode="External"/><Relationship Id="rId46" Type="http://schemas.openxmlformats.org/officeDocument/2006/relationships/hyperlink" Target="https://www.worldometers.info/world-population/denmark-population/" TargetMode="External"/><Relationship Id="rId67" Type="http://schemas.openxmlformats.org/officeDocument/2006/relationships/hyperlink" Target="https://www.worldometers.info/world-population/greece-population/" TargetMode="External"/><Relationship Id="rId116" Type="http://schemas.openxmlformats.org/officeDocument/2006/relationships/hyperlink" Target="https://www.worldometers.info/world-population/montenegro-population/" TargetMode="External"/><Relationship Id="rId137" Type="http://schemas.openxmlformats.org/officeDocument/2006/relationships/hyperlink" Target="https://www.worldometers.info/world-population/peru-population/" TargetMode="External"/><Relationship Id="rId158" Type="http://schemas.openxmlformats.org/officeDocument/2006/relationships/hyperlink" Target="https://www.worldometers.info/world-population/solomon-islands-population/" TargetMode="External"/><Relationship Id="rId20" Type="http://schemas.openxmlformats.org/officeDocument/2006/relationships/hyperlink" Target="https://www.worldometers.info/world-population/bhutan-population/" TargetMode="External"/><Relationship Id="rId41" Type="http://schemas.openxmlformats.org/officeDocument/2006/relationships/hyperlink" Target="https://www.worldometers.info/world-population/croatia-population/" TargetMode="External"/><Relationship Id="rId62" Type="http://schemas.openxmlformats.org/officeDocument/2006/relationships/hyperlink" Target="https://www.worldometers.info/world-population/gabon-population/" TargetMode="External"/><Relationship Id="rId83" Type="http://schemas.openxmlformats.org/officeDocument/2006/relationships/hyperlink" Target="https://www.worldometers.info/world-population/israel-population/" TargetMode="External"/><Relationship Id="rId88" Type="http://schemas.openxmlformats.org/officeDocument/2006/relationships/hyperlink" Target="https://www.worldometers.info/world-population/kazakhstan-population/" TargetMode="External"/><Relationship Id="rId111" Type="http://schemas.openxmlformats.org/officeDocument/2006/relationships/hyperlink" Target="https://www.worldometers.info/world-population/mexico-population/" TargetMode="External"/><Relationship Id="rId132" Type="http://schemas.openxmlformats.org/officeDocument/2006/relationships/hyperlink" Target="https://www.worldometers.info/world-population/pakistan-population/" TargetMode="External"/><Relationship Id="rId153" Type="http://schemas.openxmlformats.org/officeDocument/2006/relationships/hyperlink" Target="https://www.worldometers.info/world-population/seychelles-population/" TargetMode="External"/><Relationship Id="rId174" Type="http://schemas.openxmlformats.org/officeDocument/2006/relationships/hyperlink" Target="https://www.worldometers.info/world-population/thailand-population/" TargetMode="External"/><Relationship Id="rId179" Type="http://schemas.openxmlformats.org/officeDocument/2006/relationships/hyperlink" Target="https://www.worldometers.info/world-population/tunisia-population/" TargetMode="External"/><Relationship Id="rId195" Type="http://schemas.openxmlformats.org/officeDocument/2006/relationships/hyperlink" Target="https://www.worldometers.info/world-population/zimbabwe-population/" TargetMode="External"/><Relationship Id="rId190" Type="http://schemas.openxmlformats.org/officeDocument/2006/relationships/hyperlink" Target="https://www.worldometers.info/world-population/vanuatu-population/" TargetMode="External"/><Relationship Id="rId15" Type="http://schemas.openxmlformats.org/officeDocument/2006/relationships/hyperlink" Target="https://www.worldometers.info/world-population/barbados-population/" TargetMode="External"/><Relationship Id="rId36" Type="http://schemas.openxmlformats.org/officeDocument/2006/relationships/hyperlink" Target="https://www.worldometers.info/world-population/china-population/" TargetMode="External"/><Relationship Id="rId57" Type="http://schemas.openxmlformats.org/officeDocument/2006/relationships/hyperlink" Target="https://www.worldometers.info/world-population/swaziland-population/" TargetMode="External"/><Relationship Id="rId106" Type="http://schemas.openxmlformats.org/officeDocument/2006/relationships/hyperlink" Target="https://www.worldometers.info/world-population/mali-population/" TargetMode="External"/><Relationship Id="rId127" Type="http://schemas.openxmlformats.org/officeDocument/2006/relationships/hyperlink" Target="https://www.worldometers.info/world-population/nigeria-population/" TargetMode="External"/><Relationship Id="rId10" Type="http://schemas.openxmlformats.org/officeDocument/2006/relationships/hyperlink" Target="https://www.worldometers.info/world-population/austria-population/" TargetMode="External"/><Relationship Id="rId31" Type="http://schemas.openxmlformats.org/officeDocument/2006/relationships/hyperlink" Target="https://www.worldometers.info/world-population/cameroon-population/" TargetMode="External"/><Relationship Id="rId52" Type="http://schemas.openxmlformats.org/officeDocument/2006/relationships/hyperlink" Target="https://www.worldometers.info/world-population/egypt-population/" TargetMode="External"/><Relationship Id="rId73" Type="http://schemas.openxmlformats.org/officeDocument/2006/relationships/hyperlink" Target="https://www.worldometers.info/world-population/haiti-population/" TargetMode="External"/><Relationship Id="rId78" Type="http://schemas.openxmlformats.org/officeDocument/2006/relationships/hyperlink" Target="https://www.worldometers.info/world-population/india-population/" TargetMode="External"/><Relationship Id="rId94" Type="http://schemas.openxmlformats.org/officeDocument/2006/relationships/hyperlink" Target="https://www.worldometers.info/world-population/latvia-population/" TargetMode="External"/><Relationship Id="rId99" Type="http://schemas.openxmlformats.org/officeDocument/2006/relationships/hyperlink" Target="https://www.worldometers.info/world-population/liechtenstein-population/" TargetMode="External"/><Relationship Id="rId101" Type="http://schemas.openxmlformats.org/officeDocument/2006/relationships/hyperlink" Target="https://www.worldometers.info/world-population/luxembourg-population/" TargetMode="External"/><Relationship Id="rId122" Type="http://schemas.openxmlformats.org/officeDocument/2006/relationships/hyperlink" Target="https://www.worldometers.info/world-population/nepal-population/" TargetMode="External"/><Relationship Id="rId143" Type="http://schemas.openxmlformats.org/officeDocument/2006/relationships/hyperlink" Target="https://www.worldometers.info/world-population/russia-population/" TargetMode="External"/><Relationship Id="rId148" Type="http://schemas.openxmlformats.org/officeDocument/2006/relationships/hyperlink" Target="https://www.worldometers.info/world-population/san-marino-population/" TargetMode="External"/><Relationship Id="rId164" Type="http://schemas.openxmlformats.org/officeDocument/2006/relationships/hyperlink" Target="https://www.worldometers.info/world-population/sri-lanka-population/" TargetMode="External"/><Relationship Id="rId169" Type="http://schemas.openxmlformats.org/officeDocument/2006/relationships/hyperlink" Target="https://www.worldometers.info/world-population/sweden-population/" TargetMode="External"/><Relationship Id="rId185" Type="http://schemas.openxmlformats.org/officeDocument/2006/relationships/hyperlink" Target="https://www.worldometers.info/world-population/united-arab-emirates-population/" TargetMode="External"/><Relationship Id="rId4" Type="http://schemas.openxmlformats.org/officeDocument/2006/relationships/hyperlink" Target="https://www.worldometers.info/world-population/andorra-population/" TargetMode="External"/><Relationship Id="rId9" Type="http://schemas.openxmlformats.org/officeDocument/2006/relationships/hyperlink" Target="https://www.worldometers.info/world-population/australia-population/" TargetMode="External"/><Relationship Id="rId180" Type="http://schemas.openxmlformats.org/officeDocument/2006/relationships/hyperlink" Target="https://www.worldometers.info/world-population/turkey-population/" TargetMode="External"/><Relationship Id="rId26" Type="http://schemas.openxmlformats.org/officeDocument/2006/relationships/hyperlink" Target="https://www.worldometers.info/world-population/bulgaria-population/" TargetMode="External"/><Relationship Id="rId47" Type="http://schemas.openxmlformats.org/officeDocument/2006/relationships/hyperlink" Target="https://www.worldometers.info/world-population/djibouti-population/" TargetMode="External"/><Relationship Id="rId68" Type="http://schemas.openxmlformats.org/officeDocument/2006/relationships/hyperlink" Target="https://www.worldometers.info/world-population/grenada-population/" TargetMode="External"/><Relationship Id="rId89" Type="http://schemas.openxmlformats.org/officeDocument/2006/relationships/hyperlink" Target="https://www.worldometers.info/world-population/kenya-population/" TargetMode="External"/><Relationship Id="rId112" Type="http://schemas.openxmlformats.org/officeDocument/2006/relationships/hyperlink" Target="https://www.worldometers.info/world-population/micronesia-population/" TargetMode="External"/><Relationship Id="rId133" Type="http://schemas.openxmlformats.org/officeDocument/2006/relationships/hyperlink" Target="https://www.worldometers.info/world-population/palau-population/" TargetMode="External"/><Relationship Id="rId154" Type="http://schemas.openxmlformats.org/officeDocument/2006/relationships/hyperlink" Target="https://www.worldometers.info/world-population/sierra-leone-population/" TargetMode="External"/><Relationship Id="rId175" Type="http://schemas.openxmlformats.org/officeDocument/2006/relationships/hyperlink" Target="https://www.worldometers.info/world-population/timor-leste-population/" TargetMode="External"/><Relationship Id="rId16" Type="http://schemas.openxmlformats.org/officeDocument/2006/relationships/hyperlink" Target="https://www.worldometers.info/world-population/belarus-population/" TargetMode="External"/><Relationship Id="rId37" Type="http://schemas.openxmlformats.org/officeDocument/2006/relationships/hyperlink" Target="https://www.worldometers.info/world-population/colombia-population/" TargetMode="External"/><Relationship Id="rId58" Type="http://schemas.openxmlformats.org/officeDocument/2006/relationships/hyperlink" Target="https://www.worldometers.info/world-population/ethiopia-population/" TargetMode="External"/><Relationship Id="rId79" Type="http://schemas.openxmlformats.org/officeDocument/2006/relationships/hyperlink" Target="https://www.worldometers.info/world-population/indonesia-population/" TargetMode="External"/><Relationship Id="rId102" Type="http://schemas.openxmlformats.org/officeDocument/2006/relationships/hyperlink" Target="https://www.worldometers.info/world-population/madagascar-population/" TargetMode="External"/><Relationship Id="rId123" Type="http://schemas.openxmlformats.org/officeDocument/2006/relationships/hyperlink" Target="https://www.worldometers.info/world-population/netherlands-population/" TargetMode="External"/><Relationship Id="rId144" Type="http://schemas.openxmlformats.org/officeDocument/2006/relationships/hyperlink" Target="https://www.worldometers.info/world-population/rwanda-population/" TargetMode="External"/><Relationship Id="rId90" Type="http://schemas.openxmlformats.org/officeDocument/2006/relationships/hyperlink" Target="https://www.worldometers.info/world-population/kiribati-population/" TargetMode="External"/><Relationship Id="rId165" Type="http://schemas.openxmlformats.org/officeDocument/2006/relationships/hyperlink" Target="https://www.worldometers.info/world-population/saint-vincent-and-the-grenadines-population/" TargetMode="External"/><Relationship Id="rId186" Type="http://schemas.openxmlformats.org/officeDocument/2006/relationships/hyperlink" Target="https://www.worldometers.info/world-population/uk-population/" TargetMode="External"/><Relationship Id="rId27" Type="http://schemas.openxmlformats.org/officeDocument/2006/relationships/hyperlink" Target="https://www.worldometers.info/world-population/burkina-faso-population/" TargetMode="External"/><Relationship Id="rId48" Type="http://schemas.openxmlformats.org/officeDocument/2006/relationships/hyperlink" Target="https://www.worldometers.info/world-population/dominica-population/" TargetMode="External"/><Relationship Id="rId69" Type="http://schemas.openxmlformats.org/officeDocument/2006/relationships/hyperlink" Target="https://www.worldometers.info/world-population/guatemala-population/" TargetMode="External"/><Relationship Id="rId113" Type="http://schemas.openxmlformats.org/officeDocument/2006/relationships/hyperlink" Target="https://www.worldometers.info/world-population/moldova-population/" TargetMode="External"/><Relationship Id="rId134" Type="http://schemas.openxmlformats.org/officeDocument/2006/relationships/hyperlink" Target="https://www.worldometers.info/world-population/panama-population/" TargetMode="External"/><Relationship Id="rId80" Type="http://schemas.openxmlformats.org/officeDocument/2006/relationships/hyperlink" Target="https://www.worldometers.info/world-population/iran-population/" TargetMode="External"/><Relationship Id="rId155" Type="http://schemas.openxmlformats.org/officeDocument/2006/relationships/hyperlink" Target="https://www.worldometers.info/world-population/singapore-population/" TargetMode="External"/><Relationship Id="rId176" Type="http://schemas.openxmlformats.org/officeDocument/2006/relationships/hyperlink" Target="https://www.worldometers.info/world-population/togo-population/" TargetMode="External"/><Relationship Id="rId17" Type="http://schemas.openxmlformats.org/officeDocument/2006/relationships/hyperlink" Target="https://www.worldometers.info/world-population/belgium-population/" TargetMode="External"/><Relationship Id="rId38" Type="http://schemas.openxmlformats.org/officeDocument/2006/relationships/hyperlink" Target="https://www.worldometers.info/world-population/comoros-population/" TargetMode="External"/><Relationship Id="rId59" Type="http://schemas.openxmlformats.org/officeDocument/2006/relationships/hyperlink" Target="https://www.worldometers.info/world-population/fiji-population/" TargetMode="External"/><Relationship Id="rId103" Type="http://schemas.openxmlformats.org/officeDocument/2006/relationships/hyperlink" Target="https://www.worldometers.info/world-population/malawi-population/" TargetMode="External"/><Relationship Id="rId124" Type="http://schemas.openxmlformats.org/officeDocument/2006/relationships/hyperlink" Target="https://www.worldometers.info/world-population/new-zealand-population/" TargetMode="External"/><Relationship Id="rId70" Type="http://schemas.openxmlformats.org/officeDocument/2006/relationships/hyperlink" Target="https://www.worldometers.info/world-population/guinea-population/" TargetMode="External"/><Relationship Id="rId91" Type="http://schemas.openxmlformats.org/officeDocument/2006/relationships/hyperlink" Target="https://www.worldometers.info/world-population/kuwait-population/" TargetMode="External"/><Relationship Id="rId145" Type="http://schemas.openxmlformats.org/officeDocument/2006/relationships/hyperlink" Target="https://www.worldometers.info/world-population/saint-kitts-and-nevis-population/" TargetMode="External"/><Relationship Id="rId166" Type="http://schemas.openxmlformats.org/officeDocument/2006/relationships/hyperlink" Target="https://www.worldometers.info/world-population/state-of-palestine-population/" TargetMode="External"/><Relationship Id="rId187" Type="http://schemas.openxmlformats.org/officeDocument/2006/relationships/hyperlink" Target="https://www.worldometers.info/world-population/us-population/" TargetMode="External"/><Relationship Id="rId1" Type="http://schemas.openxmlformats.org/officeDocument/2006/relationships/hyperlink" Target="https://www.worldometers.info/world-population/afghanistan-population/" TargetMode="External"/><Relationship Id="rId28" Type="http://schemas.openxmlformats.org/officeDocument/2006/relationships/hyperlink" Target="https://www.worldometers.info/world-population/burundi-population/" TargetMode="External"/><Relationship Id="rId49" Type="http://schemas.openxmlformats.org/officeDocument/2006/relationships/hyperlink" Target="https://www.worldometers.info/world-population/dominican-republic-population/" TargetMode="External"/><Relationship Id="rId114" Type="http://schemas.openxmlformats.org/officeDocument/2006/relationships/hyperlink" Target="https://www.worldometers.info/world-population/monaco-population/" TargetMode="External"/><Relationship Id="rId60" Type="http://schemas.openxmlformats.org/officeDocument/2006/relationships/hyperlink" Target="https://www.worldometers.info/world-population/finland-population/" TargetMode="External"/><Relationship Id="rId81" Type="http://schemas.openxmlformats.org/officeDocument/2006/relationships/hyperlink" Target="https://www.worldometers.info/world-population/iraq-population/" TargetMode="External"/><Relationship Id="rId135" Type="http://schemas.openxmlformats.org/officeDocument/2006/relationships/hyperlink" Target="https://www.worldometers.info/world-population/papua-new-guinea-population/" TargetMode="External"/><Relationship Id="rId156" Type="http://schemas.openxmlformats.org/officeDocument/2006/relationships/hyperlink" Target="https://www.worldometers.info/world-population/slovakia-population/" TargetMode="External"/><Relationship Id="rId177" Type="http://schemas.openxmlformats.org/officeDocument/2006/relationships/hyperlink" Target="https://www.worldometers.info/world-population/tonga-population/" TargetMode="External"/><Relationship Id="rId18" Type="http://schemas.openxmlformats.org/officeDocument/2006/relationships/hyperlink" Target="https://www.worldometers.info/world-population/belize-population/" TargetMode="External"/><Relationship Id="rId39" Type="http://schemas.openxmlformats.org/officeDocument/2006/relationships/hyperlink" Target="https://www.worldometers.info/world-population/congo-population/"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voxi.co.uk/"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hyperlink" Target="http://dividendinvestor.com/"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tamps.com/" TargetMode="External"/><Relationship Id="rId2" Type="http://schemas.openxmlformats.org/officeDocument/2006/relationships/hyperlink" Target="http://changyou.com/" TargetMode="External"/><Relationship Id="rId1" Type="http://schemas.openxmlformats.org/officeDocument/2006/relationships/hyperlink" Target="http://jiayuan.com/"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mt.co/g/rptrcks/comm-smart-app/services/tracking/clickTracker?redirectTo=2%2BLE4uLN00wPbDWxOko1usKqgG%2FATmXHbmAAsIRr3ZaigCvnE8B5ejxoRctDL14Lb7kwNGqxOy77uNf%2FFwETJ2LDBhdNULP%2FgcVVh59LnWMlSSA%2B3guOeUGTKsDPf55TqIVbOJW2TRACHcdNUX1Sn7UfD2UNyAXmHDcib7GPUe1x91iJY%2FiJC6SbfQZtWzWnwLimJXr2OCaXCT0i6doopSlYKSA%2FHzxJCm2Uzwfu8cGih614Iw7h0cfvnHliz4MbDlJYhDjQxnu8NIQHWeQSCrwsANlsbNTbGwk961lRPYFgHEaN0%2FntXn%2Bj%2B4zlrlW3GyS2E2rnUXXC%2BM9cXAc258qeqtwdod7bW1JpoRC0jU1yOvxX4cS0MZ0w1Hg9qPmHzNHKUPeWTeY7XUqP3145UKjJ6l5w8jOcGmvPrl5QjXvgOpZUTZvHrlQdrgHhQUIcxHgt6X9UQXZ4WQmxHucsLg%3D%3D&amp;meta=SXX05MySTE%2BK0Pz6zHWcANq9FJzRS%2FC0UGXQhp4cOCUExFDqpQn51gexLCyZo1CJ2UKuhkcAwixBPctCF6QU4KyReI%2FSr8VM1%2Bm0pjduI%2B0spOG63HZ55ZOib%2BFBsV24ZcNHW9YsC%2BnPLs%2Fpc%2FeJqUeK59ix%2BcNiXfGCHFXxApIGDyShj2jzOsZMsxl%2BmRDqC9Q8S7DNt%2FmgTOz7Ska9Cg%3D%3D&amp;iv=v1ZeDjDbmXiMuaISFlYQxg%3D%3D" TargetMode="External"/><Relationship Id="rId21" Type="http://schemas.openxmlformats.org/officeDocument/2006/relationships/hyperlink" Target="https://www.amazon.com/gp/r.html?C=1GDZONJ9HF37K&amp;K=D88AMRB2CGGN&amp;M=urn:rtn:msg:20231201161440980bb9b0ae1e43a7931d99f35230p0na&amp;R=TBIA5ADRTYG0&amp;T=C&amp;U=https%3A%2F%2Fwww.amazon.com%2Fgp%2Fcss%2Forder-details%3ForderId%3D114-5067621-3387457%26ref_%3Dpe_386300_440135490_TE_simp_od&amp;H=QTABBBE83K28VELGDPLXFCBSKLUA&amp;ref_=pe_386300_440135490_TE_simp_od" TargetMode="External"/><Relationship Id="rId63" Type="http://schemas.openxmlformats.org/officeDocument/2006/relationships/hyperlink" Target="https://www.amazon.com/gp/r.html?C=1GDZONJ9HF37K&amp;K=D88AMRB2CGGN&amp;M=urn:rtn:msg:202304231358389b2afbc1474f4d67837f53539770p0na&amp;R=M6AKSGQPLUZQ&amp;T=C&amp;U=https%3A%2F%2Fwww.amazon.com%2Fgp%2Fcss%2Forder-details%3ForderId%3D111-7439944-7544252%26ref_%3Dpe_386300_440135490_TE_simp_od&amp;H=1AUAORQA5XDT3LRYLG87BTMLVECA&amp;ref_=pe_386300_440135490_TE_simp_od" TargetMode="External"/><Relationship Id="rId159" Type="http://schemas.openxmlformats.org/officeDocument/2006/relationships/hyperlink" Target="https://www.amazon.com/gp/r.html?C=1GDZONJ9HF37K&amp;K=D88AMRB2CGGN&amp;M=urn:rtn:msg:20211006173651bb30bfeea7d14ce6ab51e9975340p0na&amp;R=ADUPSXGZCBXL&amp;T=C&amp;U=https%3A%2F%2Fwww.amazon.com%2Fgp%2Fcss%2Forder-details%3ForderId%3D113-0975221-6655417%26ref_%3Dpe_386300_440135490_TE_simp_od&amp;H=SR1NOHQP0QDUU15DTS3UZH3C0NCA&amp;ref_=pe_386300_440135490_TE_simp_od" TargetMode="External"/><Relationship Id="rId170" Type="http://schemas.openxmlformats.org/officeDocument/2006/relationships/hyperlink" Target="https://www.amazon.com/gp/r.html?C=1GDZONJ9HF37K&amp;K=D88AMRB2CGGN&amp;M=urn:rtn:msg:2021062800472679727e577e8a499f830a809d0b30p0na&amp;R=39IWJYLCX99DO&amp;T=C&amp;U=https%3A%2F%2Fwww.amazon.com%2Fgp%2Fcss%2Forder-details%3ForderId%3D114-4862513-1304232%26ref_%3Dpe_386300_440135490_TE_simp_od&amp;H=QK8XNJIIDAAAUSQJG1KHDBKXVRQA&amp;ref_=pe_386300_440135490_TE_simp_od" TargetMode="External"/><Relationship Id="rId226" Type="http://schemas.openxmlformats.org/officeDocument/2006/relationships/hyperlink" Target="https://tools.usps.com/go/TrackConfirmAction.action?tLabels=9405509205568691583790" TargetMode="External"/><Relationship Id="rId268" Type="http://schemas.openxmlformats.org/officeDocument/2006/relationships/hyperlink" Target="https://www.amazon.com/progress-tracker/package/ref=pe_2640190_232586610_scr_pt_track?_encoding=UTF8&amp;from=gp&amp;itemId=&amp;orderId=113-0842711-4455400&amp;packageIndex=0&amp;shipmentId=21396060657301" TargetMode="External"/><Relationship Id="rId32" Type="http://schemas.openxmlformats.org/officeDocument/2006/relationships/hyperlink" Target="https://www.amazon.com/gp/r.html?C=1GDZONJ9HF37K&amp;K=D88AMRB2CGGN&amp;M=urn:rtn:msg:202310292237088db1eb655746423eb7bb49130bf0p0na&amp;R=3D34LYJU26AVF&amp;T=C&amp;U=https%3A%2F%2Fwww.amazon.com%2Fgp%2Fcss%2Forder-details%3ForderId%3D112-0778285-9676245%26ref_%3Dpe_386300_440135490_TE_simp_od&amp;H=YIGCUXI311IR0F2GSAEXTNZQ3VWA&amp;ref_=pe_386300_440135490_TE_simp_od" TargetMode="External"/><Relationship Id="rId74" Type="http://schemas.openxmlformats.org/officeDocument/2006/relationships/hyperlink" Target="https://www.ebay.com/vod/FetchOrderDetails?itemId=155453829186&amp;transactionId=2356615771005&amp;mkevt=1&amp;mkpid=0&amp;emsid=e11401.m43700.l49689&amp;mkcid=7&amp;ch=osgood&amp;euid=74ec78fd6d954295b90ff3670553cf2f&amp;bu=43188375501&amp;exe=0&amp;ext=0&amp;osub=-1%7E1&amp;crd=20230314192414&amp;segname=11401" TargetMode="External"/><Relationship Id="rId128" Type="http://schemas.openxmlformats.org/officeDocument/2006/relationships/hyperlink" Target="https://www.amazon.com/gp/r.html?C=1GDZONJ9HF37K&amp;K=D88AMRB2CGGN&amp;M=urn:rtn:msg:202210291710551667a1f363a04327bdde24a2c970p0na&amp;R=1JRRWOB7MX3U8&amp;T=C&amp;U=https%3A%2F%2Fwww.amazon.com%2Fgp%2Fcss%2Forder-details%3ForderId%3D113-5195150-4479420%26ref_%3Dpe_386300_440135490_TE_simp_od&amp;H=RLIAXAXFNJZCINXAVVOAZ7VCIBSA&amp;ref_=pe_386300_440135490_TE_simp_od" TargetMode="External"/><Relationship Id="rId5" Type="http://schemas.openxmlformats.org/officeDocument/2006/relationships/hyperlink" Target="https://www.amazon.com/gp/r.html?C=1GDZONJ9HF37K&amp;K=D88AMRB2CGGN&amp;M=urn:rtn:msg:20240716191605fb389898d8444040a8cf5afafb00p0na&amp;R=353RENH84QPTS&amp;T=C&amp;U=https%3A%2F%2Fwww.amazon.com%2Fgp%2Fcss%2Forder-details%3ForderId%3D113-4893315-3727424%26ref_%3Dpe_386300_440135490_TE_simp_od&amp;H=PFPF2ZLZ8S399ZCHTQPS3NMMAYUA&amp;ref_=pe_386300_440135490_TE_simp_od" TargetMode="External"/><Relationship Id="rId181" Type="http://schemas.openxmlformats.org/officeDocument/2006/relationships/hyperlink" Target="https://www.caremark.com/wps/portal/ALTERNATE_AUTH?xid=&amp;cid=em_pbm_cmp_orderreceived&amp;lpg=ORDER_STATUS" TargetMode="External"/><Relationship Id="rId237" Type="http://schemas.openxmlformats.org/officeDocument/2006/relationships/hyperlink" Target="https://rover.ebay.com/rover/0/e11401.m43700.l44717/7?euid=286e7b93ff454f64a1b5a031e3557cde&amp;bu=43188375501&amp;segname=11401&amp;crd=20200506111103&amp;osub=-1~1&amp;ch=osgood&amp;loc=https%3A%2F%2Fwww.ebay.com%2Fulk%2Fvod%3Ftransid%3D2394048116012%26itemId%3D223949114978%26qu%3D1%26ssPageName%3DADME%3AL%3AOC%3AUS%3A592&amp;sojTags=bu=bu,ch=ch,segname=segname,crd=crd,url=loc,osub=osub" TargetMode="External"/><Relationship Id="rId279" Type="http://schemas.openxmlformats.org/officeDocument/2006/relationships/hyperlink" Target="https://www.amazon.com/progress-tracker/package/ref=pe_2640190_232586610_scr_pt_asin?_encoding=UTF8&amp;from=gp&amp;itemId=&amp;orderId=114-9221944-6174655&amp;packageIndex=0&amp;shipmentId=24859202472301" TargetMode="External"/><Relationship Id="rId43" Type="http://schemas.openxmlformats.org/officeDocument/2006/relationships/hyperlink" Target="https://www.amazon.com/gp/r.html?C=1GDZONJ9HF37K&amp;K=D88AMRB2CGGN&amp;M=urn:rtn:msg:20230703234925aa19432c54464055acbf05088460p0na&amp;R=3PDQS9D4KZLST&amp;T=C&amp;U=https%3A%2F%2Fwww.amazon.com%2Fgp%2Fcss%2Forder-details%3ForderId%3D112-7796417-4100246%26ref_%3Dpe_386300_440135490_TE_simp_od&amp;H=ZWCSRPB9D0INJVIHYAW8JUTUXO0A&amp;ref_=pe_386300_440135490_TE_simp_od" TargetMode="External"/><Relationship Id="rId139" Type="http://schemas.openxmlformats.org/officeDocument/2006/relationships/hyperlink" Target="https://www.amazon.com/gp/r.html?C=1GDZONJ9HF37K&amp;K=D88AMRB2CGGN&amp;M=urn:rtn:msg:20220925033954986b85c82bae49f2a4c8dcac9c40p0na&amp;R=2TLHGFT1JITYX&amp;T=C&amp;U=https%3A%2F%2Fwww.amazon.com%2Fgp%2Fcss%2Forder-details%3ForderId%3D114-8001797-6997831%26ref_%3Dpe_386300_440135490_TE_simp_od&amp;H=OBVT17QPBAHAHS660JED5VOAIUUA&amp;ref_=pe_386300_440135490_TE_simp_od" TargetMode="External"/><Relationship Id="rId290" Type="http://schemas.openxmlformats.org/officeDocument/2006/relationships/hyperlink" Target="https://www.amazon.com/gp/r.html?C=1GDZONJ9HF37K&amp;K=D88AMRB2CGGN&amp;M=urn:rtn:msg:2024112313311446e79dcd1982422b972e619380c0p0na&amp;R=1G83BXID8HNE5&amp;T=C&amp;U=https%3A%2F%2Fwww.amazon.com%2Fgp%2Fcss%2Forder-details%3ForderId%3D113-5702083-0605058%26ref_%3Dpe_386300_440135490_TE_simp_od&amp;H=TKMQIWDI2K491O4YW8YNCFMVYDKA&amp;ref_=pe_386300_440135490_TE_simp_od" TargetMode="External"/><Relationship Id="rId85" Type="http://schemas.openxmlformats.org/officeDocument/2006/relationships/hyperlink" Target="https://store.usps.com/store/myaccount/orderDetail.jsp?orderId=o1934556799&amp;selpage=MY+ORDERS&amp;isMyAccountPage=true" TargetMode="External"/><Relationship Id="rId150" Type="http://schemas.openxmlformats.org/officeDocument/2006/relationships/hyperlink" Target="https://www.amazon.com/gp/r.html?C=1GDZONJ9HF37K&amp;K=D88AMRB2CGGN&amp;M=urn:rtn:msg:20211126003814aa259be4185e474596c8f5fdc1b0p0na&amp;R=37FI7G1YR5298&amp;T=C&amp;U=https%3A%2F%2Fwww.amazon.com%2Fgp%2Fcss%2Forder-details%3ForderId%3D113-9965487-5929033%26ref_%3Dpe_386300_440135490_TE_simp_od&amp;H=VNTATQB2R5JY1VNJFMAM17IXW6EA&amp;ref_=pe_386300_440135490_TE_simp_od" TargetMode="External"/><Relationship Id="rId192" Type="http://schemas.openxmlformats.org/officeDocument/2006/relationships/hyperlink" Target="https://www.ups.com/WebTracking?loc=en_US&amp;requester=ST&amp;trackNums=1Z611Y050324267422" TargetMode="External"/><Relationship Id="rId206" Type="http://schemas.openxmlformats.org/officeDocument/2006/relationships/hyperlink" Target="https://www.wayfair.com/about" TargetMode="External"/><Relationship Id="rId248" Type="http://schemas.openxmlformats.org/officeDocument/2006/relationships/hyperlink" Target="https://smile.amazon.com/progress-tracker/package/ref=pe_2640190_232586610_scr_pt_track?_encoding=UTF8&amp;from=gp&amp;itemId=&amp;orderId=113-4779936-8459452&amp;packageIndex=0&amp;shipmentId=25529187242301" TargetMode="External"/><Relationship Id="rId12" Type="http://schemas.openxmlformats.org/officeDocument/2006/relationships/hyperlink" Target="https://u13016217.ct.sendgrid.net/ls/click?upn=eWmi-2Fs-2FzEoBSm-2FP4mC6UeFwEp60bWlMwQMACbXoM7BLvxUKPEjZh7DxKCn-2F0eWI0mwuOGBiF8Q2DZVrZs2G-2BCURPHiO9sLKpMFX87eDfunqcVNVNee2f96kll5qSxiAWmKSi_3A5Vch8LC7okoEcNzaAnCmBqJFC91iGP2CbYyjfa9QIW-2B4p2WW4DyQlBTKEhkQ-2FjSVb3OXVSXeLsbZ0XGcGwKYNkjgzx1gBWIbqXmVXfDJV-2B6vpsgGtxat8rXjXPEblo19XTqbQDCCRkgzJBTNN81V88haTYPbqRPbSIUEbCmOUUVPKTz72hFIcdazTov7pbu9Z0Vdm70SoaX0pukahz1Q-3D-3D" TargetMode="External"/><Relationship Id="rId108" Type="http://schemas.openxmlformats.org/officeDocument/2006/relationships/hyperlink" Target="http://email.draft2digital.com/c/eJxNjrFuxCAQRL8GOqNlwQsUFKdEV0Wp0kcY4xw6zjiYFPn7cF00o9HoFaNJXpJRUlswxFcPq008_2MIAu2slUQhyUqYgaxVZIHQGeeYhnxMEqanJGmRIoq899T2UPjNr6terIkmaVoULBu4hLRZ3BxJp2Lgxd96P06mLgyvw73Wcoqf8zhFrI8BvuqIjxbi_aXuW26PS-y57kxdv3v87G9hSeWUTL061NI5QG3MKLNVAIjgyABvvpVSf9fxNpYU2lTCPT33effvdU9_YZZKFg" TargetMode="External"/><Relationship Id="rId54" Type="http://schemas.openxmlformats.org/officeDocument/2006/relationships/hyperlink" Target="https://www.amazon.com/gp/r.html?C=1GDZONJ9HF37K&amp;K=D88AMRB2CGGN&amp;M=urn:rtn:msg:20230531153213c1bf34b96fa14088a42ab95bf440p0na&amp;R=2HGBLDI19BDU5&amp;T=C&amp;U=https%3A%2F%2Fwww.amazon.com%2Fgp%2Fcss%2Forder-details%3ForderId%3D113-6464459-8425861%26ref_%3Dpe_386300_440135490_TE_simp_od&amp;H=XNU6QE7GFVTWECNWYGY2V8F2JHCA&amp;ref_=pe_386300_440135490_TE_simp_od" TargetMode="External"/><Relationship Id="rId75" Type="http://schemas.openxmlformats.org/officeDocument/2006/relationships/hyperlink" Target="https://www.amazon.com/gp/r.html?C=1GDZONJ9HF37K&amp;K=D88AMRB2CGGN&amp;M=urn:rtn:msg:20230315124010ba9d49f6c6d942ca8d8f003587a0p0na&amp;R=LA0HCXRD6649&amp;T=C&amp;U=https%3A%2F%2Fwww.amazon.com%2Fgp%2Fcss%2Forder-details%3ForderId%3D112-9158229-4224231%26ref_%3Dpe_386300_440135490_TE_simp_od&amp;H=7LJ4EICJHPQ5LDPIAMW5AVKQQIIA&amp;ref_=pe_386300_440135490_TE_simp_od" TargetMode="External"/><Relationship Id="rId96" Type="http://schemas.openxmlformats.org/officeDocument/2006/relationships/hyperlink" Target="https://www.amazon.com/gp/r.html?C=1GDZONJ9HF37K&amp;K=D88AMRB2CGGN&amp;M=urn:rtn:msg:20230121205605810001b3d7774c8fbf9f78de2320p0na&amp;R=1C85MWZCXJO6J&amp;T=C&amp;U=https%3A%2F%2Fwww.amazon.com%2Fgp%2Fcss%2Forder-details%3ForderId%3D113-2874006-4361869%26ref_%3Dpe_386300_440135490_TE_simp_od&amp;H=VHUX9DJY33MIJNE8JKQMYCISZYWA&amp;ref_=pe_386300_440135490_TE_simp_od" TargetMode="External"/><Relationship Id="rId140" Type="http://schemas.openxmlformats.org/officeDocument/2006/relationships/hyperlink" Target="https://www.ebay.com/vod/FetchOrderDetails?itemId=204065565328&amp;transactionId=0&amp;mkevt=1&amp;mkpid=0&amp;emsid=e11401.m43700.l49689&amp;mkcid=7&amp;ch=osgood&amp;euid=8aba419b36d549febf1138a6f3cf4403&amp;bu=43188375501&amp;osub=-1%7E1&amp;crd=20220818083234&amp;segname=11401" TargetMode="External"/><Relationship Id="rId161" Type="http://schemas.openxmlformats.org/officeDocument/2006/relationships/hyperlink" Target="https://w-mt.co/g/rptrcks/comm-smart-app/services/tracking/clickTracker?redirectTo=nfIHogzhpa7%2F2J2phrlCR7ud3h07QdD57ALHVxzwe%2FWLUqxRNqWUssfXrBwZFMNxf4kaW6zLXJJzOeH3F%2Ffhfnw1opV3KmHmrVqlDY%2BwUBzPvFJsSe%2F9GLLy8ptvjvH6MaTVRZuoIeBIjeGbLCu9EKVFotkVRfEtrjodmGg5eOj4OLBWArXNgVlKgVobwec0m1Jxzmex%2BBHdjffD03rhEFKhv9y2FfFkM93umljuLbmKJVjDJaHi4PoQnERPiBKUs2G4KceFOAHt%2BMvQJDQhDnE5YUglJV5Q28PCK1NaEB1QnSw%2FhUbBaKwpkEgzw3K31DzukVcGUT9f5YNUHYT1joerwej%2FagApCjd6A1lHtar%2F5%2BQdDXNWYDnCptopKDq7xSV4E0dqYtBzf2rbd6GS5USD2XHcM2bdD96P2Wh30LYDqleNW9TeWA3LDQehxOirOAR8v%2F3x9w%2BOPlqZdXm9lnKnTwFLhyugCkFPx2yLB8qZ4usZHSUWIsIauJZjlLSGG%2BBgVNz4gJ0ncDQJe5ZyWiSJ%2Bl3fvvbxmSkQmip%2FN6PdVl0JPi0llfrqXVEnAI9yebfibBOyFd87WKViwm7V2%2BQJAYp4T9fK7rhy%2F6RJcSkYfSzlP316nC56VR03Ed5Y%2B4k4W3iabuu0U2lL9NqdVC83ngJjIwVUdCnIOl1exFYQLRcD3DxEK2cMSjosJk828ceX3x0PZuTCwWRMFKzd6T0mloLXKVQNQtQbPhQhOFIDItN7q9wCnZJll0B8yMLuiuJUpi0O9XFBVzcYy1wjO4i8KmJBRitkDV6TlEPgC5bKfJFQs38lvUH5SordgkUV%2F6plzgGUapSg3aM3DZgZTRJHqepiYdKSltw53fvWC6o%3D&amp;meta=qXYi4%2FFRmEyDWs%2FpZOLgWlJIM3cDiCPrASpNh6q4BCmCvNI7ha8MXX15A%2BeuvvGmsozWZsh%2BnbOTQKKBaygFFT0r6sZA2am4U1jhQsvHTQ1kPKskofOSskZwNdgTmKN8g4i3AQMQrgrL9SD7sOiuhCt43rXJEFQsgZam9W4S8oyL7VT7qwBWFktEjPVHPgAvNAUEv3USBuahY4l40rLNZg%3D%3D&amp;iv=byapDN4mHwwnKHjPBszHEA%3D%3D" TargetMode="External"/><Relationship Id="rId182" Type="http://schemas.openxmlformats.org/officeDocument/2006/relationships/hyperlink" Target="http://shop4megastore.com/" TargetMode="External"/><Relationship Id="rId217" Type="http://schemas.openxmlformats.org/officeDocument/2006/relationships/hyperlink" Target="https://tools.usps.com/go/TrackConfirmAction?qtc_tLabels1=9300120224000008264537" TargetMode="External"/><Relationship Id="rId6" Type="http://schemas.openxmlformats.org/officeDocument/2006/relationships/hyperlink" Target="https://www.amazon.com/gp/r.html?C=1GDZONJ9HF37K&amp;K=D88AMRB2CGGN&amp;M=urn:rtn:msg:202407222356004aad32d89ac1420aaac831e90310p0na&amp;R=3V1FG74BF3GWU&amp;T=C&amp;U=https%3A%2F%2Fwww.amazon.com%2Fgp%2Fcss%2Forder-details%3ForderId%3D113-2689193-1911443%26ref_%3Dpe_386300_440135490_TE_simp_od&amp;H=K2WWYWZUM8JIV8TSKGWEPAGT7PUA&amp;ref_=pe_386300_440135490_TE_simp_od" TargetMode="External"/><Relationship Id="rId238" Type="http://schemas.openxmlformats.org/officeDocument/2006/relationships/hyperlink" Target="https://www.amazon.com/progress-tracker/package/ref=pe_2640190_232748430_scr_pt_asin?_encoding=UTF8&amp;from=gp&amp;itemId=&amp;orderId=113-1454515-9586615&amp;packageIndex=0&amp;shipmentId=30434785317301" TargetMode="External"/><Relationship Id="rId259" Type="http://schemas.openxmlformats.org/officeDocument/2006/relationships/hyperlink" Target="https://smile.amazon.com/progress-tracker/package/ref=pe_2640190_232586610_scr_pt_track?_encoding=UTF8&amp;from=gp&amp;itemId=&amp;orderId=113-0111158-0371456&amp;packageIndex=0&amp;shipmentId=21568281444301" TargetMode="External"/><Relationship Id="rId23" Type="http://schemas.openxmlformats.org/officeDocument/2006/relationships/hyperlink" Target="https://www.amazon.com/gp/r.html?C=1GDZONJ9HF37K&amp;K=D88AMRB2CGGN&amp;M=urn:rtn:msg:202311241851217a71083046f941efbe2d98cf3e10p0na&amp;R=CJUNLD4FZZGM&amp;T=C&amp;U=https%3A%2F%2Fwww.amazon.com%2Fgp%2Fcss%2Forder-details%3ForderId%3D111-0444635-3821838%26ref_%3Dpe_386300_440135490_TE_simp_od&amp;H=KYSKIK4XVJPIULCHQPV1ZUJQ7FWA&amp;ref_=pe_386300_440135490_TE_simp_od" TargetMode="External"/><Relationship Id="rId119" Type="http://schemas.openxmlformats.org/officeDocument/2006/relationships/hyperlink" Target="https://www.amazon.com/gp/r.html?C=1GDZONJ9HF37K&amp;K=D88AMRB2CGGN&amp;M=urn:rtn:msg:202211230342220f5a4d1478b24d358772fd6cfb00p0na&amp;R=2Z77N2JSA6FZ3&amp;T=C&amp;U=https%3A%2F%2Fwww.amazon.com%2Fgp%2Fcss%2Forder-details%3ForderId%3D113-4420150-8865825%26ref_%3Dpe_386300_440135490_TE_simp_od&amp;H=ASJB6W5HVNGNVBAAPSVLTACPCDWA&amp;ref_=pe_386300_440135490_TE_simp_od" TargetMode="External"/><Relationship Id="rId270" Type="http://schemas.openxmlformats.org/officeDocument/2006/relationships/hyperlink" Target="https://www.amazon.com/progress-tracker/package/ref=pe_2640190_232586610_scr_pt_track?_encoding=UTF8&amp;from=gp&amp;itemId=&amp;orderId=113-2229429-1670654&amp;packageIndex=0&amp;shipmentId=30130295603301" TargetMode="External"/><Relationship Id="rId291" Type="http://schemas.openxmlformats.org/officeDocument/2006/relationships/hyperlink" Target="https://www.fedex.com/fedextrack/?trknbr=429310844456" TargetMode="External"/><Relationship Id="rId44" Type="http://schemas.openxmlformats.org/officeDocument/2006/relationships/hyperlink" Target="https://www.amazon.com/gp/r.html?C=1GDZONJ9HF37K&amp;K=D88AMRB2CGGN&amp;M=urn:rtn:msg:20230625202309e6b3b53f468b48c9bae2f4241740p0na&amp;R=3K6A6T5XWJ2XZ&amp;T=C&amp;U=https%3A%2F%2Fwww.amazon.com%2Fgp%2Fcss%2Forder-details%3ForderId%3D114-9137617-5933841%26ref_%3Dpe_386300_440135490_TE_simp_od&amp;H=4VPUGNERBQNEIXHHPNKUFQ1QKBCA&amp;ref_=pe_386300_440135490_TE_simp_od" TargetMode="External"/><Relationship Id="rId65" Type="http://schemas.openxmlformats.org/officeDocument/2006/relationships/hyperlink" Target="https://www.amazon.com/gp/r.html?C=1GDZONJ9HF37K&amp;K=D88AMRB2CGGN&amp;M=urn:rtn:msg:20230409142212058d9f7a3d4d4cc6943129f31830p0na&amp;R=3RP8E338AHX5P&amp;T=C&amp;U=https%3A%2F%2Fwww.amazon.com%2Fgp%2Fcss%2Forder-details%3ForderId%3D113-0285223-4289074%26ref_%3Dpe_386300_440135490_TE_simp_od&amp;H=PNQASLZNFQMRJRSPI7DQD41KXWSA&amp;ref_=pe_386300_440135490_TE_simp_od" TargetMode="External"/><Relationship Id="rId86" Type="http://schemas.openxmlformats.org/officeDocument/2006/relationships/hyperlink" Target="https://www.amazon.com/gp/r.html?C=1GDZONJ9HF37K&amp;K=D88AMRB2CGGN&amp;M=urn:rtn:msg:2023013120050311599898b0b84bf7a34016bd6360p0na&amp;R=303OE5P5F5P1L&amp;T=C&amp;U=https%3A%2F%2Fwww.amazon.com%2Fgp%2Fcss%2Forder-details%3ForderId%3D113-4020240-3234650%26ref_%3Dpe_386300_440135490_TE_simp_od&amp;H=XVWOCYY90UKWQ3IPKIARFY1IAHCA&amp;ref_=pe_386300_440135490_TE_simp_od" TargetMode="External"/><Relationship Id="rId130" Type="http://schemas.openxmlformats.org/officeDocument/2006/relationships/hyperlink" Target="https://www.amazon.com/gp/r.html?C=1GDZONJ9HF37K&amp;K=D88AMRB2CGGN&amp;M=urn:rtn:msg:20221022032203bbb330cbb553482f8a3c9c8a1790p0na&amp;R=3XTIAZ7GN7HJ&amp;T=C&amp;U=https%3A%2F%2Fwww.amazon.com%2Fgp%2Fcss%2Forder-details%3ForderId%3D113-7664985-4271410%26ref_%3Dpe_386300_440135490_TE_simp_od&amp;H=4RSMU0PVUYTM4ALQTCXX48G8AM0A&amp;ref_=pe_386300_440135490_TE_simp_od" TargetMode="External"/><Relationship Id="rId151" Type="http://schemas.openxmlformats.org/officeDocument/2006/relationships/hyperlink" Target="https://www.amazon.com/gp/r.html?C=1GDZONJ9HF37K&amp;K=D88AMRB2CGGN&amp;M=urn:rtn:msg:20211113135421a3af22d84a4f4dc4b37b1e0d4920p0na&amp;R=15T683Y9CO93C&amp;T=C&amp;U=https%3A%2F%2Fwww.amazon.com%2Fgp%2Fcss%2Forder-details%3ForderId%3D113-7552130-8442613%26ref_%3Dpe_386300_440135490_TE_simp_od&amp;H=APD35AS59RK8HPCACXJFS7DPYOUA&amp;ref_=pe_386300_440135490_TE_simp_od" TargetMode="External"/><Relationship Id="rId172" Type="http://schemas.openxmlformats.org/officeDocument/2006/relationships/hyperlink" Target="https://www.amazon.com/gp/r.html?C=1GDZONJ9HF37K&amp;K=D88AMRB2CGGN&amp;M=urn:rtn:msg:2021061822032115dabc51a5c0441496a0b0eff610p0na&amp;R=17E6TZ8WJQBF7&amp;T=C&amp;U=https%3A%2F%2Fwww.amazon.com%2Fgp%2Fcss%2Forder-details%3ForderId%3D114-7231850-7115443%26ref_%3Dpe_386300_440135490_TE_simp_od&amp;H=VR4OUCJABDOFRTSLF002ZRZGMOUA&amp;ref_=pe_386300_440135490_TE_simp_od" TargetMode="External"/><Relationship Id="rId193" Type="http://schemas.openxmlformats.org/officeDocument/2006/relationships/hyperlink" Target="https://www.amazon.com/gp/r.html?C=1GDZONJ9HF37K&amp;K=D88AMRB2CGGN&amp;M=urn:rtn:msg:20210208163846cdb7536243284d08b2eaf5eb9c00p0na&amp;R=2ERRI9XLORQGU&amp;T=C&amp;U=https%3A%2F%2Fwww.amazon.com%2Fgp%2Fcss%2Forder-details%3ForderId%3D112-3879061-2769042%26ref_%3Dpe_386300_440135490_TE_simp_od&amp;H=UI4OXRLJ6SRLOWATXBABCESRXFKA&amp;ref_=pe_386300_440135490_TE_simp_od" TargetMode="External"/><Relationship Id="rId207" Type="http://schemas.openxmlformats.org/officeDocument/2006/relationships/hyperlink" Target="https://www.caremark.com/wps/myportal/ORDER_STATUS" TargetMode="External"/><Relationship Id="rId228" Type="http://schemas.openxmlformats.org/officeDocument/2006/relationships/hyperlink" Target="https://www.amazon.com/progress-tracker/package/ref=pe_2640190_232586610_scr_pt_track?_encoding=UTF8&amp;from=gp&amp;itemId=&amp;orderId=113-3660227-2117819&amp;packageIndex=0&amp;shipmentId=32208650323301" TargetMode="External"/><Relationship Id="rId249" Type="http://schemas.openxmlformats.org/officeDocument/2006/relationships/hyperlink" Target="https://informeddelivery.usps.com/box/pages/secure/packageDashboardAction?selectedTrckNum=9400110202079004415296&amp;selectedTypeOfLabel=Package" TargetMode="External"/><Relationship Id="rId13" Type="http://schemas.openxmlformats.org/officeDocument/2006/relationships/hyperlink" Target="http://stewmac.com/" TargetMode="External"/><Relationship Id="rId109" Type="http://schemas.openxmlformats.org/officeDocument/2006/relationships/hyperlink" Target="https://www.draft2digital.com/shop/order/64278" TargetMode="External"/><Relationship Id="rId260" Type="http://schemas.openxmlformats.org/officeDocument/2006/relationships/hyperlink" Target="https://smile.amazon.com/progress-tracker/package/ref=pe_2640190_232586610_scr_pt_asin?_encoding=UTF8&amp;from=gp&amp;itemId=&amp;orderId=114-4403677-8033061&amp;packageIndex=0&amp;shipmentId=26929950552301" TargetMode="External"/><Relationship Id="rId281" Type="http://schemas.openxmlformats.org/officeDocument/2006/relationships/hyperlink" Target="http://wipers123.com/" TargetMode="External"/><Relationship Id="rId34" Type="http://schemas.openxmlformats.org/officeDocument/2006/relationships/hyperlink" Target="https://www.amazon.com/gp/r.html?C=1GDZONJ9HF37K&amp;K=D88AMRB2CGGN&amp;M=urn:rtn:msg:20231011231806acf0029dec93404eb5485078a1f0p0na&amp;R=SOWZ8IFUIK4&amp;T=C&amp;U=https%3A%2F%2Fwww.amazon.com%2Fgp%2Fcss%2Forder-details%3ForderId%3D112-1249542-0452246%26ref_%3Dpe_386300_440135490_TE_simp_od&amp;H=YFEYB6PRSXXQ4MDSV0LYNYAL1LIA&amp;ref_=pe_386300_440135490_TE_simp_od" TargetMode="External"/><Relationship Id="rId55" Type="http://schemas.openxmlformats.org/officeDocument/2006/relationships/hyperlink" Target="https://w-mt.co/g/rptrcks/comm-smart-app/services/tracking/clickTracker?redirectTo=mYqW%2Bzf8fc%2FXukWRtWT5c7R8dF1rFKeGlpfeQpZou1g4fxylWOO6rQO5aSI%2BKwzmsd20toZJp8CMfXuI0XJwNBdrFVHTdqIjwXx%2BspWprrJ5HfEvq6ByN8lL5AF3AwJAdkR0kCr85s8pQXZwiWHQkpxjhp40xNbQXOiSlfC4jSUlUNe5jzNnBRdXenyCAGagry4WU%2Fl72Yi1SfBABFd3FMxah1eLIjPNdjg8SovqK6lcxcDdJ48ai%2F415ZmVOmvp5WzHMkYdrUrwbzPgMB6gCNiEG4SmrymiwZB6P7QA9WfNktDaen2%2FEZZBsUnsm%2F5%2FqODe76DFdfSvsLxFE11zcRbRuocCtq25aVg%2F6LATJBqyovBi%2B2dN6K%2FMWLiI2l3ubdCQkjGA3QxSiFdHoPhuU1uz9D3UYb0iNr4yvjWm2nLcfhrK7Olp%2F6v2CJ%2F7XxnSaFEv%2FHvTRnjpRMWT%2Fa5HVA%3D%3D&amp;meta=ELjOz3XR0KIzqSWwQ%2F8%2B1tnDlh978iaKX%2FcdCcrXR7pbbzpw0y0SLuaxvoyuLrCh4LxlScxxlIdNXGNNeX7Z3MQvmJzv2PBuk%2B7z6ZmwNcohfjRUA0lce4qV0t%2FEA0zsAY%2FkL8LDZsM%2BqQFftJOkj00fg6AKzZvT37WyVqaEEjJaFXbXfozW5ndPvhLUxUg39RXhmp9HYexRZMUJ82DBLg%3D%3D&amp;iv=UHSHb4C2UzX2emrcF1oSzw%3D%3D" TargetMode="External"/><Relationship Id="rId76" Type="http://schemas.openxmlformats.org/officeDocument/2006/relationships/hyperlink" Target="https://www.amazon.com/gp/r.html?C=1GDZONJ9HF37K&amp;K=D88AMRB2CGGN&amp;M=urn:rtn:msg:20230312021040516d96813e3c439dba9c61337880p0na&amp;R=2T7N1EUCLKQ3A&amp;T=C&amp;U=https%3A%2F%2Fwww.amazon.com%2Fgp%2Fcss%2Forder-details%3ForderId%3D111-2002064-1210660%26ref_%3Dpe_386300_440135490_TE_simp_od&amp;H=EK9OGBQTWM8TKDXDUT9XWSXN7MIA&amp;ref_=pe_386300_440135490_TE_simp_od" TargetMode="External"/><Relationship Id="rId97" Type="http://schemas.openxmlformats.org/officeDocument/2006/relationships/hyperlink" Target="https://www.amazon.com/gp/r.html?C=1GDZONJ9HF37K&amp;K=D88AMRB2CGGN&amp;M=urn:rtn:msg:2023012214233921cc037821284ac580525dcd8e20p0na&amp;R=2456CCYCU655K&amp;T=C&amp;U=https%3A%2F%2Fwww.amazon.com%2Fgp%2Fcss%2Forder-details%3ForderId%3D113-7610535-7130633%26ref_%3Dpe_386300_440135490_TE_simp_od&amp;H=Y3BQFW3Z8Y7VFUDUAPM9W26AJAMA&amp;ref_=pe_386300_440135490_TE_simp_od" TargetMode="External"/><Relationship Id="rId120" Type="http://schemas.openxmlformats.org/officeDocument/2006/relationships/hyperlink" Target="https://www.amazon.com/gp/r.html?C=1GDZONJ9HF37K&amp;K=D88AMRB2CGGN&amp;M=urn:rtn:msg:20221124015148ad80155694f445eeb8cf5c618540p0na&amp;R=2O52TLGARI3EY&amp;T=C&amp;U=https%3A%2F%2Fwww.amazon.com%2Fgp%2Fcss%2Forder-details%3ForderId%3D113-3963722-8778633%26ref_%3Dpe_386300_440135490_TE_simp_od&amp;H=W0LPBKT5PVYPLP55BPJKVTMDY64A&amp;ref_=pe_386300_440135490_TE_simp_od" TargetMode="External"/><Relationship Id="rId141" Type="http://schemas.openxmlformats.org/officeDocument/2006/relationships/hyperlink" Target="https://www.amazon.com/gp/r.html?C=1GDZONJ9HF37K&amp;K=D88AMRB2CGGN&amp;M=urn:rtn:msg:2022091615291666cba188c50f4f71ae176db09b30p0na&amp;R=2H6W14O2PS5FE&amp;T=C&amp;U=https%3A%2F%2Fwww.amazon.com%2Fgp%2Fcss%2Forder-details%3ForderId%3D112-9735319-2937845%26ref_%3Dpe_386300_440135490_TE_simp_od&amp;H=MSCRWX0F7WAGPPIH9PIZNPP0MOOA&amp;ref_=pe_386300_440135490_TE_simp_od" TargetMode="External"/><Relationship Id="rId7" Type="http://schemas.openxmlformats.org/officeDocument/2006/relationships/hyperlink" Target="https://www.amazon.com/gp/r.html?C=1GDZONJ9HF37K&amp;K=D88AMRB2CGGN&amp;M=urn:rtn:msg:20240716191605fb389898d8444040a8cf5afafb00p0na&amp;R=16B2WF89Z4FWZ&amp;T=C&amp;U=https%3A%2F%2Fwww.amazon.com%2Fgp%2Fcss%2Forder-details%3ForderId%3D113-8842877-4022616%26ref_%3Dpe_386300_440135490_TE_simp_od&amp;H=ZILHKSLDEIDMHCX12KWFEX9HL3IA&amp;ref_=pe_386300_440135490_TE_simp_od" TargetMode="External"/><Relationship Id="rId162" Type="http://schemas.openxmlformats.org/officeDocument/2006/relationships/hyperlink" Target="https://tools.usps.com/go/TrackConfirmAction?tLabels=9400111298370635073843&amp;utm_source=expected&amp;utm_medium=email&amp;utm_content=tracking-number&amp;utm_campaign=trackingnotify" TargetMode="External"/><Relationship Id="rId183" Type="http://schemas.openxmlformats.org/officeDocument/2006/relationships/hyperlink" Target="https://www.micromark.com/store/checkout.ssp?is=checkout" TargetMode="External"/><Relationship Id="rId218" Type="http://schemas.openxmlformats.org/officeDocument/2006/relationships/hyperlink" Target="https://www.amazon.com/progress-tracker/package/ref=pe_386300_442656430_scr_pt_track?_encoding=UTF8&amp;from=gp&amp;itemId=&amp;orderId=113-2085779-0474622&amp;packageIndex=0&amp;shipmentId=38554948106301" TargetMode="External"/><Relationship Id="rId239" Type="http://schemas.openxmlformats.org/officeDocument/2006/relationships/hyperlink" Target="https://www.amazon.com/progress-tracker/package/ref=pe_2640190_232748430_scr_pt_asin?_encoding=UTF8&amp;from=gp&amp;itemId=&amp;orderId=113-1454515-9586615&amp;packageIndex=0&amp;shipmentId=30434785317301" TargetMode="External"/><Relationship Id="rId250" Type="http://schemas.openxmlformats.org/officeDocument/2006/relationships/hyperlink" Target="https://smile.amazon.com/progress-tracker/package/ref=pe_2640190_232586610_scr_pt_track?_encoding=UTF8&amp;from=gp&amp;itemId=&amp;orderId=113-6611044-6070640&amp;packageIndex=0&amp;shipmentId=21665507755301" TargetMode="External"/><Relationship Id="rId271" Type="http://schemas.openxmlformats.org/officeDocument/2006/relationships/hyperlink" Target="https://www.amazon.com/progress-tracker/package/ref=pe_2640190_232586610_scr_pt_track?_encoding=UTF8&amp;from=gp&amp;itemId=&amp;orderId=113-8818204-8559450&amp;packageIndex=0&amp;shipmentId=28235757877301" TargetMode="External"/><Relationship Id="rId292" Type="http://schemas.openxmlformats.org/officeDocument/2006/relationships/hyperlink" Target="https://www.amazon.com/gp/r.html?C=1GDZONJ9HF37K&amp;K=D88AMRB2CGGN&amp;M=urn:rtn:msg:202501011540368885be8c6745456f97196e7e4390p0na&amp;R=1QZJLM5QCZCZN&amp;T=C&amp;U=https%3A%2F%2Fwww.amazon.com%2Fgp%2Fcss%2Forder-details%3ForderId%3D113-1153659-6740220%26ref_%3Dpe_386300_440135490_TE_simp_od&amp;H=HUFLNU7XDVYSECQFPRQTXBQI6ZYA&amp;ref_=pe_386300_440135490_TE_simp_od" TargetMode="External"/><Relationship Id="rId24" Type="http://schemas.openxmlformats.org/officeDocument/2006/relationships/hyperlink" Target="https://www.amazon.com/gp/r.html?C=1GDZONJ9HF37K&amp;K=D88AMRB2CGGN&amp;M=urn:rtn:msg:20231126191025b748cb612da24942817d1c3fda60p0na&amp;R=1X2U5VHAS5S0X&amp;T=C&amp;U=https%3A%2F%2Fwww.amazon.com%2Fgp%2Fcss%2Forder-details%3ForderId%3D111-1520519-8566623%26ref_%3Dpe_386300_440135490_TE_simp_od&amp;H=RSHOKVNEQJATPZEAOVVD2BYSJUMA&amp;ref_=pe_386300_440135490_TE_simp_od" TargetMode="External"/><Relationship Id="rId45" Type="http://schemas.openxmlformats.org/officeDocument/2006/relationships/hyperlink" Target="https://www.amazon.com/gp/r.html?C=1GDZONJ9HF37K&amp;K=D88AMRB2CGGN&amp;M=urn:rtn:msg:20230627144321ac21118d6f1246b49c4072a49ff0p0na&amp;R=3G1MI581TCEV2&amp;T=C&amp;U=https%3A%2F%2Fwww.amazon.com%2Fgp%2Fcss%2Forder-details%3ForderId%3D114-2519585-9907423%26ref_%3Dpe_386300_440135490_TE_simp_od&amp;H=OLWGX3YLNL9DNDU6ON3IXRIAVZEA&amp;ref_=pe_386300_440135490_TE_simp_od" TargetMode="External"/><Relationship Id="rId66" Type="http://schemas.openxmlformats.org/officeDocument/2006/relationships/hyperlink" Target="https://blair.narvar.com/blair/tracking/DHLGLOBAL?tracking_numbers=9261290210323515898781" TargetMode="External"/><Relationship Id="rId87" Type="http://schemas.openxmlformats.org/officeDocument/2006/relationships/hyperlink" Target="https://www.amazon.com/gp/r.html?C=1GDZONJ9HF37K&amp;K=D88AMRB2CGGN&amp;M=urn:rtn:msg:2023021123434375b77ff8975d4175a35f9a955f60p0na&amp;R=2QOINKJSA7Y&amp;T=C&amp;U=https%3A%2F%2Fwww.amazon.com%2Fgp%2Fcss%2Forder-details%3ForderId%3D112-1430799-5238602%26ref_%3Dpe_386300_440135490_TE_simp_od&amp;H=GA6SZHPADKP4QNHY1UTGXUOCCUMA&amp;ref_=pe_386300_440135490_TE_simp_od" TargetMode="External"/><Relationship Id="rId110" Type="http://schemas.openxmlformats.org/officeDocument/2006/relationships/hyperlink" Target="https://www.amazon.com/gp/r.html?C=1GDZONJ9HF37K&amp;K=D88AMRB2CGGN&amp;M=urn:rtn:msg:2022121603363534968ee9eee04d169d47d1752e00p0na&amp;R=1FYYI31Y3YYZP&amp;T=C&amp;U=https%3A%2F%2Fwww.amazon.com%2Fgp%2Fcss%2Forder-details%3ForderId%3D113-9494342-6912211%26ref_%3Dpe_386300_440135490_TE_simp_od&amp;H=EMOYFNEXDSZNAUGJYUMFGB1GEFIA&amp;ref_=pe_386300_440135490_TE_simp_od" TargetMode="External"/><Relationship Id="rId131" Type="http://schemas.openxmlformats.org/officeDocument/2006/relationships/hyperlink" Target="https://www.amazon.com/gp/r.html?C=1GDZONJ9HF37K&amp;K=D88AMRB2CGGN&amp;M=urn:rtn:msg:20221015180945a79c3d79e1d348fd8008c44410d0p0na&amp;R=Q893TS45N7EO&amp;T=C&amp;U=https%3A%2F%2Fwww.amazon.com%2Fgp%2Fcss%2Forder-details%3ForderId%3D112-4916427-9064253%26ref_%3Dpe_386300_440135490_TE_simp_od&amp;H=XEHRNFU29RYE57SNPXNZ1AY1VLIA&amp;ref_=pe_386300_440135490_TE_simp_od" TargetMode="External"/><Relationship Id="rId152" Type="http://schemas.openxmlformats.org/officeDocument/2006/relationships/hyperlink" Target="https://www.amazon.com/gp/r.html?C=1GDZONJ9HF37K&amp;K=D88AMRB2CGGN&amp;M=urn:rtn:msg:20211113135421a3af22d84a4f4dc4b37b1e0d4920p0na&amp;R=3P20PVP5ERESD&amp;T=C&amp;U=https%3A%2F%2Fwww.amazon.com%2Fgp%2Fcss%2Forder-details%3ForderId%3D113-3779580-6705047%26ref_%3Dpe_386300_440135490_TE_simp_od&amp;H=QBWLKPXUZRZRKEAKWNWDXVOJANKA&amp;ref_=pe_386300_440135490_TE_simp_od" TargetMode="External"/><Relationship Id="rId173" Type="http://schemas.openxmlformats.org/officeDocument/2006/relationships/hyperlink" Target="https://www.amazon.com/gp/r.html?C=1GDZONJ9HF37K&amp;K=D88AMRB2CGGN&amp;M=urn:rtn:msg:20210619223910ca50a5b37a8049a3a4531850a4c0p0na&amp;R=3738ZFLDRNAD4&amp;T=C&amp;U=https%3A%2F%2Fwww.amazon.com%2Fgp%2Fcss%2Forder-details%3ForderId%3D114-6797726-1200239%26ref_%3Dpe_386300_440135490_TE_simp_od&amp;H=AA5PONUJS3GZH8SRP0VBWXWDKEKA&amp;ref_=pe_386300_440135490_TE_simp_od" TargetMode="External"/><Relationship Id="rId194" Type="http://schemas.openxmlformats.org/officeDocument/2006/relationships/hyperlink" Target="http://trackshipment.shipstation.com/?branding_id=00034067-0000-0000-e5f6-000000000000&amp;carrier_code=ups&amp;tracking_number=1Z275889YW99733519&amp;order_number=MTUyNjg1NQ%3d%3d&amp;postal_code=67579-2018" TargetMode="External"/><Relationship Id="rId208" Type="http://schemas.openxmlformats.org/officeDocument/2006/relationships/hyperlink" Target="https://www.amazon.com/gp/product/1099617200/ref=ppx_yo_dt_b_asin_title_o00_s00?ie=UTF8&amp;psc=1" TargetMode="External"/><Relationship Id="rId229" Type="http://schemas.openxmlformats.org/officeDocument/2006/relationships/hyperlink" Target="https://www.amazon.com/progress-tracker/package/ref=pe_2640190_232586610_scr_pt_track?_encoding=UTF8&amp;from=gp&amp;itemId=&amp;orderId=113-4250207-0242621&amp;packageIndex=0&amp;shipmentId=35453311925301" TargetMode="External"/><Relationship Id="rId240" Type="http://schemas.openxmlformats.org/officeDocument/2006/relationships/hyperlink" Target="https://www.stamps.com/shipstatus/?confirmation=9400111699000426758332" TargetMode="External"/><Relationship Id="rId261" Type="http://schemas.openxmlformats.org/officeDocument/2006/relationships/hyperlink" Target="https://smile.amazon.com/progress-tracker/package/ref=pe_2640190_232586610_scr_pt_track?_encoding=UTF8&amp;from=gp&amp;itemId=&amp;orderId=113-3112484-1091400&amp;packageIndex=0&amp;shipmentId=25294858500301" TargetMode="External"/><Relationship Id="rId14" Type="http://schemas.openxmlformats.org/officeDocument/2006/relationships/hyperlink" Target="https://www.amazon.com/gp/r.html?C=1GDZONJ9HF37K&amp;K=D88AMRB2CGGN&amp;M=urn:rtn:msg:202401170010060f13d100b4ba460889a9491b9bd0p0na&amp;R=2FNOOQ3CVS33Z&amp;T=C&amp;U=https%3A%2F%2Fwww.amazon.com%2Fgp%2Fcss%2Forder-details%3ForderId%3D113-9632872-2826640%26ref_%3Dpe_386300_440135490_TE_simp_od&amp;H=8JCFHCO3EXKQOGJ7IBMBNLVKKSQA&amp;ref_=pe_386300_440135490_TE_simp_od" TargetMode="External"/><Relationship Id="rId35" Type="http://schemas.openxmlformats.org/officeDocument/2006/relationships/hyperlink" Target="https://www.amazon.com/gp/r.html?C=1GDZONJ9HF37K&amp;K=D88AMRB2CGGN&amp;M=urn:rtn:msg:20231005202719568c9bbb20eb4351b932802386e0p0na&amp;R=3NNCZAMLH08XE&amp;T=C&amp;U=https%3A%2F%2Fwww.amazon.com%2Fgp%2Fcss%2Forder-details%3ForderId%3D112-2921618-4515436%26ref_%3Dpe_386300_440135490_TE_simp_od&amp;H=SLVF7QBWEMUBYV7CT2PJLFRSA5GA&amp;ref_=pe_386300_440135490_TE_simp_od" TargetMode="External"/><Relationship Id="rId56" Type="http://schemas.openxmlformats.org/officeDocument/2006/relationships/hyperlink" Target="https://www.ups.com/track?loc=en_US&amp;tracknum=1Z45Y5550322638058" TargetMode="External"/><Relationship Id="rId77" Type="http://schemas.openxmlformats.org/officeDocument/2006/relationships/hyperlink" Target="https://www.amazon.com/gp/r.html?C=1GDZONJ9HF37K&amp;K=D88AMRB2CGGN&amp;M=urn:rtn:msg:20230313113052d5b0d9c684b84627852cf1fc35b0p0na&amp;R=7IXYS0R6PZXQ&amp;T=C&amp;U=https%3A%2F%2Fwww.amazon.com%2Fgp%2Fcss%2Forder-details%3ForderId%3D112-8310955-3649055%26ref_%3Dpe_386300_440135490_TE_simp_od&amp;H=QEAKP6NU8ZSV8MEFDAPGRNR62XOA&amp;ref_=pe_386300_440135490_TE_simp_od" TargetMode="External"/><Relationship Id="rId100" Type="http://schemas.openxmlformats.org/officeDocument/2006/relationships/hyperlink" Target="https://www.amazon.com/gp/r.html?C=1GDZONJ9HF37K&amp;K=D88AMRB2CGGN&amp;M=urn:rtn:msg:20230116215840892c4c1cd3504b86b83d7e523060p0na&amp;R=GYHY677HWA2T&amp;T=C&amp;U=https%3A%2F%2Fwww.amazon.com%2Fgp%2Fcss%2Forder-details%3ForderId%3D114-8609787-4815410%26ref_%3Dpe_386300_440135490_TE_simp_od&amp;H=EMAKMN29H6B4BRFGWVYPZMH97QUA&amp;ref_=pe_386300_440135490_TE_simp_od" TargetMode="External"/><Relationship Id="rId282" Type="http://schemas.openxmlformats.org/officeDocument/2006/relationships/hyperlink" Target="https://informeddelivery.usps.com/box/pages/secure/packageDashboardAction?selectedTrckNum=9400108699938880098483&amp;selectedTypeOfLabel=Package" TargetMode="External"/><Relationship Id="rId8" Type="http://schemas.openxmlformats.org/officeDocument/2006/relationships/hyperlink" Target="https://www.amazon.com/gp/r.html?C=1GDZONJ9HF37K&amp;K=D88AMRB2CGGN&amp;M=urn:rtn:msg:20240123140010946d07094cc64934a55a6bbb22f0p0na&amp;R=RQAX7S77MQEH&amp;T=C&amp;U=https%3A%2F%2Fwww.amazon.com%2Fgp%2Fcss%2Forder-details%3ForderId%3D113-4741994-1301023%26ref_%3Dpe_386300_440135490_TE_simp_od&amp;H=0QKSGM4HBXGBLWET19O0AWQSXFYA&amp;ref_=pe_386300_440135490_TE_simp_od" TargetMode="External"/><Relationship Id="rId98" Type="http://schemas.openxmlformats.org/officeDocument/2006/relationships/hyperlink" Target="https://www.amazon.com/gp/r.html?C=1GDZONJ9HF37K&amp;K=D88AMRB2CGGN&amp;M=urn:rtn:msg:20230121030954f316fafff10245568587b8602670p0na&amp;R=1YZDFFXGMZ1NT&amp;T=C&amp;U=https%3A%2F%2Fwww.amazon.com%2Fgp%2Fcss%2Forder-details%3ForderId%3D113-5837747-9729862%26ref_%3Dpe_386300_440135490_TE_simp_od&amp;H=8NPUPNCSEZ3ADKL0CDK6UXVPS5OA&amp;ref_=pe_386300_440135490_TE_simp_od" TargetMode="External"/><Relationship Id="rId121" Type="http://schemas.openxmlformats.org/officeDocument/2006/relationships/hyperlink" Target="https://www.caremark.com/wps/myportal/ORDER_STATUS?cid=em_trx_pbm_order_shipped_order_number" TargetMode="External"/><Relationship Id="rId142" Type="http://schemas.openxmlformats.org/officeDocument/2006/relationships/hyperlink" Target="https://www.amazon.com/gp/r.html?C=1GDZONJ9HF37K&amp;K=D88AMRB2CGGN&amp;M=urn:rtn:msg:2022091615291666cba188c50f4f71ae176db09b30p0na&amp;R=2LBBRUIMVVFFP&amp;T=C&amp;U=https%3A%2F%2Fwww.amazon.com%2Fgp%2Fcss%2Forder-details%3ForderId%3D112-0158426-9573004%26ref_%3Dpe_386300_440135490_TE_simp_od&amp;H=5HFUSOXR9DQNRFHUSE0ZSUQDP08A&amp;ref_=pe_386300_440135490_TE_simp_od" TargetMode="External"/><Relationship Id="rId163" Type="http://schemas.openxmlformats.org/officeDocument/2006/relationships/hyperlink" Target="https://www.amazon.com/gp/r.html?C=1GDZONJ9HF37K&amp;K=D88AMRB2CGGN&amp;M=urn:rtn:msg:20210726115846b7ca46a54ea94c74bf29dd7b2560p0na&amp;R=GLFDHOOGJ2OA&amp;T=C&amp;U=https%3A%2F%2Fwww.amazon.com%2Fgp%2Fcss%2Forder-details%3ForderId%3D113-8356502-6774646%26ref_%3Dpe_386300_440135490_TE_simp_od&amp;H=3GR5QA4CICBY67TC7EKUYJI6CWYA&amp;ref_=pe_386300_440135490_TE_simp_od" TargetMode="External"/><Relationship Id="rId184" Type="http://schemas.openxmlformats.org/officeDocument/2006/relationships/hyperlink" Target="https://rover.ebay.com/rover/0/e11401.m43700.l44717/7?euid=5b16b4ebddf3430482bbeed68dd1d81d&amp;bu=43188375501&amp;segname=11401&amp;crd=20210205083900&amp;osub=-1~1&amp;ch=osgood&amp;loc=https%3A%2F%2Fwww.ebay.com%2Fulk%2Fvod%3Ftransid%3D2285095512011%26itemId%3D322786849832%26qu%3D1%26ssPageName%3DADME%3AL%3AOC%3AUS%3A592&amp;sojTags=bu=bu,ch=ch,segname=segname,crd=crd,url=loc,osub=osub" TargetMode="External"/><Relationship Id="rId219" Type="http://schemas.openxmlformats.org/officeDocument/2006/relationships/hyperlink" Target="https://www.amazon.com/progress-tracker/package/ref=pe_386300_442618370_scr_pt_track?_encoding=UTF8&amp;from=gp&amp;itemId=&amp;orderId=113-8417404-7629051&amp;packageIndex=0&amp;shipmentId=38561221324301" TargetMode="External"/><Relationship Id="rId230" Type="http://schemas.openxmlformats.org/officeDocument/2006/relationships/hyperlink" Target="https://www.amazon.com/progress-tracker/package/ref=pe_2640190_232586610_scr_pt_track?_encoding=UTF8&amp;from=gp&amp;itemId=&amp;orderId=113-9903108-1809844&amp;packageIndex=0&amp;shipmentId=35447698151301" TargetMode="External"/><Relationship Id="rId251" Type="http://schemas.openxmlformats.org/officeDocument/2006/relationships/hyperlink" Target="https://smile.amazon.com/progress-tracker/package/ref=pe_2640190_232586610_TE_SIMP_?_encoding=UTF8&amp;orderId=113-3418594-3219424&amp;packageIndex=0&amp;shipmentId=16104398067025" TargetMode="External"/><Relationship Id="rId25" Type="http://schemas.openxmlformats.org/officeDocument/2006/relationships/hyperlink" Target="https://www.amazon.com/gp/r.html?C=1GDZONJ9HF37K&amp;K=D88AMRB2CGGN&amp;M=urn:rtn:msg:202311262206410bebba17b6bb4635a16fe17ec5c0p0na&amp;R=27Z4NEDKGT8ZF&amp;T=C&amp;U=https%3A%2F%2Fwww.amazon.com%2Fgp%2Fcss%2Forder-details%3ForderId%3D111-7382261-9708242%26ref_%3Dpe_386300_440135490_TE_simp_od&amp;H=MUR4MC1VYXTIWSGMZXDNBOM4EVAA&amp;ref_=pe_386300_440135490_TE_simp_od" TargetMode="External"/><Relationship Id="rId46" Type="http://schemas.openxmlformats.org/officeDocument/2006/relationships/hyperlink" Target="https://www.amazon.com/gp/r.html?C=1GDZONJ9HF37K&amp;K=D88AMRB2CGGN&amp;M=urn:rtn:msg:202306210245197326bd947796402ea9f000e0ddb0p0na&amp;R=3PV5W4UHFONJQ&amp;T=C&amp;U=https%3A%2F%2Fwww.amazon.com%2Fgp%2Fcss%2Forder-details%3ForderId%3D113-7346323-1834604%26ref_%3Dpe_386300_440135490_TE_simp_od&amp;H=JD9SMWE83JHPRYIRXGRJFM5MBCEA&amp;ref_=pe_386300_440135490_TE_simp_od" TargetMode="External"/><Relationship Id="rId67" Type="http://schemas.openxmlformats.org/officeDocument/2006/relationships/hyperlink" Target="https://www.amazon.com/gp/r.html?C=1GDZONJ9HF37K&amp;K=D88AMRB2CGGN&amp;M=urn:rtn:msg:20230407124137a3d98a2e3c614e82bf92229b4030p0na&amp;R=1DJE5UF47M2KI&amp;T=C&amp;U=https%3A%2F%2Fwww.amazon.com%2Fgp%2Fcss%2Forder-details%3ForderId%3D113-3214302-8431417%26ref_%3Dpe_386300_440135490_TE_simp_od&amp;H=PDK96X2UWZVJ84QNWBR16MIOMRKA&amp;ref_=pe_386300_440135490_TE_simp_od" TargetMode="External"/><Relationship Id="rId272" Type="http://schemas.openxmlformats.org/officeDocument/2006/relationships/hyperlink" Target="https://www.amazon.com/progress-tracker/package/ref=pe_2640190_232586610_scr_pt_track?_encoding=UTF8&amp;from=gp&amp;itemId=&amp;orderId=113-5303394-9201832&amp;packageIndex=0&amp;shipmentId=26708829103301" TargetMode="External"/><Relationship Id="rId293" Type="http://schemas.openxmlformats.org/officeDocument/2006/relationships/hyperlink" Target="https://www.amazon.com/gp/r.html?C=1GDZONJ9HF37K&amp;K=D88AMRB2CGGN&amp;M=urn:rtn:msg:20250104213739d36967cdf72a4e5cb7759c6076d0p0na&amp;R=3T0R46VMHLNFH&amp;T=C&amp;U=https%3A%2F%2Fwww.amazon.com%2Fgp%2Fcss%2Forder-details%3ForderId%3D113-2594118-4333863%26ref_%3Dpe_386300_440135490_TE_simp_od&amp;H=KNIANSTJXXQSNU7Z6EAKBKNPAQSA&amp;ref_=pe_386300_440135490_TE_simp_od" TargetMode="External"/><Relationship Id="rId88" Type="http://schemas.openxmlformats.org/officeDocument/2006/relationships/hyperlink" Target="https://www.amazon.com/gp/r.html?C=1GDZONJ9HF37K&amp;K=D88AMRB2CGGN&amp;M=urn:rtn:msg:20230213163456909f0963ac9f49bb8974ef1da700p0na&amp;R=22G37KC28V86S&amp;T=C&amp;U=https%3A%2F%2Fwww.amazon.com%2Fgp%2Fcss%2Forder-details%3ForderId%3D112-8994428-4187410%26ref_%3Dpe_386300_440135490_TE_simp_od&amp;H=HAHQOA22GZWJMBWM0UOOHBI3ZSKA&amp;ref_=pe_386300_440135490_TE_simp_od" TargetMode="External"/><Relationship Id="rId111" Type="http://schemas.openxmlformats.org/officeDocument/2006/relationships/hyperlink" Target="https://www.amazon.com/gp/r.html?C=1GDZONJ9HF37K&amp;K=D88AMRB2CGGN&amp;M=urn:rtn:msg:202301041312502f4179e287bc4a6ea990a2b09ca0p0na&amp;R=5KSYJ10QQF&amp;T=C&amp;U=https%3A%2F%2Fwww.amazon.com%2Fgp%2Fcss%2Forder-details%3ForderId%3D111-3424641-6488262%26ref_%3Dpe_386300_440135490_TE_simp_od&amp;H=CR3U8L3K0R8CRJYMVLFCFUK9UD0A&amp;ref_=pe_386300_440135490_TE_simp_od" TargetMode="External"/><Relationship Id="rId132" Type="http://schemas.openxmlformats.org/officeDocument/2006/relationships/hyperlink" Target="https://www.amazon.com/gp/r.html?C=1GDZONJ9HF37K&amp;K=D88AMRB2CGGN&amp;M=urn:rtn:msg:20221013150629c4ddf6bd745940179beb996898c0p0na&amp;R=18NU9DCWP12PS&amp;T=C&amp;U=https%3A%2F%2Fwww.amazon.com%2Fgp%2Fcss%2Forder-details%3ForderId%3D111-8252117-2514614%26ref_%3Dpe_386300_440135490_TE_simp_od&amp;H=LLYKAAWQ2BYRV5SQALUP8LLLFZ8A&amp;ref_=pe_386300_440135490_TE_simp_od" TargetMode="External"/><Relationship Id="rId153" Type="http://schemas.openxmlformats.org/officeDocument/2006/relationships/hyperlink" Target="https://www.amazon.com/gp/r.html?C=1GDZONJ9HF37K&amp;K=D88AMRB2CGGN&amp;M=urn:rtn:msg:2021101413011291221ed776854ea0ad9f962aabc0p0na&amp;R=19Q8KSP4I7SO&amp;T=C&amp;U=https%3A%2F%2Fwww.amazon.com%2Fgp%2Fcss%2Forder-details%3ForderId%3D113-9264562-1869025%26ref_%3Dpe_386300_440135490_TE_simp_od&amp;H=W8SWE2JLDJPJ5YOKPZ3AOOUNLZYA&amp;ref_=pe_386300_440135490_TE_simp_od" TargetMode="External"/><Relationship Id="rId174" Type="http://schemas.openxmlformats.org/officeDocument/2006/relationships/hyperlink" Target="http://atlasrr.com/" TargetMode="External"/><Relationship Id="rId195" Type="http://schemas.openxmlformats.org/officeDocument/2006/relationships/hyperlink" Target="https://www.modeltrainstuff.com/" TargetMode="External"/><Relationship Id="rId209" Type="http://schemas.openxmlformats.org/officeDocument/2006/relationships/hyperlink" Target="https://store.usps.com/store/myaccount/orderDetail.jsp?orderId=o1490143744&amp;selpage=MY+ORDERS&amp;isMyAccountPage=true" TargetMode="External"/><Relationship Id="rId220" Type="http://schemas.openxmlformats.org/officeDocument/2006/relationships/hyperlink" Target="https://www.amazon.com/progress-tracker/package/ref=pe_386300_442656430_scr_pt_track?_encoding=UTF8&amp;from=gp&amp;itemId=&amp;orderId=113-2085779-0474622&amp;packageIndex=0&amp;shipmentId=38554948106301" TargetMode="External"/><Relationship Id="rId241" Type="http://schemas.openxmlformats.org/officeDocument/2006/relationships/hyperlink" Target="https://www.caremark.com/wps/portal/ALTERNATE_AUTH?xid=&amp;cid=em_pbm_cmp_orderreceived&amp;lpg=ORDER_STATUS" TargetMode="External"/><Relationship Id="rId15" Type="http://schemas.openxmlformats.org/officeDocument/2006/relationships/hyperlink" Target="https://www.amazon.com/gp/r.html?C=1GDZONJ9HF37K&amp;K=D88AMRB2CGGN&amp;M=urn:rtn:msg:20240115214829b799922b8ed649dea3154ff90430p0na&amp;R=X7J999N3F4K2&amp;T=C&amp;U=https%3A%2F%2Fwww.amazon.com%2Fgp%2Fcss%2Forder-details%3ForderId%3D113-2165395-4025021%26ref_%3Dpe_386300_440135490_TE_simp_od&amp;H=9Z91BPPZSZ3Q7TBPW957LBAQ6YYA&amp;ref_=pe_386300_440135490_TE_simp_od" TargetMode="External"/><Relationship Id="rId36" Type="http://schemas.openxmlformats.org/officeDocument/2006/relationships/hyperlink" Target="https://www.amazon.com/gp/r.html?C=1GDZONJ9HF37K&amp;K=D88AMRB2CGGN&amp;M=urn:rtn:msg:2023100200284407d05e41c8f3481d8d88e6b79510p0na&amp;R=38ZAMTJ91ERUA&amp;T=C&amp;U=https%3A%2F%2Fwww.amazon.com%2Fgp%2Fcss%2Forder-details%3ForderId%3D112-6990318-8905061%26ref_%3Dpe_386300_440135490_TE_simp_od&amp;H=3LK6Z6RG4LQEVHOQMWKIVZPVYOYA&amp;ref_=pe_386300_440135490_TE_simp_od" TargetMode="External"/><Relationship Id="rId57" Type="http://schemas.openxmlformats.org/officeDocument/2006/relationships/hyperlink" Target="https://www.amazon.com/gp/r.html?C=1GDZONJ9HF37K&amp;K=D88AMRB2CGGN&amp;M=urn:rtn:msg:202305200157449dd9a1b7cae04188b601aa350cd0p0na&amp;R=2V7U51F3S1RMU&amp;T=C&amp;U=https%3A%2F%2Fwww.amazon.com%2Fgp%2Fcss%2Forder-details%3ForderId%3D113-0541275-6361030%26ref_%3Dpe_386300_440135490_TE_simp_od&amp;H=IU8YCGAWXUU93ARISFJOMRBEKXEA&amp;ref_=pe_386300_440135490_TE_simp_od" TargetMode="External"/><Relationship Id="rId262" Type="http://schemas.openxmlformats.org/officeDocument/2006/relationships/hyperlink" Target="https://smile.amazon.com/progress-tracker/package/ref=pe_2640190_232586610_scr_pt_track?_encoding=UTF8&amp;from=gp&amp;itemId=&amp;orderId=113-6028498-2445829&amp;packageIndex=0&amp;shipmentId=30194600344301" TargetMode="External"/><Relationship Id="rId283" Type="http://schemas.openxmlformats.org/officeDocument/2006/relationships/hyperlink" Target="https://www.partswarehouse.com/TrackPackage.asp?Track=9400111206071822195292&amp;Ship=USPS&amp;ShippingMethod=USPS" TargetMode="External"/><Relationship Id="rId78" Type="http://schemas.openxmlformats.org/officeDocument/2006/relationships/hyperlink" Target="https://www.amazon.com/gp/r.html?C=1GDZONJ9HF37K&amp;K=D88AMRB2CGGN&amp;M=urn:rtn:msg:202303131942003f3b3093c5dd456985399545cd40p0na&amp;R=3S0QRMU0KZ6D7&amp;T=C&amp;U=https%3A%2F%2Fwww.amazon.com%2Fgp%2Fcss%2Forder-details%3ForderId%3D112-4969966-8922638%26ref_%3Dpe_386300_440135490_TE_simp_od&amp;H=85ANDBLG02TVM0LBGFYMDFY5ZGUA&amp;ref_=pe_386300_440135490_TE_simp_od" TargetMode="External"/><Relationship Id="rId99" Type="http://schemas.openxmlformats.org/officeDocument/2006/relationships/hyperlink" Target="https://www.amazon.com/gp/r.html?C=1GDZONJ9HF37K&amp;K=D88AMRB2CGGN&amp;M=urn:rtn:msg:202301102257445ffff03d5d15458ca3816f9bddd0p0na&amp;R=3KILDGMDSBIOZ&amp;T=C&amp;U=https%3A%2F%2Fwww.amazon.com%2Fgp%2Fcss%2Forder-details%3ForderId%3D113-6743310-2459461%26ref_%3Dpe_386300_440135490_TE_simp_od&amp;H=9X0MJWYUXNRAVG9H0TRCKU3NJ6SA&amp;ref_=pe_386300_440135490_TE_simp_od" TargetMode="External"/><Relationship Id="rId101" Type="http://schemas.openxmlformats.org/officeDocument/2006/relationships/hyperlink" Target="https://www.amazon.com/gp/r.html?C=1GDZONJ9HF37K&amp;K=D88AMRB2CGGN&amp;M=urn:rtn:msg:202301021552019a48563fe53a40f79a9d9271a480p0na&amp;R=CO3BO89ZTJD7&amp;T=C&amp;U=https%3A%2F%2Fwww.amazon.com%2Fgp%2Fcss%2Forder-details%3ForderId%3D111-4991928-5982648%26ref_%3Dpe_386300_440135490_TE_simp_od&amp;H=ABAQGP0ZSZCP9ISNDVT6COCBGCWA&amp;ref_=pe_386300_440135490_TE_simp_od" TargetMode="External"/><Relationship Id="rId122" Type="http://schemas.openxmlformats.org/officeDocument/2006/relationships/hyperlink" Target="https://www.amazon.com/gp/r.html?C=1GDZONJ9HF37K&amp;K=D88AMRB2CGGN&amp;M=urn:rtn:msg:20221117231529096e31aca1ad42c88afa2ae2b930p0na&amp;R=10TYI0LGXKNX7&amp;T=C&amp;U=https%3A%2F%2Fwww.amazon.com%2Fgp%2Fcss%2Forder-details%3ForderId%3D113-8131283-1833806%26ref_%3Dpe_386300_440135490_TE_simp_od&amp;H=YBFCF0BWS2KGCER8KAHEWWGQI58A&amp;ref_=pe_386300_440135490_TE_simp_od" TargetMode="External"/><Relationship Id="rId143" Type="http://schemas.openxmlformats.org/officeDocument/2006/relationships/hyperlink" Target="https://www.amazon.com/gp/r.html?C=1GDZONJ9HF37K&amp;K=D88AMRB2CGGN&amp;M=urn:rtn:msg:20220621073334755d8f34fc32490fb7cc8152c210p0na&amp;R=ZSZBU08QXNOR&amp;T=C&amp;U=https%3A%2F%2Fwww.amazon.com%2Fgp%2Fcss%2Forder-details%3ForderId%3D111-9970935-0730611%26ref_%3Dpe_386300_440135490_TE_simp_od&amp;H=YOFMW0AMANYDHOQ8MGNPPLKVEQ4A&amp;ref_=pe_386300_440135490_TE_simp_od" TargetMode="External"/><Relationship Id="rId164" Type="http://schemas.openxmlformats.org/officeDocument/2006/relationships/hyperlink" Target="https://www.amazon.com/gp/r.html?C=1GDZONJ9HF37K&amp;K=D88AMRB2CGGN&amp;M=urn:rtn:msg:20210726115846b7ca46a54ea94c74bf29dd7b2560p0na&amp;R=GLFDHOOGJ2OA&amp;T=C&amp;U=https%3A%2F%2Fwww.amazon.com%2Fgp%2Fcss%2Forder-details%3ForderId%3D113-8356502-6774646%26ref_%3Dpe_386300_440135490_TE_simp_od&amp;H=3GR5QA4CICBY67TC7EKUYJI6CWYA&amp;ref_=pe_386300_440135490_TE_simp_od" TargetMode="External"/><Relationship Id="rId185" Type="http://schemas.openxmlformats.org/officeDocument/2006/relationships/hyperlink" Target="https://www.ups.com/WebTracking?loc=en_US&amp;requester=ST&amp;trackNums=1Z611Y050323734062" TargetMode="External"/><Relationship Id="rId9" Type="http://schemas.openxmlformats.org/officeDocument/2006/relationships/hyperlink" Target="https://www.amazon.com/gp/r.html?C=1N85WR5439VWW&amp;K=D88AMRB2CGGN&amp;M=urn:rtn:msg:20240208203949d8b9422cae7a4c28aad2fbecfef0p0na&amp;R=Q4X4AJH023O8&amp;T=C&amp;U=https%3A%2F%2Fwww.amazon.com%2Fgp%2Fyour-account%2Fship-track%3Fie%3DUTF8%26orderId%3D113-1302715-3761054%26packageIndex%3D0%26shipmentId%3DXh4wXJ0bh%26ref_%3Dpe_386300_442618370_scr_pt_asin&amp;H=68YFV1V6SPBAA38BHVRYEBGIZIKA&amp;ref_=pe_386300_442618370_scr_pt_asin" TargetMode="External"/><Relationship Id="rId210" Type="http://schemas.openxmlformats.org/officeDocument/2006/relationships/hyperlink" Target="https://www.ups.com/upsmychoice?loc=en_US&amp;Requester=SBN&amp;tracknum=1Z1Y715R0394623518&amp;AgreeToTermsAndConditions=yes&amp;WT.z_eCTAid=ct1_eml_Tracking__ct1_eml_tra_eml_sb_1day&amp;WT.z_edatesent=12022020" TargetMode="External"/><Relationship Id="rId26" Type="http://schemas.openxmlformats.org/officeDocument/2006/relationships/hyperlink" Target="https://www.amazon.com/gp/r.html?C=1GDZONJ9HF37K&amp;K=D88AMRB2CGGN&amp;M=urn:rtn:msg:202311210336331f33e0baea624423a8a95b2e9bf0p0na&amp;R=20TFD9C8C0Q67&amp;T=C&amp;U=https%3A%2F%2Fwww.amazon.com%2Fgp%2Fcss%2Forder-details%3ForderId%3D111-8725759-7436226%26ref_%3Dpe_386300_440135490_TE_simp_od&amp;H=MOGX6JYXVWZFRCY1LXY4PUHZ2ZMA&amp;ref_=pe_386300_440135490_TE_simp_od" TargetMode="External"/><Relationship Id="rId231" Type="http://schemas.openxmlformats.org/officeDocument/2006/relationships/hyperlink" Target="https://www.amazon.com/progress-tracker/package/ref=pe_2640190_232586610_scr_pt_track?_encoding=UTF8&amp;from=gp&amp;itemId=&amp;orderId=113-8607666-7873051&amp;packageIndex=0&amp;shipmentId=28655077333301" TargetMode="External"/><Relationship Id="rId252" Type="http://schemas.openxmlformats.org/officeDocument/2006/relationships/hyperlink" Target="https://informeddelivery.usps.com/box/pages/secure/packageDashboardAction?selectedTrckNum=9400110202079004415296&amp;selectedTypeOfLabel=Package" TargetMode="External"/><Relationship Id="rId273" Type="http://schemas.openxmlformats.org/officeDocument/2006/relationships/hyperlink" Target="https://www.amazon.com/progress-tracker/package/ref=pe_2640190_232586610_scr_pt_track?_encoding=UTF8&amp;from=gp&amp;itemId=&amp;orderId=113-6256695-3601018&amp;packageIndex=0&amp;shipmentId=30106490714301" TargetMode="External"/><Relationship Id="rId294" Type="http://schemas.openxmlformats.org/officeDocument/2006/relationships/hyperlink" Target="https://www.amazon.com/gp/r.html?C=1GDZONJ9HF37K&amp;K=D88AMRB2CGGN&amp;M=urn:rtn:msg:20250105034115015b814482374cba9ea9a9eb8c60p0na&amp;R=2LX22R308JNR6&amp;T=C&amp;U=https%3A%2F%2Fwww.amazon.com%2Fgp%2Fcss%2Forder-details%3ForderId%3D113-7084989-1381067%26ref_%3Dpe_386300_440135490_TE_simp_od&amp;H=QGTTRKOXAJFTXRFG1L7JGGBHHF4A&amp;ref_=pe_386300_440135490_TE_simp_od" TargetMode="External"/><Relationship Id="rId47" Type="http://schemas.openxmlformats.org/officeDocument/2006/relationships/hyperlink" Target="https://www.amazon.com/gp/r.html?C=1GDZONJ9HF37K&amp;K=D88AMRB2CGGN&amp;M=urn:rtn:msg:2023061801154842c685d4172c49ea9a0f6d0611d0p0na&amp;R=M34JP746WH06&amp;T=C&amp;U=https%3A%2F%2Fwww.amazon.com%2Fgp%2Fcss%2Forder-details%3ForderId%3D113-0391319-9695454%26ref_%3Dpe_386300_440135490_TE_simp_od&amp;H=MNUWSCFNWU3WYAWSHWRNDFGBKMYA&amp;ref_=pe_386300_440135490_TE_simp_od" TargetMode="External"/><Relationship Id="rId68" Type="http://schemas.openxmlformats.org/officeDocument/2006/relationships/hyperlink" Target="https://www.ebay.com/vod/FetchOrderDetails?itemId=166001570303&amp;transactionId=0&amp;mkevt=1&amp;mkpid=0&amp;emsid=e11401.m43700.l49689&amp;mkcid=7&amp;ch=osgood&amp;euid=13fc5c7b52cc4a0eae01cb3abb41ede0&amp;bu=43188375501&amp;exe=0&amp;ext=0&amp;osub=-1%7E1&amp;crd=20230403111316&amp;segname=11401" TargetMode="External"/><Relationship Id="rId89" Type="http://schemas.openxmlformats.org/officeDocument/2006/relationships/hyperlink" Target="https://www.amazon.com/gp/r.html?C=1GDZONJ9HF37K&amp;K=D88AMRB2CGGN&amp;M=urn:rtn:msg:20230201164225456f3f22fe634923b7166a0f6730p0na&amp;R=2G1TSN0IHXV6O&amp;T=C&amp;U=https%3A%2F%2Fwww.amazon.com%2Fgp%2Fcss%2Forder-details%3ForderId%3D113-2680881-8427418%26ref_%3Dpe_386300_440135490_TE_simp_od&amp;H=QKV1OLSPXEHYQR8UUCFMPUWSV20A&amp;ref_=pe_386300_440135490_TE_simp_od" TargetMode="External"/><Relationship Id="rId112" Type="http://schemas.openxmlformats.org/officeDocument/2006/relationships/hyperlink" Target="https://www.amazon.com/gp/r.html?C=1GDZONJ9HF37K&amp;K=D88AMRB2CGGN&amp;M=urn:rtn:msg:202212262305209b3e6123bc6b48499088f1455620p0na&amp;R=1KLQ3W190C0A5&amp;T=C&amp;U=https%3A%2F%2Fwww.amazon.com%2Fgp%2Fcss%2Forder-details%3ForderId%3D114-8629320-7869809%26ref_%3Dpe_386300_440135490_TE_simp_od&amp;H=MVK3NMLXDJE1IAPZBM979TC5DAWA&amp;ref_=pe_386300_440135490_TE_simp_od" TargetMode="External"/><Relationship Id="rId133" Type="http://schemas.openxmlformats.org/officeDocument/2006/relationships/hyperlink" Target="https://informeddelivery.usps.com/box/pages/secure/packageDashboardAction?selectedTrckNum=9406103699300025884975&amp;selectedTypeOfLabel=Package" TargetMode="External"/><Relationship Id="rId154" Type="http://schemas.openxmlformats.org/officeDocument/2006/relationships/hyperlink" Target="https://www.amazon.com/gp/r.html?C=1GDZONJ9HF37K&amp;K=D88AMRB2CGGN&amp;M=urn:rtn:msg:2021101413011291221ed776854ea0ad9f962aabc0p0na&amp;R=19Q8KSP4I7SO&amp;T=C&amp;U=https%3A%2F%2Fwww.amazon.com%2Fgp%2Fcss%2Forder-details%3ForderId%3D113-9264562-1869025%26ref_%3Dpe_386300_440135490_TE_simp_od&amp;H=W8SWE2JLDJPJ5YOKPZ3AOOUNLZYA&amp;ref_=pe_386300_440135490_TE_simp_od" TargetMode="External"/><Relationship Id="rId175" Type="http://schemas.openxmlformats.org/officeDocument/2006/relationships/hyperlink" Target="https://www.fedex.com/apps/fedextrack/?action=track&amp;trackingnumber=9261290988065124125776" TargetMode="External"/><Relationship Id="rId196" Type="http://schemas.openxmlformats.org/officeDocument/2006/relationships/hyperlink" Target="https://www.amazon.com/gp/r.html?C=1GDZONJ9HF37K&amp;K=D88AMRB2CGGN&amp;M=urn:rtn:msg:2021012321350736c9eea420a040edaf100acf0680p0na&amp;R=1Q1G03E1OJAPJ&amp;T=C&amp;U=https%3A%2F%2Fwww.amazon.com%2Fgp%2Fcss%2Forder-details%3ForderId%3D112-4574257-8765847%26ref_%3Dpe_386300_440135490_TE_simp_od&amp;H=RBKWEYQW1JGTPYLP4UFHWM6MCHWA&amp;ref_=pe_386300_440135490_TE_simp_od" TargetMode="External"/><Relationship Id="rId200" Type="http://schemas.openxmlformats.org/officeDocument/2006/relationships/hyperlink" Target="https://www.amazon.com/gp/product/1549811142/ref=ppx_od_dt_b_asin_title_s00?ie=UTF8&amp;psc=1" TargetMode="External"/><Relationship Id="rId16" Type="http://schemas.openxmlformats.org/officeDocument/2006/relationships/hyperlink" Target="https://www.amazon.com/gp/r.html?C=1GDZONJ9HF37K&amp;K=D88AMRB2CGGN&amp;M=urn:rtn:msg:2024010220265095938be26c9a4561bf49f5cd48a0p0na&amp;R=2ZNG00Y9O8JIE&amp;T=C&amp;U=https%3A%2F%2Fwww.amazon.com%2Fgp%2Fcss%2Forder-details%3ForderId%3D113-7683020-2873011%26ref_%3Dpe_386300_440135490_TE_simp_od&amp;H=92RAIYAGI3XAVNSANDGGMLCTV6AA&amp;ref_=pe_386300_440135490_TE_simp_od" TargetMode="External"/><Relationship Id="rId221" Type="http://schemas.openxmlformats.org/officeDocument/2006/relationships/hyperlink" Target="https://www.amazon.com/gp/r.html?C=1GDZONJ9HF37K&amp;K=D88AMRB2CGGN&amp;M=urn:rtn:msg:2020101519325781e8215f12df43359aff5c2a3390p0na&amp;R=3OB44D2SMSM3F&amp;T=C&amp;U=https%3A%2F%2Fwww.amazon.com%2Fgp%2Fcss%2Forder-details%3ForderId%3D113-8088890-8335424%26ref_%3Dpe_386300_440135490_TE_simp_od&amp;H=TSQI1SP85EAUFC0R2W2PWXV7E78A&amp;ref_=pe_386300_440135490_TE_simp_od" TargetMode="External"/><Relationship Id="rId242" Type="http://schemas.openxmlformats.org/officeDocument/2006/relationships/hyperlink" Target="https://www.amazon.com/progress-tracker/package/ref=pe_2640190_232748430_scr_pt_asin?_encoding=UTF8&amp;from=gp&amp;itemId=&amp;orderId=113-2252717-3599404&amp;packageIndex=0&amp;shipmentId=30401786637301" TargetMode="External"/><Relationship Id="rId263" Type="http://schemas.openxmlformats.org/officeDocument/2006/relationships/hyperlink" Target="https://informeddelivery.usps.com/box/pages/secure/packageDashboardAction?selectedTrckNum=9405515901355621845091&amp;selectedTypeOfLabel=Package" TargetMode="External"/><Relationship Id="rId284" Type="http://schemas.openxmlformats.org/officeDocument/2006/relationships/hyperlink" Target="https://rover.ebay.com/rover/0/e11401.m43700.l44717/7?euid=8e490e545ae84aef9ba1491a0efb6151&amp;bu=43188375501&amp;loc=https%3A%2F%2Fwww.ebay.com%2Fulk%2Fvod%3Ftransid%3D1920050314008%26itemId%3D183182650186%26qu%3D1%26ssPageName%3DADME%3AL%3AOC%3AUS%3A592&amp;sojTags=bu=bu" TargetMode="External"/><Relationship Id="rId37" Type="http://schemas.openxmlformats.org/officeDocument/2006/relationships/hyperlink" Target="https://www.amazon.com/gp/r.html?C=1GDZONJ9HF37K&amp;K=D88AMRB2CGGN&amp;M=urn:rtn:msg:20230928203045911d49e3c61c49e5a1bea98d2ac0p0na&amp;R=30I9PBST7X3YS&amp;T=C&amp;U=https%3A%2F%2Fwww.amazon.com%2Fgp%2Fcss%2Forder-details%3ForderId%3D112-1979534-3722625%26ref_%3Dpe_386300_440135490_TE_simp_od&amp;H=N5QCPZNXJGUB2F5WZUBIGOJNPDSA&amp;ref_=pe_386300_440135490_TE_simp_od" TargetMode="External"/><Relationship Id="rId58" Type="http://schemas.openxmlformats.org/officeDocument/2006/relationships/hyperlink" Target="https://www.amazon.com/gp/r.html?C=1GDZONJ9HF37K&amp;K=D88AMRB2CGGN&amp;M=urn:rtn:msg:20230511211811737719dd110e4c2d81d210997d20p0na&amp;R=O0XBG6CEJHBB&amp;T=C&amp;U=https%3A%2F%2Fwww.amazon.com%2Fgp%2Fcss%2Forder-details%3ForderId%3D111-1033565-7199424%26ref_%3Dpe_386300_440135490_TE_simp_od&amp;H=WYWX3YA21PRCJPND3PJFSJAGXXOA&amp;ref_=pe_386300_440135490_TE_simp_od" TargetMode="External"/><Relationship Id="rId79" Type="http://schemas.openxmlformats.org/officeDocument/2006/relationships/hyperlink" Target="https://www.amazon.com/gp/r.html?C=1GDZONJ9HF37K&amp;K=D88AMRB2CGGN&amp;M=urn:rtn:msg:202303120333471f60a5e7382c44f79bd4564e5ac0p0na&amp;R=31OUX0DRF52S&amp;T=C&amp;U=https%3A%2F%2Fwww.amazon.com%2Fgp%2Fcss%2Forder-details%3ForderId%3D112-1222208-0462602%26ref_%3Dpe_386300_440135490_TE_simp_od&amp;H=FZU7D9Q4DUXMWAS0JUJSJNEGBGKA&amp;ref_=pe_386300_440135490_TE_simp_od" TargetMode="External"/><Relationship Id="rId102" Type="http://schemas.openxmlformats.org/officeDocument/2006/relationships/hyperlink" Target="https://www.amazon.com/gp/r.html?C=1GDZONJ9HF37K&amp;K=D88AMRB2CGGN&amp;M=urn:rtn:msg:202301021552019a48563fe53a40f79a9d9271a480p0na&amp;R=CO3BO89ZTJD7&amp;T=C&amp;U=https%3A%2F%2Fwww.amazon.com%2Fgp%2Fcss%2Forder-details%3ForderId%3D111-4991928-5982648%26ref_%3Dpe_386300_440135490_TE_simp_od&amp;H=ABAQGP0ZSZCP9ISNDVT6COCBGCWA&amp;ref_=pe_386300_440135490_TE_simp_od" TargetMode="External"/><Relationship Id="rId123" Type="http://schemas.openxmlformats.org/officeDocument/2006/relationships/hyperlink" Target="https://www.amazon.com/gp/r.html?C=1GDZONJ9HF37K&amp;K=D88AMRB2CGGN&amp;M=urn:rtn:msg:2022111818411751f71330301a42029b8e17af1d80p0na&amp;R=2MA56VPF5V44Z&amp;T=C&amp;U=https%3A%2F%2Fwww.amazon.com%2Fgp%2Fcss%2Forder-details%3ForderId%3D113-5108001-1814652%26ref_%3Dpe_386300_440135490_TE_simp_od&amp;H=NNYUFO0AYDHLKPXQG6HMXPV18O0A&amp;ref_=pe_386300_440135490_TE_simp_od" TargetMode="External"/><Relationship Id="rId144" Type="http://schemas.openxmlformats.org/officeDocument/2006/relationships/hyperlink" Target="https://www.amazon.com/gp/r.html?C=1GDZONJ9HF37K&amp;K=D88AMRB2CGGN&amp;M=urn:rtn:msg:202201292333579b56b5a5af864b2a95388b97e3d0p0na&amp;R=26ASIAJ5IGZTT&amp;T=C&amp;U=https%3A%2F%2Fwww.amazon.com%2Fgp%2Fcss%2Forder-details%3ForderId%3D111-7327252-0289842%26ref_%3Dpe_386300_440135490_TE_simp_od&amp;H=OVP2O6W0RGEGOEGNKWWOWKRAETSA&amp;ref_=pe_386300_440135490_TE_simp_od" TargetMode="External"/><Relationship Id="rId90" Type="http://schemas.openxmlformats.org/officeDocument/2006/relationships/hyperlink" Target="https://www.caremark.com/wps/portal/ALTERNATE_AUTH&amp;cid=em_trx_pbm_order_received_order_number" TargetMode="External"/><Relationship Id="rId165" Type="http://schemas.openxmlformats.org/officeDocument/2006/relationships/hyperlink" Target="https://www.amazon.com/gp/r.html?C=1GDZONJ9HF37K&amp;K=D88AMRB2CGGN&amp;M=urn:rtn:msg:202106281412254565616fe60545949d5ab0ee5730p0na&amp;R=29PD4YEJHQ35H&amp;T=C&amp;U=https%3A%2F%2Fwww.amazon.com%2Fgp%2Fcss%2Forder-details%3ForderId%3D114-8311018-1256208%26ref_%3Dpe_386300_440135490_TE_simp_od&amp;H=IKJOHAQUZ6RFPVWSHT3BGRVKGASA&amp;ref_=pe_386300_440135490_TE_simp_od" TargetMode="External"/><Relationship Id="rId186" Type="http://schemas.openxmlformats.org/officeDocument/2006/relationships/hyperlink" Target="https://www.titaniumtrim.com/" TargetMode="External"/><Relationship Id="rId211" Type="http://schemas.openxmlformats.org/officeDocument/2006/relationships/hyperlink" Target="http://supplyhouse.com/" TargetMode="External"/><Relationship Id="rId232" Type="http://schemas.openxmlformats.org/officeDocument/2006/relationships/hyperlink" Target="https://www.amazon.com/progress-tracker/package/ref=pe_2640190_232586610_scr_pt_track?_encoding=UTF8&amp;from=gp&amp;itemId=&amp;orderId=113-5970426-8802632&amp;packageIndex=0&amp;shipmentId=35196492978301" TargetMode="External"/><Relationship Id="rId253" Type="http://schemas.openxmlformats.org/officeDocument/2006/relationships/hyperlink" Target="https://smile.amazon.com/progress-tracker/package/ref=pe_2640190_232586610_scr_pt_track?_encoding=UTF8&amp;from=gp&amp;itemId=&amp;orderId=113-5430817-7198610&amp;packageIndex=0&amp;shipmentId=25366251643301" TargetMode="External"/><Relationship Id="rId274" Type="http://schemas.openxmlformats.org/officeDocument/2006/relationships/hyperlink" Target="https://www.amazon.com/progress-tracker/package/ref=pe_2640190_232748430_scr_pt_asin?_encoding=UTF8&amp;from=gp&amp;itemId=&amp;orderId=113-4721139-2811411&amp;packageIndex=0&amp;shipmentId=24998926305301" TargetMode="External"/><Relationship Id="rId295" Type="http://schemas.openxmlformats.org/officeDocument/2006/relationships/hyperlink" Target="https://www.amazon.com/gp/r.html?C=1GDZONJ9HF37K&amp;K=D88AMRB2CGGN&amp;M=urn:rtn:msg:2025010921501403232264522c4c159b17974ada00p0na&amp;R=33F376C5GL22Y&amp;T=C&amp;U=https%3A%2F%2Fwww.amazon.com%2Fgp%2Fcss%2Forder-details%3ForderId%3D113-5950811-1212229%26ref_%3Dpe_386300_440135490_TE_simp_od&amp;H=UHSATKPY7XOSF5I6RNNREYQJS9OA&amp;ref_=pe_386300_440135490_TE_simp_od" TargetMode="External"/><Relationship Id="rId27" Type="http://schemas.openxmlformats.org/officeDocument/2006/relationships/hyperlink" Target="https://www.amazon.com/gp/r.html?C=1GDZONJ9HF37K&amp;K=D88AMRB2CGGN&amp;M=urn:rtn:msg:2023110422295947639ba8deff4a24aa256e240dc0p0na&amp;R=36LJP0A2NLQOD&amp;T=C&amp;U=https%3A%2F%2Fwww.amazon.com%2Fgp%2Fcss%2Forder-details%3ForderId%3D112-3063372-2911414%26ref_%3Dpe_386300_440135490_TE_simp_od&amp;H=CRWZYWXNYMFXE5FSBNA3DM7WYAWA&amp;ref_=pe_386300_440135490_TE_simp_od" TargetMode="External"/><Relationship Id="rId48" Type="http://schemas.openxmlformats.org/officeDocument/2006/relationships/hyperlink" Target="https://www.amazon.com/gp/r.html?C=1GDZONJ9HF37K&amp;K=D88AMRB2CGGN&amp;M=urn:rtn:msg:2023061817592293ab270d2a4842a7b57447207ca0p0na&amp;R=ZTN7JW6KRN25&amp;T=C&amp;U=https%3A%2F%2Fwww.amazon.com%2Fgp%2Fcss%2Forder-details%3ForderId%3D113-7060871-1303458%26ref_%3Dpe_386300_440135490_TE_simp_od&amp;H=044PHB8I51F6JNJ0IKADMU96J1WA&amp;ref_=pe_386300_440135490_TE_simp_od" TargetMode="External"/><Relationship Id="rId69" Type="http://schemas.openxmlformats.org/officeDocument/2006/relationships/hyperlink" Target="https://www.ebay.com/ship/trk/tracking-details?transid=2449655246008&amp;itemid=184749769439" TargetMode="External"/><Relationship Id="rId113" Type="http://schemas.openxmlformats.org/officeDocument/2006/relationships/hyperlink" Target="https://www.ebay.com/vod/FetchOrderDetails?itemId=304651911256&amp;transactionId=2008632020020&amp;mkevt=1&amp;mkpid=0&amp;emsid=e11401.m43700.l49689&amp;mkcid=7&amp;ch=osgood&amp;euid=f39a099f6f8346b4b865b2e6b6a09a35&amp;bu=43188375501&amp;exe=0&amp;ext=0&amp;osub=-1%7E1&amp;crd=20221215174521&amp;segname=11401" TargetMode="External"/><Relationship Id="rId134" Type="http://schemas.openxmlformats.org/officeDocument/2006/relationships/hyperlink" Target="https://www.amazon.com/gp/r.html?C=1GDZONJ9HF37K&amp;K=D88AMRB2CGGN&amp;M=urn:rtn:msg:20221009182158d43a96f8e670455f854608817a50p0na&amp;R=11O0600UBU6CG&amp;T=C&amp;U=https%3A%2F%2Fwww.amazon.com%2Fgp%2Fcss%2Forder-details%3ForderId%3D114-2095398-7669059%26ref_%3Dpe_386300_440135490_TE_simp_od&amp;H=KAIAAXSQHZJ618BLRPYHOAK6DBGA&amp;ref_=pe_386300_440135490_TE_simp_od" TargetMode="External"/><Relationship Id="rId80" Type="http://schemas.openxmlformats.org/officeDocument/2006/relationships/hyperlink" Target="https://w-mt.co/g/rptrcks/comm-smart-app/services/tracking/clickTracker?redirectTo=0qOVQLcYsOGcDOtxuyrBM1VNllI1R2rN7%2BInveWCEiZJ%2BukZEd9euzTm2Z9beDb3f%2BUSmW4fRID7xGU%2FoDUIs8d7KXqt13EgtHm3QZHCvXhDI85zIjHUGgBc52QTun5KXw0q0uqD5sGuZgbNxA%2BvkQu9OmXYeqCJPVko8Es4v0YKJupXIestNdHkR%2BIu0Da8XA0eW4V2Qp5e7hAIIWTvkbbBJSAhr%2Fl%2Bme9MYzg52BwJPbB39UIcKYpD1AiL8HwHTKWXwM%2BUkoUduF5Dp8vYGxFTKExBqwbjPLkPPoVDnUzEqFRK5%2BJyR%2FLpbslX8oLk5q7g7tgWf9GThs0xBWNmSdcDXr8OmxQEwWmaVO3g%2BSihg73f8srb3IajRct2eq3XdWVKGLCVkwdtuZOUOR%2FYc4Imd3fiHOLouK6YUrgIb6r51pCktZDqlcWLOWbhDWjkPd6ev8AFOmUb5HJJg4%2BlfhIZ2DPw3JUzUFjkjAN0r80%3D&amp;meta=IghX9VGEqd2aFu%2BVgGGRVxbwducKSnAfVItWTbMq12KIpDCHfDTFBI1JIduklEJQNsAihoDmXh%2Buwcz%2By7XfcQXl%2FkTHwaoJb0Gxd%2B6RmBe5XXehLO5y%2BD0Vnwq9NIvpkkKXiVJDM3Lbe8UivkruHMbwaP%2F9iX2kRqPgtHw2GrVEfQdE7Hy3FEdm0lNzFGDRgrqIwr5mKC4YDlrI5KbJRw%3D%3D&amp;iv=mwtWKJeW2tVQE0ZgyWdXdg%3D%3D" TargetMode="External"/><Relationship Id="rId155" Type="http://schemas.openxmlformats.org/officeDocument/2006/relationships/hyperlink" Target="https://www.amazon.com/gp/r.html?C=1GDZONJ9HF37K&amp;K=D88AMRB2CGGN&amp;M=urn:rtn:msg:20211026155657a1677bd9539d4938b0b3808d26e0p0na&amp;R=6TFMSF1J66V0&amp;T=C&amp;U=https%3A%2F%2Fwww.amazon.com%2Fgp%2Fcss%2Forder-details%3ForderId%3D113-3310180-2782638%26ref_%3Dpe_386300_440135490_TE_simp_od&amp;H=MEQPJ8G1N8NZ6HGCEYADOWECDD4A&amp;ref_=pe_386300_440135490_TE_simp_od" TargetMode="External"/><Relationship Id="rId176" Type="http://schemas.openxmlformats.org/officeDocument/2006/relationships/hyperlink" Target="https://tools.usps.com/go/TrackConfirmAction_input?qtc_tLabels1=9449028206334308017021&amp;v=1&amp;utm_source=unp&amp;utm_medium=email&amp;utm_campaign=RT000052&amp;utm_unptid=4bdd0e48-c00f-11eb-9715-3cfdfee8d499&amp;ppid=RT000052&amp;cnac=US&amp;rsta=en_US%28en-US%29&amp;cust=V69HK8N7JZUMJ&amp;unptid=4bdd0e48-c00f-11eb-9715-3cfdfee8d499&amp;calc=8209ff7162119&amp;unp_tpcid=email-shipping-notification-buyer&amp;page=main%3Aemail%3ART000052&amp;pgrp=main%3Aemail&amp;e=cl&amp;mchn=em&amp;s=ci&amp;mail=sys&amp;appVersion=1.45.0&amp;xt=104038" TargetMode="External"/><Relationship Id="rId197" Type="http://schemas.openxmlformats.org/officeDocument/2006/relationships/hyperlink" Target="https://www.amazon.com/gp/r.html?C=1GDZONJ9HF37K&amp;K=D88AMRB2CGGN&amp;M=urn:rtn:msg:20210129132115273201b612b4448e925b2e425d10p0na&amp;R=265Z95OQKBUML&amp;T=C&amp;U=https%3A%2F%2Fwww.amazon.com%2Fgp%2Fcss%2Forder-details%3ForderId%3D112-9920376-1825000%26ref_%3Dpe_386300_440135490_TE_simp_od&amp;H=ASJUXCV6N1YZ7WWOSQR4UQTOAPQA&amp;ref_=pe_386300_440135490_TE_simp_od" TargetMode="External"/><Relationship Id="rId201" Type="http://schemas.openxmlformats.org/officeDocument/2006/relationships/hyperlink" Target="https://www.amazon.com/gp/r.html?C=1GDZONJ9HF37K&amp;K=D88AMRB2CGGN&amp;M=urn:rtn:msg:2020122314510557c43f79b0084b94b5b7ad0e61e0p0na&amp;R=RVTFB2N6YB5H&amp;T=C&amp;U=https%3A%2F%2Fwww.amazon.com%2Fgp%2Fcss%2Forder-details%3ForderId%3D114-6567994-6575465%26ref_%3Dpe_386300_440135490_TE_simp_od&amp;H=LEPMWPXRISZ9LYK9VVQQOK9VVGIA&amp;ref_=pe_386300_440135490_TE_simp_od" TargetMode="External"/><Relationship Id="rId222" Type="http://schemas.openxmlformats.org/officeDocument/2006/relationships/hyperlink" Target="https://rover.ebay.com/rover/0/e11401.m43700.l44717/7?euid=52baf291a0594466b411e47b908ee60e&amp;bu=43188375501&amp;segname=11401&amp;crd=20200710081437&amp;osub=-1~1&amp;ch=osgood&amp;loc=https%3A%2F%2Fwww.ebay.com%2Fulk%2Fvod%3Ftransid%3D2209080354011%26itemId%3D322043531141%26qu%3D1%26ssPageName%3DADME%3AL%3AOC%3AUS%3A592&amp;sojTags=bu=bu,ch=ch,segname=segname,crd=crd,url=loc,osub=osub" TargetMode="External"/><Relationship Id="rId243" Type="http://schemas.openxmlformats.org/officeDocument/2006/relationships/hyperlink" Target="https://www.amazon.com/progress-tracker/package/ref=pe_2640190_232748430_scr_pt_asin?_encoding=UTF8&amp;from=gp&amp;itemId=&amp;orderId=113-2252717-3599404&amp;packageIndex=0&amp;shipmentId=30401786637301" TargetMode="External"/><Relationship Id="rId264" Type="http://schemas.openxmlformats.org/officeDocument/2006/relationships/hyperlink" Target="https://www.amazon.com/progress-tracker/package/ref=pe_2640190_232586610_scr_pt_track?_encoding=UTF8&amp;from=gp&amp;itemId=&amp;orderId=113-2223200-3865043&amp;packageIndex=0&amp;shipmentId=21463211265301" TargetMode="External"/><Relationship Id="rId285" Type="http://schemas.openxmlformats.org/officeDocument/2006/relationships/hyperlink" Target="https://tools.usps.com/go/TrackConfirmAction_input?qtc_tLabels1=9400109699937190775319&amp;ppid=PPX000875&amp;cnac=US&amp;rsta=en_US(en_AR)&amp;cust=V69HK8N7JZUMJ&amp;unptid=6be7e67c-1233-11e9-ba5e-5cb90192ce30&amp;t=&amp;cal=bf9de2df866c9&amp;calc=bf9de2df866c9&amp;calf=bf9de2df866c9&amp;unp_tpcid=email-shipping-notification-buyer&amp;page=main:email&amp;pgrp=main:email&amp;e=op&amp;mchn=em&amp;s=ci&amp;mail=sys" TargetMode="External"/><Relationship Id="rId17" Type="http://schemas.openxmlformats.org/officeDocument/2006/relationships/hyperlink" Target="https://www.amazon.com/gp/r.html?C=1GDZONJ9HF37K&amp;K=D88AMRB2CGGN&amp;M=urn:rtn:msg:2023121213434266dc225eae5644409db604939c40p0na&amp;R=22N98SNFNYTKW&amp;T=C&amp;U=https%3A%2F%2Fwww.amazon.com%2Fgp%2Fcss%2Forder-details%3ForderId%3D114-4854178-1318602%26ref_%3Dpe_386300_440135490_TE_simp_od&amp;H=RPTANVLFSTF8X9AAQTAZHJVIK5EA&amp;ref_=pe_386300_440135490_TE_simp_od" TargetMode="External"/><Relationship Id="rId38" Type="http://schemas.openxmlformats.org/officeDocument/2006/relationships/hyperlink" Target="https://www.amazon.com/gp/r.html?C=1GDZONJ9HF37K&amp;K=D88AMRB2CGGN&amp;M=urn:rtn:msg:20230917154206c794422a282d46d4a01484c13040p0na&amp;R=1XUYG2EOMXK64&amp;T=C&amp;U=https%3A%2F%2Fwww.amazon.com%2Fgp%2Fcss%2Forder-details%3ForderId%3D112-5093750-7146643%26ref_%3Dpe_386300_440135490_TE_simp_od&amp;H=IDAZSJGSSWV7XWTXJ5EUAKTIKFAA&amp;ref_=pe_386300_440135490_TE_simp_od" TargetMode="External"/><Relationship Id="rId59" Type="http://schemas.openxmlformats.org/officeDocument/2006/relationships/hyperlink" Target="https://www.amazon.com/gp/r.html?C=1GDZONJ9HF37K&amp;K=D88AMRB2CGGN&amp;M=urn:rtn:msg:202305082149159b71e0dd80374eb797de7c0e9e70p0na&amp;R=196VSKJCRUZGR&amp;T=C&amp;U=https%3A%2F%2Fwww.amazon.com%2Fgp%2Fcss%2Forder-details%3ForderId%3D111-2105495-1464210%26ref_%3Dpe_386300_440135490_TE_simp_od&amp;H=4AT4PVM5GA8HESBMIFBTAB1JNO4A&amp;ref_=pe_386300_440135490_TE_simp_od" TargetMode="External"/><Relationship Id="rId103" Type="http://schemas.openxmlformats.org/officeDocument/2006/relationships/hyperlink" Target="https://www.amazon.com/gp/r.html?C=1GDZONJ9HF37K&amp;K=D88AMRB2CGGN&amp;M=urn:rtn:msg:202301021552019a48563fe53a40f79a9d9271a480p0na&amp;R=CO3BO89ZTJD7&amp;T=C&amp;U=https%3A%2F%2Fwww.amazon.com%2Fgp%2Fcss%2Forder-details%3ForderId%3D111-4991928-5982648%26ref_%3Dpe_386300_440135490_TE_simp_od&amp;H=ABAQGP0ZSZCP9ISNDVT6COCBGCWA&amp;ref_=pe_386300_440135490_TE_simp_od" TargetMode="External"/><Relationship Id="rId124" Type="http://schemas.openxmlformats.org/officeDocument/2006/relationships/hyperlink" Target="https://www.ebay.com/vod/FetchOrderDetails?itemId=285028844741&amp;transactionId=2450541548018&amp;mkevt=1&amp;mkpid=0&amp;emsid=e11401.m43700.l49689&amp;mkcid=7&amp;ch=osgood&amp;euid=01e47208cf4445f3882923a75636bd7f&amp;bu=43188375501&amp;exe=102809&amp;ext=241959&amp;osub=-1%7E1&amp;crd=20221114065921&amp;segname=11401" TargetMode="External"/><Relationship Id="rId70" Type="http://schemas.openxmlformats.org/officeDocument/2006/relationships/hyperlink" Target="https://www.amazon.com/gp/r.html?C=1GDZONJ9HF37K&amp;K=D88AMRB2CGGN&amp;M=urn:rtn:msg:20230325213932f9fee2db257a4edaa3c845003690p0na&amp;R=13HXZLKBV21ML&amp;T=C&amp;U=https%3A%2F%2Fwww.amazon.com%2Fgp%2Fcss%2Forder-details%3ForderId%3D112-5441554-6247416%26ref_%3Dpe_386300_440135490_TE_simp_od&amp;H=WL9NJWTJQLUCCAIIN69D1OEEAO0A&amp;ref_=pe_386300_440135490_TE_simp_od" TargetMode="External"/><Relationship Id="rId91" Type="http://schemas.openxmlformats.org/officeDocument/2006/relationships/hyperlink" Target="https://tools.usps.com/go/TrackConfirmAction?qtc_tLabels1=92419999916655583003278071" TargetMode="External"/><Relationship Id="rId145" Type="http://schemas.openxmlformats.org/officeDocument/2006/relationships/hyperlink" Target="https://www.amazon.com/gp/r.html?C=1GDZONJ9HF37K&amp;K=D88AMRB2CGGN&amp;M=urn:rtn:msg:202201292333579b56b5a5af864b2a95388b97e3d0p0na&amp;R=3TXPS7SH58RVJ&amp;T=C&amp;U=https%3A%2F%2Fwww.amazon.com%2Fgp%2Fcss%2Forder-details%3ForderId%3D111-3368015-1621853%26ref_%3Dpe_386300_440135490_TE_simp_od&amp;H=IJTWXR1MCD2F6LIJ9GQWWRDPAFMA&amp;ref_=pe_386300_440135490_TE_simp_od" TargetMode="External"/><Relationship Id="rId166" Type="http://schemas.openxmlformats.org/officeDocument/2006/relationships/hyperlink" Target="http://link.order.homedepot.com/ls/click?upn=4nlhyNcg749Mc7Qi6DVKv60ulGwPPznb-2FImTq3eYoRCu6Hp65yYK9UQQCOGNTyKdJA7uPOKiIsrYKoMXQPBJgfMIXzPMzL4gHgiOz-2BnBLDo-3DsEMJ_Ol4ZFSbonKZ473JjjCbRRguHLYEvPLjjbeX1XDtBlWaEThKVMjVrm0ZUD-2FDmJAa-2Ft-2FqhvhMFKNnbrkypTQrmKEbSmhdBq5t0mFCbFU0sIZYDURS7z8wPZhaq357Zg-2Fx5ES3jDfpfqxbbUeacSqs5Hk5DEl034obXMIzRQRCs8PEs8R4IVlTo-2BCg9bVS5KVi8lWJjqGY8m561qp-2FTK7OQwkVEAqVIqE0r5GqsiOlexBLY-2Ba4Xit0d2bo0FuMIPXGFfg-2Bjdh816tqbuOC-2FkphliBq4sAjnueXy4ucWIQB0J5ypxnh0GITgQpsRRbk9QV51vaubMrf7fQnKaZsABFBKew0Ucbncwu0QOlncsPiA-2FsaTCOkvoFyRp2ynz8znPIjldq6MutBKAnSf3GSWV1Ca1PV2qXfKvRZQd-2BVZf90ulHQ5u7tB-2FCTySdttlehFM6rwHXJ7oxR2cRrnFA3GCRCDpKNapH-2BqY3fAn0Il0VarCCx1BZhodjt4XjXqJya70xBdfQJgDauF30yDsvnbxuG7Q6uMXIwhsX4in15smqthZarpQuTU9HcWwmNdDbfyhmdTtW11ey5aLFLLooqMhK0QQPVUqDnq4ZnYihngyHtVvjyJRWD5-2BuUSPN1SnKfyK79oBGbG9-2B3ygH1vkKxdS-2F8-2B2Iwnk-2BIQllcqTmNCinvdnb6o3M7pqXK66TllRpFmHc1thhg3kETYyIryEds-2B1SHmAU6diSPg721GV0LRkd9N5uu1tB82hqaaatay9i2LWruwQVG4ZBiVl249vizka16QLCwB-2FQblnrIaiZl9Fw3IL1VBLPfxX-2FJ6GM-2FhhOEm6ci-2BEtc-2FLG8pFbfx6CdD2T6d1E6ps3lwweCTv2ZzghgSriiNxL9luPEvrdmDG9BbbAs6CXkC5rkBLlwLlkSMAPGs8FLNXslTb5fU1OZW0JzWvYA-3D" TargetMode="External"/><Relationship Id="rId187" Type="http://schemas.openxmlformats.org/officeDocument/2006/relationships/hyperlink" Target="https://informeddelivery.usps.com/box/pages/secure/packageDashboardAction?selectedTrckNum=9400111899560569022038&amp;selectedTypeOfLabel=Package" TargetMode="External"/><Relationship Id="rId1" Type="http://schemas.openxmlformats.org/officeDocument/2006/relationships/hyperlink" Target="https://www.amazon.com/gp/r.html?C=1GDZONJ9HF37K&amp;K=D88AMRB2CGGN&amp;M=urn:rtn:msg:202409011455148ba5dc10833f44d6a1c7b0a72a10p0na&amp;R=261Z130MSRYHZ&amp;T=C&amp;U=https%3A%2F%2Fwww.amazon.com%2Fgp%2Fcss%2Forder-details%3ForderId%3D113-6803284-8954622%26ref_%3Dpe_386300_440135490_TE_simp_od&amp;H=P9J9AAILXP7GL7RZCGSAMPKFEQAA&amp;ref_=pe_386300_440135490_TE_simp_od" TargetMode="External"/><Relationship Id="rId212" Type="http://schemas.openxmlformats.org/officeDocument/2006/relationships/hyperlink" Target="https://store.usps.com/store/myaccount/orderDetail.jsp?orderId=o1481998897&amp;selpage=MY+ORDERS&amp;isMyAccountPage=true" TargetMode="External"/><Relationship Id="rId233" Type="http://schemas.openxmlformats.org/officeDocument/2006/relationships/hyperlink" Target="https://www.amazon.com/progress-tracker/package/ref=pe_2640190_232586610_scr_pt_track?_encoding=UTF8&amp;from=gp&amp;itemId=&amp;orderId=113-9378344-5575448&amp;packageIndex=0&amp;shipmentId=34828141791301" TargetMode="External"/><Relationship Id="rId254" Type="http://schemas.openxmlformats.org/officeDocument/2006/relationships/hyperlink" Target="https://smile.amazon.com/progress-tracker/package/ref=pe_2640190_232586610_TE_SIMP_?_encoding=UTF8&amp;orderId=113-1923079-4755467&amp;packageIndex=0&amp;shipmentId=16103226699025" TargetMode="External"/><Relationship Id="rId28" Type="http://schemas.openxmlformats.org/officeDocument/2006/relationships/hyperlink" Target="https://www.amazon.com/gp/r.html?C=1GDZONJ9HF37K&amp;K=D88AMRB2CGGN&amp;M=urn:rtn:msg:20231114143217cdb8e23cd49a43428a358d27de70p0na&amp;R=18XANX0FXX1BA&amp;T=C&amp;U=https%3A%2F%2Fwww.amazon.com%2Fgp%2Fcss%2Forder-details%3ForderId%3D111-0864854-5725049%26ref_%3Dpe_386300_440135490_TE_simp_od&amp;H=CYB4LW0NFFA16A00CWQTAHARTAMA&amp;ref_=pe_386300_440135490_TE_simp_od" TargetMode="External"/><Relationship Id="rId49" Type="http://schemas.openxmlformats.org/officeDocument/2006/relationships/hyperlink" Target="https://www.amazon.com/gp/r.html?C=1GDZONJ9HF37K&amp;K=D88AMRB2CGGN&amp;M=urn:rtn:msg:20230615214411cd07016a9d614241a8f6d28cfcf0p0na&amp;R=2Q29WA5AXQ2RG&amp;T=C&amp;U=https%3A%2F%2Fwww.amazon.com%2Fgp%2Fcss%2Forder-details%3ForderId%3D113-5173223-8678625%26ref_%3Dpe_386300_440135490_TE_simp_od&amp;H=NJORAXTOLOLNFVDDPZYVTIMWP1WA&amp;ref_=pe_386300_440135490_TE_simp_od" TargetMode="External"/><Relationship Id="rId114" Type="http://schemas.openxmlformats.org/officeDocument/2006/relationships/hyperlink" Target="https://www.amazon.com/gp/r.html?C=1GDZONJ9HF37K&amp;K=D88AMRB2CGGN&amp;M=urn:rtn:msg:202212110325512a68084327c74cc1bd8fd59ffb40p0na&amp;R=203Q915JJNOMF&amp;T=C&amp;U=https%3A%2F%2Fwww.amazon.com%2Fgp%2Fcss%2Forder-details%3ForderId%3D113-5671548-7393846%26ref_%3Dpe_386300_440135490_TE_simp_od&amp;H=RN6QBZYLSLLYYQJVRQ41XZVYOXUA&amp;ref_=pe_386300_440135490_TE_simp_od" TargetMode="External"/><Relationship Id="rId275" Type="http://schemas.openxmlformats.org/officeDocument/2006/relationships/hyperlink" Target="https://www.amazon.com/progress-tracker/package/ref=pe_2640190_232748430_scr_pt_asin?_encoding=UTF8&amp;from=gp&amp;itemId=&amp;orderId=113-4721139-2811411&amp;packageIndex=0&amp;shipmentId=24998926305301" TargetMode="External"/><Relationship Id="rId296" Type="http://schemas.openxmlformats.org/officeDocument/2006/relationships/vmlDrawing" Target="../drawings/vmlDrawing2.vml"/><Relationship Id="rId60" Type="http://schemas.openxmlformats.org/officeDocument/2006/relationships/hyperlink" Target="https://www.amazon.com/gp/r.html?C=1GDZONJ9HF37K&amp;K=D88AMRB2CGGN&amp;M=urn:rtn:msg:20230509153529c11d6f77853a4069928c7c7760b0p0na&amp;R=OGKMZFZ579C8&amp;T=C&amp;U=https%3A%2F%2Fwww.amazon.com%2Fgp%2Fcss%2Forder-details%3ForderId%3D111-4257618-5276215%26ref_%3Dpe_386300_440135490_TE_simp_od&amp;H=ASLDGT7X3ZPV7ZJ2IATZNSIXFM0A&amp;ref_=pe_386300_440135490_TE_simp_od" TargetMode="External"/><Relationship Id="rId81" Type="http://schemas.openxmlformats.org/officeDocument/2006/relationships/hyperlink" Target="https://www.amazon.com/gp/r.html?C=1GDZONJ9HF37K&amp;K=D88AMRB2CGGN&amp;M=urn:rtn:msg:20230226005405561b5d959f7d4048b1d068b96e70p0na&amp;R=2DZ5NFFLXOUYW&amp;T=C&amp;U=https%3A%2F%2Fwww.amazon.com%2Fgp%2Fcss%2Forder-details%3ForderId%3D112-8682932-3030600%26ref_%3Dpe_386300_440135490_TE_simp_od&amp;H=S0IO0GMAYS2A93UFTYA6LLAPYZKA&amp;ref_=pe_386300_440135490_TE_simp_od" TargetMode="External"/><Relationship Id="rId135" Type="http://schemas.openxmlformats.org/officeDocument/2006/relationships/hyperlink" Target="https://www.amazon.com/gp/r.html?C=1GDZONJ9HF37K&amp;K=D88AMRB2CGGN&amp;M=urn:rtn:msg:20221009190747cf46136fa5d042638c1a558b0090p0na&amp;R=2D4F4OOLE3N8R&amp;T=C&amp;U=https%3A%2F%2Fwww.amazon.com%2Fgp%2Fcss%2Forder-details%3ForderId%3D114-8792052-2244228%26ref_%3Dpe_386300_440135490_TE_simp_od&amp;H=6LDVDNWSWKZYFVAZOJTEEUJWGJWA&amp;ref_=pe_386300_440135490_TE_simp_od" TargetMode="External"/><Relationship Id="rId156" Type="http://schemas.openxmlformats.org/officeDocument/2006/relationships/hyperlink" Target="https://informeddelivery.usps.com/box/pages/secure/packageDashboardAction?selectedTrckNum=9374869901600524429066&amp;selectedTypeOfLabel=Package" TargetMode="External"/><Relationship Id="rId177" Type="http://schemas.openxmlformats.org/officeDocument/2006/relationships/hyperlink" Target="https://informeddelivery.usps.com/box/pages/secure/packageDashboardAction?selectedTrckNum=9374869901600477417592&amp;selectedTypeOfLabel=Package" TargetMode="External"/><Relationship Id="rId198" Type="http://schemas.openxmlformats.org/officeDocument/2006/relationships/hyperlink" Target="https://www.amazon.com/gp/r.html?C=3JTDOSORXPWJG&amp;K=D88AMRB2CGGN&amp;M=urn:rtn:msg:202101202005385ef06e8e37ea46b8b11f79df6fd0p0na&amp;R=17CQYHNBMIF3J&amp;T=C&amp;U=https%3A%2F%2Fwww.amazon.com%2Fgp%2Fcss%2Forder-details%3ForderId%3D112-6990537-4791422%26ref_%3Dpe_2640190_232748420_TE_simp_od&amp;H=GGWDJHDGSQAEHB0WTWYZHG3O3MYA&amp;ref_=pe_2640190_232748420_TE_simp_od" TargetMode="External"/><Relationship Id="rId202" Type="http://schemas.openxmlformats.org/officeDocument/2006/relationships/hyperlink" Target="https://www.caremark.com/wps/portal/ALTERNATE_AUTH?xid=&amp;cid=em_pbm_cmp_orderreceived&amp;lpg=ORDER_STATUS" TargetMode="External"/><Relationship Id="rId223" Type="http://schemas.openxmlformats.org/officeDocument/2006/relationships/hyperlink" Target="https://informeddelivery.usps.com/box/pages/secure/packageDashboardAction?selectedTrckNum=9374869901600379097489&amp;selectedTypeOfLabel=Package" TargetMode="External"/><Relationship Id="rId244" Type="http://schemas.openxmlformats.org/officeDocument/2006/relationships/hyperlink" Target="https://www.amazon.com/gp/r.html?C=3JTDOSORXPWJG&amp;K=D88AMRB2CGGN&amp;M=urn:rtn:msg:2020041412575387b6b59208064c7ca1c545d550e0p0na&amp;R=2K32TBAQ83RM3&amp;T=C&amp;U=https%3A%2F%2Fwww.amazon.com%2Fgp%2Fcss%2Forder-details%3ForderId%3D113-2198008-5893823%26ref_%3Dpe_2640190_232748420_TE_simp_od&amp;H=OS7M6NG3YUKXZYOKMA7WCJGKMO4A&amp;ref_=pe_2640190_232748420_TE_simp_od" TargetMode="External"/><Relationship Id="rId18" Type="http://schemas.openxmlformats.org/officeDocument/2006/relationships/hyperlink" Target="https://www.amazon.com/gp/r.html?C=1GDZONJ9HF37K&amp;K=D88AMRB2CGGN&amp;M=urn:rtn:msg:20231212005026a7cce970323040e48882bd230f50p0na&amp;R=V5LXTAZNU1IG&amp;T=C&amp;U=https%3A%2F%2Fwww.amazon.com%2Fgp%2Fcss%2Forder-details%3ForderId%3D114-5799019-4398660%26ref_%3Dpe_386300_440135490_TE_simp_od&amp;H=6LY6EQCYXM1QPFSYLWPSIABACSOA&amp;ref_=pe_386300_440135490_TE_simp_od" TargetMode="External"/><Relationship Id="rId39" Type="http://schemas.openxmlformats.org/officeDocument/2006/relationships/hyperlink" Target="https://www.fedex.com/fedextrack/?tracknumbers=681455589370" TargetMode="External"/><Relationship Id="rId265" Type="http://schemas.openxmlformats.org/officeDocument/2006/relationships/hyperlink" Target="https://www.amazon.com/progress-tracker/package/ref=pe_2640190_232586610_scr_pt_track?_encoding=UTF8&amp;from=gp&amp;itemId=&amp;orderId=113-5954060-2029053&amp;packageIndex=0&amp;shipmentId=34018177983301" TargetMode="External"/><Relationship Id="rId286" Type="http://schemas.openxmlformats.org/officeDocument/2006/relationships/hyperlink" Target="http://www.17track.net/en/track?nums=LT158455825CN" TargetMode="External"/><Relationship Id="rId50" Type="http://schemas.openxmlformats.org/officeDocument/2006/relationships/hyperlink" Target="https://www.amazon.com/gp/r.html?C=1GDZONJ9HF37K&amp;K=D88AMRB2CGGN&amp;M=urn:rtn:msg:2023060812023655e230e5ab8e4e4893e2aea9cef0p0na&amp;R=1V0GXB2MREHC7&amp;T=C&amp;U=https%3A%2F%2Fwww.amazon.com%2Fgp%2Fcss%2Forder-details%3ForderId%3D113-9289620-0430656%26ref_%3Dpe_386300_440135490_TE_simp_od&amp;H=N7TOJ75IIITRAL8MGASMZC2B5Q4A&amp;ref_=pe_386300_440135490_TE_simp_od" TargetMode="External"/><Relationship Id="rId104" Type="http://schemas.openxmlformats.org/officeDocument/2006/relationships/hyperlink" Target="https://www.amazon.com/gp/r.html?C=1GDZONJ9HF37K&amp;K=D88AMRB2CGGN&amp;M=urn:rtn:msg:20230115151353bac3aa121ae841a6bb41e3160f60p0na&amp;R=2EV6V793XM2OD&amp;T=C&amp;U=https%3A%2F%2Fwww.amazon.com%2Fgp%2Fcss%2Forder-details%3ForderId%3D114-7059527-0760240%26ref_%3Dpe_386300_440135490_TE_simp_od&amp;H=A82SZWDLDKVYKY00F3T3NFCZEUUA&amp;ref_=pe_386300_440135490_TE_simp_od" TargetMode="External"/><Relationship Id="rId125" Type="http://schemas.openxmlformats.org/officeDocument/2006/relationships/hyperlink" Target="https://www.amazon.com/gp/r.html?C=1GDZONJ9HF37K&amp;K=D88AMRB2CGGN&amp;M=urn:rtn:msg:20221103221334c99a481c41814b75ab6904fe0b80p0na&amp;R=1R2211GCM2XDB&amp;T=C&amp;U=https%3A%2F%2Fwww.amazon.com%2Fgp%2Fcss%2Forder-details%3ForderId%3D113-0384057-2535403%26ref_%3Dpe_386300_440135490_TE_simp_od&amp;H=LWCM2HFALNBFQYCAAM1BEKU6DAQA&amp;ref_=pe_386300_440135490_TE_simp_od" TargetMode="External"/><Relationship Id="rId146" Type="http://schemas.openxmlformats.org/officeDocument/2006/relationships/hyperlink" Target="https://www.caremark.com/wps/myportal/ORDER_STATUS" TargetMode="External"/><Relationship Id="rId167" Type="http://schemas.openxmlformats.org/officeDocument/2006/relationships/hyperlink" Target="https://www.ebay.com/vod/FetchOrderDetails?itemId=353548301752&amp;transactionId=1264362466022&amp;mkevt=1&amp;mkpid=0&amp;emsid=e11401.m43700.l49689&amp;mkcid=7&amp;ch=osgood&amp;euid=7bc094cb776a490b9f1bdde3e21be960&amp;bu=43188375501&amp;osub=-1%7E1&amp;crd=20210701121305&amp;segname=11401&amp;sojTags=ch%3Dch%2Cbu%3Dbu%2Cosub%3Dosub%2Ccrd%3Dcrd%2Csegname%3Dsegname%2Cchnl%3Dmkcid" TargetMode="External"/><Relationship Id="rId188" Type="http://schemas.openxmlformats.org/officeDocument/2006/relationships/hyperlink" Target="https://soundtraxx.com/" TargetMode="External"/><Relationship Id="rId71" Type="http://schemas.openxmlformats.org/officeDocument/2006/relationships/hyperlink" Target="https://www.amazon.com/gp/r.html?C=1GDZONJ9HF37K&amp;K=D88AMRB2CGGN&amp;M=urn:rtn:msg:202303212111445d94584e5db24dc68357fa3222d0p0na&amp;R=20U2IXROWEEWF&amp;T=C&amp;U=https%3A%2F%2Fwww.amazon.com%2Fgp%2Fcss%2Forder-details%3ForderId%3D112-0241650-3491403%26ref_%3Dpe_386300_440135490_TE_simp_od&amp;H=GXWGZASORN13AGUH59CHAXNH33QA&amp;ref_=pe_386300_440135490_TE_simp_od" TargetMode="External"/><Relationship Id="rId92" Type="http://schemas.openxmlformats.org/officeDocument/2006/relationships/hyperlink" Target="https://myaccount.ingramspark.com/Orders/OrderStatus?oipID=10324642&amp;shipmentID=SPK-10324642-1" TargetMode="External"/><Relationship Id="rId213" Type="http://schemas.openxmlformats.org/officeDocument/2006/relationships/hyperlink" Target="https://www.amazon.com/progress-tracker/package/ref=pe_386300_442618370_scr_pt_track?_encoding=UTF8&amp;from=gp&amp;itemId=&amp;orderId=113-8471056-3417819&amp;packageIndex=0&amp;shipmentId=38832540063301" TargetMode="External"/><Relationship Id="rId234" Type="http://schemas.openxmlformats.org/officeDocument/2006/relationships/hyperlink" Target="https://rover.ebay.com/rover/0/e11401.m43700.l44717/7?euid=e426234ea6424359a2806359a6e6f06f&amp;bu=43188375501&amp;segname=11401&amp;crd=20200518115842&amp;osub=-1~1&amp;ch=osgood&amp;loc=https%3A%2F%2Fwww.ebay.com%2Fulk%2Fvod%3Ftransid%3D1910201901010%26itemId%3D202975668950%26qu%3D1%26ssPageName%3DADME%3AL%3AOC%3AUS%3A592&amp;sojTags=bu=bu,ch=ch,segname=segname,crd=crd,url=loc,osub=osub" TargetMode="External"/><Relationship Id="rId2" Type="http://schemas.openxmlformats.org/officeDocument/2006/relationships/hyperlink" Target="https://www.amazon.com/gp/r.html?C=1GDZONJ9HF37K&amp;K=D88AMRB2CGGN&amp;M=urn:rtn:msg:202408162342521818b39ca9e44b67a1de98dd5910p0na&amp;R=33IDI6VZFIIPS&amp;T=C&amp;U=https%3A%2F%2Fwww.amazon.com%2Fgp%2Fcss%2Forder-details%3ForderId%3D113-5443463-3683456%26ref_%3Dpe_386300_440135490_TE_simp_od&amp;H=Y6UCWEWTYJTFZ1YUPWIHGGDAA1AA&amp;ref_=pe_386300_440135490_TE_simp_od" TargetMode="External"/><Relationship Id="rId29" Type="http://schemas.openxmlformats.org/officeDocument/2006/relationships/hyperlink" Target="https://www.amazon.com/gp/r.html?C=1GDZONJ9HF37K&amp;K=D88AMRB2CGGN&amp;M=urn:rtn:msg:202310280025290177c3a5da0b4798a89eb70bde50p0na&amp;R=GMZ7EZEMUNOL&amp;T=C&amp;U=https%3A%2F%2Fwww.amazon.com%2Fgp%2Fcss%2Forder-details%3ForderId%3D112-2318709-4154611%26ref_%3Dpe_386300_440135490_TE_simp_od&amp;H=K11TTUDBBO8B8K20RQYGZNKMUHGA&amp;ref_=pe_386300_440135490_TE_simp_od" TargetMode="External"/><Relationship Id="rId255" Type="http://schemas.openxmlformats.org/officeDocument/2006/relationships/hyperlink" Target="https://smile.amazon.com/progress-tracker/package/ref=pe_2640190_232586610_scr_pt_track?_encoding=UTF8&amp;from=gp&amp;itemId=&amp;orderId=113-4914801-1343435&amp;packageIndex=0&amp;shipmentId=34112422877301" TargetMode="External"/><Relationship Id="rId276" Type="http://schemas.openxmlformats.org/officeDocument/2006/relationships/hyperlink" Target="https://www.amazon.com/progress-tracker/package/ref=pe_2640190_232586610_scr_pt_track?_encoding=UTF8&amp;from=gp&amp;itemId=&amp;orderId=113-0526746-5088269&amp;packageIndex=0&amp;shipmentId=21235446806301" TargetMode="External"/><Relationship Id="rId297" Type="http://schemas.openxmlformats.org/officeDocument/2006/relationships/comments" Target="../comments2.xml"/><Relationship Id="rId40" Type="http://schemas.openxmlformats.org/officeDocument/2006/relationships/hyperlink" Target="https://www.formytesla.com/" TargetMode="External"/><Relationship Id="rId115" Type="http://schemas.openxmlformats.org/officeDocument/2006/relationships/hyperlink" Target="https://www.ebay.com/vod/FetchOrderDetails?itemId=195340689967&amp;transactionId=1979821113009&amp;mkevt=1&amp;mkpid=0&amp;emsid=e11401.m43700.l49689&amp;mkcid=7&amp;ch=osgood&amp;euid=a6e34e4b5d7749b08540c68d9ec49281&amp;bu=43188375501&amp;exe=0&amp;ext=0&amp;osub=-1%7E1&amp;crd=20221211201244&amp;segname=11401" TargetMode="External"/><Relationship Id="rId136" Type="http://schemas.openxmlformats.org/officeDocument/2006/relationships/hyperlink" Target="https://www.amazon.com/gp/r.html?C=1GDZONJ9HF37K&amp;K=D88AMRB2CGGN&amp;M=urn:rtn:msg:202210011706317dcd683bc9f8424f91bc8ee921b0p0na&amp;R=198DH2RYUV20P&amp;T=C&amp;U=https%3A%2F%2Fwww.amazon.com%2Fgp%2Fcss%2Forder-details%3ForderId%3D111-9023526-5241826%26ref_%3Dpe_386300_440135490_TE_simp_od&amp;H=GNUADURUPB8TQFM9A6UDG6WE3N4A&amp;ref_=pe_386300_440135490_TE_simp_od" TargetMode="External"/><Relationship Id="rId157" Type="http://schemas.openxmlformats.org/officeDocument/2006/relationships/hyperlink" Target="https://www.caremark.com/wps/myportal/ORDER_STATUS" TargetMode="External"/><Relationship Id="rId178" Type="http://schemas.openxmlformats.org/officeDocument/2006/relationships/hyperlink" Target="https://www.amazon.com/gp/r.html?C=3JTDOSORXPWJG&amp;K=D88AMRB2CGGN&amp;M=urn:rtn:msg:2021040901302175ec4c82f6794e7b9a9b3f5566f0p0na&amp;R=1PWBY036GBNAO&amp;T=C&amp;U=https%3A%2F%2Fwww.amazon.com%2Fgp%2Fcss%2Forder-details%3ForderId%3D114-6942661-6827425%26ref_%3Dpe_2640190_232748420_TE_simp_od&amp;H=SVBE8D6OQCAFTYULH5RRR99WJWWA&amp;ref_=pe_2640190_232748420_TE_simp_od" TargetMode="External"/><Relationship Id="rId61" Type="http://schemas.openxmlformats.org/officeDocument/2006/relationships/hyperlink" Target="https://www.amazon.com/gp/r.html?C=1GDZONJ9HF37K&amp;K=D88AMRB2CGGN&amp;M=urn:rtn:msg:202304262207192e742a1efb0a42928d2ffa0665a0p0na&amp;R=MBCNLSF2V3ZX&amp;T=C&amp;U=https%3A%2F%2Fwww.amazon.com%2Fgp%2Fcss%2Forder-details%3ForderId%3D111-0806717-5612207%26ref_%3Dpe_386300_440135490_TE_simp_od&amp;H=YOQBZKK4NATKACFGL47GKVZZIN0A&amp;ref_=pe_386300_440135490_TE_simp_od" TargetMode="External"/><Relationship Id="rId82" Type="http://schemas.openxmlformats.org/officeDocument/2006/relationships/hyperlink" Target="https://www.amazon.com/gp/r.html?C=1GDZONJ9HF37K&amp;K=D88AMRB2CGGN&amp;M=urn:rtn:msg:2023020718164261b4f0d1d8b04e09af10fd7cafd0p0na&amp;R=IUEVXM0B2Y4D&amp;T=C&amp;U=https%3A%2F%2Fwww.amazon.com%2Fgp%2Fcss%2Forder-details%3ForderId%3D113-7886044-7437802%26ref_%3Dpe_386300_440135490_TE_simp_od&amp;H=AXCKAUBPKTE4ZIOT2RLK5AOO5TIA&amp;ref_=pe_386300_440135490_TE_simp_od" TargetMode="External"/><Relationship Id="rId199" Type="http://schemas.openxmlformats.org/officeDocument/2006/relationships/hyperlink" Target="https://www.caremark.com/wps/portal/ALTERNATE_AUTH?xid=&amp;cid=em_pbm_cmp_orderreceived&amp;lpg=ORDER_STATUS" TargetMode="External"/><Relationship Id="rId203" Type="http://schemas.openxmlformats.org/officeDocument/2006/relationships/hyperlink" Target="https://tools.usps.com/go/TrackConfirmAction?qtc_tLabels1=9400111202555878257622" TargetMode="External"/><Relationship Id="rId19" Type="http://schemas.openxmlformats.org/officeDocument/2006/relationships/hyperlink" Target="https://www.amazon.com/gp/r.html?C=1GDZONJ9HF37K&amp;K=D88AMRB2CGGN&amp;M=urn:rtn:msg:202311272241490cc1f82e77c041129df693c50580p0na&amp;R=1FCZHNQAKDYEX&amp;T=C&amp;U=https%3A%2F%2Fwww.amazon.com%2Fgp%2Fcss%2Forder-details%3ForderId%3D111-6615096-4447447%26ref_%3Dpe_386300_440135490_TE_simp_od&amp;H=HMPYODMCHQSGQV5YDFHWO5SCNOYA&amp;ref_=pe_386300_440135490_TE_simp_od" TargetMode="External"/><Relationship Id="rId224" Type="http://schemas.openxmlformats.org/officeDocument/2006/relationships/hyperlink" Target="https://www.ups.com/track?loc=en_US&amp;tracknum=1ZT704T60377322277&amp;eqp=VWt0TlF6SXhNQUQvLy8vL0FBQUFCWFYxYVdRQUFBQUFFQ1JnUmhJeEhrNFV0c21EM2w4SDlzai8vLy8vQUFBQUEybDJBQUFBQUJBbGZjeTlRczZoWHQzWVNnTGxVeFpiLy8vLy93QUFBQVZ2Y21sa0FBQUFBQ0JTeEhLaDFGWUltMkEvYnVKQUQ3Ym9Eem5jQ09WREdJOTQreHJybWd1bEZ2Ly8vLzhBQUFBRlkzTjFiUUFBQUFBZ1c2dlR4VmxPblpRclYyTTNQWG83TUNxNnpkbDdZNThSbkJYa2kwbVY0Q1BsUUlsdmIybGJOQk4zbjNMa1ZKbGxsTFBETjFyMERHcnN0WDVWNlhFK1VwcXJ0UG5FNHlFd1MwRDNzQXliWkFJSjBqK1UvZHY0dms5YjRQY3pqbkZ5Smgxb1FTMDhaaWEyckhWd3pnMjRtd2F6RnFRck9JSTVPRHptd2hEMUNFYkpyWFp3RzNsUDZvaDViLzZ1QThKQWpoN1padFdjdEhtaGQyWm81VjJqN3c9PQ==&amp;WT.z_eCTAid=ct1_eml_Tracking__ct1_eml_tra_eml_autodaybeforemc_UAP&amp;WT.z_edatesent=07072020" TargetMode="External"/><Relationship Id="rId245" Type="http://schemas.openxmlformats.org/officeDocument/2006/relationships/hyperlink" Target="https://www.amazon.com/progress-tracker/package/ref=pe_2640190_232586610_scr_pt_track?_encoding=UTF8&amp;from=gp&amp;itemId=&amp;orderId=113-6736361-0055456&amp;packageIndex=0&amp;shipmentId=27232463770301" TargetMode="External"/><Relationship Id="rId266" Type="http://schemas.openxmlformats.org/officeDocument/2006/relationships/hyperlink" Target="https://www.amazon.com/progress-tracker/package/ref=ppx_od_dt_b_track_package?_encoding=UTF8&amp;itemId=kpjntskmmnlron&amp;orderId=113-6251874-0102638&amp;vt=ORDER_DETAILS" TargetMode="External"/><Relationship Id="rId287" Type="http://schemas.openxmlformats.org/officeDocument/2006/relationships/hyperlink" Target="http://www.fedex.com/Tracking?cntry_code=us&amp;language=english&amp;tracknumbers=460115944392&amp;action=track" TargetMode="External"/><Relationship Id="rId30" Type="http://schemas.openxmlformats.org/officeDocument/2006/relationships/hyperlink" Target="https://www.amazon.com/gp/r.html?C=1GDZONJ9HF37K&amp;K=D88AMRB2CGGN&amp;M=urn:rtn:msg:202310280025290177c3a5da0b4798a89eb70bde50p0na&amp;R=GMZ7EZEMUNOL&amp;T=C&amp;U=https%3A%2F%2Fwww.amazon.com%2Fgp%2Fcss%2Forder-details%3ForderId%3D112-2318709-4154611%26ref_%3Dpe_386300_440135490_TE_simp_od&amp;H=K11TTUDBBO8B8K20RQYGZNKMUHGA&amp;ref_=pe_386300_440135490_TE_simp_od" TargetMode="External"/><Relationship Id="rId105" Type="http://schemas.openxmlformats.org/officeDocument/2006/relationships/hyperlink" Target="https://www.amazon.com/gp/r.html?C=1GDZONJ9HF37K&amp;K=D88AMRB2CGGN&amp;M=urn:rtn:msg:202301021552019a48563fe53a40f79a9d9271a480p0na&amp;R=CO3BO89ZTJD7&amp;T=C&amp;U=https%3A%2F%2Fwww.amazon.com%2Fgp%2Fcss%2Forder-details%3ForderId%3D111-4991928-5982648%26ref_%3Dpe_386300_440135490_TE_simp_od&amp;H=ABAQGP0ZSZCP9ISNDVT6COCBGCWA&amp;ref_=pe_386300_440135490_TE_simp_od" TargetMode="External"/><Relationship Id="rId126" Type="http://schemas.openxmlformats.org/officeDocument/2006/relationships/hyperlink" Target="https://www.amazon.com/gp/r.html?C=1GDZONJ9HF37K&amp;K=D88AMRB2CGGN&amp;M=urn:rtn:msg:2022111121134010ab1b75c35946bda33edf6a4280p0na&amp;R=1UPG5QCK3R3OY&amp;T=C&amp;U=https%3A%2F%2Fwww.amazon.com%2Fgp%2Fcss%2Forder-details%3ForderId%3D113-7047527-2273856%26ref_%3Dpe_386300_440135490_TE_simp_od&amp;H=IYP8UP2AGT4MWWUZSQGZ2WFBWSIA&amp;ref_=pe_386300_440135490_TE_simp_od" TargetMode="External"/><Relationship Id="rId147" Type="http://schemas.openxmlformats.org/officeDocument/2006/relationships/hyperlink" Target="https://www.amazon.com/gp/r.html?C=1GDZONJ9HF37K&amp;K=D88AMRB2CGGN&amp;M=urn:rtn:msg:202112010036439d7e6e74b9fc47c6af7dda59b790p0na&amp;R=10IF91867QWQI&amp;T=C&amp;U=https%3A%2F%2Fwww.amazon.com%2Fgp%2Fcss%2Forder-details%3ForderId%3D113-9714923-3735465%26ref_%3Dpe_386300_440135490_TE_simp_od&amp;H=VLUWJM4H3V3OQ5YPK0T4XC2SFG0A&amp;ref_=pe_386300_440135490_TE_simp_od" TargetMode="External"/><Relationship Id="rId168" Type="http://schemas.openxmlformats.org/officeDocument/2006/relationships/hyperlink" Target="https://www.amazon.com/gp/r.html?C=1GDZONJ9HF37K&amp;K=D88AMRB2CGGN&amp;M=urn:rtn:msg:202107011405092b8f74deb8344cd790f6ae026ea0p0na&amp;R=VUJ9JN0QD5SH&amp;T=C&amp;U=https%3A%2F%2Fwww.amazon.com%2Fgp%2Fcss%2Forder-details%3ForderId%3D114-4554239-6305042%26ref_%3Dpe_386300_440135490_TE_simp_od&amp;H=VOD8RIGTU9RPBK3RFMTAIAXNTIKA&amp;ref_=pe_386300_440135490_TE_simp_od" TargetMode="External"/><Relationship Id="rId51" Type="http://schemas.openxmlformats.org/officeDocument/2006/relationships/hyperlink" Target="https://www.amazon.com/gp/r.html?C=1GDZONJ9HF37K&amp;K=D88AMRB2CGGN&amp;M=urn:rtn:msg:20230611134000af2163c11b6442ac9b483572b500p0na&amp;R=33SGED6GE6U69&amp;T=C&amp;U=https%3A%2F%2Fwww.amazon.com%2Fgp%2Fcss%2Forder-details%3ForderId%3D113-5261389-4168258%26ref_%3Dpe_386300_440135490_TE_simp_od&amp;H=EDTAYAA3GFXON4AI0RC2WNXV3JGA&amp;ref_=pe_386300_440135490_TE_simp_od" TargetMode="External"/><Relationship Id="rId72" Type="http://schemas.openxmlformats.org/officeDocument/2006/relationships/hyperlink" Target="https://informeddelivery.usps.com/box/pages/secure/packageDashboardAction?selectedTrckNum=92612927005795000008326270&amp;selectedTypeOfLabel=Package" TargetMode="External"/><Relationship Id="rId93" Type="http://schemas.openxmlformats.org/officeDocument/2006/relationships/hyperlink" Target="https://www.amazon.com/gp/r.html?C=1GDZONJ9HF37K&amp;K=D88AMRB2CGGN&amp;M=urn:rtn:msg:202301021552019a48563fe53a40f79a9d9271a480p0na&amp;R=CO3BO89ZTJD7&amp;T=C&amp;U=https%3A%2F%2Fwww.amazon.com%2Fgp%2Fcss%2Forder-details%3ForderId%3D111-4991928-5982648%26ref_%3Dpe_386300_440135490_TE_simp_od&amp;H=ABAQGP0ZSZCP9ISNDVT6COCBGCWA&amp;ref_=pe_386300_440135490_TE_simp_od" TargetMode="External"/><Relationship Id="rId189" Type="http://schemas.openxmlformats.org/officeDocument/2006/relationships/hyperlink" Target="https://tools.usps.com/go/TrackConfirmAction_input?qtc_tLabels1=420675799400111899560546835866" TargetMode="External"/><Relationship Id="rId3" Type="http://schemas.openxmlformats.org/officeDocument/2006/relationships/hyperlink" Target="https://www.amazon.com/gp/r.html?C=1GDZONJ9HF37K&amp;K=D88AMRB2CGGN&amp;M=urn:rtn:msg:202408162342521818b39ca9e44b67a1de98dd5910p0na&amp;R=33IDI6VZFIIPS&amp;T=C&amp;U=https%3A%2F%2Fwww.amazon.com%2Fgp%2Fcss%2Forder-details%3ForderId%3D113-5443463-3683456%26ref_%3Dpe_386300_440135490_TE_simp_od&amp;H=Y6UCWEWTYJTFZ1YUPWIHGGDAA1AA&amp;ref_=pe_386300_440135490_TE_simp_od" TargetMode="External"/><Relationship Id="rId214" Type="http://schemas.openxmlformats.org/officeDocument/2006/relationships/hyperlink" Target="https://www.amazon.com/progress-tracker/package/ref=pe_386300_442656430_scr_pt_asin?_encoding=UTF8&amp;from=gp&amp;itemId=&amp;orderId=113-6092736-2419460&amp;packageIndex=0&amp;shipmentId=38712631615301" TargetMode="External"/><Relationship Id="rId235" Type="http://schemas.openxmlformats.org/officeDocument/2006/relationships/hyperlink" Target="https://www.amazon.com/progress-tracker/package/ref=pe_2640190_232586610_scr_pt_track?_encoding=UTF8&amp;from=gp&amp;itemId=&amp;orderId=113-2900485-1290616&amp;packageIndex=0&amp;shipmentId=34618095440301" TargetMode="External"/><Relationship Id="rId256" Type="http://schemas.openxmlformats.org/officeDocument/2006/relationships/hyperlink" Target="https://smile.amazon.com/progress-tracker/package/ref=pe_2640190_232586610_TE_SIMP_?_encoding=UTF8&amp;orderId=113-6913476-1134667&amp;packageIndex=0&amp;shipmentId=16099156052025" TargetMode="External"/><Relationship Id="rId277" Type="http://schemas.openxmlformats.org/officeDocument/2006/relationships/hyperlink" Target="https://www.amazon.com/progress-tracker/package/ref=pe_2640190_232586610_scr_pt_track?_encoding=UTF8&amp;from=gp&amp;itemId=&amp;orderId=113-1215469-9803429&amp;packageIndex=0&amp;shipmentId=21190916166301" TargetMode="External"/><Relationship Id="rId116" Type="http://schemas.openxmlformats.org/officeDocument/2006/relationships/hyperlink" Target="https://www.amazon.com/gp/r.html?C=1GDZONJ9HF37K&amp;K=D88AMRB2CGGN&amp;M=urn:rtn:msg:2022120918485175e7dae6803441edbdd92c0060d0p0na&amp;R=2E59QJF2FSYSU&amp;T=C&amp;U=https%3A%2F%2Fwww.amazon.com%2Fgp%2Fcss%2Forder-details%3ForderId%3D113-1669179-4911467%26ref_%3Dpe_386300_440135490_TE_simp_od&amp;H=N9HVOFEUPZK7Q6OFAFBEIXD6ODCA&amp;ref_=pe_386300_440135490_TE_simp_od" TargetMode="External"/><Relationship Id="rId137" Type="http://schemas.openxmlformats.org/officeDocument/2006/relationships/hyperlink" Target="http://click.t.kohls.com/?qs=2de9c30c7e0bfed9273d3b2a2d954626449d9ced86d5a32899346be2578d2405676710d2821368ee4e307ff03516bfca3072b6499ac7d73cf104c3c614f7d28f" TargetMode="External"/><Relationship Id="rId158" Type="http://schemas.openxmlformats.org/officeDocument/2006/relationships/hyperlink" Target="https://w-mt.co/g/rptrcks/comm-smart-app/services/tracking/clickTracker?redirectTo=YmXWTPVFju6hAUwIb%2FVDizlJWHjWsXdnprQs67OVLCG32clw0IgEdIbQIsoSpwIVq5cLvLoEvgsiTwBxvXJxeUDGpmyEisPSK3hRfUWxJ8fWZG46eA8ILKqy6cBjfSuEcnh8P5L1E0kgsj16SNUjTMUrsQds%2Bje780ZXP19byywtL4TMgbp8kj5sGF6oByJ4kyg8ngCJvk%2FeqM07fL5UnY8INuD38cS35BpfbK%2BHu1MBXhC0B01NxmanVgymL2OuQ8jDFrJpwRyuGIQMAFMXiUfIY%2F28OBTpXGwxmV3J7i%2Bz1KrpnQ7uxik5%2FKsibxKdpR999li5Swqgvr01SuydVCUio8jsFL5mrHKHGVN42cEp1o9I355P3P0TugelZT5eUN5A7Xosii4XSaXW%2FFUPDu3gksaTvUQjAWj9XTRWpMuorLCyqoCg0fRLfG0cfQfFFUFQ7nqxiINqX%2BwC0ojss42eOIlw294QRMz4OE%2FR9ukzWDmUQ0MdGNzFnCENuoqHLCkOwDQRC4Qyrp7Q1SyGQRbQ6pCCIv9FEPxtpAVglgs5a6abb1vj0Re1kLOSCsnongabLSHjzVG%2BjIQ78re78B00MizoABtYzSZ0wHF%2BBX1boykCRIIcE9UKdzReVi06xnvlSaIuIEA9WjCA8PU5YnukXPzFe2oeTlcLt3RhtCg%2FFwU1wjfA2Sty0k3y9jY1pIEky7mmFsIUaPakhmA61qwk%2Bm7Hdsom%2FwVEsFE9ZZsj682VhCjzBx0CKHaqsUQz%2Bhev3bRj3%2Bdk0fYwT5zZPQIPppgyJ1r0LSVqcBAejhbLtq1ysz%2BjzLP9yxfRMvJ1ars9%2F%2F1Hn1wL7EQsK3NOq5hK5KgberDk1iguEINQ7t8%3D&amp;meta=0yU0oPVNWmvr9IKCPApNNwzVnHsbVWNhmcWHQM%2BmDfGed9d9FpRV2H6lAzFz%2FhEe7JnQYKv8NFBOnEdAc%2BPOPSkMX8XiWyy4PDl%2BF2dYJ3tKTUlw2xrSw8xineTqJVoryBdViG1PfhrCvqxhIiQ%2FqoPYGLOo90fBK8K3Vv%2FCfREwgvsCSRQ910iPH3kB5uvamNSPDi2%2FY151E2jcxdQSNg%3D%3D&amp;iv=B54nAEnWXfXrD%2BjGy2io2g%3D%3D" TargetMode="External"/><Relationship Id="rId20" Type="http://schemas.openxmlformats.org/officeDocument/2006/relationships/hyperlink" Target="https://www.amazon.com/gp/r.html?C=1GDZONJ9HF37K&amp;K=D88AMRB2CGGN&amp;M=urn:rtn:msg:20231206213941a120652c65b84122befb9e8e6cb0p0na&amp;R=EVE1IY6G4O6K&amp;T=C&amp;U=https%3A%2F%2Fwww.amazon.com%2Fgp%2Fcss%2Forder-details%3ForderId%3D114-9011971-7455424%26ref_%3Dpe_386300_440135490_TE_simp_od&amp;H=BCLYUFKQTV3ZVXG6K5LW7VAZCAWA&amp;ref_=pe_386300_440135490_TE_simp_od" TargetMode="External"/><Relationship Id="rId41" Type="http://schemas.openxmlformats.org/officeDocument/2006/relationships/hyperlink" Target="https://www.amazon.com/gp/r.html?C=1GDZONJ9HF37K&amp;K=D88AMRB2CGGN&amp;M=urn:rtn:msg:20230717142003efb6ed3eb3094b11a47ac1bd8410p0na&amp;R=83K5CTLMI0AV&amp;T=C&amp;U=https%3A%2F%2Fwww.amazon.com%2Fgp%2Fcss%2Forder-details%3ForderId%3D112-9492369-5252243%26ref_%3Dpe_386300_440135490_TE_simp_od&amp;H=L3FAAAZCKYZ32R2VKYM57DEH0KYA&amp;ref_=pe_386300_440135490_TE_simp_od" TargetMode="External"/><Relationship Id="rId62" Type="http://schemas.openxmlformats.org/officeDocument/2006/relationships/hyperlink" Target="https://www.amazon.com/gp/r.html?C=1GDZONJ9HF37K&amp;K=D88AMRB2CGGN&amp;M=urn:rtn:msg:20230430215540107b787b68f74dbc8fd1b8ef3c50p0na&amp;R=2P06B5AQ8KL8T&amp;T=C&amp;U=https%3A%2F%2Fwww.amazon.com%2Fgp%2Fcss%2Forder-details%3ForderId%3D111-4147021-7275413%26ref_%3Dpe_386300_440135490_TE_simp_od&amp;H=9EUSBOQDUAEHYLMMQ6SPSPYLXXGA&amp;ref_=pe_386300_440135490_TE_simp_od" TargetMode="External"/><Relationship Id="rId83" Type="http://schemas.openxmlformats.org/officeDocument/2006/relationships/hyperlink" Target="https://www.amazon.com/gp/r.html?C=1GDZONJ9HF37K&amp;K=D88AMRB2CGGN&amp;M=urn:rtn:msg:20230215011255a247c83fb0f64a21bf6f590efec0p0na&amp;R=2A69PH5T2WANE&amp;T=C&amp;U=https%3A%2F%2Fwww.amazon.com%2Fgp%2Fcss%2Forder-details%3ForderId%3D112-0993430-1187431%26ref_%3Dpe_386300_440135490_TE_simp_od&amp;H=WRXE3DKFDRU41G3VV7MML303MLMA&amp;ref_=pe_386300_440135490_TE_simp_od" TargetMode="External"/><Relationship Id="rId179" Type="http://schemas.openxmlformats.org/officeDocument/2006/relationships/hyperlink" Target="https://rover.ebay.com/rover/0/e11401.m43700.l44717/7?euid=f0f6bc0963024a158ed003d831730184&amp;bu=43188375501&amp;segname=11401&amp;crd=20210408183149&amp;osub=-1~1&amp;ch=osgood&amp;loc=https%3A%2F%2Fwww.ebay.com%2Fulk%2Fvod%3Ftransid%3D0%26itemId%3D284239377312%26qu%3D1%26ssPageName%3DADME%3AL%3AOC%3AUS%3A592&amp;sojTags=bu=bu,ch=ch,segname=segname,crd=crd,url=loc,osub=osub" TargetMode="External"/><Relationship Id="rId190" Type="http://schemas.openxmlformats.org/officeDocument/2006/relationships/hyperlink" Target="https://tools.usps.com/go/TrackConfirmAction.action?tRef=fullpage&amp;tLc=1&amp;tLabels=9405516901715640030972" TargetMode="External"/><Relationship Id="rId204" Type="http://schemas.openxmlformats.org/officeDocument/2006/relationships/hyperlink" Target="https://www.wayfair.com/about" TargetMode="External"/><Relationship Id="rId225" Type="http://schemas.openxmlformats.org/officeDocument/2006/relationships/hyperlink" Target="https://www.amazon.com/progress-tracker/package/ref=pe_2640190_232586610_scr_pt_track?_encoding=UTF8&amp;from=gp&amp;itemId=&amp;orderId=113-3242433-6361819&amp;packageIndex=0&amp;shipmentId=35878719198301" TargetMode="External"/><Relationship Id="rId246" Type="http://schemas.openxmlformats.org/officeDocument/2006/relationships/hyperlink" Target="https://www.amazon.com/progress-tracker/package/ref=pe_2640190_232586610_scr_pt_track?_encoding=UTF8&amp;from=gp&amp;itemId=&amp;orderId=113-5807505-6399402&amp;packageIndex=0&amp;shipmentId=27227365368301" TargetMode="External"/><Relationship Id="rId267" Type="http://schemas.openxmlformats.org/officeDocument/2006/relationships/hyperlink" Target="https://www.amazon.com/progress-tracker/package/ref=pe_2640190_232586610_scr_pt_asin?_encoding=UTF8&amp;from=gp&amp;itemId=&amp;orderId=113-6251874-0102638&amp;packageIndex=0&amp;shipmentId=26795263545301" TargetMode="External"/><Relationship Id="rId288" Type="http://schemas.openxmlformats.org/officeDocument/2006/relationships/hyperlink" Target="https://www.amazon.com/gp/r.html?C=1N85WR5439VWW&amp;K=D88AMRB2CGGN&amp;M=urn:rtn:msg:2024110322362655ffb5f0bf7b4c7098f785fe3470p0na&amp;R=2MBIAH6A5NF0O&amp;T=C&amp;U=https%3A%2F%2Fwww.amazon.com%2Fgp%2Fyour-account%2Fship-track%3Fie%3DUTF8%26orderId%3D113-5368580-6667454%26packageIndex%3D0%26shipmentId%3DQhSFkTS9V%26ref_%3Dpe_386300_442618370_scr_pt_asin&amp;H=8VAO3QRDSAT1P6NP1MUTWBZIAJQA&amp;ref_=pe_386300_442618370_scr_pt_asin" TargetMode="External"/><Relationship Id="rId106" Type="http://schemas.openxmlformats.org/officeDocument/2006/relationships/hyperlink" Target="http://email.draft2digital.com/c/eJxFjrFuwzAQQ7_G2iJIp7PuNGgIWmQqOnUvZPnSGFEsV1aH_n2dqSBBEG8gKNF6chbZkFdzNDOLWv7ZCKyBR3QWtCUegRgIvAePTAH9gGbZTtacnrIetWTQy9qlramoW2QSdjQBTBYt-qsLMgvS5GhMgXNWJd563_bBnQe4HO61ll3_7Nuuc30c4Kse8dFSvr_U9bq0xzn3pa6Du3z3_Nnf0iRlt4N7DYA2BANIdJSRnTEAJhCgarGVUn_n420uktqppLs891WP73WVPyx2ScU" TargetMode="External"/><Relationship Id="rId127" Type="http://schemas.openxmlformats.org/officeDocument/2006/relationships/hyperlink" Target="https://www.amazon.com/gp/r.html?C=1GDZONJ9HF37K&amp;K=D88AMRB2CGGN&amp;M=urn:rtn:msg:20221029205025f3fbeee067514ee0b572cdfedae0p0na&amp;R=1PBUJ5HKNLK6&amp;T=C&amp;U=https%3A%2F%2Fwww.amazon.com%2Fgp%2Fcss%2Forder-details%3ForderId%3D113-1364181-7909013%26ref_%3Dpe_386300_440135490_TE_simp_od&amp;H=XHWEEIWDZRKLKQJKNDI2GYNUCP4A&amp;ref_=pe_386300_440135490_TE_simp_od" TargetMode="External"/><Relationship Id="rId10" Type="http://schemas.openxmlformats.org/officeDocument/2006/relationships/hyperlink" Target="https://www.amazon.com/gp/r.html?C=1GDZONJ9HF37K&amp;K=D88AMRB2CGGN&amp;M=urn:rtn:msg:20240205205735817cf75b514a492b816e1d0362a0p0na&amp;R=3QY6XL96HDIC2&amp;T=C&amp;U=https%3A%2F%2Fwww.amazon.com%2Fgp%2Fcss%2Forder-details%3ForderId%3D113-3727769-8647468%26ref_%3Dpe_386300_440135490_TE_simp_od&amp;H=TMTGHJVLMJSA6CCLLDHZDS6R5QGA&amp;ref_=pe_386300_440135490_TE_simp_od" TargetMode="External"/><Relationship Id="rId31" Type="http://schemas.openxmlformats.org/officeDocument/2006/relationships/hyperlink" Target="https://www.fedex.com/apps/fedextrack/index.html?tracknumbers=785700167397&amp;cntry_code=us" TargetMode="External"/><Relationship Id="rId52" Type="http://schemas.openxmlformats.org/officeDocument/2006/relationships/hyperlink" Target="https://www.amazon.com/gp/r.html?C=1GDZONJ9HF37K&amp;K=D88AMRB2CGGN&amp;M=urn:rtn:msg:20230603025841c35b0c1266094dc88f479d16d170p0na&amp;R=3PX1BUQO1RQ25&amp;T=C&amp;U=https%3A%2F%2Fwww.amazon.com%2Fgp%2Fcss%2Forder-details%3ForderId%3D113-9158224-8707439%26ref_%3Dpe_386300_440135490_TE_simp_od&amp;H=8WMOSXQZUXMGEA6JB0R3MRVEF7GA&amp;ref_=pe_386300_440135490_TE_simp_od" TargetMode="External"/><Relationship Id="rId73" Type="http://schemas.openxmlformats.org/officeDocument/2006/relationships/hyperlink" Target="https://www.amazon.com/gp/r.html?C=1GDZONJ9HF37K&amp;K=D88AMRB2CGGN&amp;M=urn:rtn:msg:20230304152957ab26ff3b47634a3d8dfb0e8d6710p0na&amp;R=3CXLHRQ3DQN7A&amp;T=C&amp;U=https%3A%2F%2Fwww.amazon.com%2Fgp%2Fcss%2Forder-details%3ForderId%3D112-7663135-0652232%26ref_%3Dpe_386300_440135490_TE_simp_od&amp;H=UKMTWVAZCFOZAO5LU8HRXH3GZTOA&amp;ref_=pe_386300_440135490_TE_simp_od" TargetMode="External"/><Relationship Id="rId94" Type="http://schemas.openxmlformats.org/officeDocument/2006/relationships/hyperlink" Target="https://www.ebay.com/vod/FetchOrderDetails?itemId=165905839402&amp;transactionId=2315840358006&amp;mkevt=1&amp;mkpid=0&amp;emsid=e11401.m43700.l49689&amp;mkcid=7&amp;ch=osgood&amp;euid=73a831ab5c5c4403a4592dd0b57ac035&amp;bu=43188375501&amp;exe=0&amp;ext=0&amp;osub=-1%7E1&amp;crd=20230126185739&amp;segname=11401" TargetMode="External"/><Relationship Id="rId148" Type="http://schemas.openxmlformats.org/officeDocument/2006/relationships/hyperlink" Target="https://www.amazon.com/gp/r.html?C=1GDZONJ9HF37K&amp;K=D88AMRB2CGGN&amp;M=urn:rtn:msg:20211210194217cae0aa9b1e294bc5af77ac3aaae0p0na&amp;R=NVSYJ6NBHN3W&amp;T=C&amp;U=https%3A%2F%2Fwww.amazon.com%2Fgp%2Fcss%2Forder-details%3ForderId%3D113-8920035-2970668%26ref_%3Dpe_386300_440135490_TE_simp_od&amp;H=UR5XACTZ15IAJCYFUJME5RCMU94A&amp;ref_=pe_386300_440135490_TE_simp_od" TargetMode="External"/><Relationship Id="rId169" Type="http://schemas.openxmlformats.org/officeDocument/2006/relationships/hyperlink" Target="https://www.amazon.com/gp/r.html?C=1GDZONJ9HF37K&amp;K=D88AMRB2CGGN&amp;M=urn:rtn:msg:202106191256010c3736704edb4a479aa207232680p0na&amp;R=OO7TLFNVUHKO&amp;T=C&amp;U=https%3A%2F%2Fwww.amazon.com%2Fgp%2Fcss%2Forder-details%3ForderId%3D114-4233418-6957045%26ref_%3Dpe_386300_440135490_TE_simp_od&amp;H=JCFWNK9AHB30YWZPPXB480SYBUYA&amp;ref_=pe_386300_440135490_TE_simp_od" TargetMode="External"/><Relationship Id="rId4" Type="http://schemas.openxmlformats.org/officeDocument/2006/relationships/hyperlink" Target="https://www.amazon.com/gp/r.html?C=1GDZONJ9HF37K&amp;K=D88AMRB2CGGN&amp;M=urn:rtn:msg:202408162342521818b39ca9e44b67a1de98dd5910p0na&amp;R=33IDI6VZFIIPS&amp;T=C&amp;U=https%3A%2F%2Fwww.amazon.com%2Fgp%2Fcss%2Forder-details%3ForderId%3D113-5443463-3683456%26ref_%3Dpe_386300_440135490_TE_simp_od&amp;H=Y6UCWEWTYJTFZ1YUPWIHGGDAA1AA&amp;ref_=pe_386300_440135490_TE_simp_od" TargetMode="External"/><Relationship Id="rId180" Type="http://schemas.openxmlformats.org/officeDocument/2006/relationships/hyperlink" Target="https://webtrack.dhlglobalmail.com/?locale=en-US&amp;trackingnumber=9374869903506509008845" TargetMode="External"/><Relationship Id="rId215" Type="http://schemas.openxmlformats.org/officeDocument/2006/relationships/hyperlink" Target="https://www.amazon.com/progress-tracker/package/ref=pe_386300_442656430_scr_pt_asin?_encoding=UTF8&amp;from=gp&amp;itemId=&amp;orderId=113-6092736-2419460&amp;packageIndex=0&amp;shipmentId=38712631615301" TargetMode="External"/><Relationship Id="rId236" Type="http://schemas.openxmlformats.org/officeDocument/2006/relationships/hyperlink" Target="https://www.amazon.com/progress-tracker/package/ref=pe_2640190_232586610_scr_pt_track?_encoding=UTF8&amp;from=gp&amp;itemId=&amp;orderId=113-1870820-5345858&amp;packageIndex=0&amp;shipmentId=34579019883301" TargetMode="External"/><Relationship Id="rId257" Type="http://schemas.openxmlformats.org/officeDocument/2006/relationships/hyperlink" Target="about:blank" TargetMode="External"/><Relationship Id="rId278" Type="http://schemas.openxmlformats.org/officeDocument/2006/relationships/hyperlink" Target="https://www.amazon.com/progress-tracker/package/ref=pe_2640190_232586610_scr_pt_asin?_encoding=UTF8&amp;from=gp&amp;itemId=&amp;orderId=114-9221944-6174655&amp;packageIndex=0&amp;shipmentId=24859202472301" TargetMode="External"/><Relationship Id="rId42" Type="http://schemas.openxmlformats.org/officeDocument/2006/relationships/hyperlink" Target="https://www.amazon.com/gp/r.html?C=1GDZONJ9HF37K&amp;K=D88AMRB2CGGN&amp;M=urn:rtn:msg:202307071458291c35f2612bed43e4bc2c3d6861a0p0na&amp;R=J91FXH9ZLS1Y&amp;T=C&amp;U=https%3A%2F%2Fwww.amazon.com%2Fgp%2Fcss%2Forder-details%3ForderId%3D112-1150981-3133006%26ref_%3Dpe_386300_440135490_TE_simp_od&amp;H=WLI2R45IAQWNID2SICIHKYXZGGOA&amp;ref_=pe_386300_440135490_TE_simp_od" TargetMode="External"/><Relationship Id="rId84" Type="http://schemas.openxmlformats.org/officeDocument/2006/relationships/hyperlink" Target="https://www.amazon.com/gp/r.html?C=1GDZONJ9HF37K&amp;K=D88AMRB2CGGN&amp;M=urn:rtn:msg:20230216003158d15f2c06a4f24020ad4ce30cea30p0na&amp;R=3G7UCZYANGW2G&amp;T=C&amp;U=https%3A%2F%2Fwww.amazon.com%2Fgp%2Fcss%2Forder-details%3ForderId%3D112-9091988-5149826%26ref_%3Dpe_386300_440135490_TE_simp_od&amp;H=KMJQGYAXBJHIT5KPSDEPKASSQGQA&amp;ref_=pe_386300_440135490_TE_simp_od" TargetMode="External"/><Relationship Id="rId138" Type="http://schemas.openxmlformats.org/officeDocument/2006/relationships/hyperlink" Target="https://www.amazon.com/gp/r.html?C=1GDZONJ9HF37K&amp;K=D88AMRB2CGGN&amp;M=urn:rtn:msg:20220925154535e7e397c7f2ac4550b66d13e66bd0p0na&amp;R=3KIT8PQLW6ZSB&amp;T=C&amp;U=https%3A%2F%2Fwww.amazon.com%2Fgp%2Fcss%2Forder-details%3ForderId%3D114-8850537-2978626%26ref_%3Dpe_386300_440135490_TE_simp_od&amp;H=IUDM5CI9VQKEFBHVZXUQ4FOOQMMA&amp;ref_=pe_386300_440135490_TE_simp_od" TargetMode="External"/><Relationship Id="rId191" Type="http://schemas.openxmlformats.org/officeDocument/2006/relationships/hyperlink" Target="https://www.hobbylinc.com/" TargetMode="External"/><Relationship Id="rId205" Type="http://schemas.openxmlformats.org/officeDocument/2006/relationships/hyperlink" Target="https://www.lincolnstools.com/products/circuit-breaker-locator" TargetMode="External"/><Relationship Id="rId247" Type="http://schemas.openxmlformats.org/officeDocument/2006/relationships/hyperlink" Target="https://www.amazon.com/gp/r.html?C=3JTDOSORXPWJG&amp;K=D88AMRB2CGGN&amp;M=urn:rtn:msg:20200331214617afc34a8f13e44cb39171b447a700p0na&amp;R=2RRW8YT75T9S2&amp;T=C&amp;U=https%3A%2F%2Fwww.amazon.com%2Fgp%2Fcss%2Forder-details%3ForderId%3D113-0523339-2418637%26ref_%3Dpe_2640190_232748420_TE_simp_od&amp;H=UDITANGFCW36MBN7AAXSJNML7GMA&amp;ref_=pe_2640190_232748420_TE_simp_od" TargetMode="External"/><Relationship Id="rId107" Type="http://schemas.openxmlformats.org/officeDocument/2006/relationships/hyperlink" Target="http://email.draft2digital.com/c/eJxFjktqxDAQRE9j7SzUra8XWswmy9xBo-6JRRTLaAQmt4-8ClXw4EFBcQTnEbzzmxYUFQUW5d-hs3KzSisnrUL0XusAOoTbLEaVcwW13gFnJGeU5Rjcj1TFHmkLKhEBonbhadgkeGYG7bNPkF5e1LiPcb4X_VjwY_a6Lkk9vQZS-SojVZnbz_TvvZ0TrRP3SWfAWtFjr7X90nyRK6e-1vTN90CM-NkO_gMktz49" TargetMode="External"/><Relationship Id="rId289" Type="http://schemas.openxmlformats.org/officeDocument/2006/relationships/hyperlink" Target="https://www.amazon.com/gp/r.html?C=1GDZONJ9HF37K&amp;K=D88AMRB2CGGN&amp;M=urn:rtn:msg:202411210341585bbf293e249c46adb52f8f4b61b0p0na&amp;R=VQOYZOOCK3HX&amp;T=C&amp;U=https%3A%2F%2Fwww.amazon.com%2Fgp%2Fcss%2Forder-details%3ForderId%3D113-4397320-0196211%26ref_%3Dpe_386300_440135490_TE_simp_od&amp;H=AGRRWTKVABOFJSBZAL9QYEWKKLSA&amp;ref_=pe_386300_440135490_TE_simp_od" TargetMode="External"/><Relationship Id="rId11" Type="http://schemas.openxmlformats.org/officeDocument/2006/relationships/hyperlink" Target="https://www.amazon.com/gp/r.html?C=1GDZONJ9HF37K&amp;K=D88AMRB2CGGN&amp;M=urn:rtn:msg:202402051149293a57e4bb142043ccb7e6dd385170p0na&amp;R=2HC9BUPDS13A8&amp;T=C&amp;U=https%3A%2F%2Fwww.amazon.com%2Fgp%2Fcss%2Forder-details%3ForderId%3D113-8073912-5065035%26ref_%3Dpe_386300_440135490_TE_simp_od&amp;H=SZU00UTAS1DK5YF7FEZB3N9A6LIA&amp;ref_=pe_386300_440135490_TE_simp_od" TargetMode="External"/><Relationship Id="rId53" Type="http://schemas.openxmlformats.org/officeDocument/2006/relationships/hyperlink" Target="https://www.amazon.com/gp/r.html?C=1GDZONJ9HF37K&amp;K=D88AMRB2CGGN&amp;M=urn:rtn:msg:20230603025841c35b0c1266094dc88f479d16d170p0na&amp;R=2BTTYFV588HJL&amp;T=C&amp;U=https%3A%2F%2Fwww.amazon.com%2Fgp%2Fcss%2Forder-details%3ForderId%3D113-5718163-1286631%26ref_%3Dpe_386300_440135490_TE_simp_od&amp;H=XB0JWXN7EWAFAOEQDPLA9AACK8EA&amp;ref_=pe_386300_440135490_TE_simp_od" TargetMode="External"/><Relationship Id="rId149" Type="http://schemas.openxmlformats.org/officeDocument/2006/relationships/hyperlink" Target="https://www.amazon.com/gp/r.html?C=1GDZONJ9HF37K&amp;K=D88AMRB2CGGN&amp;M=urn:rtn:msg:20211202224126ce258ed13e614750910c4c1f9420p0na&amp;R=MXBQ20N5VN3Z&amp;T=C&amp;U=https%3A%2F%2Fwww.amazon.com%2Fgp%2Fcss%2Forder-details%3ForderId%3D113-3997039-6788209%26ref_%3Dpe_386300_440135490_TE_simp_od&amp;H=DRSYJOJMUSVSAI4LQ86KXYIAOPSA&amp;ref_=pe_386300_440135490_TE_simp_od" TargetMode="External"/><Relationship Id="rId95" Type="http://schemas.openxmlformats.org/officeDocument/2006/relationships/hyperlink" Target="http://email.draft2digital.com/c/eJxMzLtu7CAUheGngW4s9mXYUFCMzpGrKFX6CAPJWMMYB5Mibx-5i1axmk9_Dia7oksAKyyG0Iq-B4zMaIkz20hRHILLycqyXC0Yn696_eMJJxAjHs4XOYUgkHWAQkYUm3W_gLmcA8tTSTit2yh9i1XXcB9jPxTdFM4K59FaPabvYz-m1J4K58-mcH7rMT3-te1j7c9bGmvbFM1fI72Pl7iUeoCi_x4ZvDfIIgz-6sgYJABwqHvotbafrNikWmK_1PgoZ1-P8Nq28hsAAP__D6lJMA" TargetMode="External"/><Relationship Id="rId160" Type="http://schemas.openxmlformats.org/officeDocument/2006/relationships/hyperlink" Target="https://www.ebay.com/vod/FetchOrderDetails?itemId=133399948714&amp;transactionId=1848768683003&amp;mkevt=1&amp;mkpid=0&amp;emsid=e11401.m43700.l49689&amp;mkcid=7&amp;ch=osgood&amp;euid=fdb52347c08c4ef5856dcb00314f2a1b&amp;bu=43188375501&amp;osub=-1%7E1&amp;crd=20211005143409&amp;segname=11401&amp;sojTags=ch%3Dch%2Cbu%3Dbu%2Cosub%3Dosub%2Ccrd%3Dcrd%2Csegname%3Dsegname%2Cchnl%3Dmkcid" TargetMode="External"/><Relationship Id="rId216" Type="http://schemas.openxmlformats.org/officeDocument/2006/relationships/hyperlink" Target="https://www.fedex.com/apps/fedextrack/?action=track&amp;trackingnumber=398319136980" TargetMode="External"/><Relationship Id="rId258" Type="http://schemas.openxmlformats.org/officeDocument/2006/relationships/hyperlink" Target="https://smile.amazon.com/progress-tracker/package/ref=pe_2640190_232586610_scr_pt_track?_encoding=UTF8&amp;from=gp&amp;itemId=&amp;orderId=113-3296851-6697042&amp;packageIndex=0&amp;shipmentId=14464817865025" TargetMode="External"/><Relationship Id="rId22" Type="http://schemas.openxmlformats.org/officeDocument/2006/relationships/hyperlink" Target="https://www.amazon.com/gp/r.html?C=1GDZONJ9HF37K&amp;K=D88AMRB2CGGN&amp;M=urn:rtn:msg:20231203151357d4884361af1943fe8cfa9fd6bc40p0na&amp;R=1UIMYLGIHCFB2&amp;T=C&amp;U=https%3A%2F%2Fwww.amazon.com%2Fgp%2Fcss%2Forder-details%3ForderId%3D114-4541927-3089065%26ref_%3Dpe_386300_440135490_TE_simp_od&amp;H=CWUR4AYRXIL2I1OQPXLJQCROL94A&amp;ref_=pe_386300_440135490_TE_simp_od" TargetMode="External"/><Relationship Id="rId64" Type="http://schemas.openxmlformats.org/officeDocument/2006/relationships/hyperlink" Target="https://www.fedex.com/fedextrack/?tracknumbers=607114894977&amp;locale=en_US" TargetMode="External"/><Relationship Id="rId118" Type="http://schemas.openxmlformats.org/officeDocument/2006/relationships/hyperlink" Target="https://www.amazon.com/gp/r.html?C=1GDZONJ9HF37K&amp;K=D88AMRB2CGGN&amp;M=urn:rtn:msg:20221202223156ef95f7f0c47a4814881ed339eb00p0na&amp;R=3AF1P3GJ113JY&amp;T=C&amp;U=https%3A%2F%2Fwww.amazon.com%2Fgp%2Fcss%2Forder-details%3ForderId%3D113-9937938-5937063%26ref_%3Dpe_386300_440135490_TE_simp_od&amp;H=CFT5CPOM1BDBEBAYANIXUNDAMCUA&amp;ref_=pe_386300_440135490_TE_simp_od" TargetMode="External"/><Relationship Id="rId171" Type="http://schemas.openxmlformats.org/officeDocument/2006/relationships/hyperlink" Target="http://cheaplittlecigars.com/" TargetMode="External"/><Relationship Id="rId227" Type="http://schemas.openxmlformats.org/officeDocument/2006/relationships/hyperlink" Target="https://www.amazon.com/progress-tracker/package/ref=pe_2640190_232586610_scr_pt_track?_encoding=UTF8&amp;from=gp&amp;itemId=&amp;orderId=113-9579922-1573050&amp;packageIndex=0&amp;shipmentId=88177815745201" TargetMode="External"/><Relationship Id="rId269" Type="http://schemas.openxmlformats.org/officeDocument/2006/relationships/hyperlink" Target="https://www.amazon.com/progress-tracker/package/ref=pe_2640190_232586610_scr_pt_track?_encoding=UTF8&amp;from=gp&amp;itemId=&amp;orderId=113-3172825-6987464&amp;packageIndex=0&amp;shipmentId=26761017119301" TargetMode="External"/><Relationship Id="rId33" Type="http://schemas.openxmlformats.org/officeDocument/2006/relationships/hyperlink" Target="https://www.amazon.com/gp/r.html?C=1GDZONJ9HF37K&amp;K=D88AMRB2CGGN&amp;M=urn:rtn:msg:20231023211907e42430f6eb7843538ac7bbc0eae0p0na&amp;R=2XT8DPR4WQZ0X&amp;T=C&amp;U=https%3A%2F%2Fwww.amazon.com%2Fgp%2Fcss%2Forder-details%3ForderId%3D112-7921077-9869016%26ref_%3Dpe_386300_440135490_TE_simp_od&amp;H=1XGZTFTB5AD1JRB5KAV9GGNIZGKA&amp;ref_=pe_386300_440135490_TE_simp_od" TargetMode="External"/><Relationship Id="rId129" Type="http://schemas.openxmlformats.org/officeDocument/2006/relationships/hyperlink" Target="https://www.amazon.com/gp/r.html?C=1GDZONJ9HF37K&amp;K=D88AMRB2CGGN&amp;M=urn:rtn:msg:20221019185905834e9bd670a84919807c7cfdb740p0na&amp;R=3E0LQ2XMPX28F&amp;T=C&amp;U=https%3A%2F%2Fwww.amazon.com%2Fgp%2Fcss%2Forder-details%3ForderId%3D113-6950605-4627435%26ref_%3Dpe_386300_440135490_TE_simp_od&amp;H=L1S59Q9M8IA8ELCKVFJJYZPLAA8A&amp;ref_=pe_386300_440135490_TE_simp_od" TargetMode="External"/><Relationship Id="rId280" Type="http://schemas.openxmlformats.org/officeDocument/2006/relationships/hyperlink" Target="https://tools.usps.com/go/TrackConfirmAction.action?tLabels=9405511699000163679238"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hyperlink" Target="http://dividendinvestor.com/" TargetMode="External"/></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hyperlink" Target="http://dividendinvestor.com/"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s://www.oceaniacruises.com/transatlantic-cruises/miami-to-athens-INS220323/port-at-sea-ASE/?voyageday=8" TargetMode="External"/><Relationship Id="rId13" Type="http://schemas.openxmlformats.org/officeDocument/2006/relationships/hyperlink" Target="https://www.oceaniacruises.com/transatlantic-cruises/miami-to-athens-INS220323/port-melilla-MLL/?voyageday=13" TargetMode="External"/><Relationship Id="rId18" Type="http://schemas.openxmlformats.org/officeDocument/2006/relationships/hyperlink" Target="https://www.oceaniacruises.com/transatlantic-cruises/miami-to-athens-INS220323/port-at-sea-ASE/?voyageday=18" TargetMode="External"/><Relationship Id="rId26" Type="http://schemas.openxmlformats.org/officeDocument/2006/relationships/hyperlink" Target="https://www.oceaniacruises.com/transatlantic-cruises/miami-to-athens-INS220323/port-mitilini-MIT/?voyageday=26" TargetMode="External"/><Relationship Id="rId3" Type="http://schemas.openxmlformats.org/officeDocument/2006/relationships/hyperlink" Target="https://www.oceaniacruises.com/transatlantic-cruises/miami-to-athens-INS220323/port-at-sea-ASE/?voyageday=3" TargetMode="External"/><Relationship Id="rId21" Type="http://schemas.openxmlformats.org/officeDocument/2006/relationships/hyperlink" Target="https://www.oceaniacruises.com/transatlantic-cruises/miami-to-athens-INS220323/port-jerusalem-HFA/?voyageday=21" TargetMode="External"/><Relationship Id="rId7" Type="http://schemas.openxmlformats.org/officeDocument/2006/relationships/hyperlink" Target="https://www.oceaniacruises.com/transatlantic-cruises/miami-to-athens-INS220323/port-at-sea-ASE/?voyageday=7" TargetMode="External"/><Relationship Id="rId12" Type="http://schemas.openxmlformats.org/officeDocument/2006/relationships/hyperlink" Target="https://www.oceaniacruises.com/transatlantic-cruises/miami-to-athens-INS220323/port-tangier-TNG/?voyageday=12" TargetMode="External"/><Relationship Id="rId17" Type="http://schemas.openxmlformats.org/officeDocument/2006/relationships/hyperlink" Target="https://www.oceaniacruises.com/transatlantic-cruises/miami-to-athens-INS220323/port-at-sea-ASE/?voyageday=17" TargetMode="External"/><Relationship Id="rId25" Type="http://schemas.openxmlformats.org/officeDocument/2006/relationships/hyperlink" Target="https://www.oceaniacruises.com/transatlantic-cruises/miami-to-athens-INS220323/port-istanbul-IST/?voyageday=25" TargetMode="External"/><Relationship Id="rId2" Type="http://schemas.openxmlformats.org/officeDocument/2006/relationships/hyperlink" Target="https://www.oceaniacruises.com/transatlantic-cruises/miami-to-athens-INS220323/port-at-sea-ASE/?voyageday=2" TargetMode="External"/><Relationship Id="rId16" Type="http://schemas.openxmlformats.org/officeDocument/2006/relationships/hyperlink" Target="https://www.oceaniacruises.com/transatlantic-cruises/miami-to-athens-INS220323/port-gozo-GO2/?voyageday=16" TargetMode="External"/><Relationship Id="rId20" Type="http://schemas.openxmlformats.org/officeDocument/2006/relationships/hyperlink" Target="https://www.oceaniacruises.com/transatlantic-cruises/miami-to-athens-INS220323/port-jerusalem-HFA/?voyageday=20" TargetMode="External"/><Relationship Id="rId1" Type="http://schemas.openxmlformats.org/officeDocument/2006/relationships/hyperlink" Target="https://www.oceaniacruises.com/transatlantic-cruises/miami-to-athens-INS220323/port-miami-MIA/?voyageday=1" TargetMode="External"/><Relationship Id="rId6" Type="http://schemas.openxmlformats.org/officeDocument/2006/relationships/hyperlink" Target="https://www.oceaniacruises.com/transatlantic-cruises/miami-to-athens-INS220323/port-at-sea-ASE/?voyageday=6" TargetMode="External"/><Relationship Id="rId11" Type="http://schemas.openxmlformats.org/officeDocument/2006/relationships/hyperlink" Target="https://www.oceaniacruises.com/transatlantic-cruises/miami-to-athens-INS220323/port-at-sea-ASE/?voyageday=11" TargetMode="External"/><Relationship Id="rId24" Type="http://schemas.openxmlformats.org/officeDocument/2006/relationships/hyperlink" Target="https://www.oceaniacruises.com/transatlantic-cruises/miami-to-athens-INS220323/port-istanbul-IST/?voyageday=24" TargetMode="External"/><Relationship Id="rId5" Type="http://schemas.openxmlformats.org/officeDocument/2006/relationships/hyperlink" Target="https://www.oceaniacruises.com/transatlantic-cruises/miami-to-athens-INS220323/port-at-sea-ASE/?voyageday=5" TargetMode="External"/><Relationship Id="rId15" Type="http://schemas.openxmlformats.org/officeDocument/2006/relationships/hyperlink" Target="https://www.oceaniacruises.com/transatlantic-cruises/miami-to-athens-INS220323/port-trapani-TPS/?voyageday=15" TargetMode="External"/><Relationship Id="rId23" Type="http://schemas.openxmlformats.org/officeDocument/2006/relationships/hyperlink" Target="https://www.oceaniacruises.com/transatlantic-cruises/miami-to-athens-INS220323/port-izmir-IZM/?voyageday=23" TargetMode="External"/><Relationship Id="rId10" Type="http://schemas.openxmlformats.org/officeDocument/2006/relationships/hyperlink" Target="https://www.oceaniacruises.com/transatlantic-cruises/miami-to-athens-INS220323/port-at-sea-ASE/?voyageday=10" TargetMode="External"/><Relationship Id="rId19" Type="http://schemas.openxmlformats.org/officeDocument/2006/relationships/hyperlink" Target="https://www.oceaniacruises.com/transatlantic-cruises/miami-to-athens-INS220323/port-jerusalem-ASH/?voyageday=19" TargetMode="External"/><Relationship Id="rId4" Type="http://schemas.openxmlformats.org/officeDocument/2006/relationships/hyperlink" Target="https://www.oceaniacruises.com/transatlantic-cruises/miami-to-athens-INS220323/port-hamilton-BDA/?voyageday=4" TargetMode="External"/><Relationship Id="rId9" Type="http://schemas.openxmlformats.org/officeDocument/2006/relationships/hyperlink" Target="https://www.oceaniacruises.com/transatlantic-cruises/miami-to-athens-INS220323/port-ponta-delgada-PDL/?voyageday=9" TargetMode="External"/><Relationship Id="rId14" Type="http://schemas.openxmlformats.org/officeDocument/2006/relationships/hyperlink" Target="https://www.oceaniacruises.com/transatlantic-cruises/miami-to-athens-INS220323/port-at-sea-ASE/?voyageday=14" TargetMode="External"/><Relationship Id="rId22" Type="http://schemas.openxmlformats.org/officeDocument/2006/relationships/hyperlink" Target="https://www.oceaniacruises.com/transatlantic-cruises/miami-to-athens-INS220323/port-at-sea-ASE/?voyageday=22" TargetMode="External"/><Relationship Id="rId27" Type="http://schemas.openxmlformats.org/officeDocument/2006/relationships/hyperlink" Target="https://www.oceaniacruises.com/transatlantic-cruises/miami-to-athens-INS220323/port-athens-PIR/?voyageday=27"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https://en.wikipedia.org/wiki/Eye_(cyclone)" TargetMode="External"/></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hyperlink" Target="http://dividendinvestor.com/"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about:blank" TargetMode="External"/><Relationship Id="rId2" Type="http://schemas.openxmlformats.org/officeDocument/2006/relationships/hyperlink" Target="about:blank" TargetMode="External"/><Relationship Id="rId1" Type="http://schemas.openxmlformats.org/officeDocument/2006/relationships/hyperlink" Target="about:blank" TargetMode="External"/><Relationship Id="rId5" Type="http://schemas.openxmlformats.org/officeDocument/2006/relationships/hyperlink" Target="about:blank" TargetMode="External"/><Relationship Id="rId4" Type="http://schemas.openxmlformats.org/officeDocument/2006/relationships/hyperlink" Target="about:blank" TargetMode="External"/></Relationships>
</file>

<file path=xl/worksheets/_rels/sheet3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1.xml.rels><?xml version="1.0" encoding="UTF-8" standalone="yes"?>
<Relationships xmlns="http://schemas.openxmlformats.org/package/2006/relationships"><Relationship Id="rId2" Type="http://schemas.openxmlformats.org/officeDocument/2006/relationships/hyperlink" Target="mailto:Karen@sterlingvillage.org" TargetMode="External"/><Relationship Id="rId1" Type="http://schemas.openxmlformats.org/officeDocument/2006/relationships/hyperlink" Target="mailto:mlmartin2u@gmail.com" TargetMode="External"/></Relationships>
</file>

<file path=xl/worksheets/_rels/sheet3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34.xml.rels><?xml version="1.0" encoding="UTF-8" standalone="yes"?>
<Relationships xmlns="http://schemas.openxmlformats.org/package/2006/relationships"><Relationship Id="rId8" Type="http://schemas.openxmlformats.org/officeDocument/2006/relationships/hyperlink" Target="https://support.virped.org/forums/" TargetMode="External"/><Relationship Id="rId13" Type="http://schemas.openxmlformats.org/officeDocument/2006/relationships/hyperlink" Target="http://dishanywhere.com/" TargetMode="External"/><Relationship Id="rId18" Type="http://schemas.openxmlformats.org/officeDocument/2006/relationships/hyperlink" Target="https://www.virtualbranchservices.com/PaymentCenter/fibre/" TargetMode="External"/><Relationship Id="rId26" Type="http://schemas.openxmlformats.org/officeDocument/2006/relationships/hyperlink" Target="http://managed.com/" TargetMode="External"/><Relationship Id="rId3" Type="http://schemas.openxmlformats.org/officeDocument/2006/relationships/hyperlink" Target="http://www.smokstak.com/" TargetMode="External"/><Relationship Id="rId21" Type="http://schemas.openxmlformats.org/officeDocument/2006/relationships/hyperlink" Target="http://yahoo.com/" TargetMode="External"/><Relationship Id="rId7" Type="http://schemas.openxmlformats.org/officeDocument/2006/relationships/hyperlink" Target="https://www.nbcsportsgold.com/" TargetMode="External"/><Relationship Id="rId12" Type="http://schemas.openxmlformats.org/officeDocument/2006/relationships/hyperlink" Target="https://ccfs.sos.wa.gov/" TargetMode="External"/><Relationship Id="rId17" Type="http://schemas.openxmlformats.org/officeDocument/2006/relationships/hyperlink" Target="https://hdapps.homedepot.com/CustRecogPortal/" TargetMode="External"/><Relationship Id="rId25" Type="http://schemas.openxmlformats.org/officeDocument/2006/relationships/hyperlink" Target="http://nsb.powerdnn.com/" TargetMode="External"/><Relationship Id="rId2" Type="http://schemas.openxmlformats.org/officeDocument/2006/relationships/hyperlink" Target="https://live.bleacherreport.com/" TargetMode="External"/><Relationship Id="rId16" Type="http://schemas.openxmlformats.org/officeDocument/2006/relationships/hyperlink" Target="http://cadetelectricheat.com/" TargetMode="External"/><Relationship Id="rId20" Type="http://schemas.openxmlformats.org/officeDocument/2006/relationships/hyperlink" Target="http://softicle.com/office-professional-plus-2010/" TargetMode="External"/><Relationship Id="rId29" Type="http://schemas.openxmlformats.org/officeDocument/2006/relationships/hyperlink" Target="http://nsb.powerdnn.com/" TargetMode="External"/><Relationship Id="rId1" Type="http://schemas.openxmlformats.org/officeDocument/2006/relationships/hyperlink" Target="https://www.bonanza.com/" TargetMode="External"/><Relationship Id="rId6" Type="http://schemas.openxmlformats.org/officeDocument/2006/relationships/hyperlink" Target="http://canalrivertrust.org/" TargetMode="External"/><Relationship Id="rId11" Type="http://schemas.openxmlformats.org/officeDocument/2006/relationships/hyperlink" Target="https://mycw87.ecwcloud.com/portal11594/jsp/100mp/login_otp.jsp" TargetMode="External"/><Relationship Id="rId24" Type="http://schemas.openxmlformats.org/officeDocument/2006/relationships/hyperlink" Target="http://nsa.powerdnn.com/" TargetMode="External"/><Relationship Id="rId5" Type="http://schemas.openxmlformats.org/officeDocument/2006/relationships/hyperlink" Target="http://canalrivertrust.org/" TargetMode="External"/><Relationship Id="rId15" Type="http://schemas.openxmlformats.org/officeDocument/2006/relationships/hyperlink" Target="http://wordpress.org/" TargetMode="External"/><Relationship Id="rId23" Type="http://schemas.openxmlformats.org/officeDocument/2006/relationships/hyperlink" Target="http://www.sagc-or.org/" TargetMode="External"/><Relationship Id="rId28" Type="http://schemas.openxmlformats.org/officeDocument/2006/relationships/hyperlink" Target="http://nsa.powerdnn.com/" TargetMode="External"/><Relationship Id="rId10" Type="http://schemas.openxmlformats.org/officeDocument/2006/relationships/hyperlink" Target="http://packagingsuppliesbymail.com/" TargetMode="External"/><Relationship Id="rId19" Type="http://schemas.openxmlformats.org/officeDocument/2006/relationships/hyperlink" Target="http://my.brinkshome.com/" TargetMode="External"/><Relationship Id="rId31" Type="http://schemas.openxmlformats.org/officeDocument/2006/relationships/hyperlink" Target="https://host63.secureserver777.com:8443/" TargetMode="External"/><Relationship Id="rId4" Type="http://schemas.openxmlformats.org/officeDocument/2006/relationships/hyperlink" Target="https://www.medicare.gov/" TargetMode="External"/><Relationship Id="rId9" Type="http://schemas.openxmlformats.org/officeDocument/2006/relationships/hyperlink" Target="https://click-email.godaddy.com/fUjZosCvHoY8ouIGm3AZC/?eid=emp.oeg.transactional.2228.None.None.None&amp;marketId=en-US&amp;currencyId=USD&amp;redir=https%3A%2F%2Fdcc.godaddy.com%2Fmanage%2Fnawcc63.org%2Fsettings%3Fisc%3Dgdbb2228f%26utm_source%3Dgdocp%26utm_medium%3Demail%26utm_campaign%3Den-US_x_email_base_gd%26utm_content%3D180823_2228_x_x_x_x_gdbb2228f_fUjZosCvHoY8ouIGm3AZC" TargetMode="External"/><Relationship Id="rId14" Type="http://schemas.openxmlformats.org/officeDocument/2006/relationships/hyperlink" Target="https://secure.efrontcloud.com/broadmark" TargetMode="External"/><Relationship Id="rId22" Type="http://schemas.openxmlformats.org/officeDocument/2006/relationships/hyperlink" Target="http://cpanel.sagc-or.org/" TargetMode="External"/><Relationship Id="rId27" Type="http://schemas.openxmlformats.org/officeDocument/2006/relationships/hyperlink" Target="http://www.d13cgaux.com/" TargetMode="External"/><Relationship Id="rId30" Type="http://schemas.openxmlformats.org/officeDocument/2006/relationships/hyperlink" Target="http://72.9.135.10/cpanel" TargetMode="External"/></Relationships>
</file>

<file path=xl/worksheets/_rels/sheet3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37.xml.rels><?xml version="1.0" encoding="UTF-8" standalone="yes"?>
<Relationships xmlns="http://schemas.openxmlformats.org/package/2006/relationships"><Relationship Id="rId8" Type="http://schemas.openxmlformats.org/officeDocument/2006/relationships/hyperlink" Target="https://www.airbnb.com/users/show/79604477" TargetMode="External"/><Relationship Id="rId3" Type="http://schemas.openxmlformats.org/officeDocument/2006/relationships/hyperlink" Target="http://www.calendarpedia.com/" TargetMode="External"/><Relationship Id="rId7" Type="http://schemas.openxmlformats.org/officeDocument/2006/relationships/hyperlink" Target="http://www.calendarpedia.com/" TargetMode="External"/><Relationship Id="rId12" Type="http://schemas.openxmlformats.org/officeDocument/2006/relationships/comments" Target="../comments14.xml"/><Relationship Id="rId2" Type="http://schemas.openxmlformats.org/officeDocument/2006/relationships/hyperlink" Target="http://www.calendarpedia.com/" TargetMode="External"/><Relationship Id="rId1" Type="http://schemas.openxmlformats.org/officeDocument/2006/relationships/hyperlink" Target="http://www.calendarpedia.com/" TargetMode="External"/><Relationship Id="rId6" Type="http://schemas.openxmlformats.org/officeDocument/2006/relationships/hyperlink" Target="http://www.calendarpedia.com/" TargetMode="External"/><Relationship Id="rId11" Type="http://schemas.openxmlformats.org/officeDocument/2006/relationships/vmlDrawing" Target="../drawings/vmlDrawing14.vml"/><Relationship Id="rId5" Type="http://schemas.openxmlformats.org/officeDocument/2006/relationships/hyperlink" Target="http://www.calendarpedia.com/" TargetMode="External"/><Relationship Id="rId10" Type="http://schemas.openxmlformats.org/officeDocument/2006/relationships/hyperlink" Target="http://www.calendarpedia.com/" TargetMode="External"/><Relationship Id="rId4" Type="http://schemas.openxmlformats.org/officeDocument/2006/relationships/hyperlink" Target="http://www.calendarpedia.com/" TargetMode="External"/><Relationship Id="rId9" Type="http://schemas.openxmlformats.org/officeDocument/2006/relationships/hyperlink" Target="http://www.calendarpedia.com/" TargetMode="External"/></Relationships>
</file>

<file path=xl/worksheets/_rels/sheet3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longevityillustrator.org/" TargetMode="External"/><Relationship Id="rId1" Type="http://schemas.openxmlformats.org/officeDocument/2006/relationships/hyperlink" Target="https://www.livingto100.com/" TargetMode="External"/></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45.xml.rels><?xml version="1.0" encoding="UTF-8" standalone="yes"?>
<Relationships xmlns="http://schemas.openxmlformats.org/package/2006/relationships"><Relationship Id="rId8" Type="http://schemas.openxmlformats.org/officeDocument/2006/relationships/hyperlink" Target="http://www.smartsoftwaresupport.com/index.php" TargetMode="External"/><Relationship Id="rId13" Type="http://schemas.openxmlformats.org/officeDocument/2006/relationships/hyperlink" Target="http://www.d13cgaux.com/sites" TargetMode="External"/><Relationship Id="rId18" Type="http://schemas.openxmlformats.org/officeDocument/2006/relationships/hyperlink" Target="http://www.d13cgaux.com/" TargetMode="External"/><Relationship Id="rId26" Type="http://schemas.openxmlformats.org/officeDocument/2006/relationships/hyperlink" Target="http://avery.com/" TargetMode="External"/><Relationship Id="rId3" Type="http://schemas.openxmlformats.org/officeDocument/2006/relationships/hyperlink" Target="http://wordpress.org/" TargetMode="External"/><Relationship Id="rId21" Type="http://schemas.openxmlformats.org/officeDocument/2006/relationships/hyperlink" Target="https://50.28.18.118:8443/login_up.php3" TargetMode="External"/><Relationship Id="rId7" Type="http://schemas.openxmlformats.org/officeDocument/2006/relationships/hyperlink" Target="https://www.virtualbranchservices.com/PaymentCenter/fibre/" TargetMode="External"/><Relationship Id="rId12" Type="http://schemas.openxmlformats.org/officeDocument/2006/relationships/hyperlink" Target="http://oregongardenclubs.org/" TargetMode="External"/><Relationship Id="rId17" Type="http://schemas.openxmlformats.org/officeDocument/2006/relationships/hyperlink" Target="http://managed.com/" TargetMode="External"/><Relationship Id="rId25" Type="http://schemas.openxmlformats.org/officeDocument/2006/relationships/hyperlink" Target="https://host63.secureserver777.com:8443/" TargetMode="External"/><Relationship Id="rId2" Type="http://schemas.openxmlformats.org/officeDocument/2006/relationships/hyperlink" Target="http://thrivent.com/" TargetMode="External"/><Relationship Id="rId16" Type="http://schemas.openxmlformats.org/officeDocument/2006/relationships/hyperlink" Target="http://nsb.powerdnn.com/" TargetMode="External"/><Relationship Id="rId20" Type="http://schemas.openxmlformats.org/officeDocument/2006/relationships/hyperlink" Target="http://nsb.powerdnn.com/" TargetMode="External"/><Relationship Id="rId1" Type="http://schemas.openxmlformats.org/officeDocument/2006/relationships/hyperlink" Target="http://mymedicare.gov/" TargetMode="External"/><Relationship Id="rId6" Type="http://schemas.openxmlformats.org/officeDocument/2006/relationships/hyperlink" Target="https://hdapps.homedepot.com/CustRecogPortal/" TargetMode="External"/><Relationship Id="rId11" Type="http://schemas.openxmlformats.org/officeDocument/2006/relationships/hyperlink" Target="http://www.sagc-or.org/" TargetMode="External"/><Relationship Id="rId24" Type="http://schemas.openxmlformats.org/officeDocument/2006/relationships/hyperlink" Target="https://win77.secureserver777.com:8443/smb/" TargetMode="External"/><Relationship Id="rId5" Type="http://schemas.openxmlformats.org/officeDocument/2006/relationships/hyperlink" Target="http://www.schooloftime.com/" TargetMode="External"/><Relationship Id="rId15" Type="http://schemas.openxmlformats.org/officeDocument/2006/relationships/hyperlink" Target="http://nsa.powerdnn.com/" TargetMode="External"/><Relationship Id="rId23" Type="http://schemas.openxmlformats.org/officeDocument/2006/relationships/hyperlink" Target="https://win77.secureserver777.com:8443/" TargetMode="External"/><Relationship Id="rId10" Type="http://schemas.openxmlformats.org/officeDocument/2006/relationships/hyperlink" Target="http://cpanel.sagc-or.org/" TargetMode="External"/><Relationship Id="rId19" Type="http://schemas.openxmlformats.org/officeDocument/2006/relationships/hyperlink" Target="http://nsa.powerdnn.com/" TargetMode="External"/><Relationship Id="rId4" Type="http://schemas.openxmlformats.org/officeDocument/2006/relationships/hyperlink" Target="http://cadetelectricheat.com/" TargetMode="External"/><Relationship Id="rId9" Type="http://schemas.openxmlformats.org/officeDocument/2006/relationships/hyperlink" Target="http://softicle.com/office-professional-plus-2010/" TargetMode="External"/><Relationship Id="rId14" Type="http://schemas.openxmlformats.org/officeDocument/2006/relationships/hyperlink" Target="http://rodlloyd.blogspot.com/" TargetMode="External"/><Relationship Id="rId22" Type="http://schemas.openxmlformats.org/officeDocument/2006/relationships/hyperlink" Target="https://50.28.18.118:8443/" TargetMode="External"/></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4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5.xml.rels><?xml version="1.0" encoding="UTF-8" standalone="yes"?>
<Relationships xmlns="http://schemas.openxmlformats.org/package/2006/relationships"><Relationship Id="rId8" Type="http://schemas.openxmlformats.org/officeDocument/2006/relationships/hyperlink" Target="https://www.amazon.com/progress-tracker/package/ref=pe_2640190_232586610_scr_pt_asin?_encoding=UTF8&amp;from=gp&amp;itemId=&amp;orderId=114-9221944-6174655&amp;packageIndex=0&amp;shipmentId=24859202472301" TargetMode="External"/><Relationship Id="rId13" Type="http://schemas.openxmlformats.org/officeDocument/2006/relationships/hyperlink" Target="https://www.amazon.com/progress-tracker/package/ref=pe_2640190_232748430_scr_pt_asin?_encoding=UTF8&amp;from=gp&amp;itemId=&amp;orderId=113-4721139-2811411&amp;packageIndex=0&amp;shipmentId=24998926305301" TargetMode="External"/><Relationship Id="rId18" Type="http://schemas.openxmlformats.org/officeDocument/2006/relationships/comments" Target="../comments3.xml"/><Relationship Id="rId3" Type="http://schemas.openxmlformats.org/officeDocument/2006/relationships/hyperlink" Target="https://tools.usps.com/go/TrackConfirmAction_input?qtc_tLabels1=9400109699937190775319&amp;ppid=PPX000875&amp;cnac=US&amp;rsta=en_US(en_AR)&amp;cust=V69HK8N7JZUMJ&amp;unptid=6be7e67c-1233-11e9-ba5e-5cb90192ce30&amp;t=&amp;cal=bf9de2df866c9&amp;calc=bf9de2df866c9&amp;calf=bf9de2df866c9&amp;unp_tpcid=email-shipping-notification-buyer&amp;page=main:email&amp;pgrp=main:email&amp;e=op&amp;mchn=em&amp;s=ci&amp;mail=sys" TargetMode="External"/><Relationship Id="rId7" Type="http://schemas.openxmlformats.org/officeDocument/2006/relationships/hyperlink" Target="https://www.amazon.com/progress-tracker/package/ref=pe_2640190_232586610_scr_pt_asin?_encoding=UTF8&amp;from=gp&amp;itemId=&amp;orderId=114-9221944-6174655&amp;packageIndex=0&amp;shipmentId=24859202472301" TargetMode="External"/><Relationship Id="rId12" Type="http://schemas.openxmlformats.org/officeDocument/2006/relationships/hyperlink" Target="https://www.amazon.com/progress-tracker/package/ref=pe_2640190_232748430_scr_pt_asin?_encoding=UTF8&amp;from=gp&amp;itemId=&amp;orderId=113-4721139-2811411&amp;packageIndex=0&amp;shipmentId=24998926305301" TargetMode="External"/><Relationship Id="rId17" Type="http://schemas.openxmlformats.org/officeDocument/2006/relationships/vmlDrawing" Target="../drawings/vmlDrawing3.vml"/><Relationship Id="rId2" Type="http://schemas.openxmlformats.org/officeDocument/2006/relationships/hyperlink" Target="http://www.17track.net/en/track?nums=LT158455825CN" TargetMode="External"/><Relationship Id="rId16" Type="http://schemas.openxmlformats.org/officeDocument/2006/relationships/hyperlink" Target="https://www.amazon.com/progress-tracker/package/ref=pe_2640190_232586610_scr_pt_track?_encoding=UTF8&amp;from=gp&amp;itemId=&amp;orderId=113-6256695-3601018&amp;packageIndex=0&amp;shipmentId=30106490714301" TargetMode="External"/><Relationship Id="rId1" Type="http://schemas.openxmlformats.org/officeDocument/2006/relationships/hyperlink" Target="http://www.fedex.com/Tracking?cntry_code=us&amp;language=english&amp;tracknumbers=460115944392&amp;action=track" TargetMode="External"/><Relationship Id="rId6" Type="http://schemas.openxmlformats.org/officeDocument/2006/relationships/hyperlink" Target="https://informeddelivery.usps.com/box/pages/secure/packageDashboardAction?selectedTrckNum=9400108699938880098483&amp;selectedTypeOfLabel=Package" TargetMode="External"/><Relationship Id="rId11" Type="http://schemas.openxmlformats.org/officeDocument/2006/relationships/hyperlink" Target="https://www.amazon.com/progress-tracker/package/ref=pe_2640190_232586610_scr_pt_track?_encoding=UTF8&amp;from=gp&amp;itemId=&amp;orderId=113-1215469-9803429&amp;packageIndex=0&amp;shipmentId=21190916166301" TargetMode="External"/><Relationship Id="rId5" Type="http://schemas.openxmlformats.org/officeDocument/2006/relationships/hyperlink" Target="https://www.partswarehouse.com/TrackPackage.asp?Track=9400111206071822195292&amp;Ship=USPS&amp;ShippingMethod=USPS" TargetMode="External"/><Relationship Id="rId15" Type="http://schemas.openxmlformats.org/officeDocument/2006/relationships/hyperlink" Target="https://www.amazon.com/progress-tracker/package/ref=pe_2640190_232586610_scr_pt_track?_encoding=UTF8&amp;from=gp&amp;itemId=&amp;orderId=113-5303394-9201832&amp;packageIndex=0&amp;shipmentId=26708829103301" TargetMode="External"/><Relationship Id="rId10" Type="http://schemas.openxmlformats.org/officeDocument/2006/relationships/hyperlink" Target="http://wipers123.com/" TargetMode="External"/><Relationship Id="rId4" Type="http://schemas.openxmlformats.org/officeDocument/2006/relationships/hyperlink" Target="https://rover.ebay.com/rover/0/e11401.m43700.l44717/7?euid=8e490e545ae84aef9ba1491a0efb6151&amp;bu=43188375501&amp;loc=https%3A%2F%2Fwww.ebay.com%2Fulk%2Fvod%3Ftransid%3D1920050314008%26itemId%3D183182650186%26qu%3D1%26ssPageName%3DADME%3AL%3AOC%3AUS%3A592&amp;sojTags=bu=bu" TargetMode="External"/><Relationship Id="rId9" Type="http://schemas.openxmlformats.org/officeDocument/2006/relationships/hyperlink" Target="https://tools.usps.com/go/TrackConfirmAction.action?tLabels=9405511699000163679238" TargetMode="External"/><Relationship Id="rId14" Type="http://schemas.openxmlformats.org/officeDocument/2006/relationships/hyperlink" Target="https://www.amazon.com/progress-tracker/package/ref=pe_2640190_232586610_scr_pt_track?_encoding=UTF8&amp;from=gp&amp;itemId=&amp;orderId=113-0526746-5088269&amp;packageIndex=0&amp;shipmentId=21235446806301"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5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54.xml.rels><?xml version="1.0" encoding="UTF-8" standalone="yes"?>
<Relationships xmlns="http://schemas.openxmlformats.org/package/2006/relationships"><Relationship Id="rId8" Type="http://schemas.openxmlformats.org/officeDocument/2006/relationships/hyperlink" Target="http://nsa.powerdnn.com/" TargetMode="External"/><Relationship Id="rId13" Type="http://schemas.openxmlformats.org/officeDocument/2006/relationships/hyperlink" Target="http://swwasymphony.org/" TargetMode="External"/><Relationship Id="rId18" Type="http://schemas.openxmlformats.org/officeDocument/2006/relationships/hyperlink" Target="https://50.28.18.118:8443/" TargetMode="External"/><Relationship Id="rId26" Type="http://schemas.openxmlformats.org/officeDocument/2006/relationships/hyperlink" Target="http://clear-lake.com/menu" TargetMode="External"/><Relationship Id="rId3" Type="http://schemas.openxmlformats.org/officeDocument/2006/relationships/hyperlink" Target="http://cpanel.sagc-or.org/" TargetMode="External"/><Relationship Id="rId21" Type="http://schemas.openxmlformats.org/officeDocument/2006/relationships/hyperlink" Target="https://host63.secureserver777.com:8443/" TargetMode="External"/><Relationship Id="rId7" Type="http://schemas.openxmlformats.org/officeDocument/2006/relationships/hyperlink" Target="http://rodlloyd.blogspot.com/" TargetMode="External"/><Relationship Id="rId12" Type="http://schemas.openxmlformats.org/officeDocument/2006/relationships/hyperlink" Target="http://nsb.powerdnn.com/" TargetMode="External"/><Relationship Id="rId17" Type="http://schemas.openxmlformats.org/officeDocument/2006/relationships/hyperlink" Target="https://50.28.18.118:8443/login_up.php3" TargetMode="External"/><Relationship Id="rId25" Type="http://schemas.openxmlformats.org/officeDocument/2006/relationships/hyperlink" Target="https://cp.secureserver50.com/psoft/servlet/psoft.hsphere.CP" TargetMode="External"/><Relationship Id="rId2" Type="http://schemas.openxmlformats.org/officeDocument/2006/relationships/hyperlink" Target="http://softicle.com/office-professional-plus-2010/" TargetMode="External"/><Relationship Id="rId16" Type="http://schemas.openxmlformats.org/officeDocument/2006/relationships/hyperlink" Target="http://a1300701.uscgaux.info/" TargetMode="External"/><Relationship Id="rId20" Type="http://schemas.openxmlformats.org/officeDocument/2006/relationships/hyperlink" Target="https://win77.secureserver777.com:8443/smb/" TargetMode="External"/><Relationship Id="rId29" Type="http://schemas.openxmlformats.org/officeDocument/2006/relationships/hyperlink" Target="http://www.professionalinspector.com/forum/" TargetMode="External"/><Relationship Id="rId1" Type="http://schemas.openxmlformats.org/officeDocument/2006/relationships/hyperlink" Target="http://www.smartsoftwaresupport.com/index.php" TargetMode="External"/><Relationship Id="rId6" Type="http://schemas.openxmlformats.org/officeDocument/2006/relationships/hyperlink" Target="http://www.d13cgaux.com/sites" TargetMode="External"/><Relationship Id="rId11" Type="http://schemas.openxmlformats.org/officeDocument/2006/relationships/hyperlink" Target="http://nsa.powerdnn.com/" TargetMode="External"/><Relationship Id="rId24" Type="http://schemas.openxmlformats.org/officeDocument/2006/relationships/hyperlink" Target="http://hometest.com/" TargetMode="External"/><Relationship Id="rId5" Type="http://schemas.openxmlformats.org/officeDocument/2006/relationships/hyperlink" Target="http://oregongardenclubs.org/" TargetMode="External"/><Relationship Id="rId15" Type="http://schemas.openxmlformats.org/officeDocument/2006/relationships/hyperlink" Target="https://resellers.resellone.net/manage/index.cgi" TargetMode="External"/><Relationship Id="rId23" Type="http://schemas.openxmlformats.org/officeDocument/2006/relationships/hyperlink" Target="http://dishnetwork.com/" TargetMode="External"/><Relationship Id="rId28" Type="http://schemas.openxmlformats.org/officeDocument/2006/relationships/hyperlink" Target="http://ns50.secureserver50.com/" TargetMode="External"/><Relationship Id="rId10" Type="http://schemas.openxmlformats.org/officeDocument/2006/relationships/hyperlink" Target="http://www.d13cgaux.com/" TargetMode="External"/><Relationship Id="rId19" Type="http://schemas.openxmlformats.org/officeDocument/2006/relationships/hyperlink" Target="https://win77.secureserver777.com:8443/" TargetMode="External"/><Relationship Id="rId4" Type="http://schemas.openxmlformats.org/officeDocument/2006/relationships/hyperlink" Target="http://www.sagc-or.org/" TargetMode="External"/><Relationship Id="rId9" Type="http://schemas.openxmlformats.org/officeDocument/2006/relationships/hyperlink" Target="http://nsb.powerdnn.com/" TargetMode="External"/><Relationship Id="rId14" Type="http://schemas.openxmlformats.org/officeDocument/2006/relationships/hyperlink" Target="http://nawcc31.org/cpanel" TargetMode="External"/><Relationship Id="rId22" Type="http://schemas.openxmlformats.org/officeDocument/2006/relationships/hyperlink" Target="http://avery.com/" TargetMode="External"/><Relationship Id="rId27" Type="http://schemas.openxmlformats.org/officeDocument/2006/relationships/hyperlink" Target="http://natwest.com/availability/nwolb_login.htm"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zillow.com/homedetails/19166-Ravenhill-Rd-Hidden-Valley-Lake-CA-95467/19103768_zpid/"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kandrive.org/" TargetMode="External"/><Relationship Id="rId21" Type="http://schemas.openxmlformats.org/officeDocument/2006/relationships/hyperlink" Target="https://cybervision.com/" TargetMode="External"/><Relationship Id="rId42" Type="http://schemas.openxmlformats.org/officeDocument/2006/relationships/hyperlink" Target="https://www.nbcsportsgold.com/" TargetMode="External"/><Relationship Id="rId47" Type="http://schemas.openxmlformats.org/officeDocument/2006/relationships/hyperlink" Target="http://followmyhealth.com/" TargetMode="External"/><Relationship Id="rId63" Type="http://schemas.openxmlformats.org/officeDocument/2006/relationships/hyperlink" Target="https://server200.serverange.net:2096/logout/?locale=en" TargetMode="External"/><Relationship Id="rId68" Type="http://schemas.openxmlformats.org/officeDocument/2006/relationships/hyperlink" Target="mailto:rlloyd@clear-lake.com!1" TargetMode="External"/><Relationship Id="rId7" Type="http://schemas.openxmlformats.org/officeDocument/2006/relationships/hyperlink" Target="https://www.express-scripts.com/" TargetMode="External"/><Relationship Id="rId2" Type="http://schemas.openxmlformats.org/officeDocument/2006/relationships/hyperlink" Target="http://softicle.com/office-professional-plus-2010/" TargetMode="External"/><Relationship Id="rId16" Type="http://schemas.openxmlformats.org/officeDocument/2006/relationships/hyperlink" Target="http://www.netxinvestor.com/" TargetMode="External"/><Relationship Id="rId29" Type="http://schemas.openxmlformats.org/officeDocument/2006/relationships/hyperlink" Target="https://topup.vodafone.co.uk/topup" TargetMode="External"/><Relationship Id="rId11" Type="http://schemas.openxmlformats.org/officeDocument/2006/relationships/hyperlink" Target="http://nofearbridge.com/" TargetMode="External"/><Relationship Id="rId24" Type="http://schemas.openxmlformats.org/officeDocument/2006/relationships/hyperlink" Target="https://stockaholics.net/" TargetMode="External"/><Relationship Id="rId32" Type="http://schemas.openxmlformats.org/officeDocument/2006/relationships/hyperlink" Target="http://join.me.com/" TargetMode="External"/><Relationship Id="rId37" Type="http://schemas.openxmlformats.org/officeDocument/2006/relationships/hyperlink" Target="https://live.bleacherreport.com/" TargetMode="External"/><Relationship Id="rId40" Type="http://schemas.openxmlformats.org/officeDocument/2006/relationships/hyperlink" Target="http://canalrivertrust.org/" TargetMode="External"/><Relationship Id="rId45" Type="http://schemas.openxmlformats.org/officeDocument/2006/relationships/hyperlink" Target="http://packagingsuppliesbymail.com/" TargetMode="External"/><Relationship Id="rId53" Type="http://schemas.openxmlformats.org/officeDocument/2006/relationships/hyperlink" Target="https://hdapps.homedepot.com/CustRecogPortal/" TargetMode="External"/><Relationship Id="rId58" Type="http://schemas.openxmlformats.org/officeDocument/2006/relationships/hyperlink" Target="http://nsa.powerdnn.com/" TargetMode="External"/><Relationship Id="rId66" Type="http://schemas.openxmlformats.org/officeDocument/2006/relationships/hyperlink" Target="mailto:rlloyd@clear-lake.com" TargetMode="External"/><Relationship Id="rId5" Type="http://schemas.openxmlformats.org/officeDocument/2006/relationships/hyperlink" Target="http://financial-coach-kansas.com/" TargetMode="External"/><Relationship Id="rId61" Type="http://schemas.openxmlformats.org/officeDocument/2006/relationships/hyperlink" Target="http://www.d13cgaux.com/" TargetMode="External"/><Relationship Id="rId19" Type="http://schemas.openxmlformats.org/officeDocument/2006/relationships/hyperlink" Target="http://1450club.com/" TargetMode="External"/><Relationship Id="rId14" Type="http://schemas.openxmlformats.org/officeDocument/2006/relationships/hyperlink" Target="http://wordpress.com/" TargetMode="External"/><Relationship Id="rId22" Type="http://schemas.openxmlformats.org/officeDocument/2006/relationships/hyperlink" Target="https://aaces.com/" TargetMode="External"/><Relationship Id="rId27" Type="http://schemas.openxmlformats.org/officeDocument/2006/relationships/hyperlink" Target="https://www.voxi.co.uk/" TargetMode="External"/><Relationship Id="rId30" Type="http://schemas.openxmlformats.org/officeDocument/2006/relationships/hyperlink" Target="https://topup.vodafone.co.uk/topup" TargetMode="External"/><Relationship Id="rId35" Type="http://schemas.openxmlformats.org/officeDocument/2006/relationships/hyperlink" Target="http://www.dividendinvestor.com/" TargetMode="External"/><Relationship Id="rId43" Type="http://schemas.openxmlformats.org/officeDocument/2006/relationships/hyperlink" Target="https://support.virped.org/forums/" TargetMode="External"/><Relationship Id="rId48" Type="http://schemas.openxmlformats.org/officeDocument/2006/relationships/hyperlink" Target="https://ccfs.sos.wa.gov/" TargetMode="External"/><Relationship Id="rId56" Type="http://schemas.openxmlformats.org/officeDocument/2006/relationships/hyperlink" Target="http://cpanel.sagc-or.org/" TargetMode="External"/><Relationship Id="rId64" Type="http://schemas.openxmlformats.org/officeDocument/2006/relationships/hyperlink" Target="http://72.9.135.10/cpanel" TargetMode="External"/><Relationship Id="rId69" Type="http://schemas.openxmlformats.org/officeDocument/2006/relationships/hyperlink" Target="mailto:rlloyd@clear-lake.com" TargetMode="External"/><Relationship Id="rId8" Type="http://schemas.openxmlformats.org/officeDocument/2006/relationships/hyperlink" Target="http://ingramspark.com/" TargetMode="External"/><Relationship Id="rId51" Type="http://schemas.openxmlformats.org/officeDocument/2006/relationships/hyperlink" Target="http://wordpress.org/" TargetMode="External"/><Relationship Id="rId3" Type="http://schemas.openxmlformats.org/officeDocument/2006/relationships/hyperlink" Target="http://voice.google.com/" TargetMode="External"/><Relationship Id="rId12" Type="http://schemas.openxmlformats.org/officeDocument/2006/relationships/hyperlink" Target="https://mia.eurofins-mylabport.com/" TargetMode="External"/><Relationship Id="rId17" Type="http://schemas.openxmlformats.org/officeDocument/2006/relationships/hyperlink" Target="https://ikan.ks.gov/" TargetMode="External"/><Relationship Id="rId25" Type="http://schemas.openxmlformats.org/officeDocument/2006/relationships/hyperlink" Target="https://dividendswingtrade.com/" TargetMode="External"/><Relationship Id="rId33" Type="http://schemas.openxmlformats.org/officeDocument/2006/relationships/hyperlink" Target="https://www.hutchclinic.com/myhealthhc" TargetMode="External"/><Relationship Id="rId38" Type="http://schemas.openxmlformats.org/officeDocument/2006/relationships/hyperlink" Target="http://www.smokstak.com/" TargetMode="External"/><Relationship Id="rId46" Type="http://schemas.openxmlformats.org/officeDocument/2006/relationships/hyperlink" Target="https://mycw87.ecwcloud.com/portal11594/jsp/100mp/login_otp.jsp" TargetMode="External"/><Relationship Id="rId59" Type="http://schemas.openxmlformats.org/officeDocument/2006/relationships/hyperlink" Target="http://nsb.powerdnn.com/" TargetMode="External"/><Relationship Id="rId67" Type="http://schemas.openxmlformats.org/officeDocument/2006/relationships/hyperlink" Target="mailto:rlloyd@clear-lake.com" TargetMode="External"/><Relationship Id="rId20" Type="http://schemas.openxmlformats.org/officeDocument/2006/relationships/hyperlink" Target="https://myhealthhutch.iqhealth.com/messaging/" TargetMode="External"/><Relationship Id="rId41" Type="http://schemas.openxmlformats.org/officeDocument/2006/relationships/hyperlink" Target="http://canalrivertrust.org/" TargetMode="External"/><Relationship Id="rId54" Type="http://schemas.openxmlformats.org/officeDocument/2006/relationships/hyperlink" Target="http://my.brinkshome.com/" TargetMode="External"/><Relationship Id="rId62" Type="http://schemas.openxmlformats.org/officeDocument/2006/relationships/hyperlink" Target="http://nsa.powerdnn.com/" TargetMode="External"/><Relationship Id="rId70" Type="http://schemas.openxmlformats.org/officeDocument/2006/relationships/hyperlink" Target="mailto:rod@clear-lake.com" TargetMode="External"/><Relationship Id="rId1" Type="http://schemas.openxmlformats.org/officeDocument/2006/relationships/hyperlink" Target="https://www.bonanza.com/" TargetMode="External"/><Relationship Id="rId6" Type="http://schemas.openxmlformats.org/officeDocument/2006/relationships/hyperlink" Target="https://account.squarespace.com/domains" TargetMode="External"/><Relationship Id="rId15" Type="http://schemas.openxmlformats.org/officeDocument/2006/relationships/hyperlink" Target="https://wordpress.com/page/rodmerrytravels.wordpress.com/7" TargetMode="External"/><Relationship Id="rId23" Type="http://schemas.openxmlformats.org/officeDocument/2006/relationships/hyperlink" Target="http://nbc.com/" TargetMode="External"/><Relationship Id="rId28" Type="http://schemas.openxmlformats.org/officeDocument/2006/relationships/hyperlink" Target="https://www.voxi.co.uk/" TargetMode="External"/><Relationship Id="rId36" Type="http://schemas.openxmlformats.org/officeDocument/2006/relationships/hyperlink" Target="https://smartmusic.zendesk.com/" TargetMode="External"/><Relationship Id="rId49" Type="http://schemas.openxmlformats.org/officeDocument/2006/relationships/hyperlink" Target="http://dishanywhere.com/" TargetMode="External"/><Relationship Id="rId57" Type="http://schemas.openxmlformats.org/officeDocument/2006/relationships/hyperlink" Target="http://www.sagc-or.org/" TargetMode="External"/><Relationship Id="rId10" Type="http://schemas.openxmlformats.org/officeDocument/2006/relationships/hyperlink" Target="https://members.mattpar.com/" TargetMode="External"/><Relationship Id="rId31" Type="http://schemas.openxmlformats.org/officeDocument/2006/relationships/hyperlink" Target="https://help.voxi.co.uk/Roaming-and-International/Roaming/" TargetMode="External"/><Relationship Id="rId44" Type="http://schemas.openxmlformats.org/officeDocument/2006/relationships/hyperlink" Target="https://click-email.godaddy.com/fUjZosCvHoY8ouIGm3AZC/?eid=emp.oeg.transactional.2228.None.None.None&amp;marketId=en-US&amp;currencyId=USD&amp;redir=https%3A%2F%2Fdcc.godaddy.com%2Fmanage%2Fnawcc63.org%2Fsettings%3Fisc%3Dgdbb2228f%26utm_source%3Dgdocp%26utm_medium%3Demail%26utm_campaign%3Den-US_x_email_base_gd%26utm_content%3D180823_2228_x_x_x_x_gdbb2228f_fUjZosCvHoY8ouIGm3AZC" TargetMode="External"/><Relationship Id="rId52" Type="http://schemas.openxmlformats.org/officeDocument/2006/relationships/hyperlink" Target="http://cadetelectricheat.com/" TargetMode="External"/><Relationship Id="rId60" Type="http://schemas.openxmlformats.org/officeDocument/2006/relationships/hyperlink" Target="http://managed.com/" TargetMode="External"/><Relationship Id="rId65" Type="http://schemas.openxmlformats.org/officeDocument/2006/relationships/hyperlink" Target="https://host63.secureserver777.com:8443/" TargetMode="External"/><Relationship Id="rId4" Type="http://schemas.openxmlformats.org/officeDocument/2006/relationships/hyperlink" Target="http://yahoo.com/" TargetMode="External"/><Relationship Id="rId9" Type="http://schemas.openxmlformats.org/officeDocument/2006/relationships/hyperlink" Target="http://dashlane.com/" TargetMode="External"/><Relationship Id="rId13" Type="http://schemas.openxmlformats.org/officeDocument/2006/relationships/hyperlink" Target="http://wordpress.com/" TargetMode="External"/><Relationship Id="rId18" Type="http://schemas.openxmlformats.org/officeDocument/2006/relationships/hyperlink" Target="https://www.iphonephotographyclub.com/login" TargetMode="External"/><Relationship Id="rId39" Type="http://schemas.openxmlformats.org/officeDocument/2006/relationships/hyperlink" Target="https://www.medicare.gov/" TargetMode="External"/><Relationship Id="rId34" Type="http://schemas.openxmlformats.org/officeDocument/2006/relationships/hyperlink" Target="https://www.mercari.com/" TargetMode="External"/><Relationship Id="rId50" Type="http://schemas.openxmlformats.org/officeDocument/2006/relationships/hyperlink" Target="https://secure.efrontcloud.com/broadmark" TargetMode="External"/><Relationship Id="rId55" Type="http://schemas.openxmlformats.org/officeDocument/2006/relationships/hyperlink" Target="http://yahoo.com/" TargetMode="Externa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AR696"/>
  <sheetViews>
    <sheetView tabSelected="1" topLeftCell="A13" workbookViewId="0">
      <selection activeCell="R21" sqref="R21"/>
    </sheetView>
  </sheetViews>
  <sheetFormatPr defaultColWidth="12.7109375" defaultRowHeight="12.75" customHeight="1"/>
  <cols>
    <col min="1" max="1" width="0.28515625" customWidth="1"/>
    <col min="2" max="2" width="14.85546875" customWidth="1"/>
    <col min="3" max="3" width="9.7109375" customWidth="1"/>
    <col min="4" max="4" width="8.42578125" customWidth="1"/>
    <col min="5" max="5" width="7.42578125" customWidth="1"/>
    <col min="6" max="6" width="6.85546875" customWidth="1"/>
    <col min="7" max="7" width="7.5703125" customWidth="1"/>
    <col min="8" max="8" width="8.5703125" customWidth="1"/>
    <col min="9" max="9" width="7.85546875" customWidth="1"/>
    <col min="10" max="10" width="6.7109375" customWidth="1"/>
    <col min="11" max="11" width="6.42578125" customWidth="1"/>
    <col min="12" max="12" width="8" customWidth="1"/>
    <col min="13" max="13" width="7.7109375" customWidth="1"/>
    <col min="14" max="14" width="9.5703125" customWidth="1"/>
    <col min="15" max="15" width="8.5703125" customWidth="1"/>
    <col min="16" max="16" width="10.5703125" customWidth="1"/>
    <col min="17" max="17" width="8.140625" customWidth="1"/>
    <col min="18" max="18" width="23.85546875" customWidth="1"/>
    <col min="19" max="19" width="1.28515625" customWidth="1"/>
    <col min="20" max="20" width="13" customWidth="1"/>
    <col min="21" max="21" width="7.85546875" customWidth="1"/>
    <col min="22" max="22" width="11" customWidth="1"/>
    <col min="23" max="23" width="7.7109375" customWidth="1"/>
    <col min="24" max="24" width="8.85546875" customWidth="1"/>
    <col min="25" max="25" width="4.7109375" customWidth="1"/>
    <col min="26" max="26" width="11.28515625" customWidth="1"/>
    <col min="27" max="27" width="8.7109375" customWidth="1"/>
    <col min="28" max="28" width="9.28515625" customWidth="1"/>
    <col min="29" max="34" width="8.28515625" customWidth="1"/>
    <col min="35" max="35" width="9.28515625" customWidth="1"/>
    <col min="36" max="39" width="8.28515625" customWidth="1"/>
    <col min="40" max="40" width="8.42578125" customWidth="1"/>
    <col min="41" max="41" width="10.42578125" customWidth="1"/>
    <col min="42" max="42" width="9.28515625" customWidth="1"/>
  </cols>
  <sheetData>
    <row r="1" spans="1:44" ht="30">
      <c r="A1" s="1">
        <v>142</v>
      </c>
      <c r="B1" s="2029" t="s">
        <v>0</v>
      </c>
      <c r="C1" s="2030" t="s">
        <v>1</v>
      </c>
      <c r="D1" s="2027" t="s">
        <v>2</v>
      </c>
      <c r="E1" s="2027" t="s">
        <v>3</v>
      </c>
      <c r="F1" s="2027" t="s">
        <v>4</v>
      </c>
      <c r="G1" s="2031" t="s">
        <v>5</v>
      </c>
      <c r="H1" s="2032" t="s">
        <v>6</v>
      </c>
      <c r="I1" s="2029" t="s">
        <v>7</v>
      </c>
      <c r="J1" s="2029" t="s">
        <v>8</v>
      </c>
      <c r="K1" s="2033" t="s">
        <v>9</v>
      </c>
      <c r="L1" s="2028" t="s">
        <v>10</v>
      </c>
      <c r="M1" s="2027" t="s">
        <v>11</v>
      </c>
      <c r="N1" s="2034" t="s">
        <v>12</v>
      </c>
      <c r="O1" s="2035" t="s">
        <v>13</v>
      </c>
      <c r="P1" s="2032" t="s">
        <v>14</v>
      </c>
      <c r="Q1" s="2030" t="str">
        <f>C1</f>
        <v>Ticker</v>
      </c>
      <c r="R1" s="2036" t="s">
        <v>15</v>
      </c>
      <c r="T1" s="1847">
        <f>287458.38+10000</f>
        <v>297458.38</v>
      </c>
      <c r="U1" s="2010">
        <v>45658</v>
      </c>
      <c r="V1" s="2011"/>
      <c r="W1" s="2060" t="s">
        <v>4391</v>
      </c>
      <c r="X1" s="2012"/>
      <c r="Z1" s="760" t="s">
        <v>8934</v>
      </c>
      <c r="AA1" s="1609">
        <v>356000</v>
      </c>
      <c r="AB1" s="4"/>
      <c r="AC1" s="5"/>
      <c r="AD1" s="6"/>
      <c r="AE1" s="6"/>
      <c r="AF1" s="6"/>
      <c r="AG1" s="6"/>
      <c r="AH1" s="6"/>
      <c r="AI1" s="6"/>
      <c r="AJ1" s="6"/>
      <c r="AK1" s="6"/>
      <c r="AL1" s="6"/>
      <c r="AM1" s="6"/>
      <c r="AN1" s="5"/>
      <c r="AO1" s="5"/>
      <c r="AP1" s="5"/>
    </row>
    <row r="2" spans="1:44" ht="15" customHeight="1">
      <c r="A2" s="7"/>
      <c r="B2" s="1609" t="s">
        <v>8842</v>
      </c>
      <c r="C2" s="1597" t="e" vm="1">
        <v>#VALUE!</v>
      </c>
      <c r="D2" s="8">
        <v>45600</v>
      </c>
      <c r="E2" s="8" cm="1">
        <f t="array" aca="1" ref="E2" ca="1">_FV(C2,"Price")</f>
        <v>142.62</v>
      </c>
      <c r="F2" s="16"/>
      <c r="G2" s="16"/>
      <c r="H2" s="16"/>
      <c r="I2" s="23">
        <v>7.4999999999999997E-2</v>
      </c>
      <c r="J2" s="12">
        <f>I2*M2</f>
        <v>0.75</v>
      </c>
      <c r="K2" s="24">
        <f>I2/L2</f>
        <v>5.5118688910119789E-4</v>
      </c>
      <c r="L2" s="11">
        <v>136.07</v>
      </c>
      <c r="M2" s="23">
        <v>10</v>
      </c>
      <c r="N2" s="9" cm="1">
        <f t="array" aca="1" ref="N2" ca="1">_FV(C2,"price")</f>
        <v>142.62</v>
      </c>
      <c r="O2" s="16">
        <f t="shared" ref="O2:O8" ca="1" si="0">(M2*N2)-(M2*L2)</f>
        <v>65.500000000000227</v>
      </c>
      <c r="P2" s="16">
        <f t="shared" ref="P2:P8" si="1">L2*M2</f>
        <v>1360.6999999999998</v>
      </c>
      <c r="Q2" s="17" t="str">
        <f t="shared" ref="Q2:Q8" si="2">B2</f>
        <v>NVDA</v>
      </c>
      <c r="R2" s="29" t="s">
        <v>8851</v>
      </c>
      <c r="T2" s="1847">
        <v>23540.92</v>
      </c>
      <c r="U2" s="2022" t="s">
        <v>8944</v>
      </c>
      <c r="V2" s="2013" t="s">
        <v>38</v>
      </c>
      <c r="W2" s="1602">
        <v>45657</v>
      </c>
      <c r="X2" s="2014" t="s">
        <v>39</v>
      </c>
      <c r="Z2" s="361"/>
      <c r="AA2" s="9"/>
      <c r="AB2" s="21"/>
      <c r="AC2" s="16"/>
      <c r="AD2" s="16"/>
      <c r="AE2" s="16"/>
      <c r="AF2" s="16"/>
      <c r="AG2" s="16"/>
      <c r="AH2" s="16"/>
      <c r="AI2" s="16"/>
      <c r="AJ2" s="16"/>
      <c r="AK2" s="16"/>
      <c r="AL2" s="16"/>
      <c r="AM2" s="16"/>
      <c r="AN2" s="16"/>
      <c r="AO2" s="16"/>
      <c r="AP2" s="9"/>
    </row>
    <row r="3" spans="1:44" ht="15">
      <c r="A3" s="7"/>
      <c r="B3" s="1609" t="s">
        <v>420</v>
      </c>
      <c r="C3" s="1597" t="e" vm="2">
        <v>#VALUE!</v>
      </c>
      <c r="D3" s="1640">
        <v>45652</v>
      </c>
      <c r="E3" s="1640"/>
      <c r="F3" s="1596"/>
      <c r="G3" s="1596"/>
      <c r="H3" s="1597"/>
      <c r="I3" s="1596"/>
      <c r="J3" s="1597"/>
      <c r="K3" s="1598"/>
      <c r="L3" s="1596">
        <v>257.88</v>
      </c>
      <c r="M3" s="1596">
        <v>19</v>
      </c>
      <c r="N3" s="22" cm="1">
        <f t="array" aca="1" ref="N3" ca="1">_FV(C3,"Price")</f>
        <v>222.78</v>
      </c>
      <c r="O3" s="138">
        <f t="shared" ca="1" si="0"/>
        <v>-666.90000000000055</v>
      </c>
      <c r="P3" s="1597">
        <f t="shared" si="1"/>
        <v>4899.72</v>
      </c>
      <c r="Q3" s="1599" t="str">
        <f t="shared" si="2"/>
        <v>AAPL</v>
      </c>
      <c r="R3" s="1600" t="s">
        <v>8938</v>
      </c>
      <c r="S3" s="1925"/>
      <c r="T3" s="2072">
        <v>263917.46000000002</v>
      </c>
      <c r="U3" s="2073" t="s">
        <v>8945</v>
      </c>
      <c r="V3" s="1965" t="s">
        <v>42</v>
      </c>
      <c r="W3" s="16">
        <f>651+350+750</f>
        <v>1751</v>
      </c>
      <c r="X3" s="2015">
        <f>W3*12</f>
        <v>21012</v>
      </c>
      <c r="Y3" s="1925"/>
      <c r="Z3" s="1926"/>
      <c r="AA3" s="1927"/>
      <c r="AB3" s="21"/>
      <c r="AC3" s="16"/>
      <c r="AD3" s="16"/>
      <c r="AE3" s="16"/>
      <c r="AF3" s="16"/>
      <c r="AG3" s="16"/>
      <c r="AH3" s="16"/>
      <c r="AI3" s="16"/>
      <c r="AJ3" s="16"/>
      <c r="AK3" s="16"/>
      <c r="AL3" s="16"/>
      <c r="AM3" s="16"/>
      <c r="AN3" s="16"/>
      <c r="AO3" s="16"/>
      <c r="AP3" s="9"/>
    </row>
    <row r="4" spans="1:44" ht="15">
      <c r="A4" s="7"/>
      <c r="B4" s="2062" t="s">
        <v>1058</v>
      </c>
      <c r="C4" s="1608" t="e" vm="3">
        <v>#VALUE!</v>
      </c>
      <c r="D4" s="28">
        <v>45667</v>
      </c>
      <c r="E4" s="8">
        <v>45002</v>
      </c>
      <c r="F4" s="13" t="s">
        <v>34</v>
      </c>
      <c r="G4" s="1925"/>
      <c r="H4" s="13"/>
      <c r="I4" s="9">
        <v>1.76</v>
      </c>
      <c r="J4" s="16">
        <f>M4*I4</f>
        <v>0</v>
      </c>
      <c r="K4" s="24">
        <f>I4/L4*4</f>
        <v>9.2473400761854729E-2</v>
      </c>
      <c r="L4" s="9">
        <v>76.13</v>
      </c>
      <c r="M4" s="9">
        <v>0</v>
      </c>
      <c r="N4" s="22" cm="1">
        <f t="array" aca="1" ref="N4" ca="1">_FV(C4,"Price")</f>
        <v>79.489999999999995</v>
      </c>
      <c r="O4" s="26">
        <f t="shared" ca="1" si="0"/>
        <v>0</v>
      </c>
      <c r="P4" s="16">
        <f t="shared" si="1"/>
        <v>0</v>
      </c>
      <c r="Q4" s="17" t="str">
        <f t="shared" si="2"/>
        <v>XLU</v>
      </c>
      <c r="R4" s="29" t="s">
        <v>8849</v>
      </c>
      <c r="S4" s="2075"/>
      <c r="T4" s="2074"/>
      <c r="U4" s="2076"/>
      <c r="V4" s="2016" t="s">
        <v>45</v>
      </c>
      <c r="W4" s="1597">
        <f>337.57+745+714</f>
        <v>1796.57</v>
      </c>
      <c r="X4" s="2017">
        <f>W4*12</f>
        <v>21558.84</v>
      </c>
      <c r="Z4" s="361"/>
      <c r="AA4" s="9"/>
      <c r="AB4" s="21"/>
      <c r="AC4" s="16"/>
      <c r="AD4" s="16"/>
      <c r="AE4" s="16"/>
      <c r="AF4" s="16"/>
      <c r="AG4" s="16"/>
      <c r="AH4" s="16"/>
      <c r="AI4" s="16"/>
      <c r="AJ4" s="16"/>
      <c r="AK4" s="16"/>
      <c r="AL4" s="16"/>
      <c r="AM4" s="16"/>
      <c r="AN4" s="16"/>
      <c r="AO4" s="16"/>
      <c r="AP4" s="9"/>
    </row>
    <row r="5" spans="1:44" s="1596" customFormat="1" ht="15">
      <c r="A5" s="1594"/>
      <c r="B5" s="2062" t="s">
        <v>33</v>
      </c>
      <c r="C5" s="1608" t="e" vm="4">
        <v>#VALUE!</v>
      </c>
      <c r="D5" s="28">
        <v>45663</v>
      </c>
      <c r="E5" s="8">
        <v>0</v>
      </c>
      <c r="F5" s="13" t="s">
        <v>34</v>
      </c>
      <c r="G5" s="1925"/>
      <c r="H5" s="13"/>
      <c r="I5" s="9">
        <v>1.76</v>
      </c>
      <c r="J5" s="16">
        <f>M5*I5</f>
        <v>256.95999999999998</v>
      </c>
      <c r="K5" s="24">
        <f>I5/L5*4</f>
        <v>1.186423539721595E-2</v>
      </c>
      <c r="L5" s="9">
        <v>593.38</v>
      </c>
      <c r="M5" s="9">
        <v>146</v>
      </c>
      <c r="N5" s="22" cm="1">
        <f t="array" aca="1" ref="N5" ca="1">_FV(C5,"Price")</f>
        <v>607.97</v>
      </c>
      <c r="O5" s="26">
        <f t="shared" ca="1" si="0"/>
        <v>2130.140000000014</v>
      </c>
      <c r="P5" s="16">
        <f t="shared" si="1"/>
        <v>86633.48</v>
      </c>
      <c r="Q5" s="17" t="str">
        <f t="shared" si="2"/>
        <v>SPY</v>
      </c>
      <c r="R5" s="29" t="s">
        <v>8849</v>
      </c>
      <c r="S5"/>
      <c r="T5" s="1847"/>
      <c r="U5" s="760"/>
      <c r="V5" s="1965" t="s">
        <v>55</v>
      </c>
      <c r="W5" s="1597">
        <f>X5/12</f>
        <v>2169.4166666666665</v>
      </c>
      <c r="X5" s="2017">
        <v>26033</v>
      </c>
      <c r="Z5" s="1639"/>
      <c r="AA5" s="22"/>
      <c r="AB5" s="2037"/>
      <c r="AC5" s="1597"/>
      <c r="AD5" s="1597"/>
      <c r="AE5" s="1597"/>
      <c r="AF5" s="1597"/>
      <c r="AG5" s="1597"/>
      <c r="AH5" s="1597"/>
      <c r="AI5" s="1597"/>
      <c r="AQ5" s="1597"/>
    </row>
    <row r="6" spans="1:44" ht="15">
      <c r="A6" s="7"/>
      <c r="B6" s="2062" t="s">
        <v>8845</v>
      </c>
      <c r="C6" s="1608" t="e" vm="5">
        <v>#VALUE!</v>
      </c>
      <c r="D6" s="28">
        <v>45650</v>
      </c>
      <c r="E6" s="8"/>
      <c r="F6" s="13" t="s">
        <v>34</v>
      </c>
      <c r="G6" s="1925"/>
      <c r="H6" s="13"/>
      <c r="I6" s="9">
        <v>1.76</v>
      </c>
      <c r="J6" s="16">
        <f>M6*I6</f>
        <v>2687.52</v>
      </c>
      <c r="K6" s="24">
        <f>I6/L6*4</f>
        <v>0.13782302270947533</v>
      </c>
      <c r="L6" s="9">
        <v>51.08</v>
      </c>
      <c r="M6" s="9">
        <v>1527</v>
      </c>
      <c r="N6" s="9" cm="1">
        <f t="array" aca="1" ref="N6" ca="1">_FV(C6,"Price")</f>
        <v>52.14</v>
      </c>
      <c r="O6" s="26">
        <f t="shared" ca="1" si="0"/>
        <v>1618.6199999999953</v>
      </c>
      <c r="P6" s="16">
        <f t="shared" si="1"/>
        <v>77999.16</v>
      </c>
      <c r="Q6" s="17" t="str">
        <f t="shared" si="2"/>
        <v>SVXY</v>
      </c>
      <c r="R6" s="29" t="s">
        <v>8849</v>
      </c>
      <c r="T6" s="1847"/>
      <c r="U6" s="760"/>
      <c r="V6" s="1965" t="s">
        <v>57</v>
      </c>
      <c r="W6" s="83">
        <f>X6/12</f>
        <v>440.75</v>
      </c>
      <c r="X6" s="2015">
        <v>5289</v>
      </c>
      <c r="Z6" s="9"/>
      <c r="AA6" s="9"/>
      <c r="AB6" s="9"/>
      <c r="AC6" s="16"/>
      <c r="AD6" s="16"/>
      <c r="AE6" s="16"/>
      <c r="AF6" s="16"/>
      <c r="AG6" s="16"/>
      <c r="AH6" s="16"/>
      <c r="AI6" s="16"/>
      <c r="AJ6" s="16"/>
      <c r="AK6" s="16"/>
      <c r="AL6" s="16"/>
      <c r="AM6" s="16"/>
      <c r="AQ6" s="16"/>
      <c r="AR6" s="9"/>
    </row>
    <row r="7" spans="1:44" ht="15">
      <c r="A7" s="7"/>
      <c r="B7" s="2062" t="s">
        <v>412</v>
      </c>
      <c r="C7" s="1608" t="e" vm="6">
        <v>#VALUE!</v>
      </c>
      <c r="D7" s="28">
        <v>45665</v>
      </c>
      <c r="E7" s="8" t="s">
        <v>3592</v>
      </c>
      <c r="F7" s="13" t="s">
        <v>34</v>
      </c>
      <c r="G7" s="1925"/>
      <c r="H7" s="13"/>
      <c r="I7" s="9">
        <v>0</v>
      </c>
      <c r="J7" s="16">
        <f>M7*I7</f>
        <v>0</v>
      </c>
      <c r="K7" s="24"/>
      <c r="L7" s="9">
        <v>110.33</v>
      </c>
      <c r="M7" s="9">
        <v>789</v>
      </c>
      <c r="N7" s="9" cm="1">
        <f t="array" aca="1" ref="N7" ca="1">_FV(C7,"Price")</f>
        <v>115.49</v>
      </c>
      <c r="O7" s="1928">
        <f t="shared" ca="1" si="0"/>
        <v>4071.2400000000052</v>
      </c>
      <c r="P7" s="16">
        <f t="shared" si="1"/>
        <v>87050.37</v>
      </c>
      <c r="Q7" s="17" t="str">
        <f t="shared" si="2"/>
        <v>QLD</v>
      </c>
      <c r="R7" s="29" t="s">
        <v>8846</v>
      </c>
      <c r="T7" s="1847"/>
      <c r="U7" s="760"/>
      <c r="V7" s="1965" t="s">
        <v>60</v>
      </c>
      <c r="W7" s="16">
        <f>X7/12</f>
        <v>6240.75</v>
      </c>
      <c r="X7" s="2015">
        <v>74889</v>
      </c>
      <c r="Z7" s="1705"/>
      <c r="AA7" s="33"/>
      <c r="AB7" s="33"/>
      <c r="AC7" s="33"/>
      <c r="AD7" s="34"/>
      <c r="AE7" s="34"/>
      <c r="AF7" s="34"/>
      <c r="AG7" s="34"/>
      <c r="AH7" s="34"/>
      <c r="AI7" s="34"/>
      <c r="AJ7" s="34"/>
      <c r="AK7" s="34"/>
      <c r="AL7" s="34"/>
      <c r="AM7" s="34"/>
      <c r="AN7" s="34"/>
      <c r="AO7" s="34"/>
      <c r="AP7" s="34"/>
    </row>
    <row r="8" spans="1:44" ht="15">
      <c r="A8" s="7"/>
      <c r="B8" s="1608"/>
      <c r="C8" s="1608"/>
      <c r="D8" s="28"/>
      <c r="E8" s="8"/>
      <c r="F8" s="13"/>
      <c r="G8" s="1925"/>
      <c r="H8" s="13"/>
      <c r="I8" s="9"/>
      <c r="J8" s="16"/>
      <c r="K8" s="24"/>
      <c r="L8" s="9"/>
      <c r="M8" s="9"/>
      <c r="N8" s="9"/>
      <c r="O8" s="1928"/>
      <c r="P8" s="16"/>
      <c r="Q8" s="17">
        <f t="shared" si="2"/>
        <v>0</v>
      </c>
      <c r="R8" s="29" t="s">
        <v>8847</v>
      </c>
      <c r="T8" s="1847"/>
      <c r="V8" s="1965" t="s">
        <v>37</v>
      </c>
      <c r="W8" s="16">
        <f>X8/12</f>
        <v>8000</v>
      </c>
      <c r="X8" s="2015">
        <f>18000+18000+50000+10000</f>
        <v>96000</v>
      </c>
      <c r="AA8" s="1704"/>
      <c r="AB8" s="33"/>
      <c r="AC8" s="16"/>
      <c r="AD8" s="16"/>
      <c r="AE8" s="16"/>
      <c r="AF8" s="16"/>
      <c r="AG8" s="16"/>
      <c r="AH8" s="16"/>
      <c r="AI8" s="16"/>
      <c r="AJ8" s="16"/>
      <c r="AK8" s="16"/>
      <c r="AL8" s="16"/>
      <c r="AM8" s="16"/>
      <c r="AN8" s="16"/>
      <c r="AO8" s="16"/>
    </row>
    <row r="9" spans="1:44" ht="15">
      <c r="A9" s="7"/>
      <c r="B9" s="16"/>
      <c r="C9" s="16"/>
      <c r="D9" s="30"/>
      <c r="H9" s="16"/>
      <c r="I9" s="9"/>
      <c r="J9" s="16"/>
      <c r="K9" s="24"/>
      <c r="L9" s="9"/>
      <c r="M9" s="9"/>
      <c r="N9" s="17"/>
      <c r="O9" s="16"/>
      <c r="P9" s="16"/>
      <c r="Q9" s="17"/>
      <c r="R9" s="29" t="s">
        <v>8848</v>
      </c>
      <c r="T9" s="1847"/>
      <c r="U9" s="40"/>
      <c r="V9" s="2018" t="s">
        <v>67</v>
      </c>
      <c r="W9" s="2008">
        <f>SUM(W3:W8)</f>
        <v>20398.486666666664</v>
      </c>
      <c r="X9" s="2019">
        <f>SUM(X3:X8)</f>
        <v>244781.84</v>
      </c>
      <c r="AA9" s="416"/>
      <c r="AB9" s="33"/>
      <c r="AD9" s="16"/>
      <c r="AE9" s="16"/>
      <c r="AF9" s="16"/>
      <c r="AG9" s="16"/>
      <c r="AH9" s="16"/>
      <c r="AI9" s="16"/>
      <c r="AJ9" s="16"/>
      <c r="AK9" s="16"/>
    </row>
    <row r="10" spans="1:44" ht="15">
      <c r="A10" s="7"/>
      <c r="B10" s="1597"/>
      <c r="C10" s="1597"/>
      <c r="D10" s="1595"/>
      <c r="E10" s="1596"/>
      <c r="F10" s="1596"/>
      <c r="G10" s="1596"/>
      <c r="H10" s="1597"/>
      <c r="I10" s="1596"/>
      <c r="J10" s="1596"/>
      <c r="K10" s="1598"/>
      <c r="L10" s="22"/>
      <c r="M10" s="22"/>
      <c r="N10" s="22"/>
      <c r="P10" s="1597"/>
      <c r="Q10" s="1599"/>
      <c r="R10" s="1600" t="s">
        <v>8850</v>
      </c>
      <c r="T10" s="1847"/>
      <c r="U10" s="40"/>
      <c r="V10" s="1965" t="s">
        <v>85</v>
      </c>
      <c r="W10" s="16">
        <f>2000000/30/12</f>
        <v>5555.5555555555557</v>
      </c>
      <c r="X10" s="2015">
        <f>W10*12</f>
        <v>66666.666666666672</v>
      </c>
      <c r="AA10" s="416"/>
      <c r="AB10" s="33"/>
      <c r="AD10" s="16"/>
      <c r="AE10" s="16"/>
      <c r="AF10" s="9"/>
    </row>
    <row r="11" spans="1:44" s="1596" customFormat="1" ht="13.5" thickBot="1">
      <c r="A11" s="1594"/>
      <c r="B11" s="16"/>
      <c r="C11" s="16"/>
      <c r="D11" s="30"/>
      <c r="E11"/>
      <c r="F11"/>
      <c r="G11"/>
      <c r="H11" s="16"/>
      <c r="I11"/>
      <c r="J11"/>
      <c r="K11" s="24"/>
      <c r="L11" s="9"/>
      <c r="M11" s="9"/>
      <c r="N11" s="17"/>
      <c r="O11" s="16"/>
      <c r="P11" s="16"/>
      <c r="Q11" s="17"/>
      <c r="R11" s="29"/>
      <c r="T11" s="1847"/>
      <c r="U11" s="40"/>
      <c r="V11" s="2059" t="s">
        <v>791</v>
      </c>
      <c r="W11" s="2020">
        <f>W9-W10</f>
        <v>14842.931111111109</v>
      </c>
      <c r="X11" s="2021">
        <f>W11*12</f>
        <v>178115.17333333331</v>
      </c>
      <c r="AA11" s="22"/>
      <c r="AB11" s="1603"/>
      <c r="AC11" s="22"/>
      <c r="AD11" s="1597"/>
      <c r="AE11" s="1597"/>
      <c r="AF11" s="22"/>
      <c r="AI11" s="1604"/>
      <c r="AJ11" s="1605"/>
      <c r="AK11" s="1605"/>
      <c r="AL11" s="1605"/>
      <c r="AM11" s="1605"/>
      <c r="AN11" s="1605"/>
      <c r="AO11" s="1605"/>
      <c r="AP11" s="1606"/>
      <c r="AQ11" s="1607"/>
      <c r="AR11" s="1607"/>
    </row>
    <row r="12" spans="1:44">
      <c r="A12" s="7"/>
      <c r="B12" s="16"/>
      <c r="C12" s="16"/>
      <c r="D12" s="30"/>
      <c r="H12" s="16"/>
      <c r="K12" s="24"/>
      <c r="L12" s="9"/>
      <c r="M12" s="9"/>
      <c r="N12" s="17"/>
      <c r="O12" s="16"/>
      <c r="P12" s="16"/>
      <c r="Q12" s="17"/>
      <c r="R12" s="29"/>
      <c r="T12" s="1984"/>
      <c r="U12" s="40"/>
      <c r="AB12" s="43"/>
      <c r="AC12" s="3"/>
      <c r="AD12" s="6"/>
      <c r="AE12" s="3"/>
      <c r="AF12" s="43"/>
      <c r="AG12" s="43"/>
      <c r="AH12" s="3"/>
      <c r="AI12" s="41"/>
      <c r="AP12" s="44"/>
      <c r="AR12" s="16"/>
    </row>
    <row r="13" spans="1:44" ht="19.5" customHeight="1" thickBot="1">
      <c r="A13" s="7"/>
      <c r="B13" s="16"/>
      <c r="C13" s="16"/>
      <c r="H13" s="16"/>
      <c r="K13" s="24"/>
      <c r="O13" s="16">
        <f ca="1">SUM(O5:O12)</f>
        <v>7820.0000000000146</v>
      </c>
      <c r="Q13" s="34"/>
      <c r="R13" s="29"/>
      <c r="T13" s="12"/>
      <c r="U13" s="40"/>
      <c r="V13" s="2009"/>
      <c r="W13" s="2009"/>
      <c r="X13" s="2009"/>
      <c r="AA13" s="9"/>
      <c r="AB13" s="45"/>
      <c r="AC13" s="45"/>
      <c r="AD13" s="45"/>
      <c r="AE13" s="45"/>
      <c r="AF13" s="46"/>
      <c r="AG13" s="46"/>
      <c r="AH13" s="3"/>
      <c r="AI13" s="47"/>
      <c r="AJ13" s="48"/>
      <c r="AK13" s="13"/>
      <c r="AL13" s="9"/>
      <c r="AM13" s="9"/>
      <c r="AN13" s="9"/>
      <c r="AO13" s="49"/>
      <c r="AP13" s="50"/>
      <c r="AQ13" s="13"/>
      <c r="AR13" s="16"/>
    </row>
    <row r="14" spans="1:44" ht="18.75" thickTop="1" thickBot="1">
      <c r="A14" s="7"/>
      <c r="B14" s="51" t="s">
        <v>49</v>
      </c>
      <c r="C14" s="51"/>
      <c r="D14" s="51" t="s">
        <v>50</v>
      </c>
      <c r="E14" s="51" t="s">
        <v>51</v>
      </c>
      <c r="F14" s="51" t="s">
        <v>33</v>
      </c>
      <c r="G14" s="51"/>
      <c r="H14" s="51"/>
      <c r="I14" s="51"/>
      <c r="J14" s="51"/>
      <c r="K14" s="51"/>
      <c r="L14" s="1929"/>
      <c r="M14" s="51"/>
      <c r="N14" s="52" t="s">
        <v>52</v>
      </c>
      <c r="O14" s="1616">
        <f ca="1">SUM(O2:O9)</f>
        <v>7218.600000000014</v>
      </c>
      <c r="P14" s="53">
        <f>SUM(P2:P13)</f>
        <v>257943.43</v>
      </c>
      <c r="Q14" s="54" t="s">
        <v>53</v>
      </c>
      <c r="R14" s="55">
        <f ca="1">P14+O14</f>
        <v>265162.03000000003</v>
      </c>
      <c r="T14" s="3" t="s">
        <v>54</v>
      </c>
      <c r="U14" s="801"/>
      <c r="V14" s="40"/>
      <c r="W14" s="1251"/>
      <c r="AA14" s="9"/>
      <c r="AB14" s="45"/>
      <c r="AC14" s="45"/>
      <c r="AD14" s="45"/>
      <c r="AE14" s="45"/>
      <c r="AF14" s="46"/>
      <c r="AG14" s="46"/>
      <c r="AH14" s="3"/>
      <c r="AI14" s="56"/>
      <c r="AJ14" s="57"/>
      <c r="AK14" s="58"/>
      <c r="AL14" s="59"/>
      <c r="AM14" s="9"/>
      <c r="AN14" s="9"/>
      <c r="AO14" s="49"/>
      <c r="AP14" s="50"/>
      <c r="AQ14" s="13"/>
      <c r="AR14" s="16"/>
    </row>
    <row r="15" spans="1:44" s="1596" customFormat="1" ht="18.75" thickTop="1" thickBot="1">
      <c r="A15" s="1594"/>
      <c r="C15" s="22"/>
      <c r="D15" s="1607"/>
      <c r="E15" s="1607"/>
      <c r="J15" s="2003"/>
      <c r="N15" s="2004">
        <f>N16*1.27</f>
        <v>6.7817999999999996</v>
      </c>
      <c r="O15" s="2005" t="s">
        <v>8931</v>
      </c>
      <c r="S15" s="22"/>
      <c r="T15" s="343" t="s">
        <v>37</v>
      </c>
      <c r="U15" s="2006"/>
      <c r="V15" s="343"/>
      <c r="W15" s="2007"/>
      <c r="AA15" s="1603"/>
      <c r="AB15" s="1610"/>
      <c r="AC15" s="1610"/>
      <c r="AD15" s="1610"/>
      <c r="AE15" s="1610"/>
      <c r="AF15" s="1611"/>
      <c r="AG15" s="1611"/>
      <c r="AH15" s="1607"/>
      <c r="AI15" s="1612"/>
      <c r="AJ15" s="1613"/>
      <c r="AK15" s="1608"/>
      <c r="AL15" s="22"/>
      <c r="AM15" s="22"/>
      <c r="AN15" s="22"/>
      <c r="AO15" s="1614"/>
      <c r="AP15" s="1615"/>
      <c r="AQ15" s="1608"/>
      <c r="AR15" s="1597"/>
    </row>
    <row r="16" spans="1:44" ht="18" thickTop="1">
      <c r="A16" s="7"/>
      <c r="B16" s="2083" t="s">
        <v>58</v>
      </c>
      <c r="C16" s="2084"/>
      <c r="D16" s="2084"/>
      <c r="E16" s="2084"/>
      <c r="F16" s="2084"/>
      <c r="G16" s="2084"/>
      <c r="H16" s="2084"/>
      <c r="I16" s="2084"/>
      <c r="J16" s="2085"/>
      <c r="M16" s="1940" t="s">
        <v>8858</v>
      </c>
      <c r="N16" s="2001">
        <v>5.34</v>
      </c>
      <c r="O16" s="1941" t="s">
        <v>8859</v>
      </c>
      <c r="P16" s="1969">
        <v>45643</v>
      </c>
      <c r="Q16" s="9"/>
      <c r="R16" s="760"/>
      <c r="S16" s="3"/>
      <c r="T16" s="40" t="s">
        <v>60</v>
      </c>
      <c r="U16" s="40"/>
      <c r="V16" s="40"/>
      <c r="W16" s="1251"/>
      <c r="X16" s="760"/>
      <c r="Z16" s="16"/>
      <c r="AA16" s="9"/>
      <c r="AB16" s="34"/>
      <c r="AC16" s="34"/>
      <c r="AD16" s="34"/>
      <c r="AE16" s="34"/>
      <c r="AF16" s="34"/>
      <c r="AG16" s="45"/>
      <c r="AH16" s="3"/>
      <c r="AI16" s="62"/>
      <c r="AJ16" s="48"/>
      <c r="AK16" s="13"/>
      <c r="AL16" s="9"/>
      <c r="AM16" s="9"/>
      <c r="AN16" s="9"/>
      <c r="AO16" s="49"/>
      <c r="AP16" s="50"/>
      <c r="AQ16" s="13"/>
      <c r="AR16" s="16"/>
    </row>
    <row r="17" spans="1:44" s="1596" customFormat="1" ht="17.25">
      <c r="A17" s="1594"/>
      <c r="B17" s="1668" t="s">
        <v>1</v>
      </c>
      <c r="C17" s="1669" t="s">
        <v>0</v>
      </c>
      <c r="D17" s="1669" t="s">
        <v>10</v>
      </c>
      <c r="E17" s="1669" t="s">
        <v>11</v>
      </c>
      <c r="F17" s="1669" t="s">
        <v>63</v>
      </c>
      <c r="G17" s="1609" t="s">
        <v>52</v>
      </c>
      <c r="H17" s="1669" t="s">
        <v>64</v>
      </c>
      <c r="I17" s="1670" t="s">
        <v>14</v>
      </c>
      <c r="J17" s="1671" t="s">
        <v>65</v>
      </c>
      <c r="K17" s="1597"/>
      <c r="L17" s="1978" t="s">
        <v>137</v>
      </c>
      <c r="M17" s="1981" t="s">
        <v>8908</v>
      </c>
      <c r="N17" s="2061" t="s">
        <v>8857</v>
      </c>
      <c r="O17" s="1855" t="s">
        <v>67</v>
      </c>
      <c r="P17" s="2082" t="s">
        <v>37</v>
      </c>
      <c r="Q17" s="2331" t="s">
        <v>67</v>
      </c>
      <c r="R17" s="9"/>
      <c r="T17" s="343" t="s">
        <v>66</v>
      </c>
      <c r="U17" s="40"/>
      <c r="V17" s="40"/>
      <c r="W17" s="1251"/>
      <c r="X17"/>
      <c r="Z17" s="1597"/>
      <c r="AA17" s="22"/>
      <c r="AB17" s="1659"/>
      <c r="AC17" s="1607"/>
      <c r="AD17" s="1609"/>
      <c r="AE17" s="1607"/>
      <c r="AF17" s="1611"/>
      <c r="AG17" s="1611"/>
      <c r="AH17" s="1607"/>
      <c r="AI17" s="1612"/>
      <c r="AJ17" s="1613"/>
      <c r="AK17" s="1608"/>
      <c r="AL17" s="22"/>
      <c r="AM17" s="22"/>
      <c r="AN17" s="22"/>
      <c r="AO17" s="1614"/>
      <c r="AP17" s="1615"/>
      <c r="AQ17" s="1608"/>
      <c r="AR17" s="1597"/>
    </row>
    <row r="18" spans="1:44" ht="17.25">
      <c r="A18" s="7"/>
      <c r="B18" s="1654">
        <v>2025</v>
      </c>
      <c r="C18" s="1655"/>
      <c r="D18" s="67"/>
      <c r="E18" s="68"/>
      <c r="F18" s="2002">
        <v>2025</v>
      </c>
      <c r="G18" s="1251">
        <f>G19</f>
        <v>4579.5200000000004</v>
      </c>
      <c r="H18" s="69"/>
      <c r="I18" s="16"/>
      <c r="J18" s="29"/>
      <c r="K18" s="1980"/>
      <c r="L18" s="1941">
        <f>SUM(L19:L48)</f>
        <v>2348.7999999999993</v>
      </c>
      <c r="M18" s="1941">
        <f>SUM(M19:M48)</f>
        <v>7424.7199999999984</v>
      </c>
      <c r="N18" s="1941">
        <f ca="1">SUM(N19:N48)</f>
        <v>2626.0000000000146</v>
      </c>
      <c r="O18" s="1941">
        <f ca="1">SUM(L18:N18)</f>
        <v>12399.520000000011</v>
      </c>
      <c r="P18" s="1941">
        <v>39300</v>
      </c>
      <c r="Q18" s="1941">
        <f ca="1">P18+O18</f>
        <v>51699.520000000011</v>
      </c>
      <c r="R18" s="9"/>
      <c r="T18" s="40" t="s">
        <v>69</v>
      </c>
      <c r="U18" s="40"/>
      <c r="W18" s="1251"/>
      <c r="Z18" s="16"/>
      <c r="AA18" s="9"/>
      <c r="AB18" s="65"/>
      <c r="AC18" s="3"/>
      <c r="AD18" s="3"/>
      <c r="AE18" s="3"/>
      <c r="AF18" s="3"/>
      <c r="AG18" s="45"/>
      <c r="AH18" s="3"/>
      <c r="AI18" s="47"/>
      <c r="AJ18" s="48"/>
      <c r="AK18" s="13"/>
      <c r="AL18" s="9"/>
      <c r="AM18" s="9"/>
      <c r="AN18" s="9"/>
      <c r="AO18" s="49"/>
      <c r="AP18" s="50"/>
      <c r="AQ18" s="13"/>
      <c r="AR18" s="16"/>
    </row>
    <row r="19" spans="1:44" s="1596" customFormat="1" ht="17.25">
      <c r="A19" s="1594"/>
      <c r="B19" s="1656"/>
      <c r="C19" s="1655"/>
      <c r="D19" s="1657"/>
      <c r="E19" s="1658" t="s">
        <v>8526</v>
      </c>
      <c r="F19" s="2061" t="s">
        <v>143</v>
      </c>
      <c r="G19" s="74">
        <f>SUM(G20:G48)</f>
        <v>4579.5200000000004</v>
      </c>
      <c r="H19" s="1641"/>
      <c r="I19" s="1597"/>
      <c r="J19" s="1600"/>
      <c r="K19" s="1666"/>
      <c r="M19" s="2007"/>
      <c r="N19" s="2007"/>
      <c r="Q19" s="1597"/>
      <c r="R19" s="22"/>
      <c r="T19" s="343" t="s">
        <v>71</v>
      </c>
      <c r="U19" s="343"/>
      <c r="V19" s="1968"/>
      <c r="W19" s="2058"/>
      <c r="Z19" s="1597"/>
      <c r="AA19" s="22"/>
      <c r="AB19" s="1659"/>
      <c r="AC19" s="1607"/>
      <c r="AD19" s="1607"/>
      <c r="AE19" s="1607"/>
      <c r="AF19" s="1607"/>
      <c r="AG19" s="1610"/>
      <c r="AH19" s="1607"/>
      <c r="AI19" s="1612"/>
      <c r="AJ19" s="1613"/>
      <c r="AK19" s="1608"/>
      <c r="AL19" s="22"/>
      <c r="AM19" s="22"/>
      <c r="AN19" s="22"/>
      <c r="AO19" s="1614"/>
      <c r="AP19" s="1615"/>
      <c r="AQ19" s="1608"/>
      <c r="AR19" s="1597"/>
    </row>
    <row r="20" spans="1:44" s="1596" customFormat="1" ht="17.25">
      <c r="A20" s="1594"/>
      <c r="B20" s="1656"/>
      <c r="C20" s="1655"/>
      <c r="D20" s="1657"/>
      <c r="E20" s="1658"/>
      <c r="F20" s="2061"/>
      <c r="G20" s="2305"/>
      <c r="H20" s="1641"/>
      <c r="I20" s="1597"/>
      <c r="J20" s="1600"/>
      <c r="K20" s="1666"/>
      <c r="M20" s="2007"/>
      <c r="N20" s="2007">
        <f ca="1">O13</f>
        <v>7820.0000000000146</v>
      </c>
      <c r="Q20" s="1597"/>
      <c r="R20" s="22"/>
      <c r="T20" s="343" t="s">
        <v>73</v>
      </c>
      <c r="U20" s="343"/>
      <c r="V20" s="1968"/>
      <c r="W20" s="2058"/>
      <c r="Z20" s="1597"/>
      <c r="AA20" s="22"/>
      <c r="AB20" s="1659"/>
      <c r="AC20" s="1607"/>
      <c r="AD20" s="1607"/>
      <c r="AE20" s="1607"/>
      <c r="AF20" s="1607"/>
      <c r="AG20" s="1610"/>
      <c r="AH20" s="1607"/>
      <c r="AI20" s="1612"/>
      <c r="AJ20" s="1613"/>
      <c r="AK20" s="1608"/>
      <c r="AL20" s="22"/>
      <c r="AM20" s="22"/>
      <c r="AN20" s="22"/>
      <c r="AO20" s="1614"/>
      <c r="AP20" s="1615"/>
      <c r="AQ20" s="1608"/>
      <c r="AR20" s="1597"/>
    </row>
    <row r="21" spans="1:44" s="1596" customFormat="1" ht="17.25">
      <c r="A21" s="1594"/>
      <c r="B21" s="1656"/>
      <c r="C21" s="1655"/>
      <c r="D21" s="1657"/>
      <c r="E21" s="1658"/>
      <c r="F21" s="2061"/>
      <c r="G21" s="2305"/>
      <c r="H21" s="1641"/>
      <c r="I21" s="1597"/>
      <c r="J21" s="1600"/>
      <c r="K21" s="1666"/>
      <c r="M21" s="2007"/>
      <c r="N21" s="2007"/>
      <c r="Q21" s="1597"/>
      <c r="R21" s="22"/>
      <c r="T21" s="1788" t="s">
        <v>8825</v>
      </c>
      <c r="U21" s="343"/>
      <c r="V21" s="1968"/>
      <c r="W21" s="2058"/>
      <c r="Z21" s="1597"/>
      <c r="AA21" s="22"/>
      <c r="AB21" s="1659"/>
      <c r="AC21" s="1607"/>
      <c r="AD21" s="1607"/>
      <c r="AE21" s="1607"/>
      <c r="AF21" s="1607"/>
      <c r="AG21" s="1610"/>
      <c r="AH21" s="1607"/>
      <c r="AI21" s="1612"/>
      <c r="AJ21" s="1613"/>
      <c r="AK21" s="1608"/>
      <c r="AL21" s="22"/>
      <c r="AM21" s="22"/>
      <c r="AN21" s="22"/>
      <c r="AO21" s="1614"/>
      <c r="AP21" s="1615"/>
      <c r="AQ21" s="1608"/>
      <c r="AR21" s="1597"/>
    </row>
    <row r="22" spans="1:44" s="1596" customFormat="1" ht="17.25">
      <c r="A22" s="1594"/>
      <c r="B22" s="1656"/>
      <c r="C22" s="1655"/>
      <c r="D22" s="1657"/>
      <c r="E22" s="1658"/>
      <c r="F22" s="2061"/>
      <c r="G22" s="2305"/>
      <c r="H22" s="1641"/>
      <c r="I22" s="1597"/>
      <c r="J22" s="1600"/>
      <c r="K22" s="1666"/>
      <c r="M22" s="2007"/>
      <c r="N22" s="2007"/>
      <c r="Q22" s="1597"/>
      <c r="R22" s="22"/>
      <c r="T22" s="40" t="s">
        <v>77</v>
      </c>
      <c r="U22" s="343"/>
      <c r="V22" s="1968"/>
      <c r="W22" s="2058"/>
      <c r="Z22" s="1597"/>
      <c r="AA22" s="22"/>
      <c r="AB22" s="1659"/>
      <c r="AC22" s="1607"/>
      <c r="AD22" s="1607"/>
      <c r="AE22" s="1607"/>
      <c r="AF22" s="1607"/>
      <c r="AG22" s="1610"/>
      <c r="AH22" s="1607"/>
      <c r="AI22" s="1612"/>
      <c r="AJ22" s="1613"/>
      <c r="AK22" s="1608"/>
      <c r="AL22" s="22"/>
      <c r="AM22" s="22"/>
      <c r="AN22" s="22"/>
      <c r="AO22" s="1614"/>
      <c r="AP22" s="1615"/>
      <c r="AQ22" s="1608"/>
      <c r="AR22" s="1597"/>
    </row>
    <row r="23" spans="1:44" s="1596" customFormat="1" ht="17.25">
      <c r="A23" s="1594"/>
      <c r="B23" s="1656"/>
      <c r="C23" s="1655"/>
      <c r="D23" s="1657"/>
      <c r="E23" s="1658"/>
      <c r="F23" s="2061"/>
      <c r="G23" s="2305"/>
      <c r="H23" s="2081"/>
      <c r="I23" s="1597"/>
      <c r="J23" s="1600"/>
      <c r="K23" s="1666"/>
      <c r="M23" s="2007"/>
      <c r="N23" s="2007"/>
      <c r="Q23" s="1597"/>
      <c r="R23" s="22"/>
      <c r="T23" s="27" t="s">
        <v>79</v>
      </c>
      <c r="U23" s="343"/>
      <c r="V23" s="1968"/>
      <c r="W23" s="2058"/>
      <c r="Z23" s="1597"/>
      <c r="AA23" s="22"/>
      <c r="AB23" s="1659"/>
      <c r="AC23" s="1607"/>
      <c r="AD23" s="1607"/>
      <c r="AE23" s="1607"/>
      <c r="AF23" s="1607"/>
      <c r="AG23" s="1610"/>
      <c r="AH23" s="1607"/>
      <c r="AI23" s="1612"/>
      <c r="AJ23" s="1613"/>
      <c r="AK23" s="1608"/>
      <c r="AL23" s="22"/>
      <c r="AM23" s="22"/>
      <c r="AN23" s="22"/>
      <c r="AO23" s="1614"/>
      <c r="AP23" s="1615"/>
      <c r="AQ23" s="1608"/>
      <c r="AR23" s="1597"/>
    </row>
    <row r="24" spans="1:44" s="1596" customFormat="1" ht="17.25">
      <c r="A24" s="1594"/>
      <c r="B24" s="1656"/>
      <c r="C24" s="1655"/>
      <c r="D24" s="1657"/>
      <c r="E24" s="1657"/>
      <c r="F24" s="2061"/>
      <c r="G24" s="2305"/>
      <c r="H24" s="1641"/>
      <c r="I24" s="1597"/>
      <c r="J24" s="1600"/>
      <c r="K24" s="1666"/>
      <c r="M24" s="2007"/>
      <c r="N24" s="2007"/>
      <c r="Q24" s="1597"/>
      <c r="R24" s="22"/>
      <c r="T24" s="40" t="s">
        <v>81</v>
      </c>
      <c r="U24" s="343"/>
      <c r="V24" s="1968"/>
      <c r="W24" s="2058"/>
      <c r="Z24" s="1597"/>
      <c r="AA24" s="22"/>
      <c r="AB24" s="1659"/>
      <c r="AC24" s="1607"/>
      <c r="AD24" s="1607"/>
      <c r="AE24" s="1607"/>
      <c r="AF24" s="1607"/>
      <c r="AG24" s="1610"/>
      <c r="AH24" s="1607"/>
      <c r="AI24" s="1612"/>
      <c r="AJ24" s="1613"/>
      <c r="AK24" s="1608"/>
      <c r="AL24" s="22"/>
      <c r="AM24" s="22"/>
      <c r="AN24" s="22"/>
      <c r="AO24" s="1614"/>
      <c r="AP24" s="1615"/>
      <c r="AQ24" s="1608"/>
      <c r="AR24" s="1597"/>
    </row>
    <row r="25" spans="1:44" s="1596" customFormat="1" ht="17.25">
      <c r="A25" s="1594"/>
      <c r="B25" s="1656"/>
      <c r="C25" s="1655"/>
      <c r="D25" s="1657"/>
      <c r="E25" s="1658"/>
      <c r="F25" s="2061"/>
      <c r="G25" s="2305"/>
      <c r="H25" s="1641"/>
      <c r="I25" s="1597"/>
      <c r="J25" s="1600"/>
      <c r="K25" s="1666"/>
      <c r="M25" s="2007"/>
      <c r="N25" s="2007"/>
      <c r="Q25" s="1597"/>
      <c r="R25" s="22"/>
      <c r="T25" s="40" t="s">
        <v>84</v>
      </c>
      <c r="U25" s="343"/>
      <c r="V25" s="1968"/>
      <c r="W25" s="2058"/>
      <c r="Z25" s="1597"/>
      <c r="AA25" s="22"/>
      <c r="AB25" s="1659"/>
      <c r="AC25" s="1607"/>
      <c r="AD25" s="1607"/>
      <c r="AE25" s="1607"/>
      <c r="AF25" s="1607"/>
      <c r="AG25" s="1610"/>
      <c r="AH25" s="1607"/>
      <c r="AI25" s="1612"/>
      <c r="AJ25" s="1613"/>
      <c r="AK25" s="1608"/>
      <c r="AL25" s="22"/>
      <c r="AM25" s="22"/>
      <c r="AN25" s="22"/>
      <c r="AO25" s="1614"/>
      <c r="AP25" s="1615"/>
      <c r="AQ25" s="1608"/>
      <c r="AR25" s="1597"/>
    </row>
    <row r="26" spans="1:44" s="1596" customFormat="1" ht="17.25">
      <c r="A26" s="1594"/>
      <c r="B26" s="1656" t="s">
        <v>50</v>
      </c>
      <c r="C26" s="760" t="s">
        <v>8884</v>
      </c>
      <c r="D26" s="1657">
        <v>3.55</v>
      </c>
      <c r="E26" s="1658">
        <v>20</v>
      </c>
      <c r="F26" s="2082">
        <v>4.25</v>
      </c>
      <c r="G26" s="2024">
        <f>(F26-D26)*E26*100-(E26*2.44*2)</f>
        <v>1302.4000000000005</v>
      </c>
      <c r="H26" s="2081">
        <v>45681</v>
      </c>
      <c r="I26" s="1597">
        <f>D26*E26*100</f>
        <v>7100</v>
      </c>
      <c r="J26" s="1853">
        <f>G26/I26</f>
        <v>0.18343661971830993</v>
      </c>
      <c r="K26" s="1666"/>
      <c r="M26" s="2007">
        <f>G26</f>
        <v>1302.4000000000005</v>
      </c>
      <c r="N26" s="2007"/>
      <c r="Q26" s="1597"/>
      <c r="R26" s="22"/>
      <c r="T26" s="40" t="s">
        <v>8926</v>
      </c>
      <c r="U26" s="343"/>
      <c r="V26" s="1968"/>
      <c r="W26" s="2058"/>
      <c r="Z26" s="1597"/>
      <c r="AA26" s="22"/>
      <c r="AB26" s="1659"/>
      <c r="AC26" s="1607"/>
      <c r="AD26" s="1607"/>
      <c r="AE26" s="1607"/>
      <c r="AF26" s="1607"/>
      <c r="AG26" s="1610"/>
      <c r="AH26" s="1607"/>
      <c r="AI26" s="1612"/>
      <c r="AJ26" s="1613"/>
      <c r="AK26" s="1608"/>
      <c r="AL26" s="22"/>
      <c r="AM26" s="22"/>
      <c r="AN26" s="22"/>
      <c r="AO26" s="1614"/>
      <c r="AP26" s="1615"/>
      <c r="AQ26" s="1608"/>
      <c r="AR26" s="1597"/>
    </row>
    <row r="27" spans="1:44" s="1596" customFormat="1" ht="17.25">
      <c r="A27" s="1594"/>
      <c r="B27" s="1656" t="s">
        <v>50</v>
      </c>
      <c r="C27" s="760" t="s">
        <v>8884</v>
      </c>
      <c r="D27" s="1657">
        <v>3.4</v>
      </c>
      <c r="E27" s="1658">
        <v>19</v>
      </c>
      <c r="F27" s="2082">
        <v>4.0999999999999996</v>
      </c>
      <c r="G27" s="2024">
        <f>(F27-D27)*E27*100-(E27*2.44*2)</f>
        <v>1237.2799999999995</v>
      </c>
      <c r="H27" s="2081">
        <v>45680</v>
      </c>
      <c r="I27" s="1597">
        <f>D27*E27*100</f>
        <v>6459.9999999999991</v>
      </c>
      <c r="J27" s="1853">
        <f>G27/I27</f>
        <v>0.19152941176470584</v>
      </c>
      <c r="K27" s="1666"/>
      <c r="M27" s="2007">
        <f>G27</f>
        <v>1237.2799999999995</v>
      </c>
      <c r="N27" s="2007"/>
      <c r="Q27" s="1597"/>
      <c r="R27" s="22"/>
      <c r="T27" s="40" t="s">
        <v>8935</v>
      </c>
      <c r="U27" s="343"/>
      <c r="V27" s="1968"/>
      <c r="W27" s="2058"/>
      <c r="Z27" s="1597"/>
      <c r="AA27" s="22"/>
      <c r="AB27" s="1659"/>
      <c r="AC27" s="1607"/>
      <c r="AD27" s="1607"/>
      <c r="AE27" s="1607"/>
      <c r="AF27" s="1607"/>
      <c r="AG27" s="1610"/>
      <c r="AH27" s="1607"/>
      <c r="AI27" s="1612"/>
      <c r="AJ27" s="1613"/>
      <c r="AK27" s="1608"/>
      <c r="AL27" s="22"/>
      <c r="AM27" s="22"/>
      <c r="AN27" s="22"/>
      <c r="AO27" s="1614"/>
      <c r="AP27" s="1615"/>
      <c r="AQ27" s="1608"/>
      <c r="AR27" s="1597"/>
    </row>
    <row r="28" spans="1:44" s="1596" customFormat="1" ht="17.25">
      <c r="A28" s="1594"/>
      <c r="B28" s="1656" t="s">
        <v>50</v>
      </c>
      <c r="C28" s="760" t="s">
        <v>8884</v>
      </c>
      <c r="D28" s="1657">
        <v>3.1</v>
      </c>
      <c r="E28" s="1658">
        <v>21</v>
      </c>
      <c r="F28" s="2082">
        <v>4.5999999999999996</v>
      </c>
      <c r="G28" s="2024">
        <f>(F28-D28)*E28*100-(E28*2.44*2)</f>
        <v>3047.5199999999991</v>
      </c>
      <c r="H28" s="2081">
        <v>45679</v>
      </c>
      <c r="I28" s="1597">
        <f>D28*E28*100</f>
        <v>6510.0000000000009</v>
      </c>
      <c r="J28" s="1853">
        <f>G28/I28</f>
        <v>0.46812903225806429</v>
      </c>
      <c r="K28" s="1666"/>
      <c r="M28" s="2007">
        <f>G28</f>
        <v>3047.5199999999991</v>
      </c>
      <c r="N28" s="2007"/>
      <c r="Q28" s="1597"/>
      <c r="R28" s="22"/>
      <c r="V28" s="1968"/>
      <c r="W28" s="2058"/>
      <c r="Z28" s="1597"/>
      <c r="AA28" s="22"/>
      <c r="AB28" s="1659"/>
      <c r="AC28" s="1607"/>
      <c r="AD28" s="1607"/>
      <c r="AE28" s="1607"/>
      <c r="AF28" s="1607"/>
      <c r="AG28" s="1610"/>
      <c r="AH28" s="1607"/>
      <c r="AI28" s="1612"/>
      <c r="AJ28" s="1613"/>
      <c r="AK28" s="1608"/>
      <c r="AL28" s="22"/>
      <c r="AM28" s="22"/>
      <c r="AN28" s="22"/>
      <c r="AO28" s="1614"/>
      <c r="AP28" s="1615"/>
      <c r="AQ28" s="1608"/>
      <c r="AR28" s="1597"/>
    </row>
    <row r="29" spans="1:44" s="1596" customFormat="1" ht="17.25">
      <c r="A29" s="1594"/>
      <c r="B29" s="1656" t="s">
        <v>8933</v>
      </c>
      <c r="C29" s="1655" t="s">
        <v>8857</v>
      </c>
      <c r="D29" s="1657">
        <v>246.1</v>
      </c>
      <c r="E29" s="1658">
        <v>325</v>
      </c>
      <c r="F29" s="2082">
        <v>249.78</v>
      </c>
      <c r="G29" s="2024">
        <v>1196</v>
      </c>
      <c r="H29" s="2081">
        <v>45674</v>
      </c>
      <c r="I29" s="1597">
        <v>85166</v>
      </c>
      <c r="J29" s="2023">
        <f>G29/I29</f>
        <v>1.404316276448348E-2</v>
      </c>
      <c r="K29" s="1666"/>
      <c r="M29" s="2007"/>
      <c r="N29" s="2007">
        <f>G29</f>
        <v>1196</v>
      </c>
      <c r="Q29" s="1597"/>
      <c r="R29" s="22"/>
      <c r="V29" s="1968"/>
      <c r="W29" s="2058"/>
      <c r="Z29" s="1597"/>
      <c r="AA29" s="22"/>
      <c r="AB29" s="1659"/>
      <c r="AC29" s="1607"/>
      <c r="AD29" s="1607"/>
      <c r="AE29" s="1607"/>
      <c r="AF29" s="1607"/>
      <c r="AG29" s="1610"/>
      <c r="AH29" s="1607"/>
      <c r="AI29" s="1612"/>
      <c r="AJ29" s="1613"/>
      <c r="AK29" s="1608"/>
      <c r="AL29" s="22"/>
      <c r="AM29" s="22"/>
      <c r="AN29" s="22"/>
      <c r="AO29" s="1614"/>
      <c r="AP29" s="1615"/>
      <c r="AQ29" s="1608"/>
      <c r="AR29" s="1597"/>
    </row>
    <row r="30" spans="1:44" s="1596" customFormat="1" ht="17.25">
      <c r="A30" s="1594"/>
      <c r="B30" s="1656" t="s">
        <v>377</v>
      </c>
      <c r="C30" s="1655" t="s">
        <v>8822</v>
      </c>
      <c r="D30" s="1657">
        <v>13.35</v>
      </c>
      <c r="E30" s="1658">
        <v>15</v>
      </c>
      <c r="F30" s="1657">
        <v>23.95</v>
      </c>
      <c r="G30" s="2024">
        <f>(F30-D30)*E30*100-(E30*2.44*2)</f>
        <v>15826.8</v>
      </c>
      <c r="H30" s="2081">
        <v>45674</v>
      </c>
      <c r="I30" s="16">
        <f>D30*E30*100</f>
        <v>20025</v>
      </c>
      <c r="J30" s="1853">
        <f>G30/I30</f>
        <v>0.79035205992509361</v>
      </c>
      <c r="K30" s="1666"/>
      <c r="L30" s="2007">
        <f>G30</f>
        <v>15826.8</v>
      </c>
      <c r="M30" s="2007"/>
      <c r="N30" s="2007"/>
      <c r="Q30" s="1597"/>
      <c r="R30" s="22"/>
      <c r="V30" s="1968"/>
      <c r="W30" s="2058"/>
      <c r="Z30" s="1597"/>
      <c r="AA30" s="22"/>
      <c r="AB30" s="1659"/>
      <c r="AC30" s="1607"/>
      <c r="AD30" s="1607"/>
      <c r="AE30" s="1607"/>
      <c r="AF30" s="1607"/>
      <c r="AG30" s="1610"/>
      <c r="AH30" s="1607"/>
      <c r="AI30" s="1612"/>
      <c r="AJ30" s="1613"/>
      <c r="AK30" s="1608"/>
      <c r="AL30" s="22"/>
      <c r="AM30" s="22"/>
      <c r="AN30" s="22"/>
      <c r="AO30" s="1614"/>
      <c r="AP30" s="1615"/>
      <c r="AQ30" s="1608"/>
      <c r="AR30" s="1597"/>
    </row>
    <row r="31" spans="1:44" s="1596" customFormat="1" ht="17.25">
      <c r="A31" s="1594"/>
      <c r="B31" s="1656" t="s">
        <v>50</v>
      </c>
      <c r="C31" s="760" t="s">
        <v>8884</v>
      </c>
      <c r="D31" s="1657">
        <v>3.1</v>
      </c>
      <c r="E31" s="1658">
        <v>21</v>
      </c>
      <c r="F31" s="2082">
        <v>4.3499999999999996</v>
      </c>
      <c r="G31" s="2024">
        <f>(F31-D31)*E31*100-(E31*2.44*2)</f>
        <v>2522.5199999999991</v>
      </c>
      <c r="H31" s="2081">
        <v>45673</v>
      </c>
      <c r="I31" s="1597">
        <f>D31*E31*100</f>
        <v>6510.0000000000009</v>
      </c>
      <c r="J31" s="1853">
        <f>G31/I31</f>
        <v>0.38748387096774173</v>
      </c>
      <c r="K31" s="1666"/>
      <c r="M31" s="2007">
        <f>G31</f>
        <v>2522.5199999999991</v>
      </c>
      <c r="N31" s="2007"/>
      <c r="Q31" s="1597"/>
      <c r="R31" s="22"/>
      <c r="V31" s="1968"/>
      <c r="W31" s="2058"/>
      <c r="Z31" s="1597"/>
      <c r="AA31" s="22"/>
      <c r="AB31" s="1659"/>
      <c r="AC31" s="1607"/>
      <c r="AD31" s="1607"/>
      <c r="AE31" s="1607"/>
      <c r="AF31" s="1607"/>
      <c r="AG31" s="1610"/>
      <c r="AH31" s="1607"/>
      <c r="AI31" s="1612"/>
      <c r="AJ31" s="1613"/>
      <c r="AK31" s="1608"/>
      <c r="AL31" s="22"/>
      <c r="AM31" s="22"/>
      <c r="AN31" s="22"/>
      <c r="AO31" s="1614"/>
      <c r="AP31" s="1615"/>
      <c r="AQ31" s="1608"/>
      <c r="AR31" s="1597"/>
    </row>
    <row r="32" spans="1:44" s="1596" customFormat="1" ht="17.25">
      <c r="A32" s="1594"/>
      <c r="B32" s="1654" t="s">
        <v>8939</v>
      </c>
      <c r="C32" s="1655" t="s">
        <v>8822</v>
      </c>
      <c r="D32" s="67">
        <v>3.14</v>
      </c>
      <c r="E32" s="68">
        <v>48</v>
      </c>
      <c r="F32" s="2082">
        <v>0.4</v>
      </c>
      <c r="G32" s="2024">
        <v>-13478</v>
      </c>
      <c r="H32" s="2081">
        <v>45674</v>
      </c>
      <c r="I32" s="16">
        <f>D32*E32*100</f>
        <v>15072</v>
      </c>
      <c r="J32" s="1853">
        <f>G32/I32</f>
        <v>-0.89424097664543523</v>
      </c>
      <c r="K32" s="1666"/>
      <c r="L32" s="2007">
        <f>G32</f>
        <v>-13478</v>
      </c>
      <c r="M32" s="2007"/>
      <c r="N32" s="2007"/>
      <c r="Q32" s="1597"/>
      <c r="R32" s="22"/>
      <c r="V32" s="1968"/>
      <c r="W32" s="2058"/>
      <c r="Z32" s="1597"/>
      <c r="AA32" s="22"/>
      <c r="AB32" s="1659"/>
      <c r="AC32" s="1607"/>
      <c r="AD32" s="1607"/>
      <c r="AE32" s="1607"/>
      <c r="AF32" s="1607"/>
      <c r="AG32" s="1610"/>
      <c r="AH32" s="1607"/>
      <c r="AI32" s="1612"/>
      <c r="AJ32" s="1613"/>
      <c r="AK32" s="1608"/>
      <c r="AL32" s="22"/>
      <c r="AM32" s="22"/>
      <c r="AN32" s="22"/>
      <c r="AO32" s="1614"/>
      <c r="AP32" s="1615"/>
      <c r="AQ32" s="1608"/>
      <c r="AR32" s="1597"/>
    </row>
    <row r="33" spans="1:44" s="1596" customFormat="1" ht="17.25">
      <c r="A33" s="1594"/>
      <c r="B33" s="1656" t="s">
        <v>50</v>
      </c>
      <c r="C33" s="760" t="s">
        <v>8884</v>
      </c>
      <c r="D33" s="1657">
        <v>3.1</v>
      </c>
      <c r="E33" s="1658">
        <v>21</v>
      </c>
      <c r="F33" s="2082">
        <v>3.75</v>
      </c>
      <c r="G33" s="2024">
        <f>(F33-D33)*E33*100-(E33*2.44*2)</f>
        <v>1262.5199999999998</v>
      </c>
      <c r="H33" s="2081">
        <v>45673</v>
      </c>
      <c r="I33" s="1597">
        <f>D33*E33*100</f>
        <v>6510.0000000000009</v>
      </c>
      <c r="J33" s="1853">
        <f>G33/I33</f>
        <v>0.19393548387096768</v>
      </c>
      <c r="K33" s="1666"/>
      <c r="M33" s="2007">
        <f>G33</f>
        <v>1262.5199999999998</v>
      </c>
      <c r="N33" s="2007"/>
      <c r="Q33" s="1597"/>
      <c r="R33" s="22"/>
      <c r="V33" s="1968"/>
      <c r="W33" s="2058"/>
      <c r="Z33" s="1597"/>
      <c r="AA33" s="22"/>
      <c r="AB33" s="1659"/>
      <c r="AC33" s="1607"/>
      <c r="AD33" s="1607"/>
      <c r="AE33" s="1607"/>
      <c r="AF33" s="1607"/>
      <c r="AG33" s="1610"/>
      <c r="AH33" s="1607"/>
      <c r="AI33" s="1612"/>
      <c r="AJ33" s="1613"/>
      <c r="AK33" s="1608"/>
      <c r="AL33" s="22"/>
      <c r="AM33" s="22"/>
      <c r="AN33" s="22"/>
      <c r="AO33" s="1614"/>
      <c r="AP33" s="1615"/>
      <c r="AQ33" s="1608"/>
      <c r="AR33" s="1597"/>
    </row>
    <row r="34" spans="1:44" s="1596" customFormat="1" ht="17.25">
      <c r="A34" s="1594"/>
      <c r="B34" s="1656" t="s">
        <v>8932</v>
      </c>
      <c r="C34" s="1655" t="s">
        <v>8857</v>
      </c>
      <c r="D34" s="1657">
        <v>91.38</v>
      </c>
      <c r="E34" s="1658">
        <v>932</v>
      </c>
      <c r="F34" s="2082">
        <v>92.23</v>
      </c>
      <c r="G34" s="2025">
        <v>792</v>
      </c>
      <c r="H34" s="2081">
        <v>45672</v>
      </c>
      <c r="I34" s="1597">
        <v>85166</v>
      </c>
      <c r="J34" s="2023">
        <f>G34/I34</f>
        <v>9.2994857102599634E-3</v>
      </c>
      <c r="K34" s="1666"/>
      <c r="M34" s="2007"/>
      <c r="N34" s="2007">
        <f>G34</f>
        <v>792</v>
      </c>
      <c r="Q34" s="1597"/>
      <c r="R34" s="22"/>
      <c r="V34" s="1968"/>
      <c r="W34" s="2058"/>
      <c r="Z34" s="1597"/>
      <c r="AA34" s="22"/>
      <c r="AB34" s="1659"/>
      <c r="AC34" s="1607"/>
      <c r="AD34" s="1607"/>
      <c r="AE34" s="1607"/>
      <c r="AF34" s="1607"/>
      <c r="AG34" s="1610"/>
      <c r="AH34" s="1607"/>
      <c r="AI34" s="1612"/>
      <c r="AJ34" s="1613"/>
      <c r="AK34" s="1608"/>
      <c r="AL34" s="22"/>
      <c r="AM34" s="22"/>
      <c r="AN34" s="22"/>
      <c r="AO34" s="1614"/>
      <c r="AP34" s="1615"/>
      <c r="AQ34" s="1608"/>
      <c r="AR34" s="1597"/>
    </row>
    <row r="35" spans="1:44" s="1596" customFormat="1" ht="17.25">
      <c r="A35" s="1594"/>
      <c r="B35" s="1656" t="s">
        <v>1058</v>
      </c>
      <c r="C35" s="1655" t="s">
        <v>8857</v>
      </c>
      <c r="D35" s="1657">
        <v>76.13</v>
      </c>
      <c r="E35" s="1658">
        <v>1119</v>
      </c>
      <c r="F35" s="2082">
        <v>76.900000000000006</v>
      </c>
      <c r="G35" s="2025">
        <v>862</v>
      </c>
      <c r="H35" s="2081">
        <v>45672</v>
      </c>
      <c r="I35" s="1597">
        <v>85189</v>
      </c>
      <c r="J35" s="2023">
        <f>G35/I35</f>
        <v>1.0118677294016833E-2</v>
      </c>
      <c r="K35" s="1666"/>
      <c r="M35" s="2007"/>
      <c r="N35" s="2007">
        <f>G35</f>
        <v>862</v>
      </c>
      <c r="Q35" s="1597"/>
      <c r="R35" s="22"/>
      <c r="V35" s="1968"/>
      <c r="W35" s="2058"/>
      <c r="Z35" s="1597"/>
      <c r="AA35" s="22"/>
      <c r="AB35" s="1659"/>
      <c r="AC35" s="1607"/>
      <c r="AD35" s="1607"/>
      <c r="AE35" s="1607"/>
      <c r="AF35" s="1607"/>
      <c r="AG35" s="1610"/>
      <c r="AH35" s="1607"/>
      <c r="AI35" s="1612"/>
      <c r="AJ35" s="1613"/>
      <c r="AK35" s="1608"/>
      <c r="AL35" s="22"/>
      <c r="AM35" s="22"/>
      <c r="AN35" s="22"/>
      <c r="AO35" s="1614"/>
      <c r="AP35" s="1615"/>
      <c r="AQ35" s="1608"/>
      <c r="AR35" s="1597"/>
    </row>
    <row r="36" spans="1:44" s="1596" customFormat="1" ht="17.25">
      <c r="A36" s="1594"/>
      <c r="B36" s="1656" t="s">
        <v>50</v>
      </c>
      <c r="C36" s="760" t="s">
        <v>8884</v>
      </c>
      <c r="D36" s="1657">
        <v>2.75</v>
      </c>
      <c r="E36" s="1658">
        <v>18</v>
      </c>
      <c r="F36" s="2082">
        <v>3.3</v>
      </c>
      <c r="G36" s="2024">
        <f>(F36-D36)*E36*100-(E36*2.44*2)</f>
        <v>902.15999999999963</v>
      </c>
      <c r="H36" s="2081">
        <v>45672</v>
      </c>
      <c r="I36" s="1597">
        <f>D36*E36*100</f>
        <v>4950</v>
      </c>
      <c r="J36" s="1853">
        <f t="shared" ref="J36" si="3">G36/I36</f>
        <v>0.18225454545454539</v>
      </c>
      <c r="K36" s="1666"/>
      <c r="M36" s="2007">
        <f>G36</f>
        <v>902.15999999999963</v>
      </c>
      <c r="N36" s="2007"/>
      <c r="Q36" s="1597"/>
      <c r="R36" s="22"/>
      <c r="T36" s="343"/>
      <c r="U36" s="343"/>
      <c r="V36" s="1968"/>
      <c r="W36" s="2058"/>
      <c r="Z36" s="1597"/>
      <c r="AA36" s="22"/>
      <c r="AB36" s="1659"/>
      <c r="AC36" s="1607"/>
      <c r="AD36" s="1607"/>
      <c r="AE36" s="1607"/>
      <c r="AF36" s="1607"/>
      <c r="AG36" s="1610"/>
      <c r="AH36" s="1607"/>
      <c r="AI36" s="1612"/>
      <c r="AJ36" s="1613"/>
      <c r="AK36" s="1608"/>
      <c r="AL36" s="22"/>
      <c r="AM36" s="22"/>
      <c r="AN36" s="22"/>
      <c r="AO36" s="1614"/>
      <c r="AP36" s="1615"/>
      <c r="AQ36" s="1608"/>
      <c r="AR36" s="1597"/>
    </row>
    <row r="37" spans="1:44" s="1596" customFormat="1" ht="17.25">
      <c r="A37" s="1594"/>
      <c r="B37" s="1656" t="s">
        <v>50</v>
      </c>
      <c r="C37" s="760" t="s">
        <v>8884</v>
      </c>
      <c r="D37" s="1657">
        <v>3.2</v>
      </c>
      <c r="E37" s="1658">
        <v>18</v>
      </c>
      <c r="F37" s="2082">
        <v>3.85</v>
      </c>
      <c r="G37" s="2024">
        <f>(F37-D37)*E37*100-(E37*2.44*2)</f>
        <v>1082.1600000000001</v>
      </c>
      <c r="H37" s="2081">
        <v>45671</v>
      </c>
      <c r="I37" s="1597">
        <f>D37*E37*100</f>
        <v>5760</v>
      </c>
      <c r="J37" s="1853">
        <f t="shared" ref="J37" si="4">G37/I37</f>
        <v>0.18787500000000001</v>
      </c>
      <c r="K37" s="1666"/>
      <c r="M37" s="2007">
        <f>G37</f>
        <v>1082.1600000000001</v>
      </c>
      <c r="Q37" s="1597"/>
      <c r="R37" s="22"/>
      <c r="U37" s="343"/>
      <c r="V37" s="1968"/>
      <c r="W37" s="2058"/>
      <c r="Z37" s="1597"/>
      <c r="AA37" s="22"/>
      <c r="AB37" s="1659"/>
      <c r="AC37" s="1607"/>
      <c r="AD37" s="1607"/>
      <c r="AE37" s="1607"/>
      <c r="AF37" s="1607"/>
      <c r="AG37" s="1610"/>
      <c r="AH37" s="1607"/>
      <c r="AI37" s="1612"/>
      <c r="AJ37" s="1613"/>
      <c r="AK37" s="1608"/>
      <c r="AL37" s="22"/>
      <c r="AM37" s="22"/>
      <c r="AN37" s="22"/>
      <c r="AO37" s="1614"/>
      <c r="AP37" s="1615"/>
      <c r="AQ37" s="1608"/>
      <c r="AR37" s="1597"/>
    </row>
    <row r="38" spans="1:44" s="1596" customFormat="1" ht="17.25">
      <c r="A38" s="1594"/>
      <c r="B38" s="1656" t="s">
        <v>412</v>
      </c>
      <c r="C38" s="1655" t="s">
        <v>8857</v>
      </c>
      <c r="D38" s="1657">
        <v>115.11</v>
      </c>
      <c r="E38" s="1658">
        <v>764</v>
      </c>
      <c r="F38" s="2082">
        <v>107.32</v>
      </c>
      <c r="G38" s="2024">
        <v>-5951</v>
      </c>
      <c r="H38" s="2081">
        <v>45667</v>
      </c>
      <c r="I38" s="1597">
        <f>D38*E38</f>
        <v>87944.04</v>
      </c>
      <c r="J38" s="2023">
        <f t="shared" ref="J38:J48" si="5">G38/I38</f>
        <v>-6.7668030715896166E-2</v>
      </c>
      <c r="K38" s="1666"/>
      <c r="N38" s="2007">
        <f>G38</f>
        <v>-5951</v>
      </c>
      <c r="Q38" s="1597"/>
      <c r="R38" s="22"/>
      <c r="U38" s="343"/>
      <c r="V38" s="1968"/>
      <c r="W38" s="2058"/>
      <c r="Z38" s="1597"/>
      <c r="AA38" s="22"/>
      <c r="AB38" s="1659"/>
      <c r="AC38" s="1607"/>
      <c r="AD38" s="1607"/>
      <c r="AE38" s="1607"/>
      <c r="AF38" s="1607"/>
      <c r="AG38" s="1610"/>
      <c r="AH38" s="1607"/>
      <c r="AI38" s="1612"/>
      <c r="AJ38" s="1613"/>
      <c r="AK38" s="1608"/>
      <c r="AL38" s="22"/>
      <c r="AM38" s="22"/>
      <c r="AN38" s="22"/>
      <c r="AO38" s="1614"/>
      <c r="AP38" s="1615"/>
      <c r="AQ38" s="1608"/>
      <c r="AR38" s="1597"/>
    </row>
    <row r="39" spans="1:44" s="1596" customFormat="1" ht="17.25">
      <c r="A39" s="1594"/>
      <c r="B39" s="1656" t="s">
        <v>50</v>
      </c>
      <c r="C39" s="760" t="s">
        <v>8884</v>
      </c>
      <c r="D39" s="1657">
        <v>3.1</v>
      </c>
      <c r="E39" s="1658">
        <v>19</v>
      </c>
      <c r="F39" s="2082">
        <v>3.65</v>
      </c>
      <c r="G39" s="2024">
        <v>-5936.4</v>
      </c>
      <c r="H39" s="2081">
        <v>45667</v>
      </c>
      <c r="I39" s="1597">
        <f>D39*E39*100</f>
        <v>5890</v>
      </c>
      <c r="J39" s="1853">
        <f t="shared" si="5"/>
        <v>-1.0078777589134125</v>
      </c>
      <c r="K39" s="1666"/>
      <c r="M39" s="2007">
        <f>G39</f>
        <v>-5936.4</v>
      </c>
      <c r="Q39" s="1597"/>
      <c r="R39" s="22"/>
      <c r="U39" s="343"/>
      <c r="V39" s="1968"/>
      <c r="W39" s="2058"/>
      <c r="Z39" s="1597"/>
      <c r="AA39" s="22"/>
      <c r="AB39" s="1659"/>
      <c r="AC39" s="1607"/>
      <c r="AD39" s="1607"/>
      <c r="AE39" s="1607"/>
      <c r="AF39" s="1607"/>
      <c r="AG39" s="1610"/>
      <c r="AH39" s="1607"/>
      <c r="AI39" s="1612"/>
      <c r="AJ39" s="1613"/>
      <c r="AK39" s="1608"/>
      <c r="AL39" s="22"/>
      <c r="AM39" s="22"/>
      <c r="AN39" s="22"/>
      <c r="AO39" s="1614"/>
      <c r="AP39" s="1615"/>
      <c r="AQ39" s="1608"/>
      <c r="AR39" s="1597"/>
    </row>
    <row r="40" spans="1:44" s="1596" customFormat="1" ht="17.25">
      <c r="A40" s="1594"/>
      <c r="B40" s="1656" t="s">
        <v>33</v>
      </c>
      <c r="C40" s="1655" t="s">
        <v>8857</v>
      </c>
      <c r="D40" s="1657">
        <v>598.75</v>
      </c>
      <c r="E40" s="1658">
        <v>148</v>
      </c>
      <c r="F40" s="1801">
        <v>587.27</v>
      </c>
      <c r="G40" s="2024">
        <v>-1699</v>
      </c>
      <c r="H40" s="2081">
        <v>45665</v>
      </c>
      <c r="I40" s="1597">
        <v>88615</v>
      </c>
      <c r="J40" s="2023">
        <f t="shared" si="5"/>
        <v>-1.9172826270947355E-2</v>
      </c>
      <c r="K40" s="1666"/>
      <c r="M40" s="2007"/>
      <c r="N40" s="2007">
        <f>G40</f>
        <v>-1699</v>
      </c>
      <c r="Q40" s="1597"/>
      <c r="R40" s="22"/>
      <c r="U40" s="343"/>
      <c r="V40" s="1968"/>
      <c r="W40" s="2058"/>
      <c r="Z40" s="1597"/>
      <c r="AA40" s="22"/>
      <c r="AB40" s="1659"/>
      <c r="AC40" s="1607"/>
      <c r="AD40" s="1607"/>
      <c r="AE40" s="1607"/>
      <c r="AF40" s="1607"/>
      <c r="AG40" s="1610"/>
      <c r="AH40" s="1607"/>
      <c r="AI40" s="1612"/>
      <c r="AJ40" s="1613"/>
      <c r="AK40" s="1608"/>
      <c r="AL40" s="22"/>
      <c r="AM40" s="22"/>
      <c r="AN40" s="22"/>
      <c r="AO40" s="1614"/>
      <c r="AP40" s="1615"/>
      <c r="AQ40" s="1608"/>
      <c r="AR40" s="1597"/>
    </row>
    <row r="41" spans="1:44" s="1596" customFormat="1" ht="17.25">
      <c r="A41" s="1594"/>
      <c r="B41" s="1656" t="s">
        <v>8845</v>
      </c>
      <c r="C41" s="1655" t="s">
        <v>8857</v>
      </c>
      <c r="D41" s="1657">
        <v>51.34</v>
      </c>
      <c r="E41" s="1658">
        <v>1715</v>
      </c>
      <c r="F41" s="1801">
        <v>48.845100000000002</v>
      </c>
      <c r="G41" s="2024">
        <v>-4279</v>
      </c>
      <c r="H41" s="2081">
        <v>45665</v>
      </c>
      <c r="I41" s="1597">
        <v>88048</v>
      </c>
      <c r="J41" s="2023">
        <f t="shared" si="5"/>
        <v>-4.8598491731782663E-2</v>
      </c>
      <c r="K41" s="1666"/>
      <c r="L41" s="1968"/>
      <c r="M41" s="2007"/>
      <c r="N41" s="2007">
        <f>G41</f>
        <v>-4279</v>
      </c>
      <c r="Q41" s="1597"/>
      <c r="R41" s="22"/>
      <c r="U41" s="343"/>
      <c r="V41" s="1968"/>
      <c r="W41" s="2058"/>
      <c r="Z41" s="1597"/>
      <c r="AA41" s="22"/>
      <c r="AB41" s="1659"/>
      <c r="AC41" s="1607"/>
      <c r="AD41" s="1607"/>
      <c r="AE41" s="1607"/>
      <c r="AF41" s="1607"/>
      <c r="AG41" s="1610"/>
      <c r="AH41" s="1607"/>
      <c r="AI41" s="1612"/>
      <c r="AJ41" s="1613"/>
      <c r="AK41" s="1608"/>
      <c r="AL41" s="22"/>
      <c r="AM41" s="22"/>
      <c r="AN41" s="22"/>
      <c r="AO41" s="1614"/>
      <c r="AP41" s="1615"/>
      <c r="AQ41" s="1608"/>
      <c r="AR41" s="1597"/>
    </row>
    <row r="42" spans="1:44" s="1596" customFormat="1" ht="17.25">
      <c r="A42" s="1594"/>
      <c r="B42" s="1656" t="s">
        <v>50</v>
      </c>
      <c r="C42" s="760" t="s">
        <v>8884</v>
      </c>
      <c r="D42" s="1657">
        <v>3.05</v>
      </c>
      <c r="E42" s="1658">
        <v>20</v>
      </c>
      <c r="F42" s="1801">
        <v>3.65</v>
      </c>
      <c r="G42" s="2024">
        <f>(F42-D42)*E42*100-(E42*2.44*2)</f>
        <v>1102.4000000000003</v>
      </c>
      <c r="H42" s="2081">
        <v>45665</v>
      </c>
      <c r="I42" s="1597">
        <f>D42*E42*100</f>
        <v>6100</v>
      </c>
      <c r="J42" s="2023">
        <f t="shared" si="5"/>
        <v>0.1807213114754099</v>
      </c>
      <c r="K42" s="1666"/>
      <c r="M42" s="2007">
        <f>G42</f>
        <v>1102.4000000000003</v>
      </c>
      <c r="N42" s="2007"/>
      <c r="Q42" s="1597"/>
      <c r="R42" s="22"/>
      <c r="U42" s="343"/>
      <c r="V42" s="1968"/>
      <c r="W42" s="2058"/>
      <c r="Z42" s="1597"/>
      <c r="AA42" s="22"/>
      <c r="AB42" s="1659"/>
      <c r="AC42" s="1607"/>
      <c r="AD42" s="1607"/>
      <c r="AE42" s="1607"/>
      <c r="AF42" s="1607"/>
      <c r="AG42" s="1610"/>
      <c r="AH42" s="1607"/>
      <c r="AI42" s="1612"/>
      <c r="AJ42" s="1613"/>
      <c r="AK42" s="1608"/>
      <c r="AL42" s="22"/>
      <c r="AM42" s="22"/>
      <c r="AN42" s="22"/>
      <c r="AO42" s="1614"/>
      <c r="AP42" s="1615"/>
      <c r="AQ42" s="1608"/>
      <c r="AR42" s="1597"/>
    </row>
    <row r="43" spans="1:44" s="1596" customFormat="1" ht="17.25">
      <c r="A43" s="1594"/>
      <c r="B43" s="1656" t="s">
        <v>50</v>
      </c>
      <c r="C43" s="760" t="s">
        <v>8884</v>
      </c>
      <c r="D43" s="1657">
        <v>2.75</v>
      </c>
      <c r="E43" s="1658">
        <v>18</v>
      </c>
      <c r="F43" s="1801">
        <f>D43*1.2</f>
        <v>3.3</v>
      </c>
      <c r="G43" s="2008">
        <f>(F43-D43)*E43*100-(E43*2.44*2)</f>
        <v>902.15999999999963</v>
      </c>
      <c r="H43" s="2081">
        <v>45663</v>
      </c>
      <c r="I43" s="1597">
        <f>D43*E43*100</f>
        <v>4950</v>
      </c>
      <c r="J43" s="2023">
        <f t="shared" si="5"/>
        <v>0.18225454545454539</v>
      </c>
      <c r="K43" s="1666"/>
      <c r="M43" s="2007">
        <f>G43</f>
        <v>902.15999999999963</v>
      </c>
      <c r="N43" s="2007"/>
      <c r="Q43" s="1597"/>
      <c r="R43" s="22"/>
      <c r="U43" s="343"/>
      <c r="V43" s="1968"/>
      <c r="W43" s="2058"/>
      <c r="Z43" s="1597"/>
      <c r="AA43" s="22"/>
      <c r="AB43" s="1659"/>
      <c r="AC43" s="1607"/>
      <c r="AD43" s="1607"/>
      <c r="AE43" s="1607"/>
      <c r="AF43" s="1607"/>
      <c r="AG43" s="1610"/>
      <c r="AH43" s="1607"/>
      <c r="AI43" s="1612"/>
      <c r="AJ43" s="1613"/>
      <c r="AK43" s="1608"/>
      <c r="AL43" s="22"/>
      <c r="AM43" s="22"/>
      <c r="AN43" s="22"/>
      <c r="AO43" s="1614"/>
      <c r="AP43" s="1615"/>
      <c r="AQ43" s="1608"/>
      <c r="AR43" s="1597"/>
    </row>
    <row r="44" spans="1:44" s="1596" customFormat="1" ht="17.25">
      <c r="A44" s="1594"/>
      <c r="B44" s="1656" t="s">
        <v>1058</v>
      </c>
      <c r="C44" s="1655" t="s">
        <v>8857</v>
      </c>
      <c r="D44" s="1657">
        <v>75.41</v>
      </c>
      <c r="E44" s="1658">
        <v>1127</v>
      </c>
      <c r="F44" s="1801">
        <v>76.34</v>
      </c>
      <c r="G44" s="2024">
        <v>1048</v>
      </c>
      <c r="H44" s="2081">
        <v>45663</v>
      </c>
      <c r="I44" s="1597">
        <v>85109</v>
      </c>
      <c r="J44" s="2023">
        <f t="shared" si="5"/>
        <v>1.2313621356143299E-2</v>
      </c>
      <c r="K44" s="1666"/>
      <c r="M44" s="2007"/>
      <c r="N44" s="2007">
        <f>G44</f>
        <v>1048</v>
      </c>
      <c r="Q44" s="1597"/>
      <c r="R44" s="22"/>
      <c r="U44" s="343"/>
      <c r="V44" s="1968"/>
      <c r="W44" s="2058"/>
      <c r="Z44" s="1597"/>
      <c r="AA44" s="22"/>
      <c r="AB44" s="1659"/>
      <c r="AC44" s="1607"/>
      <c r="AD44" s="1607"/>
      <c r="AE44" s="1607"/>
      <c r="AF44" s="1607"/>
      <c r="AG44" s="1610"/>
      <c r="AH44" s="1607"/>
      <c r="AI44" s="1612"/>
      <c r="AJ44" s="1613"/>
      <c r="AK44" s="1608"/>
      <c r="AL44" s="22"/>
      <c r="AM44" s="22"/>
      <c r="AN44" s="22"/>
      <c r="AO44" s="1614"/>
      <c r="AP44" s="1615"/>
      <c r="AQ44" s="1608"/>
      <c r="AR44" s="1597"/>
    </row>
    <row r="45" spans="1:44" s="1596" customFormat="1" ht="17.25">
      <c r="A45" s="1594"/>
      <c r="B45" s="1656" t="s">
        <v>8932</v>
      </c>
      <c r="C45" s="1655" t="s">
        <v>8857</v>
      </c>
      <c r="D45" s="1657">
        <v>92.51</v>
      </c>
      <c r="E45" s="1658">
        <v>920</v>
      </c>
      <c r="F45" s="1801">
        <v>93.36</v>
      </c>
      <c r="G45" s="2024">
        <v>782</v>
      </c>
      <c r="H45" s="2081">
        <v>45663</v>
      </c>
      <c r="I45" s="1597">
        <v>85109</v>
      </c>
      <c r="J45" s="2023">
        <f t="shared" si="5"/>
        <v>9.1882174623130336E-3</v>
      </c>
      <c r="K45" s="1666"/>
      <c r="M45" s="2007"/>
      <c r="N45" s="2007">
        <f>G45</f>
        <v>782</v>
      </c>
      <c r="Q45" s="1597"/>
      <c r="R45" s="22"/>
      <c r="T45" s="343"/>
      <c r="U45" s="343"/>
      <c r="V45" s="1968"/>
      <c r="W45" s="2058"/>
      <c r="Z45" s="1597"/>
      <c r="AA45" s="22"/>
      <c r="AB45" s="1659"/>
      <c r="AC45" s="1607"/>
      <c r="AD45" s="1607"/>
      <c r="AE45" s="1607"/>
      <c r="AF45" s="1607"/>
      <c r="AG45" s="1610"/>
      <c r="AH45" s="1607"/>
      <c r="AI45" s="1612"/>
      <c r="AJ45" s="1613"/>
      <c r="AK45" s="1608"/>
      <c r="AL45" s="22"/>
      <c r="AM45" s="22"/>
      <c r="AN45" s="22"/>
      <c r="AO45" s="1614"/>
      <c r="AP45" s="1615"/>
      <c r="AQ45" s="1608"/>
      <c r="AR45" s="1597"/>
    </row>
    <row r="46" spans="1:44" s="1596" customFormat="1" ht="17.25">
      <c r="A46" s="1594"/>
      <c r="B46" s="1656" t="s">
        <v>8933</v>
      </c>
      <c r="C46" s="1655" t="s">
        <v>8857</v>
      </c>
      <c r="D46" s="1657">
        <v>241.58</v>
      </c>
      <c r="E46" s="1658">
        <v>372</v>
      </c>
      <c r="F46" s="1801">
        <v>243.14</v>
      </c>
      <c r="G46" s="2024">
        <v>580</v>
      </c>
      <c r="H46" s="2081">
        <v>45663</v>
      </c>
      <c r="I46" s="1597">
        <v>89868</v>
      </c>
      <c r="J46" s="2023">
        <f t="shared" si="5"/>
        <v>6.4539101793741937E-3</v>
      </c>
      <c r="K46" s="1666"/>
      <c r="M46" s="2007"/>
      <c r="N46" s="2007">
        <f>G46</f>
        <v>580</v>
      </c>
      <c r="Q46" s="1597"/>
      <c r="R46" s="22"/>
      <c r="T46" s="343"/>
      <c r="U46" s="343"/>
      <c r="V46" s="1968"/>
      <c r="W46" s="2058"/>
      <c r="Z46" s="1597"/>
      <c r="AA46" s="22"/>
      <c r="AB46" s="1659"/>
      <c r="AC46" s="1607"/>
      <c r="AD46" s="1607"/>
      <c r="AE46" s="1607"/>
      <c r="AF46" s="1607"/>
      <c r="AG46" s="1610"/>
      <c r="AH46" s="1607"/>
      <c r="AI46" s="1612"/>
      <c r="AJ46" s="1613"/>
      <c r="AK46" s="1608"/>
      <c r="AL46" s="22"/>
      <c r="AM46" s="22"/>
      <c r="AN46" s="22"/>
      <c r="AO46" s="1614"/>
      <c r="AP46" s="1615"/>
      <c r="AQ46" s="1608"/>
      <c r="AR46" s="1597"/>
    </row>
    <row r="47" spans="1:44" ht="17.25">
      <c r="A47" s="7"/>
      <c r="B47" s="1654" t="s">
        <v>33</v>
      </c>
      <c r="C47" s="1655" t="s">
        <v>8960</v>
      </c>
      <c r="D47" s="67"/>
      <c r="E47" s="68">
        <v>15</v>
      </c>
      <c r="F47" s="447"/>
      <c r="G47" s="2024">
        <v>260</v>
      </c>
      <c r="H47" s="2000">
        <v>45663</v>
      </c>
      <c r="I47" s="16">
        <v>7000</v>
      </c>
      <c r="J47" s="2023">
        <f t="shared" si="5"/>
        <v>3.7142857142857144E-2</v>
      </c>
      <c r="K47" s="1664"/>
      <c r="M47" s="1251"/>
      <c r="N47" s="2007">
        <f t="shared" ref="N47:N48" si="6">G47</f>
        <v>260</v>
      </c>
      <c r="Q47" s="1597"/>
      <c r="R47" s="9"/>
      <c r="U47" s="40"/>
      <c r="Z47" s="16"/>
      <c r="AA47" s="9"/>
      <c r="AB47" s="65"/>
      <c r="AC47" s="3"/>
      <c r="AD47" s="3"/>
      <c r="AE47" s="3"/>
      <c r="AF47" s="3"/>
      <c r="AG47" s="45"/>
      <c r="AH47" s="3"/>
      <c r="AI47" s="47"/>
      <c r="AJ47" s="48"/>
      <c r="AK47" s="13"/>
      <c r="AL47" s="9"/>
      <c r="AM47" s="9"/>
      <c r="AN47" s="9"/>
      <c r="AO47" s="49"/>
      <c r="AP47" s="50"/>
      <c r="AQ47" s="13"/>
      <c r="AR47" s="16"/>
    </row>
    <row r="48" spans="1:44" ht="17.25">
      <c r="A48" s="7"/>
      <c r="B48" s="1654" t="s">
        <v>33</v>
      </c>
      <c r="C48" s="1655" t="s">
        <v>8960</v>
      </c>
      <c r="D48" s="67"/>
      <c r="E48" s="68">
        <v>20</v>
      </c>
      <c r="F48" s="447"/>
      <c r="G48" s="2024">
        <v>1215</v>
      </c>
      <c r="H48" s="2000">
        <v>45663</v>
      </c>
      <c r="I48" s="16">
        <v>10000</v>
      </c>
      <c r="J48" s="2023">
        <f t="shared" si="5"/>
        <v>0.1215</v>
      </c>
      <c r="K48" s="1664"/>
      <c r="M48" s="1251"/>
      <c r="N48" s="2007">
        <f t="shared" si="6"/>
        <v>1215</v>
      </c>
      <c r="Q48" s="1597"/>
      <c r="R48" s="9"/>
      <c r="U48" s="40"/>
      <c r="Z48" s="16"/>
      <c r="AA48" s="9"/>
      <c r="AB48" s="65"/>
      <c r="AC48" s="3"/>
      <c r="AD48" s="3"/>
      <c r="AE48" s="3"/>
      <c r="AF48" s="3"/>
      <c r="AG48" s="45"/>
      <c r="AH48" s="3"/>
      <c r="AI48" s="47"/>
      <c r="AJ48" s="48"/>
      <c r="AK48" s="13"/>
      <c r="AL48" s="9"/>
      <c r="AM48" s="9"/>
      <c r="AN48" s="9"/>
      <c r="AO48" s="49"/>
      <c r="AP48" s="50"/>
      <c r="AQ48" s="13"/>
      <c r="AR48" s="16"/>
    </row>
    <row r="49" spans="1:44" ht="17.25">
      <c r="A49" s="7"/>
      <c r="B49" s="1654">
        <v>2024</v>
      </c>
      <c r="C49" s="1655"/>
      <c r="D49" s="67"/>
      <c r="E49" s="68"/>
      <c r="F49" s="447">
        <v>2024</v>
      </c>
      <c r="G49" s="74">
        <f>G104+G101+G97+G85+G50</f>
        <v>74969.23</v>
      </c>
      <c r="H49" s="69"/>
      <c r="I49" s="16"/>
      <c r="J49" s="29"/>
      <c r="K49" s="1664"/>
      <c r="L49" s="1978" t="s">
        <v>137</v>
      </c>
      <c r="M49" s="1981" t="s">
        <v>8908</v>
      </c>
      <c r="N49" s="1801" t="s">
        <v>8915</v>
      </c>
      <c r="O49" s="1855" t="s">
        <v>33</v>
      </c>
      <c r="P49" s="1801" t="s">
        <v>61</v>
      </c>
      <c r="Q49" s="1597"/>
      <c r="R49" s="9"/>
      <c r="U49" s="40"/>
      <c r="Z49" s="16"/>
      <c r="AA49" s="9"/>
      <c r="AB49" s="65"/>
      <c r="AC49" s="3"/>
      <c r="AD49" s="3"/>
      <c r="AE49" s="3"/>
      <c r="AF49" s="3"/>
      <c r="AG49" s="45"/>
      <c r="AH49" s="3"/>
      <c r="AI49" s="47"/>
      <c r="AJ49" s="48"/>
      <c r="AK49" s="13"/>
      <c r="AL49" s="9"/>
      <c r="AM49" s="9"/>
      <c r="AN49" s="9"/>
      <c r="AO49" s="49"/>
      <c r="AP49" s="50"/>
      <c r="AQ49" s="13"/>
      <c r="AR49" s="16"/>
    </row>
    <row r="50" spans="1:44" ht="17.25">
      <c r="A50" s="7"/>
      <c r="B50" s="1654"/>
      <c r="C50" s="1655"/>
      <c r="D50" s="67"/>
      <c r="E50" s="68"/>
      <c r="F50" s="447" t="s">
        <v>86</v>
      </c>
      <c r="G50" s="74">
        <f>SUM(G51:G84)</f>
        <v>25124.279999999995</v>
      </c>
      <c r="H50" s="69"/>
      <c r="I50" s="16"/>
      <c r="J50" s="29"/>
      <c r="K50" s="1664"/>
      <c r="L50" s="1941">
        <f>SUM(L51:L100)</f>
        <v>36356.07</v>
      </c>
      <c r="M50" s="1941">
        <f>SUM(M51:M100)</f>
        <v>2436.2899999999995</v>
      </c>
      <c r="N50" s="1941">
        <f>SUM(N51:N103)</f>
        <v>96000</v>
      </c>
      <c r="O50" s="1941">
        <f>SUM(O51:O100)</f>
        <v>57842.92</v>
      </c>
      <c r="P50" s="1941">
        <f>L50+M50+N50+O50</f>
        <v>192635.27999999997</v>
      </c>
      <c r="Q50" s="1597"/>
      <c r="R50" s="9"/>
      <c r="U50" s="40"/>
      <c r="Z50" s="16"/>
      <c r="AA50" s="9"/>
      <c r="AB50" s="65"/>
      <c r="AC50" s="3"/>
      <c r="AD50" s="3"/>
      <c r="AE50" s="3"/>
      <c r="AF50" s="3"/>
      <c r="AG50" s="45"/>
      <c r="AH50" s="3"/>
      <c r="AI50" s="47"/>
      <c r="AJ50" s="48"/>
      <c r="AK50" s="13"/>
      <c r="AL50" s="9"/>
      <c r="AM50" s="9"/>
      <c r="AN50" s="9"/>
      <c r="AO50" s="49"/>
      <c r="AP50" s="50"/>
      <c r="AQ50" s="13"/>
      <c r="AR50" s="16"/>
    </row>
    <row r="51" spans="1:44" ht="17.25">
      <c r="A51" s="7"/>
      <c r="B51" s="1654" t="s">
        <v>33</v>
      </c>
      <c r="C51" s="1655" t="s">
        <v>8857</v>
      </c>
      <c r="D51" s="67">
        <v>600.6</v>
      </c>
      <c r="E51" s="68">
        <v>150</v>
      </c>
      <c r="F51" s="447">
        <v>585.09</v>
      </c>
      <c r="G51" s="2024">
        <v>-2327</v>
      </c>
      <c r="H51" s="2000">
        <v>45657</v>
      </c>
      <c r="I51" s="16">
        <f t="shared" ref="I51:I52" si="7">D51*E51</f>
        <v>90090</v>
      </c>
      <c r="J51" s="2023">
        <f>G51/I51</f>
        <v>-2.5829725829725831E-2</v>
      </c>
      <c r="K51" s="1664"/>
      <c r="M51" s="1251"/>
      <c r="N51" s="1251"/>
      <c r="Q51" s="2057"/>
      <c r="R51" s="9"/>
      <c r="U51" s="40"/>
      <c r="Z51" s="16"/>
      <c r="AA51" s="9"/>
      <c r="AB51" s="65"/>
      <c r="AC51" s="3"/>
      <c r="AD51" s="3"/>
      <c r="AE51" s="3"/>
      <c r="AF51" s="3"/>
      <c r="AG51" s="45"/>
      <c r="AH51" s="3"/>
      <c r="AI51" s="47"/>
      <c r="AJ51" s="48"/>
      <c r="AK51" s="13"/>
      <c r="AL51" s="9"/>
      <c r="AM51" s="9"/>
      <c r="AN51" s="9"/>
      <c r="AO51" s="49"/>
      <c r="AP51" s="50"/>
      <c r="AQ51" s="13"/>
      <c r="AR51" s="16"/>
    </row>
    <row r="52" spans="1:44" ht="17.25">
      <c r="A52" s="7"/>
      <c r="B52" s="1654" t="s">
        <v>412</v>
      </c>
      <c r="C52" s="1655" t="s">
        <v>8857</v>
      </c>
      <c r="D52" s="67">
        <v>115.65</v>
      </c>
      <c r="E52" s="68">
        <v>778</v>
      </c>
      <c r="F52" s="447">
        <v>108.15009999999999</v>
      </c>
      <c r="G52" s="2024">
        <v>-5796</v>
      </c>
      <c r="H52" s="2000">
        <v>45657</v>
      </c>
      <c r="I52" s="16">
        <f t="shared" si="7"/>
        <v>89975.700000000012</v>
      </c>
      <c r="J52" s="2023">
        <f>G52/I52</f>
        <v>-6.441739269602792E-2</v>
      </c>
      <c r="K52" s="1664"/>
      <c r="M52" s="1251"/>
      <c r="N52" s="1251"/>
      <c r="Q52" s="1597"/>
      <c r="R52" s="9"/>
      <c r="U52" s="40"/>
      <c r="Z52" s="16"/>
      <c r="AA52" s="9"/>
      <c r="AB52" s="65"/>
      <c r="AC52" s="3"/>
      <c r="AD52" s="3"/>
      <c r="AE52" s="3"/>
      <c r="AF52" s="3"/>
      <c r="AG52" s="45"/>
      <c r="AH52" s="3"/>
      <c r="AI52" s="47"/>
      <c r="AJ52" s="48"/>
      <c r="AK52" s="13"/>
      <c r="AL52" s="9"/>
      <c r="AM52" s="9"/>
      <c r="AN52" s="9"/>
      <c r="AO52" s="49"/>
      <c r="AP52" s="50"/>
      <c r="AQ52" s="13"/>
      <c r="AR52" s="16"/>
    </row>
    <row r="53" spans="1:44" ht="17.25">
      <c r="A53" s="7"/>
      <c r="B53" s="1654" t="s">
        <v>8845</v>
      </c>
      <c r="C53" s="1655" t="s">
        <v>8857</v>
      </c>
      <c r="D53" s="67">
        <v>51.7</v>
      </c>
      <c r="E53" s="68">
        <v>1745</v>
      </c>
      <c r="F53" s="82">
        <v>49.5</v>
      </c>
      <c r="G53" s="2024">
        <v>-3839</v>
      </c>
      <c r="H53" s="2000">
        <v>45653</v>
      </c>
      <c r="I53" s="16">
        <f>D53*E53</f>
        <v>90216.5</v>
      </c>
      <c r="J53" s="2023">
        <f>G53/I53</f>
        <v>-4.2553191489361701E-2</v>
      </c>
      <c r="K53" s="1664"/>
      <c r="M53" s="1251"/>
      <c r="N53" s="1251"/>
      <c r="Q53" s="1597"/>
      <c r="R53" s="9"/>
      <c r="U53" s="40"/>
      <c r="Z53" s="16"/>
      <c r="AA53" s="9"/>
      <c r="AB53" s="65"/>
      <c r="AC53" s="3"/>
      <c r="AD53" s="3"/>
      <c r="AE53" s="3"/>
      <c r="AF53" s="3"/>
      <c r="AG53" s="45"/>
      <c r="AH53" s="3"/>
      <c r="AI53" s="47"/>
      <c r="AJ53" s="48"/>
      <c r="AK53" s="13"/>
      <c r="AL53" s="9"/>
      <c r="AM53" s="9"/>
      <c r="AN53" s="9"/>
      <c r="AO53" s="49"/>
      <c r="AP53" s="50"/>
      <c r="AQ53" s="13"/>
      <c r="AR53" s="16"/>
    </row>
    <row r="54" spans="1:44" ht="17.25">
      <c r="A54" s="7"/>
      <c r="B54" s="1654" t="s">
        <v>50</v>
      </c>
      <c r="C54" s="760" t="s">
        <v>8884</v>
      </c>
      <c r="D54" s="67">
        <v>3.5</v>
      </c>
      <c r="E54" s="68">
        <v>8</v>
      </c>
      <c r="F54" s="2039">
        <f>D54*1.2</f>
        <v>4.2</v>
      </c>
      <c r="G54" s="2008">
        <v>-3876</v>
      </c>
      <c r="H54" s="2000">
        <v>45653</v>
      </c>
      <c r="I54" s="16">
        <f t="shared" ref="I54" si="8">D54*E54*100</f>
        <v>2800</v>
      </c>
      <c r="J54" s="1853">
        <f t="shared" ref="J54:J57" si="9">G54/I54</f>
        <v>-1.3842857142857143</v>
      </c>
      <c r="K54" s="1664"/>
      <c r="M54" s="1251">
        <f>G54</f>
        <v>-3876</v>
      </c>
      <c r="N54" s="1251"/>
      <c r="Q54" s="1597"/>
      <c r="R54" s="9">
        <v>6034</v>
      </c>
      <c r="U54" s="40"/>
      <c r="Z54" s="16"/>
      <c r="AA54" s="9"/>
      <c r="AB54" s="65"/>
      <c r="AC54" s="3"/>
      <c r="AD54" s="3"/>
      <c r="AE54" s="3"/>
      <c r="AF54" s="3"/>
      <c r="AG54" s="45"/>
      <c r="AH54" s="3"/>
      <c r="AI54" s="47"/>
      <c r="AJ54" s="48"/>
      <c r="AK54" s="13"/>
      <c r="AL54" s="9"/>
      <c r="AM54" s="9"/>
      <c r="AN54" s="9"/>
      <c r="AO54" s="49"/>
      <c r="AP54" s="50"/>
      <c r="AQ54" s="13"/>
      <c r="AR54" s="16"/>
    </row>
    <row r="55" spans="1:44" ht="17.25">
      <c r="A55" s="7"/>
      <c r="B55" s="1654" t="s">
        <v>8932</v>
      </c>
      <c r="C55" s="1655" t="s">
        <v>8857</v>
      </c>
      <c r="D55" s="67">
        <v>91.98</v>
      </c>
      <c r="E55" s="68">
        <v>1034</v>
      </c>
      <c r="F55" s="82">
        <v>93.43</v>
      </c>
      <c r="G55" s="2038">
        <v>1496</v>
      </c>
      <c r="H55" s="2000">
        <v>45652</v>
      </c>
      <c r="I55" s="16">
        <v>95107</v>
      </c>
      <c r="J55" s="2023">
        <f t="shared" si="9"/>
        <v>1.5729651865793264E-2</v>
      </c>
      <c r="K55" s="1664"/>
      <c r="M55" s="1251"/>
      <c r="N55" s="1251"/>
      <c r="Q55" s="1597"/>
      <c r="R55" s="9"/>
      <c r="Z55" s="16"/>
      <c r="AA55" s="9"/>
      <c r="AB55" s="65"/>
      <c r="AC55" s="3"/>
      <c r="AD55" s="3"/>
      <c r="AE55" s="3"/>
      <c r="AF55" s="3"/>
      <c r="AG55" s="45"/>
      <c r="AH55" s="3"/>
      <c r="AI55" s="47"/>
      <c r="AJ55" s="48"/>
      <c r="AK55" s="13"/>
      <c r="AL55" s="9"/>
      <c r="AM55" s="9"/>
      <c r="AN55" s="9"/>
      <c r="AO55" s="49"/>
      <c r="AP55" s="50"/>
      <c r="AQ55" s="13"/>
      <c r="AR55" s="16"/>
    </row>
    <row r="56" spans="1:44" ht="17.25">
      <c r="A56" s="7"/>
      <c r="B56" s="1654" t="s">
        <v>8933</v>
      </c>
      <c r="C56" s="1655" t="s">
        <v>8857</v>
      </c>
      <c r="D56" s="67">
        <v>239.21</v>
      </c>
      <c r="E56" s="68">
        <v>313</v>
      </c>
      <c r="F56" s="82">
        <v>243.37</v>
      </c>
      <c r="G56" s="2038">
        <v>1299</v>
      </c>
      <c r="H56" s="2000">
        <v>45652</v>
      </c>
      <c r="I56" s="16">
        <f>D56*E56</f>
        <v>74872.73</v>
      </c>
      <c r="J56" s="2023">
        <f t="shared" si="9"/>
        <v>1.7349440844483699E-2</v>
      </c>
      <c r="K56" s="1664"/>
      <c r="M56" s="1251"/>
      <c r="N56" s="1251"/>
      <c r="Q56" s="1597"/>
      <c r="R56" s="9"/>
      <c r="Z56" s="16"/>
      <c r="AA56" s="9"/>
      <c r="AB56" s="65"/>
      <c r="AC56" s="3"/>
      <c r="AD56" s="3"/>
      <c r="AE56" s="3"/>
      <c r="AF56" s="3"/>
      <c r="AG56" s="45"/>
      <c r="AH56" s="3"/>
      <c r="AI56" s="47"/>
      <c r="AJ56" s="48"/>
      <c r="AK56" s="13"/>
      <c r="AL56" s="9"/>
      <c r="AM56" s="9"/>
      <c r="AN56" s="9"/>
      <c r="AO56" s="49"/>
      <c r="AP56" s="50"/>
      <c r="AQ56" s="13"/>
      <c r="AR56" s="16"/>
    </row>
    <row r="57" spans="1:44" ht="17.25">
      <c r="A57" s="7"/>
      <c r="B57" s="1654" t="s">
        <v>1058</v>
      </c>
      <c r="C57" s="1655" t="s">
        <v>8857</v>
      </c>
      <c r="D57" s="67">
        <v>75.309899999999999</v>
      </c>
      <c r="E57" s="68">
        <v>1261</v>
      </c>
      <c r="F57" s="82">
        <v>76.170100000000005</v>
      </c>
      <c r="G57" s="2024">
        <v>1081.8399999999999</v>
      </c>
      <c r="H57" s="71">
        <v>45649</v>
      </c>
      <c r="I57" s="16">
        <v>94739</v>
      </c>
      <c r="J57" s="2023">
        <f t="shared" si="9"/>
        <v>1.1419162119085065E-2</v>
      </c>
      <c r="K57" s="1664"/>
      <c r="M57" s="1251"/>
      <c r="N57" s="1251"/>
      <c r="Q57" s="1597"/>
      <c r="R57" s="9"/>
      <c r="Z57" s="16"/>
      <c r="AA57" s="9"/>
      <c r="AB57" s="65"/>
      <c r="AC57" s="3"/>
      <c r="AD57" s="3"/>
      <c r="AE57" s="3"/>
      <c r="AF57" s="3"/>
      <c r="AG57" s="45"/>
      <c r="AH57" s="3"/>
      <c r="AI57" s="47"/>
      <c r="AJ57" s="48"/>
      <c r="AK57" s="13"/>
      <c r="AL57" s="9"/>
      <c r="AM57" s="9"/>
      <c r="AN57" s="9"/>
      <c r="AO57" s="49"/>
      <c r="AP57" s="50"/>
      <c r="AQ57" s="13"/>
      <c r="AR57" s="16"/>
    </row>
    <row r="58" spans="1:44" ht="17.25">
      <c r="A58" s="7"/>
      <c r="B58" s="1654" t="s">
        <v>50</v>
      </c>
      <c r="C58" s="760" t="s">
        <v>8884</v>
      </c>
      <c r="D58">
        <v>3.3</v>
      </c>
      <c r="E58">
        <v>10</v>
      </c>
      <c r="F58" s="2039">
        <v>4.0999999999999996</v>
      </c>
      <c r="G58" s="2008">
        <f>(F58-D58)*E58*100-(E58*2.44*2)</f>
        <v>751.19999999999982</v>
      </c>
      <c r="H58" s="71">
        <v>45650</v>
      </c>
      <c r="I58" s="16">
        <f t="shared" ref="I58" si="10">D58*E58*100</f>
        <v>3300</v>
      </c>
      <c r="J58" s="1853">
        <f t="shared" ref="J58" si="11">G58/I58</f>
        <v>0.22763636363636358</v>
      </c>
      <c r="K58" s="1664"/>
      <c r="M58" s="1251">
        <f>G58</f>
        <v>751.19999999999982</v>
      </c>
      <c r="N58" s="1251"/>
      <c r="Q58" s="1597"/>
      <c r="R58" s="9">
        <f>6785.58-6034</f>
        <v>751.57999999999993</v>
      </c>
      <c r="Z58" s="16"/>
      <c r="AA58" s="9"/>
      <c r="AB58" s="65"/>
      <c r="AC58" s="3"/>
      <c r="AD58" s="3"/>
      <c r="AE58" s="3"/>
      <c r="AF58" s="3"/>
      <c r="AG58" s="45"/>
      <c r="AH58" s="3"/>
      <c r="AI58" s="47"/>
      <c r="AJ58" s="48"/>
      <c r="AK58" s="13"/>
      <c r="AL58" s="9"/>
      <c r="AM58" s="9"/>
      <c r="AN58" s="9"/>
      <c r="AO58" s="49"/>
      <c r="AP58" s="50"/>
      <c r="AQ58" s="13"/>
      <c r="AR58" s="16"/>
    </row>
    <row r="59" spans="1:44" ht="17.25">
      <c r="A59" s="7"/>
      <c r="B59" s="1654" t="s">
        <v>8932</v>
      </c>
      <c r="C59" s="1655" t="s">
        <v>8857</v>
      </c>
      <c r="D59" s="67">
        <v>91.98</v>
      </c>
      <c r="E59" s="68">
        <v>1030</v>
      </c>
      <c r="F59" s="82">
        <v>92.15</v>
      </c>
      <c r="G59" s="2024">
        <v>38.700000000000003</v>
      </c>
      <c r="H59" s="71">
        <v>45649</v>
      </c>
      <c r="I59" s="16">
        <v>94739</v>
      </c>
      <c r="J59" s="2023">
        <f t="shared" ref="J59:J60" si="12">G59/I59</f>
        <v>4.0849069548971385E-4</v>
      </c>
      <c r="K59" s="1664"/>
      <c r="M59" s="1251"/>
      <c r="N59" s="1251"/>
      <c r="Q59" s="1597"/>
      <c r="R59" s="9"/>
      <c r="Z59" s="16"/>
      <c r="AA59" s="9"/>
      <c r="AB59" s="65"/>
      <c r="AC59" s="3"/>
      <c r="AD59" s="3"/>
      <c r="AE59" s="3"/>
      <c r="AF59" s="3"/>
      <c r="AG59" s="45"/>
      <c r="AH59" s="3"/>
      <c r="AI59" s="47"/>
      <c r="AJ59" s="48"/>
      <c r="AK59" s="13"/>
      <c r="AL59" s="9"/>
      <c r="AM59" s="9"/>
      <c r="AN59" s="9"/>
      <c r="AO59" s="49"/>
      <c r="AP59" s="50"/>
      <c r="AQ59" s="13"/>
      <c r="AR59" s="16"/>
    </row>
    <row r="60" spans="1:44" ht="17.25">
      <c r="A60" s="7"/>
      <c r="B60" s="1654" t="s">
        <v>377</v>
      </c>
      <c r="C60" s="1655" t="s">
        <v>8822</v>
      </c>
      <c r="D60" s="67">
        <v>2.2014999999999998</v>
      </c>
      <c r="E60" s="68">
        <v>5</v>
      </c>
      <c r="F60" s="67">
        <v>2.0299999999999998</v>
      </c>
      <c r="G60" s="2008">
        <v>-8116.54</v>
      </c>
      <c r="H60" s="71">
        <v>45644</v>
      </c>
      <c r="I60" s="16">
        <f t="shared" ref="I60" si="13">D60*E60*100</f>
        <v>1100.7499999999998</v>
      </c>
      <c r="J60" s="1853">
        <f t="shared" si="12"/>
        <v>-7.3736452418805376</v>
      </c>
      <c r="K60" s="1664"/>
      <c r="L60" s="1251">
        <f>G60</f>
        <v>-8116.54</v>
      </c>
      <c r="M60" s="1251"/>
      <c r="N60" s="1251"/>
      <c r="Q60" s="1597"/>
      <c r="R60" s="9"/>
      <c r="Z60" s="16"/>
      <c r="AA60" s="9"/>
      <c r="AB60" s="65"/>
      <c r="AC60" s="3"/>
      <c r="AD60" s="3"/>
      <c r="AE60" s="3"/>
      <c r="AF60" s="3"/>
      <c r="AG60" s="45"/>
      <c r="AH60" s="3"/>
      <c r="AI60" s="47"/>
      <c r="AJ60" s="48"/>
      <c r="AK60" s="13"/>
      <c r="AL60" s="9"/>
      <c r="AM60" s="9"/>
      <c r="AN60" s="9"/>
      <c r="AO60" s="49"/>
      <c r="AP60" s="50"/>
      <c r="AQ60" s="13"/>
      <c r="AR60" s="16"/>
    </row>
    <row r="61" spans="1:44" ht="17.25">
      <c r="A61" s="7"/>
      <c r="B61" s="1654" t="s">
        <v>377</v>
      </c>
      <c r="C61" s="1655" t="s">
        <v>8822</v>
      </c>
      <c r="D61" s="67">
        <v>10.85</v>
      </c>
      <c r="E61" s="68">
        <v>20</v>
      </c>
      <c r="F61" s="67">
        <v>16.850000000000001</v>
      </c>
      <c r="G61" s="2008">
        <v>11972.58</v>
      </c>
      <c r="H61" s="71">
        <v>45644</v>
      </c>
      <c r="I61" s="16">
        <f t="shared" ref="I61" si="14">D61*E61*100</f>
        <v>21700</v>
      </c>
      <c r="J61" s="1853">
        <f t="shared" ref="J61" si="15">G61/I61</f>
        <v>0.55173179723502308</v>
      </c>
      <c r="K61" s="1664"/>
      <c r="L61" s="1251">
        <f>G61</f>
        <v>11972.58</v>
      </c>
      <c r="M61" s="1251"/>
      <c r="N61" s="1251"/>
      <c r="Q61" s="1597"/>
      <c r="R61" s="9"/>
      <c r="Z61" s="16"/>
      <c r="AA61" s="9"/>
      <c r="AB61" s="65"/>
      <c r="AC61" s="3"/>
      <c r="AD61" s="3"/>
      <c r="AE61" s="3"/>
      <c r="AF61" s="3"/>
      <c r="AG61" s="45"/>
      <c r="AH61" s="3"/>
      <c r="AI61" s="47"/>
      <c r="AJ61" s="48"/>
      <c r="AK61" s="13"/>
      <c r="AL61" s="9"/>
      <c r="AM61" s="9"/>
      <c r="AN61" s="9"/>
      <c r="AO61" s="49"/>
      <c r="AP61" s="50"/>
      <c r="AQ61" s="13"/>
      <c r="AR61" s="16"/>
    </row>
    <row r="62" spans="1:44" ht="17.25">
      <c r="A62" s="7"/>
      <c r="B62" s="1654" t="s">
        <v>50</v>
      </c>
      <c r="C62" s="760" t="s">
        <v>8884</v>
      </c>
      <c r="D62">
        <v>2.95</v>
      </c>
      <c r="E62">
        <v>17</v>
      </c>
      <c r="F62" s="2039">
        <v>3.55</v>
      </c>
      <c r="G62" s="2008">
        <f>1726.48-789.52</f>
        <v>936.96</v>
      </c>
      <c r="H62" s="71">
        <v>45649</v>
      </c>
      <c r="I62" s="16">
        <f t="shared" ref="I62" si="16">D62*E62*100</f>
        <v>5015.0000000000009</v>
      </c>
      <c r="J62" s="1853">
        <f t="shared" ref="J62:J65" si="17">G62/I62</f>
        <v>0.18683150548354932</v>
      </c>
      <c r="K62" s="1664"/>
      <c r="M62" s="1251">
        <f>G62</f>
        <v>936.96</v>
      </c>
      <c r="N62" s="1251"/>
      <c r="Q62" s="1597"/>
      <c r="R62" s="9"/>
      <c r="U62" s="40"/>
      <c r="Z62" s="16"/>
      <c r="AA62" s="9"/>
      <c r="AB62" s="65"/>
      <c r="AC62" s="3"/>
      <c r="AD62" s="3"/>
      <c r="AE62" s="3"/>
      <c r="AF62" s="3"/>
      <c r="AG62" s="45"/>
      <c r="AH62" s="3"/>
      <c r="AI62" s="47"/>
      <c r="AJ62" s="48"/>
      <c r="AK62" s="13"/>
      <c r="AL62" s="9"/>
      <c r="AM62" s="9"/>
      <c r="AN62" s="9"/>
      <c r="AO62" s="49"/>
      <c r="AP62" s="50"/>
      <c r="AQ62" s="13"/>
      <c r="AR62" s="16"/>
    </row>
    <row r="63" spans="1:44" ht="17.25">
      <c r="A63" s="7"/>
      <c r="B63" s="1654" t="s">
        <v>33</v>
      </c>
      <c r="C63" s="1655" t="s">
        <v>8844</v>
      </c>
      <c r="D63" s="67">
        <v>529.75</v>
      </c>
      <c r="E63" s="68">
        <v>230</v>
      </c>
      <c r="F63" s="82">
        <v>588.70000000000005</v>
      </c>
      <c r="G63" s="2025">
        <v>16543.919999999998</v>
      </c>
      <c r="H63" s="2000">
        <v>45645</v>
      </c>
      <c r="I63" s="16">
        <v>121843</v>
      </c>
      <c r="J63" s="1853">
        <f t="shared" si="17"/>
        <v>0.13578063573615226</v>
      </c>
      <c r="K63" s="1664"/>
      <c r="M63" s="1251"/>
      <c r="N63" s="1251"/>
      <c r="O63" s="1251">
        <f>G63</f>
        <v>16543.919999999998</v>
      </c>
      <c r="Q63" s="1597"/>
      <c r="R63" s="9"/>
      <c r="U63" s="40"/>
      <c r="Z63" s="16"/>
      <c r="AA63" s="9"/>
      <c r="AB63" s="65"/>
      <c r="AC63" s="3"/>
      <c r="AD63" s="3"/>
      <c r="AE63" s="3"/>
      <c r="AF63" s="3"/>
      <c r="AG63" s="45"/>
      <c r="AH63" s="3"/>
      <c r="AI63" s="47"/>
      <c r="AJ63" s="48"/>
      <c r="AK63" s="13"/>
      <c r="AL63" s="9"/>
      <c r="AM63" s="9"/>
      <c r="AN63" s="9"/>
      <c r="AO63" s="49"/>
      <c r="AP63" s="50"/>
      <c r="AQ63" s="13"/>
      <c r="AR63" s="16"/>
    </row>
    <row r="64" spans="1:44" ht="17.25">
      <c r="A64" s="7"/>
      <c r="B64" s="1654" t="s">
        <v>8845</v>
      </c>
      <c r="C64" s="1655" t="s">
        <v>8857</v>
      </c>
      <c r="D64" s="67">
        <v>51.64</v>
      </c>
      <c r="E64" s="68">
        <v>1455</v>
      </c>
      <c r="F64" s="82">
        <v>47.78</v>
      </c>
      <c r="G64" s="2025">
        <v>-5620.46</v>
      </c>
      <c r="H64" s="2000">
        <v>45645</v>
      </c>
      <c r="I64" s="16">
        <v>75136</v>
      </c>
      <c r="J64" s="1853">
        <f t="shared" si="17"/>
        <v>-7.4803822402044293E-2</v>
      </c>
      <c r="K64" s="1664"/>
      <c r="M64" s="1251"/>
      <c r="N64" s="1251"/>
      <c r="Q64" s="1597"/>
      <c r="R64" s="9"/>
      <c r="U64" s="40"/>
      <c r="Z64" s="16"/>
      <c r="AA64" s="9"/>
      <c r="AB64" s="65"/>
      <c r="AC64" s="3"/>
      <c r="AD64" s="3"/>
      <c r="AE64" s="3"/>
      <c r="AF64" s="3"/>
      <c r="AG64" s="45"/>
      <c r="AH64" s="3"/>
      <c r="AI64" s="47"/>
      <c r="AJ64" s="48"/>
      <c r="AK64" s="13"/>
      <c r="AL64" s="9"/>
      <c r="AM64" s="9"/>
      <c r="AN64" s="9"/>
      <c r="AO64" s="49"/>
      <c r="AP64" s="50"/>
      <c r="AQ64" s="13"/>
      <c r="AR64" s="16"/>
    </row>
    <row r="65" spans="1:44" ht="17.25">
      <c r="A65" s="7"/>
      <c r="B65" s="1654" t="s">
        <v>412</v>
      </c>
      <c r="C65" s="1655" t="s">
        <v>8857</v>
      </c>
      <c r="D65" s="67">
        <v>110.71</v>
      </c>
      <c r="E65" s="68">
        <v>667</v>
      </c>
      <c r="F65" s="82">
        <v>111.8501</v>
      </c>
      <c r="G65" s="2025">
        <v>770.24</v>
      </c>
      <c r="H65" s="2000">
        <v>45645</v>
      </c>
      <c r="I65" s="16">
        <v>74951</v>
      </c>
      <c r="J65" s="1853">
        <f t="shared" si="17"/>
        <v>1.0276580699390268E-2</v>
      </c>
      <c r="K65" s="1664"/>
      <c r="M65" s="1251"/>
      <c r="N65" s="1251"/>
      <c r="Q65" s="1597"/>
      <c r="R65" s="9"/>
      <c r="U65" s="40"/>
      <c r="Z65" s="16"/>
      <c r="AA65" s="9"/>
      <c r="AB65" s="65"/>
      <c r="AC65" s="3"/>
      <c r="AD65" s="3"/>
      <c r="AE65" s="3"/>
      <c r="AF65" s="3"/>
      <c r="AG65" s="45"/>
      <c r="AH65" s="3"/>
      <c r="AI65" s="47"/>
      <c r="AJ65" s="48"/>
      <c r="AK65" s="13"/>
      <c r="AL65" s="9"/>
      <c r="AM65" s="9"/>
      <c r="AN65" s="9"/>
      <c r="AO65" s="49"/>
      <c r="AP65" s="50"/>
      <c r="AQ65" s="13"/>
      <c r="AR65" s="16"/>
    </row>
    <row r="66" spans="1:44" ht="17.25">
      <c r="A66" s="7"/>
      <c r="B66" s="1654" t="s">
        <v>50</v>
      </c>
      <c r="C66" s="760" t="s">
        <v>8884</v>
      </c>
      <c r="D66">
        <v>3</v>
      </c>
      <c r="E66">
        <v>16</v>
      </c>
      <c r="F66" s="1957">
        <v>3.75</v>
      </c>
      <c r="G66" s="2008">
        <v>1416</v>
      </c>
      <c r="H66" s="71">
        <v>45646</v>
      </c>
      <c r="I66" s="16">
        <f t="shared" ref="I66:I72" si="18">D66*E66*100</f>
        <v>4800</v>
      </c>
      <c r="J66" s="1853">
        <f t="shared" ref="J66" si="19">G66/I66</f>
        <v>0.29499999999999998</v>
      </c>
      <c r="K66" s="1664"/>
      <c r="M66" s="1251">
        <f>G66</f>
        <v>1416</v>
      </c>
      <c r="N66" s="1251"/>
      <c r="Q66" s="1597"/>
      <c r="R66" s="9"/>
      <c r="U66" s="40"/>
      <c r="Z66" s="16"/>
      <c r="AA66" s="9"/>
      <c r="AB66" s="65"/>
      <c r="AC66" s="3"/>
      <c r="AD66" s="3"/>
      <c r="AE66" s="3"/>
      <c r="AF66" s="3"/>
      <c r="AG66" s="45"/>
      <c r="AH66" s="3"/>
      <c r="AI66" s="47"/>
      <c r="AJ66" s="48"/>
      <c r="AK66" s="13"/>
      <c r="AL66" s="9"/>
      <c r="AM66" s="9"/>
      <c r="AN66" s="9"/>
      <c r="AO66" s="49"/>
      <c r="AP66" s="50"/>
      <c r="AQ66" s="13"/>
      <c r="AR66" s="16"/>
    </row>
    <row r="67" spans="1:44" ht="17.25">
      <c r="A67" s="7"/>
      <c r="B67" s="1654" t="s">
        <v>377</v>
      </c>
      <c r="C67" s="1655" t="s">
        <v>8822</v>
      </c>
      <c r="D67" s="67">
        <v>18.25</v>
      </c>
      <c r="E67" s="68">
        <v>5</v>
      </c>
      <c r="F67" s="1999">
        <v>18.25</v>
      </c>
      <c r="G67" s="2008">
        <f>2578.05+6136.55-6871.65</f>
        <v>1842.9500000000007</v>
      </c>
      <c r="H67" s="71">
        <v>45646</v>
      </c>
      <c r="I67" s="16">
        <f t="shared" si="18"/>
        <v>9125</v>
      </c>
      <c r="J67" s="1853">
        <f t="shared" ref="J67" si="20">G67/I67</f>
        <v>0.2019671232876713</v>
      </c>
      <c r="K67" s="1664"/>
      <c r="L67" s="1251">
        <f>G67</f>
        <v>1842.9500000000007</v>
      </c>
      <c r="M67" s="1251"/>
      <c r="N67" s="1251"/>
      <c r="Q67" s="1597"/>
      <c r="R67" s="9"/>
      <c r="T67" s="40"/>
      <c r="U67" s="40"/>
      <c r="Z67" s="16"/>
      <c r="AA67" s="9"/>
      <c r="AB67" s="65"/>
      <c r="AC67" s="3"/>
      <c r="AD67" s="3"/>
      <c r="AE67" s="3"/>
      <c r="AF67" s="3"/>
      <c r="AG67" s="45"/>
      <c r="AH67" s="3"/>
      <c r="AI67" s="47"/>
      <c r="AJ67" s="48"/>
      <c r="AK67" s="13"/>
      <c r="AL67" s="9"/>
      <c r="AM67" s="9"/>
      <c r="AN67" s="9"/>
      <c r="AO67" s="49"/>
      <c r="AP67" s="50"/>
      <c r="AQ67" s="13"/>
      <c r="AR67" s="16"/>
    </row>
    <row r="68" spans="1:44" ht="17.25">
      <c r="A68" s="7"/>
      <c r="B68" s="1654" t="s">
        <v>377</v>
      </c>
      <c r="C68" s="1655" t="s">
        <v>8822</v>
      </c>
      <c r="D68" s="67">
        <v>18.25</v>
      </c>
      <c r="E68" s="68">
        <v>5</v>
      </c>
      <c r="F68" s="67">
        <v>23.42</v>
      </c>
      <c r="G68" s="1609">
        <f>(F68-D68)*E68*100</f>
        <v>2585.0000000000009</v>
      </c>
      <c r="H68" s="71">
        <v>45644</v>
      </c>
      <c r="I68" s="16">
        <f t="shared" si="18"/>
        <v>9125</v>
      </c>
      <c r="J68" s="1853">
        <f t="shared" ref="J68" si="21">G68/I68</f>
        <v>0.28328767123287679</v>
      </c>
      <c r="K68" s="1664"/>
      <c r="L68" s="1251">
        <f>G68</f>
        <v>2585.0000000000009</v>
      </c>
      <c r="M68" s="1251"/>
      <c r="N68" s="1251"/>
      <c r="Q68" s="1597"/>
      <c r="R68" s="9">
        <f>17201.69-21888.31</f>
        <v>-4686.6200000000026</v>
      </c>
      <c r="T68" s="40"/>
      <c r="U68" s="40"/>
      <c r="Z68" s="16"/>
      <c r="AA68" s="9"/>
      <c r="AB68" s="65"/>
      <c r="AC68" s="3"/>
      <c r="AD68" s="3"/>
      <c r="AE68" s="3"/>
      <c r="AF68" s="3"/>
      <c r="AG68" s="45"/>
      <c r="AH68" s="3"/>
      <c r="AI68" s="47"/>
      <c r="AJ68" s="48"/>
      <c r="AK68" s="13"/>
      <c r="AL68" s="9"/>
      <c r="AM68" s="9"/>
      <c r="AN68" s="9"/>
      <c r="AO68" s="49"/>
      <c r="AP68" s="50"/>
      <c r="AQ68" s="13"/>
      <c r="AR68" s="16"/>
    </row>
    <row r="69" spans="1:44" ht="17.25">
      <c r="A69" s="7"/>
      <c r="B69" s="1654" t="s">
        <v>50</v>
      </c>
      <c r="C69" s="760" t="s">
        <v>8884</v>
      </c>
      <c r="D69">
        <v>3.1</v>
      </c>
      <c r="E69">
        <v>15</v>
      </c>
      <c r="F69" s="1957">
        <f>D69*1.2</f>
        <v>3.7199999999999998</v>
      </c>
      <c r="G69" s="2008">
        <v>930</v>
      </c>
      <c r="H69" s="71">
        <v>45644</v>
      </c>
      <c r="I69" s="16">
        <f t="shared" si="18"/>
        <v>4650</v>
      </c>
      <c r="J69" s="1853">
        <f t="shared" ref="J69" si="22">G69/I69</f>
        <v>0.2</v>
      </c>
      <c r="K69" s="2026" t="s">
        <v>3592</v>
      </c>
      <c r="M69" s="1251">
        <f>G69</f>
        <v>930</v>
      </c>
      <c r="N69" s="1251"/>
      <c r="Q69" s="1601">
        <f>0.62*E69*100</f>
        <v>930.00000000000011</v>
      </c>
      <c r="R69" s="9"/>
      <c r="U69" s="40"/>
      <c r="Z69" s="16"/>
      <c r="AA69" s="9"/>
      <c r="AB69" s="65"/>
      <c r="AC69" s="3"/>
      <c r="AD69" s="3"/>
      <c r="AE69" s="3"/>
      <c r="AF69" s="3"/>
      <c r="AG69" s="45"/>
      <c r="AH69" s="3"/>
      <c r="AI69" s="47"/>
      <c r="AJ69" s="48"/>
      <c r="AK69" s="13"/>
      <c r="AL69" s="9"/>
      <c r="AM69" s="9"/>
      <c r="AN69" s="9"/>
      <c r="AO69" s="49"/>
      <c r="AP69" s="50"/>
      <c r="AQ69" s="13"/>
      <c r="AR69" s="16"/>
    </row>
    <row r="70" spans="1:44" ht="17.25">
      <c r="A70" s="7"/>
      <c r="B70" s="1654" t="s">
        <v>50</v>
      </c>
      <c r="C70" s="760" t="s">
        <v>8884</v>
      </c>
      <c r="D70">
        <v>3.1</v>
      </c>
      <c r="E70">
        <v>15</v>
      </c>
      <c r="F70" s="1957">
        <f>D70*1.2</f>
        <v>3.7199999999999998</v>
      </c>
      <c r="G70" s="2008">
        <v>-6561.62</v>
      </c>
      <c r="H70" s="71">
        <v>45637</v>
      </c>
      <c r="I70" s="16">
        <f t="shared" si="18"/>
        <v>4650</v>
      </c>
      <c r="J70" s="1853">
        <f t="shared" ref="J70" si="23">G70/I70</f>
        <v>-1.4111010752688171</v>
      </c>
      <c r="K70" s="1664"/>
      <c r="M70" s="1251">
        <v>-4650</v>
      </c>
      <c r="N70" s="1251"/>
      <c r="Q70" s="1597"/>
      <c r="R70" s="9"/>
      <c r="T70">
        <v>12793</v>
      </c>
      <c r="U70" s="40"/>
      <c r="Z70" s="16"/>
      <c r="AA70" s="9"/>
      <c r="AB70" s="65"/>
      <c r="AC70" s="3"/>
      <c r="AD70" s="3"/>
      <c r="AE70" s="3"/>
      <c r="AF70" s="3"/>
      <c r="AG70" s="45"/>
      <c r="AH70" s="3"/>
      <c r="AI70" s="47"/>
      <c r="AJ70" s="48"/>
      <c r="AK70" s="13"/>
      <c r="AL70" s="9"/>
      <c r="AM70" s="9"/>
      <c r="AN70" s="9"/>
      <c r="AO70" s="49"/>
      <c r="AP70" s="50"/>
      <c r="AQ70" s="13"/>
      <c r="AR70" s="16"/>
    </row>
    <row r="71" spans="1:44" ht="18" thickBot="1">
      <c r="A71" s="7"/>
      <c r="B71" s="1654" t="s">
        <v>8924</v>
      </c>
      <c r="C71" s="760" t="s">
        <v>8884</v>
      </c>
      <c r="D71" s="1957">
        <v>0.4</v>
      </c>
      <c r="E71">
        <v>10</v>
      </c>
      <c r="F71" s="1957">
        <v>0.8</v>
      </c>
      <c r="G71" s="2008">
        <f>2180.65-1807.27</f>
        <v>373.38000000000011</v>
      </c>
      <c r="H71" s="71">
        <v>45642</v>
      </c>
      <c r="I71" s="16">
        <f t="shared" si="18"/>
        <v>400</v>
      </c>
      <c r="J71" s="1853">
        <f t="shared" ref="J71" si="24">G71/I71</f>
        <v>0.93345000000000022</v>
      </c>
      <c r="K71" s="1664"/>
      <c r="M71" s="1251">
        <f>G71</f>
        <v>373.38000000000011</v>
      </c>
      <c r="N71" s="1251">
        <v>10000</v>
      </c>
      <c r="P71" s="1251">
        <f>2.76*50</f>
        <v>138</v>
      </c>
      <c r="Q71" s="1597"/>
      <c r="R71" s="9"/>
      <c r="T71">
        <v>5463</v>
      </c>
      <c r="U71" s="40"/>
      <c r="Z71" s="16"/>
      <c r="AA71" s="9"/>
      <c r="AB71" s="65"/>
      <c r="AC71" s="3"/>
      <c r="AD71" s="3"/>
      <c r="AE71" s="3"/>
      <c r="AF71" s="3"/>
      <c r="AG71" s="45"/>
      <c r="AH71" s="3"/>
      <c r="AI71" s="47"/>
      <c r="AJ71" s="48"/>
      <c r="AK71" s="13"/>
      <c r="AL71" s="9"/>
      <c r="AM71" s="9"/>
      <c r="AN71" s="9"/>
      <c r="AO71" s="49"/>
      <c r="AP71" s="50"/>
      <c r="AQ71" s="13"/>
      <c r="AR71" s="16"/>
    </row>
    <row r="72" spans="1:44" ht="17.25">
      <c r="A72" s="7"/>
      <c r="B72" s="1654" t="s">
        <v>33</v>
      </c>
      <c r="C72" s="760" t="s">
        <v>8884</v>
      </c>
      <c r="D72">
        <v>0.76</v>
      </c>
      <c r="E72">
        <v>50</v>
      </c>
      <c r="F72" s="1957">
        <v>0.87</v>
      </c>
      <c r="G72" s="1609">
        <f>(F72-D72)*E72*100-(E72*1.33*2)</f>
        <v>416.99999999999989</v>
      </c>
      <c r="H72" s="71">
        <v>45639</v>
      </c>
      <c r="I72" s="16">
        <f t="shared" si="18"/>
        <v>3800</v>
      </c>
      <c r="J72" s="1853">
        <f t="shared" ref="J72" si="25">G72/I72</f>
        <v>0.10973684210526313</v>
      </c>
      <c r="K72" s="1664"/>
      <c r="M72" s="1251">
        <f>G72</f>
        <v>416.99999999999989</v>
      </c>
      <c r="N72" s="1251">
        <v>50000</v>
      </c>
      <c r="O72" s="1251">
        <v>13559</v>
      </c>
      <c r="P72" s="1251">
        <f>2.08*50</f>
        <v>104</v>
      </c>
      <c r="Q72" s="1597"/>
      <c r="R72" s="1988" t="s">
        <v>8917</v>
      </c>
      <c r="T72">
        <f>T70+T71</f>
        <v>18256</v>
      </c>
      <c r="U72" s="40"/>
      <c r="Z72" s="16"/>
      <c r="AA72" s="9"/>
      <c r="AB72" s="65"/>
      <c r="AC72" s="3"/>
      <c r="AD72" s="3"/>
      <c r="AE72" s="3"/>
      <c r="AF72" s="3"/>
      <c r="AG72" s="45"/>
      <c r="AH72" s="3"/>
      <c r="AI72" s="47"/>
      <c r="AJ72" s="48"/>
      <c r="AK72" s="13"/>
      <c r="AL72" s="9"/>
      <c r="AM72" s="9"/>
      <c r="AN72" s="9"/>
      <c r="AO72" s="49"/>
      <c r="AP72" s="50"/>
      <c r="AQ72" s="13"/>
      <c r="AR72" s="16"/>
    </row>
    <row r="73" spans="1:44" ht="17.25">
      <c r="A73" s="7"/>
      <c r="B73" s="1654" t="s">
        <v>377</v>
      </c>
      <c r="C73" s="1655" t="s">
        <v>8923</v>
      </c>
      <c r="D73" s="67"/>
      <c r="E73" s="1992" t="s">
        <v>8922</v>
      </c>
      <c r="F73" s="68"/>
      <c r="G73" s="2008">
        <f>-2363-1071.62</f>
        <v>-3434.62</v>
      </c>
      <c r="H73" s="71">
        <v>45642</v>
      </c>
      <c r="I73" s="16">
        <v>2363</v>
      </c>
      <c r="J73" s="1853">
        <f t="shared" ref="J73" si="26">G73/I73</f>
        <v>-1.4534997884045704</v>
      </c>
      <c r="K73" s="1664"/>
      <c r="L73" s="1251">
        <f>G73</f>
        <v>-3434.62</v>
      </c>
      <c r="M73" s="1251"/>
      <c r="N73" s="1251">
        <v>18000</v>
      </c>
      <c r="O73" s="1251">
        <v>13895</v>
      </c>
      <c r="P73" s="1251">
        <f>P71-P72</f>
        <v>34</v>
      </c>
      <c r="Q73" s="1597"/>
      <c r="R73" s="1989">
        <v>918228.55</v>
      </c>
      <c r="U73" s="40"/>
      <c r="Z73" s="16"/>
      <c r="AA73" s="9"/>
      <c r="AB73" s="65"/>
      <c r="AC73" s="3"/>
      <c r="AD73" s="3"/>
      <c r="AE73" s="3"/>
      <c r="AF73" s="3"/>
      <c r="AG73" s="45"/>
      <c r="AH73" s="3"/>
      <c r="AI73" s="47"/>
      <c r="AJ73" s="48"/>
      <c r="AK73" s="13"/>
      <c r="AL73" s="9"/>
      <c r="AM73" s="9"/>
      <c r="AN73" s="9"/>
      <c r="AO73" s="49"/>
      <c r="AP73" s="50"/>
      <c r="AQ73" s="13"/>
      <c r="AR73" s="16"/>
    </row>
    <row r="74" spans="1:44" ht="17.25">
      <c r="A74" s="7"/>
      <c r="B74" s="1654" t="s">
        <v>50</v>
      </c>
      <c r="C74" s="760" t="s">
        <v>8884</v>
      </c>
      <c r="D74">
        <v>3.1</v>
      </c>
      <c r="E74">
        <v>10</v>
      </c>
      <c r="F74" s="1957">
        <f>D74*1.2</f>
        <v>3.7199999999999998</v>
      </c>
      <c r="G74" s="1609">
        <v>-3100</v>
      </c>
      <c r="H74" s="71">
        <v>45638</v>
      </c>
      <c r="I74" s="16">
        <f t="shared" ref="I74:I80" si="27">D74*E74*100</f>
        <v>3100</v>
      </c>
      <c r="J74" s="1853">
        <f t="shared" ref="J74:J75" si="28">G74/I74</f>
        <v>-1</v>
      </c>
      <c r="K74" s="1664"/>
      <c r="M74" s="1251">
        <f t="shared" ref="M74:M79" si="29">G74</f>
        <v>-3100</v>
      </c>
      <c r="N74" s="1251">
        <v>18000</v>
      </c>
      <c r="O74" s="1251">
        <v>13845</v>
      </c>
      <c r="Q74" s="1597"/>
      <c r="R74" s="1989">
        <v>18000</v>
      </c>
      <c r="U74" s="40"/>
      <c r="Z74" s="16"/>
      <c r="AA74" s="9"/>
      <c r="AB74" s="65"/>
      <c r="AC74" s="3"/>
      <c r="AD74" s="3"/>
      <c r="AE74" s="3"/>
      <c r="AF74" s="3"/>
      <c r="AG74" s="45"/>
      <c r="AH74" s="3"/>
      <c r="AI74" s="47"/>
      <c r="AJ74" s="48"/>
      <c r="AK74" s="13"/>
      <c r="AL74" s="9"/>
      <c r="AM74" s="9"/>
      <c r="AN74" s="9"/>
      <c r="AO74" s="49"/>
      <c r="AP74" s="50"/>
      <c r="AQ74" s="13"/>
      <c r="AR74" s="16"/>
    </row>
    <row r="75" spans="1:44" ht="17.25">
      <c r="A75" s="7"/>
      <c r="B75" s="1654" t="s">
        <v>33</v>
      </c>
      <c r="C75" s="760" t="s">
        <v>8884</v>
      </c>
      <c r="D75">
        <v>0.73</v>
      </c>
      <c r="E75">
        <v>50</v>
      </c>
      <c r="F75" s="1957">
        <f>D75*1.2</f>
        <v>0.876</v>
      </c>
      <c r="G75" s="2008">
        <f>7990.04-2116.52</f>
        <v>5873.52</v>
      </c>
      <c r="H75" s="71">
        <v>45638</v>
      </c>
      <c r="I75" s="16">
        <f t="shared" si="27"/>
        <v>3650</v>
      </c>
      <c r="J75" s="1853">
        <f t="shared" si="28"/>
        <v>1.6091835616438357</v>
      </c>
      <c r="K75" s="1664"/>
      <c r="M75" s="1251">
        <f t="shared" si="29"/>
        <v>5873.52</v>
      </c>
      <c r="Q75" s="1597"/>
      <c r="R75" s="1989">
        <v>18000</v>
      </c>
      <c r="T75" s="40"/>
      <c r="U75" s="40"/>
      <c r="Z75" s="16"/>
      <c r="AA75" s="9"/>
      <c r="AB75" s="65"/>
      <c r="AC75" s="3"/>
      <c r="AD75" s="3"/>
      <c r="AE75" s="3"/>
      <c r="AF75" s="3"/>
      <c r="AG75" s="45"/>
      <c r="AH75" s="3"/>
      <c r="AI75" s="47"/>
      <c r="AJ75" s="48"/>
      <c r="AK75" s="13"/>
      <c r="AL75" s="9"/>
      <c r="AM75" s="9"/>
      <c r="AN75" s="9"/>
      <c r="AO75" s="49"/>
      <c r="AP75" s="50"/>
      <c r="AQ75" s="13"/>
      <c r="AR75" s="16"/>
    </row>
    <row r="76" spans="1:44" ht="17.25">
      <c r="A76" s="7"/>
      <c r="B76" s="1654" t="s">
        <v>50</v>
      </c>
      <c r="C76" s="760" t="s">
        <v>8884</v>
      </c>
      <c r="D76">
        <v>2.95</v>
      </c>
      <c r="E76">
        <v>10</v>
      </c>
      <c r="F76" s="1957">
        <v>4.5999999999999996</v>
      </c>
      <c r="G76" s="1609">
        <f>(F76-D76)*E76*100-(E76*2.44*2)</f>
        <v>1601.1999999999994</v>
      </c>
      <c r="H76" s="71">
        <v>45637</v>
      </c>
      <c r="I76" s="16">
        <f t="shared" si="27"/>
        <v>2950</v>
      </c>
      <c r="J76" s="1853">
        <f t="shared" ref="J76:J77" si="30">G76/I76</f>
        <v>0.54277966101694897</v>
      </c>
      <c r="K76" s="1664"/>
      <c r="M76" s="1251">
        <f t="shared" si="29"/>
        <v>1601.1999999999994</v>
      </c>
      <c r="Q76" s="1597"/>
      <c r="R76" s="1989">
        <v>50000</v>
      </c>
      <c r="T76" s="40"/>
      <c r="U76" s="40"/>
      <c r="Z76" s="16"/>
      <c r="AA76" s="9"/>
      <c r="AB76" s="65"/>
      <c r="AC76" s="3"/>
      <c r="AD76" s="3"/>
      <c r="AE76" s="3"/>
      <c r="AF76" s="3"/>
      <c r="AG76" s="45"/>
      <c r="AH76" s="3"/>
      <c r="AI76" s="47"/>
      <c r="AJ76" s="48"/>
      <c r="AK76" s="13"/>
      <c r="AL76" s="9"/>
      <c r="AM76" s="9"/>
      <c r="AN76" s="9"/>
      <c r="AO76" s="49"/>
      <c r="AP76" s="50"/>
      <c r="AQ76" s="13"/>
      <c r="AR76" s="16"/>
    </row>
    <row r="77" spans="1:44" ht="17.25">
      <c r="A77" s="7"/>
      <c r="B77" s="1654" t="s">
        <v>33</v>
      </c>
      <c r="C77" s="760" t="s">
        <v>8884</v>
      </c>
      <c r="D77">
        <v>0.68</v>
      </c>
      <c r="E77">
        <v>50</v>
      </c>
      <c r="F77" s="1957">
        <v>0.84</v>
      </c>
      <c r="G77" s="1609">
        <f>(F77-D77)*E77*100-(E77*1.33*2)</f>
        <v>666.99999999999966</v>
      </c>
      <c r="H77" s="71">
        <v>45637</v>
      </c>
      <c r="I77" s="16">
        <f t="shared" si="27"/>
        <v>3400</v>
      </c>
      <c r="J77" s="1853">
        <f t="shared" si="30"/>
        <v>0.1961764705882352</v>
      </c>
      <c r="K77" s="1664"/>
      <c r="M77" s="1251">
        <f t="shared" si="29"/>
        <v>666.99999999999966</v>
      </c>
      <c r="P77">
        <f>20000/1610</f>
        <v>12.422360248447205</v>
      </c>
      <c r="Q77" s="1597"/>
      <c r="R77" s="1989">
        <v>30000</v>
      </c>
      <c r="T77" s="40"/>
      <c r="U77" s="40"/>
      <c r="Z77" s="16"/>
      <c r="AA77" s="9"/>
      <c r="AB77" s="65"/>
      <c r="AC77" s="3"/>
      <c r="AD77" s="3"/>
      <c r="AE77" s="3"/>
      <c r="AF77" s="3"/>
      <c r="AG77" s="45"/>
      <c r="AH77" s="3"/>
      <c r="AI77" s="47"/>
      <c r="AJ77" s="48"/>
      <c r="AK77" s="13"/>
      <c r="AL77" s="9"/>
      <c r="AM77" s="9"/>
      <c r="AN77" s="9"/>
      <c r="AO77" s="49"/>
      <c r="AP77" s="50"/>
      <c r="AQ77" s="13"/>
      <c r="AR77" s="16"/>
    </row>
    <row r="78" spans="1:44" ht="17.25">
      <c r="A78" s="7"/>
      <c r="B78" s="1654" t="s">
        <v>50</v>
      </c>
      <c r="C78" s="760" t="s">
        <v>8884</v>
      </c>
      <c r="D78">
        <v>3.3</v>
      </c>
      <c r="E78">
        <v>10</v>
      </c>
      <c r="F78" s="1957">
        <f>D78+(D78/5)</f>
        <v>3.96</v>
      </c>
      <c r="G78" s="1609">
        <f>(F78-D78)*E78*100-(E78*2.44*2)</f>
        <v>611.20000000000016</v>
      </c>
      <c r="H78" s="71">
        <v>45636</v>
      </c>
      <c r="I78" s="16">
        <f t="shared" si="27"/>
        <v>3300</v>
      </c>
      <c r="J78" s="1853">
        <f t="shared" ref="J78" si="31">G78/I78</f>
        <v>0.18521212121212127</v>
      </c>
      <c r="K78" s="1664"/>
      <c r="M78" s="1251">
        <f t="shared" si="29"/>
        <v>611.20000000000016</v>
      </c>
      <c r="Q78" s="1597"/>
      <c r="R78" s="1989">
        <f>1000000-R73</f>
        <v>81771.449999999953</v>
      </c>
      <c r="T78" s="40"/>
      <c r="U78" s="40"/>
      <c r="Z78" s="16"/>
      <c r="AA78" s="9"/>
      <c r="AB78" s="65"/>
      <c r="AC78" s="3"/>
      <c r="AD78" s="3"/>
      <c r="AE78" s="3"/>
      <c r="AF78" s="3"/>
      <c r="AG78" s="45"/>
      <c r="AH78" s="3"/>
      <c r="AI78" s="47"/>
      <c r="AJ78" s="48"/>
      <c r="AK78" s="13"/>
      <c r="AL78" s="9"/>
      <c r="AM78" s="9"/>
      <c r="AN78" s="9"/>
      <c r="AO78" s="49"/>
      <c r="AP78" s="50"/>
      <c r="AQ78" s="13"/>
      <c r="AR78" s="16"/>
    </row>
    <row r="79" spans="1:44" ht="17.25">
      <c r="A79" s="7"/>
      <c r="B79" s="1654" t="s">
        <v>33</v>
      </c>
      <c r="C79" s="760" t="s">
        <v>8884</v>
      </c>
      <c r="D79">
        <v>0.68</v>
      </c>
      <c r="E79">
        <v>50</v>
      </c>
      <c r="F79" s="1957">
        <f>D79+(D79/5)</f>
        <v>0.81600000000000006</v>
      </c>
      <c r="G79" s="1609">
        <f>(F79-D79)*E79*100-(E79*1.33*2)</f>
        <v>547.00000000000011</v>
      </c>
      <c r="H79" s="71">
        <v>45636</v>
      </c>
      <c r="I79" s="16">
        <f t="shared" si="27"/>
        <v>3400</v>
      </c>
      <c r="J79" s="1853">
        <f t="shared" ref="J79" si="32">G79/I79</f>
        <v>0.1608823529411765</v>
      </c>
      <c r="K79" s="1664"/>
      <c r="M79" s="1251">
        <f t="shared" si="29"/>
        <v>547.00000000000011</v>
      </c>
      <c r="Q79" s="1597"/>
      <c r="R79" s="1989">
        <f>SUM(R74:R78)</f>
        <v>197771.44999999995</v>
      </c>
      <c r="T79" s="40"/>
      <c r="U79" s="40"/>
      <c r="Z79" s="16"/>
      <c r="AA79" s="9"/>
      <c r="AB79" s="65"/>
      <c r="AC79" s="3"/>
      <c r="AD79" s="3"/>
      <c r="AE79" s="3"/>
      <c r="AF79" s="3"/>
      <c r="AG79" s="45"/>
      <c r="AH79" s="3"/>
      <c r="AI79" s="47"/>
      <c r="AJ79" s="48"/>
      <c r="AK79" s="13"/>
      <c r="AL79" s="9"/>
      <c r="AM79" s="9"/>
      <c r="AN79" s="9"/>
      <c r="AO79" s="49"/>
      <c r="AP79" s="50"/>
      <c r="AQ79" s="13"/>
      <c r="AR79" s="16"/>
    </row>
    <row r="80" spans="1:44" ht="17.25">
      <c r="A80" s="7"/>
      <c r="B80" s="1654" t="s">
        <v>377</v>
      </c>
      <c r="C80" s="1655" t="s">
        <v>8822</v>
      </c>
      <c r="D80" s="67">
        <v>16.100000000000001</v>
      </c>
      <c r="E80" s="68">
        <v>10</v>
      </c>
      <c r="F80" s="68">
        <v>30.58</v>
      </c>
      <c r="G80" s="1609">
        <f>(F80-D80)*E80*100</f>
        <v>14479.999999999996</v>
      </c>
      <c r="H80" s="71">
        <v>45635</v>
      </c>
      <c r="I80" s="16">
        <f t="shared" si="27"/>
        <v>16100</v>
      </c>
      <c r="J80" s="1853">
        <f t="shared" ref="J80:J89" si="33">G80/I80</f>
        <v>0.89937888198757743</v>
      </c>
      <c r="K80" s="1664"/>
      <c r="L80" s="1251">
        <f>G80</f>
        <v>14479.999999999996</v>
      </c>
      <c r="M80" s="1251"/>
      <c r="Q80" s="1597"/>
      <c r="R80" s="1989" t="s">
        <v>8918</v>
      </c>
      <c r="T80" s="40"/>
      <c r="U80" s="40"/>
      <c r="Z80" s="16"/>
      <c r="AA80" s="9"/>
      <c r="AB80" s="65"/>
      <c r="AC80" s="3"/>
      <c r="AD80" s="3"/>
      <c r="AE80" s="3"/>
      <c r="AF80" s="3"/>
      <c r="AG80" s="45"/>
      <c r="AH80" s="3"/>
      <c r="AI80" s="47"/>
      <c r="AJ80" s="48"/>
      <c r="AK80" s="13"/>
      <c r="AL80" s="9"/>
      <c r="AM80" s="9"/>
      <c r="AN80" s="9"/>
      <c r="AO80" s="49"/>
      <c r="AP80" s="50"/>
      <c r="AQ80" s="13"/>
      <c r="AR80" s="16"/>
    </row>
    <row r="81" spans="1:44" ht="17.25">
      <c r="A81" s="7"/>
      <c r="B81" s="1654" t="s">
        <v>33</v>
      </c>
      <c r="C81" s="760" t="s">
        <v>8884</v>
      </c>
      <c r="D81">
        <v>0.68</v>
      </c>
      <c r="E81">
        <v>50</v>
      </c>
      <c r="F81">
        <f>D81+0.12</f>
        <v>0.8</v>
      </c>
      <c r="G81" s="1609">
        <f>(F81-D81)*E81*100-(E81*1.33*2)</f>
        <v>467</v>
      </c>
      <c r="H81" s="71">
        <v>45632</v>
      </c>
      <c r="I81" s="16">
        <v>3466</v>
      </c>
      <c r="J81" s="1853">
        <f t="shared" si="33"/>
        <v>0.13473744950952107</v>
      </c>
      <c r="K81" s="1664"/>
      <c r="M81" s="1251">
        <f>G81</f>
        <v>467</v>
      </c>
      <c r="Q81" s="1597">
        <f ca="1">Q19-Q18</f>
        <v>-51699.520000000011</v>
      </c>
      <c r="R81" s="1989">
        <f>R79/3</f>
        <v>65923.816666666651</v>
      </c>
      <c r="U81" s="40"/>
      <c r="Z81" s="16"/>
      <c r="AA81" s="9"/>
      <c r="AB81" s="65"/>
      <c r="AC81" s="3"/>
      <c r="AD81" s="3"/>
      <c r="AE81" s="3"/>
      <c r="AF81" s="3"/>
      <c r="AG81" s="45"/>
      <c r="AH81" s="3"/>
      <c r="AI81" s="47"/>
      <c r="AJ81" s="48"/>
      <c r="AK81" s="13"/>
      <c r="AL81" s="9"/>
      <c r="AM81" s="9"/>
      <c r="AN81" s="9"/>
      <c r="AO81" s="49"/>
      <c r="AP81" s="50"/>
      <c r="AQ81" s="13"/>
      <c r="AR81" s="16"/>
    </row>
    <row r="82" spans="1:44" ht="17.25">
      <c r="A82" s="7"/>
      <c r="B82" s="1654" t="s">
        <v>33</v>
      </c>
      <c r="C82" s="760" t="s">
        <v>8884</v>
      </c>
      <c r="D82">
        <v>0.67</v>
      </c>
      <c r="E82">
        <v>68</v>
      </c>
      <c r="F82">
        <v>0.8</v>
      </c>
      <c r="G82" s="1609">
        <f t="shared" ref="G82:G83" si="34">(F82-D82)*E82*100-(E82*1.33*2)</f>
        <v>703.12</v>
      </c>
      <c r="H82" s="71">
        <v>45631</v>
      </c>
      <c r="I82" s="16">
        <f>(D82*E82*100)+(E82*1.32)</f>
        <v>4645.76</v>
      </c>
      <c r="J82" s="1853">
        <f t="shared" si="33"/>
        <v>0.15134660421545668</v>
      </c>
      <c r="K82" s="1664"/>
      <c r="M82" s="1251">
        <f>G82</f>
        <v>703.12</v>
      </c>
      <c r="Q82" s="1964"/>
      <c r="R82" s="1989" t="s">
        <v>8919</v>
      </c>
      <c r="U82" s="40"/>
      <c r="Z82" s="16"/>
      <c r="AA82" s="9"/>
      <c r="AB82" s="65"/>
      <c r="AC82" s="3"/>
      <c r="AD82" s="3"/>
      <c r="AE82" s="3"/>
      <c r="AF82" s="3"/>
      <c r="AG82" s="45"/>
      <c r="AH82" s="3"/>
      <c r="AI82" s="47"/>
      <c r="AJ82" s="48"/>
      <c r="AK82" s="13"/>
      <c r="AL82" s="9"/>
      <c r="AM82" s="9"/>
      <c r="AN82" s="9"/>
      <c r="AO82" s="49"/>
      <c r="AP82" s="50"/>
      <c r="AQ82" s="13"/>
      <c r="AR82" s="16"/>
    </row>
    <row r="83" spans="1:44" ht="18" thickBot="1">
      <c r="A83" s="7"/>
      <c r="B83" s="1654" t="s">
        <v>33</v>
      </c>
      <c r="C83" s="760" t="s">
        <v>8884</v>
      </c>
      <c r="D83">
        <v>0.73</v>
      </c>
      <c r="E83">
        <v>23</v>
      </c>
      <c r="F83">
        <v>0.88</v>
      </c>
      <c r="G83" s="1609">
        <f t="shared" si="34"/>
        <v>283.82000000000005</v>
      </c>
      <c r="H83" s="71">
        <v>45630</v>
      </c>
      <c r="I83" s="16">
        <f>(D83*E83*100)+(E83*1.32)</f>
        <v>1709.36</v>
      </c>
      <c r="J83" s="1853">
        <f t="shared" si="33"/>
        <v>0.16603875134553286</v>
      </c>
      <c r="K83" s="1664"/>
      <c r="M83" s="1251">
        <f>G83</f>
        <v>283.82000000000005</v>
      </c>
      <c r="Q83" s="1960">
        <f ca="1">Q19/Q81</f>
        <v>0</v>
      </c>
      <c r="R83" s="1993">
        <f>R81/R73</f>
        <v>7.1794562112740504E-2</v>
      </c>
      <c r="S83">
        <v>231</v>
      </c>
      <c r="U83" s="40"/>
      <c r="Z83" s="16"/>
      <c r="AA83" s="9"/>
      <c r="AB83" s="65"/>
      <c r="AC83" s="3"/>
      <c r="AD83" s="3"/>
      <c r="AE83" s="3"/>
      <c r="AF83" s="3"/>
      <c r="AG83" s="45"/>
      <c r="AH83" s="3"/>
      <c r="AI83" s="47"/>
      <c r="AJ83" s="48"/>
      <c r="AK83" s="13"/>
      <c r="AL83" s="9"/>
      <c r="AM83" s="9"/>
      <c r="AN83" s="9"/>
      <c r="AO83" s="49"/>
      <c r="AP83" s="50"/>
      <c r="AQ83" s="13"/>
      <c r="AR83" s="16"/>
    </row>
    <row r="84" spans="1:44" ht="17.25">
      <c r="A84" s="7"/>
      <c r="B84" s="1654" t="s">
        <v>33</v>
      </c>
      <c r="C84" s="1655" t="s">
        <v>8884</v>
      </c>
      <c r="D84" s="67"/>
      <c r="E84" s="68"/>
      <c r="F84" s="82"/>
      <c r="G84" s="1609">
        <v>106.89</v>
      </c>
      <c r="H84" s="71">
        <v>45629</v>
      </c>
      <c r="I84" s="16">
        <v>1266</v>
      </c>
      <c r="J84" s="1853">
        <f t="shared" si="33"/>
        <v>8.4431279620853075E-2</v>
      </c>
      <c r="K84" s="1664"/>
      <c r="M84" s="1251">
        <f>G84</f>
        <v>106.89</v>
      </c>
      <c r="Q84" s="1960">
        <f ca="1">Q19/Q18</f>
        <v>0</v>
      </c>
      <c r="R84" s="9"/>
      <c r="S84">
        <v>598.19000000000005</v>
      </c>
      <c r="U84" s="40"/>
      <c r="Z84" s="16"/>
      <c r="AA84" s="9"/>
      <c r="AB84" s="65"/>
      <c r="AC84" s="3"/>
      <c r="AD84" s="3"/>
      <c r="AE84" s="3"/>
      <c r="AF84" s="3"/>
      <c r="AG84" s="45"/>
      <c r="AH84" s="3"/>
      <c r="AI84" s="47"/>
      <c r="AJ84" s="48"/>
      <c r="AK84" s="13"/>
      <c r="AL84" s="9"/>
      <c r="AM84" s="9"/>
      <c r="AN84" s="9"/>
      <c r="AO84" s="49"/>
      <c r="AP84" s="50"/>
      <c r="AQ84" s="13"/>
      <c r="AR84" s="16"/>
    </row>
    <row r="85" spans="1:44" ht="17.25">
      <c r="A85" s="7"/>
      <c r="B85" s="1654"/>
      <c r="D85" s="67"/>
      <c r="E85" s="68"/>
      <c r="F85" s="1851" t="s">
        <v>17</v>
      </c>
      <c r="G85" s="74">
        <f>SUM(G86:G96)</f>
        <v>41078.18</v>
      </c>
      <c r="H85" s="71"/>
      <c r="I85" s="16"/>
      <c r="J85" s="1853"/>
      <c r="K85" s="1664"/>
      <c r="Q85" s="1960">
        <v>0.21</v>
      </c>
      <c r="R85" s="9"/>
      <c r="S85">
        <v>602.79999999999995</v>
      </c>
      <c r="U85" s="40"/>
      <c r="Z85" s="16"/>
      <c r="AA85" s="9"/>
      <c r="AB85" s="65"/>
      <c r="AC85" s="3"/>
      <c r="AD85" s="3"/>
      <c r="AE85" s="3"/>
      <c r="AF85" s="3"/>
      <c r="AG85" s="45"/>
      <c r="AH85" s="3"/>
      <c r="AI85" s="47"/>
      <c r="AJ85" s="48"/>
      <c r="AK85" s="13"/>
      <c r="AL85" s="9"/>
      <c r="AM85" s="9"/>
      <c r="AN85" s="9"/>
      <c r="AO85" s="49"/>
      <c r="AP85" s="50"/>
      <c r="AQ85" s="13"/>
      <c r="AR85" s="16"/>
    </row>
    <row r="86" spans="1:44" ht="17.25">
      <c r="A86" s="7"/>
      <c r="B86" s="1654" t="s">
        <v>33</v>
      </c>
      <c r="C86" s="1655" t="s">
        <v>8876</v>
      </c>
      <c r="D86" s="67"/>
      <c r="E86" s="68"/>
      <c r="F86" s="82"/>
      <c r="G86" s="1609">
        <v>0</v>
      </c>
      <c r="H86" s="71"/>
      <c r="I86" s="16"/>
      <c r="J86" s="1853"/>
      <c r="K86" s="1664"/>
      <c r="Q86" s="1597"/>
      <c r="R86" s="9"/>
      <c r="S86">
        <f>(S85-S84)*S83</f>
        <v>1064.9099999999769</v>
      </c>
      <c r="U86" s="40"/>
      <c r="Z86" s="16"/>
      <c r="AA86" s="9"/>
      <c r="AB86" s="65"/>
      <c r="AC86" s="3"/>
      <c r="AD86" s="3"/>
      <c r="AE86" s="3"/>
      <c r="AF86" s="3"/>
      <c r="AG86" s="45"/>
      <c r="AH86" s="3"/>
      <c r="AI86" s="47"/>
      <c r="AJ86" s="48"/>
      <c r="AK86" s="13"/>
      <c r="AL86" s="9"/>
      <c r="AM86" s="9"/>
      <c r="AN86" s="9"/>
      <c r="AO86" s="49"/>
      <c r="AP86" s="50"/>
      <c r="AQ86" s="13"/>
      <c r="AR86" s="16"/>
    </row>
    <row r="87" spans="1:44" ht="18" thickBot="1">
      <c r="A87" s="7"/>
      <c r="B87" s="1654" t="s">
        <v>8875</v>
      </c>
      <c r="C87" s="1655" t="s">
        <v>8876</v>
      </c>
      <c r="D87" s="1944" t="s">
        <v>8877</v>
      </c>
      <c r="E87" s="68">
        <v>25</v>
      </c>
      <c r="F87" s="82"/>
      <c r="G87" s="2008">
        <f>2041.79+3791.69-1708.14-2733.16</f>
        <v>1392.1799999999994</v>
      </c>
      <c r="H87" s="71"/>
      <c r="I87" s="16">
        <v>9000</v>
      </c>
      <c r="J87" s="1853">
        <f t="shared" si="33"/>
        <v>0.15468666666666661</v>
      </c>
      <c r="K87" s="1664"/>
      <c r="M87" s="1251"/>
      <c r="Q87" s="1597"/>
      <c r="R87" s="9"/>
      <c r="T87" s="343"/>
      <c r="U87" s="40"/>
      <c r="Z87" s="16"/>
      <c r="AA87" s="9"/>
      <c r="AB87" s="65"/>
      <c r="AC87" s="3"/>
      <c r="AD87" s="3"/>
      <c r="AE87" s="3"/>
      <c r="AF87" s="3"/>
      <c r="AG87" s="45"/>
      <c r="AH87" s="3"/>
      <c r="AI87" s="47"/>
      <c r="AJ87" s="48"/>
      <c r="AK87" s="13"/>
      <c r="AL87" s="9"/>
      <c r="AM87" s="9"/>
      <c r="AN87" s="9"/>
      <c r="AO87" s="49"/>
      <c r="AP87" s="50"/>
      <c r="AQ87" s="13"/>
      <c r="AR87" s="16"/>
    </row>
    <row r="88" spans="1:44" ht="16.149999999999999" customHeight="1">
      <c r="A88" s="7"/>
      <c r="B88" s="1654" t="s">
        <v>33</v>
      </c>
      <c r="C88" s="1680" t="s">
        <v>8884</v>
      </c>
      <c r="D88" s="67"/>
      <c r="E88" s="68"/>
      <c r="F88" s="82"/>
      <c r="G88" s="34">
        <v>-740</v>
      </c>
      <c r="H88" s="71">
        <v>45623</v>
      </c>
      <c r="I88" s="16">
        <v>893</v>
      </c>
      <c r="J88" s="1853">
        <f t="shared" si="33"/>
        <v>-0.82866741321388582</v>
      </c>
      <c r="K88" s="1664"/>
      <c r="M88" s="1251">
        <f>G88</f>
        <v>-740</v>
      </c>
      <c r="Q88" s="16"/>
      <c r="R88" s="2090" t="s">
        <v>8891</v>
      </c>
      <c r="S88" s="2091"/>
      <c r="T88" s="343"/>
      <c r="U88" s="40"/>
      <c r="Z88" s="16"/>
      <c r="AA88" s="9"/>
      <c r="AB88" s="65"/>
      <c r="AC88" s="3"/>
      <c r="AD88" s="3"/>
      <c r="AE88" s="3"/>
      <c r="AF88" s="3"/>
      <c r="AG88" s="45"/>
      <c r="AH88" s="3"/>
      <c r="AI88" s="47"/>
      <c r="AJ88" s="48"/>
      <c r="AK88" s="13"/>
      <c r="AL88" s="9"/>
      <c r="AM88" s="9"/>
      <c r="AN88" s="9"/>
      <c r="AO88" s="49"/>
      <c r="AP88" s="50"/>
      <c r="AQ88" s="13"/>
      <c r="AR88" s="16"/>
    </row>
    <row r="89" spans="1:44" ht="17.25">
      <c r="A89" s="7"/>
      <c r="B89" s="1654" t="s">
        <v>33</v>
      </c>
      <c r="C89" s="1655" t="s">
        <v>8884</v>
      </c>
      <c r="D89" s="67"/>
      <c r="E89" s="68"/>
      <c r="F89" s="82"/>
      <c r="G89" s="1609">
        <v>-883</v>
      </c>
      <c r="H89" s="71">
        <v>45622</v>
      </c>
      <c r="I89" s="16">
        <v>893</v>
      </c>
      <c r="J89" s="1853">
        <f t="shared" si="33"/>
        <v>-0.98880179171332583</v>
      </c>
      <c r="K89" s="1664"/>
      <c r="M89" s="1251">
        <f>G89</f>
        <v>-883</v>
      </c>
      <c r="O89" s="1958"/>
      <c r="P89" s="1958"/>
      <c r="Q89" s="1597"/>
      <c r="R89" s="1965" t="s">
        <v>8889</v>
      </c>
      <c r="S89" s="1994">
        <v>1064</v>
      </c>
      <c r="T89" s="343"/>
      <c r="U89" s="40"/>
      <c r="Z89" s="16"/>
      <c r="AA89" s="9"/>
      <c r="AB89" s="65"/>
      <c r="AC89" s="3"/>
      <c r="AD89" s="3"/>
      <c r="AE89" s="3"/>
      <c r="AF89" s="3"/>
      <c r="AG89" s="45"/>
      <c r="AH89" s="3"/>
      <c r="AI89" s="47"/>
      <c r="AJ89" s="48"/>
      <c r="AK89" s="13"/>
      <c r="AL89" s="9"/>
      <c r="AM89" s="9"/>
      <c r="AN89" s="9"/>
      <c r="AO89" s="49"/>
      <c r="AP89" s="50"/>
      <c r="AQ89" s="13"/>
      <c r="AR89" s="16"/>
    </row>
    <row r="90" spans="1:44" ht="17.25">
      <c r="A90" s="7"/>
      <c r="B90" s="1654" t="s">
        <v>377</v>
      </c>
      <c r="C90" s="1655" t="s">
        <v>8822</v>
      </c>
      <c r="D90" s="67">
        <v>14.6</v>
      </c>
      <c r="E90" s="68">
        <v>10</v>
      </c>
      <c r="F90" s="82">
        <v>20.75</v>
      </c>
      <c r="G90" s="1609">
        <f>(F90-D90)*E90*100</f>
        <v>6150</v>
      </c>
      <c r="H90" s="71">
        <v>45611</v>
      </c>
      <c r="I90" s="16">
        <f>D90*E90*100</f>
        <v>14600</v>
      </c>
      <c r="J90" s="1853">
        <f>G90/I90</f>
        <v>0.42123287671232879</v>
      </c>
      <c r="K90" s="1664"/>
      <c r="L90" s="1251">
        <f>G90</f>
        <v>6150</v>
      </c>
      <c r="P90" s="1958"/>
      <c r="Q90" s="1597"/>
      <c r="R90" s="1965" t="s">
        <v>8876</v>
      </c>
      <c r="S90" s="1994">
        <v>-829.02</v>
      </c>
      <c r="T90" s="343"/>
      <c r="U90" s="40"/>
      <c r="Z90" s="16"/>
      <c r="AA90" s="9"/>
      <c r="AB90" s="65"/>
      <c r="AC90" s="3"/>
      <c r="AD90" s="3"/>
      <c r="AE90" s="3"/>
      <c r="AF90" s="3"/>
      <c r="AG90" s="45"/>
      <c r="AH90" s="3"/>
      <c r="AI90" s="47"/>
      <c r="AJ90" s="48"/>
      <c r="AK90" s="13"/>
      <c r="AL90" s="9"/>
      <c r="AM90" s="9"/>
      <c r="AN90" s="9"/>
      <c r="AO90" s="49"/>
      <c r="AP90" s="50"/>
      <c r="AQ90" s="13"/>
      <c r="AR90" s="16"/>
    </row>
    <row r="91" spans="1:44" ht="17.25">
      <c r="A91" s="7"/>
      <c r="B91" s="1654" t="s">
        <v>33</v>
      </c>
      <c r="C91" s="1655" t="s">
        <v>8844</v>
      </c>
      <c r="D91" s="67">
        <v>486.3</v>
      </c>
      <c r="E91" s="68">
        <v>123</v>
      </c>
      <c r="F91" s="82">
        <v>599.26</v>
      </c>
      <c r="G91" s="1609">
        <v>13895</v>
      </c>
      <c r="H91" s="71">
        <v>45604</v>
      </c>
      <c r="I91" s="16">
        <f>D91*E91</f>
        <v>59814.9</v>
      </c>
      <c r="J91" s="29" t="s">
        <v>34</v>
      </c>
      <c r="K91" s="1664"/>
      <c r="O91" s="1957"/>
      <c r="P91" s="1957"/>
      <c r="Q91" s="1957"/>
      <c r="R91" s="1965" t="s">
        <v>412</v>
      </c>
      <c r="S91" s="1994">
        <v>772</v>
      </c>
      <c r="T91" s="343"/>
      <c r="U91" s="40"/>
      <c r="Z91" s="16"/>
      <c r="AA91" s="9"/>
      <c r="AB91" s="65"/>
      <c r="AC91" s="3"/>
      <c r="AD91" s="3"/>
      <c r="AE91" s="3"/>
      <c r="AF91" s="3"/>
      <c r="AG91" s="45"/>
      <c r="AH91" s="3"/>
      <c r="AI91" s="47"/>
      <c r="AJ91" s="48"/>
      <c r="AK91" s="13"/>
      <c r="AL91" s="9"/>
      <c r="AM91" s="9"/>
      <c r="AN91" s="9"/>
      <c r="AO91" s="49"/>
      <c r="AP91" s="50"/>
      <c r="AQ91" s="13"/>
      <c r="AR91" s="16"/>
    </row>
    <row r="92" spans="1:44" ht="17.25">
      <c r="A92" s="7"/>
      <c r="B92" s="1654" t="s">
        <v>33</v>
      </c>
      <c r="C92" s="1655" t="s">
        <v>8844</v>
      </c>
      <c r="D92" s="67">
        <v>486.3</v>
      </c>
      <c r="E92" s="68">
        <v>123</v>
      </c>
      <c r="F92" s="82">
        <v>598.85</v>
      </c>
      <c r="G92" s="1609">
        <v>13845</v>
      </c>
      <c r="H92" s="71">
        <v>45604</v>
      </c>
      <c r="I92" s="16">
        <f>D92*E92</f>
        <v>59814.9</v>
      </c>
      <c r="J92" s="29" t="s">
        <v>34</v>
      </c>
      <c r="K92" s="1664"/>
      <c r="Q92" s="1597"/>
      <c r="R92" s="1965" t="s">
        <v>8845</v>
      </c>
      <c r="S92" s="1994">
        <v>-5616</v>
      </c>
      <c r="U92" s="40"/>
      <c r="Z92" s="16"/>
      <c r="AA92" s="9"/>
      <c r="AB92" s="65"/>
      <c r="AC92" s="3"/>
      <c r="AD92" s="3"/>
      <c r="AE92" s="3"/>
      <c r="AF92" s="3"/>
      <c r="AG92" s="45"/>
      <c r="AH92" s="3"/>
      <c r="AI92" s="47"/>
      <c r="AJ92" s="48"/>
      <c r="AK92" s="13"/>
      <c r="AL92" s="9"/>
      <c r="AM92" s="9"/>
      <c r="AN92" s="9"/>
      <c r="AO92" s="49"/>
      <c r="AP92" s="50"/>
      <c r="AQ92" s="13"/>
      <c r="AR92" s="16"/>
    </row>
    <row r="93" spans="1:44" ht="18" thickBot="1">
      <c r="A93" s="7"/>
      <c r="B93" s="1654" t="s">
        <v>377</v>
      </c>
      <c r="C93" s="1655" t="s">
        <v>8822</v>
      </c>
      <c r="D93" s="67">
        <v>15.2</v>
      </c>
      <c r="E93" s="68">
        <v>5</v>
      </c>
      <c r="F93" s="82">
        <v>21.18</v>
      </c>
      <c r="G93" s="1609">
        <f>(F93-D93)*E93*100</f>
        <v>2990</v>
      </c>
      <c r="H93" s="71">
        <v>45604</v>
      </c>
      <c r="I93" s="16">
        <f>D93*E93*100</f>
        <v>7600</v>
      </c>
      <c r="J93" s="1853">
        <f>G93/I93</f>
        <v>0.39342105263157895</v>
      </c>
      <c r="K93" s="1664"/>
      <c r="L93" s="761">
        <f>G93</f>
        <v>2990</v>
      </c>
      <c r="N93" s="760"/>
      <c r="O93" s="1855"/>
      <c r="P93" s="1596"/>
      <c r="Q93" s="1597"/>
      <c r="R93" s="1966"/>
      <c r="S93" s="1995">
        <f>SUM(S89:S92)</f>
        <v>-4609.0200000000004</v>
      </c>
      <c r="U93" s="40"/>
      <c r="Z93" s="16"/>
      <c r="AA93" s="9"/>
      <c r="AB93" s="65"/>
      <c r="AC93" s="3"/>
      <c r="AD93" s="3"/>
      <c r="AE93" s="3"/>
      <c r="AF93" s="3"/>
      <c r="AG93" s="45"/>
      <c r="AH93" s="3"/>
      <c r="AI93" s="47"/>
      <c r="AJ93" s="48"/>
      <c r="AK93" s="13"/>
      <c r="AL93" s="9"/>
      <c r="AM93" s="9"/>
      <c r="AN93" s="9"/>
      <c r="AO93" s="49"/>
      <c r="AP93" s="50"/>
      <c r="AQ93" s="13"/>
      <c r="AR93" s="16"/>
    </row>
    <row r="94" spans="1:44" ht="17.25">
      <c r="A94" s="7"/>
      <c r="B94" s="1654" t="s">
        <v>377</v>
      </c>
      <c r="C94" s="1655" t="s">
        <v>8822</v>
      </c>
      <c r="D94" s="67">
        <v>15.2</v>
      </c>
      <c r="E94" s="68">
        <v>5</v>
      </c>
      <c r="F94" s="82">
        <v>18.27</v>
      </c>
      <c r="G94" s="1609">
        <f>(F94-D94)*E94*100</f>
        <v>1535.0000000000002</v>
      </c>
      <c r="H94" s="71">
        <v>45604</v>
      </c>
      <c r="I94" s="16">
        <f>D94*E94*100</f>
        <v>7600</v>
      </c>
      <c r="J94" s="1853">
        <f>G94/I94</f>
        <v>0.20197368421052633</v>
      </c>
      <c r="K94" s="1664"/>
      <c r="L94" s="1251">
        <f>G94</f>
        <v>1535.0000000000002</v>
      </c>
      <c r="O94" s="1855"/>
      <c r="P94" s="1596"/>
      <c r="Q94" s="1597"/>
      <c r="R94" s="9"/>
      <c r="U94" s="40"/>
      <c r="Z94" s="16"/>
      <c r="AA94" s="9"/>
      <c r="AB94" s="65"/>
      <c r="AC94" s="3"/>
      <c r="AD94" s="3"/>
      <c r="AE94" s="3"/>
      <c r="AF94" s="3"/>
      <c r="AG94" s="45"/>
      <c r="AH94" s="3"/>
      <c r="AI94" s="47"/>
      <c r="AJ94" s="48"/>
      <c r="AK94" s="13"/>
      <c r="AL94" s="9"/>
      <c r="AM94" s="9"/>
      <c r="AN94" s="9"/>
      <c r="AO94" s="49"/>
      <c r="AP94" s="50"/>
      <c r="AQ94" s="13"/>
      <c r="AR94" s="16"/>
    </row>
    <row r="95" spans="1:44" ht="17.25">
      <c r="A95" s="7"/>
      <c r="B95" s="1654" t="s">
        <v>33</v>
      </c>
      <c r="C95" s="1655" t="s">
        <v>8844</v>
      </c>
      <c r="D95" s="67">
        <v>486.3</v>
      </c>
      <c r="E95" s="68">
        <v>17</v>
      </c>
      <c r="F95" s="82">
        <v>587.71</v>
      </c>
      <c r="G95" s="1609">
        <v>1724</v>
      </c>
      <c r="H95" s="71">
        <v>45602</v>
      </c>
      <c r="I95" s="16">
        <v>8267</v>
      </c>
      <c r="J95" s="29" t="s">
        <v>34</v>
      </c>
      <c r="K95" s="1664"/>
      <c r="L95" s="1856"/>
      <c r="N95" s="1931"/>
      <c r="O95" s="1855"/>
      <c r="R95" s="9"/>
      <c r="U95" s="40"/>
      <c r="Z95" s="16"/>
      <c r="AA95" s="9"/>
      <c r="AB95" s="65"/>
      <c r="AC95" s="3"/>
      <c r="AD95" s="3"/>
      <c r="AE95" s="3"/>
      <c r="AF95" s="3"/>
      <c r="AG95" s="45"/>
      <c r="AH95" s="3"/>
      <c r="AI95" s="47"/>
      <c r="AJ95" s="48"/>
      <c r="AK95" s="13"/>
      <c r="AL95" s="9"/>
      <c r="AM95" s="9"/>
      <c r="AN95" s="9"/>
      <c r="AO95" s="49"/>
      <c r="AP95" s="50"/>
      <c r="AQ95" s="13"/>
      <c r="AR95" s="16"/>
    </row>
    <row r="96" spans="1:44" ht="17.25">
      <c r="A96" s="7"/>
      <c r="B96" s="1654" t="s">
        <v>377</v>
      </c>
      <c r="C96" s="1655" t="s">
        <v>8822</v>
      </c>
      <c r="D96" s="67">
        <v>9.44</v>
      </c>
      <c r="E96" s="68">
        <v>10</v>
      </c>
      <c r="F96">
        <v>10.61</v>
      </c>
      <c r="G96" s="1609">
        <f>(F96-D96)*E96*100</f>
        <v>1170</v>
      </c>
      <c r="H96" s="71">
        <v>45600</v>
      </c>
      <c r="I96" s="16">
        <f>D96*E96*100</f>
        <v>9440</v>
      </c>
      <c r="J96" s="1853">
        <f>G96/I96</f>
        <v>0.1239406779661017</v>
      </c>
      <c r="K96" s="1664"/>
      <c r="L96" s="1251">
        <f>G96</f>
        <v>1170</v>
      </c>
      <c r="R96" s="9"/>
      <c r="U96" s="40"/>
      <c r="Z96" s="16"/>
      <c r="AA96" s="9"/>
      <c r="AB96" s="65"/>
      <c r="AC96" s="3"/>
      <c r="AD96" s="3"/>
      <c r="AE96" s="3"/>
      <c r="AF96" s="3"/>
      <c r="AG96" s="45"/>
      <c r="AH96" s="3"/>
      <c r="AI96" s="47"/>
      <c r="AJ96" s="48"/>
      <c r="AK96" s="13"/>
      <c r="AL96" s="9"/>
      <c r="AM96" s="9"/>
      <c r="AN96" s="9"/>
      <c r="AO96" s="49"/>
      <c r="AP96" s="50"/>
      <c r="AQ96" s="13"/>
      <c r="AR96" s="16"/>
    </row>
    <row r="97" spans="1:44" ht="17.25">
      <c r="A97" s="7"/>
      <c r="B97" s="1654"/>
      <c r="C97" s="1655"/>
      <c r="D97" s="67"/>
      <c r="E97" s="68"/>
      <c r="F97" s="447" t="s">
        <v>18</v>
      </c>
      <c r="G97" s="74">
        <f>SUM(G98:G100)</f>
        <v>5881.66</v>
      </c>
      <c r="H97" s="69"/>
      <c r="I97" s="16"/>
      <c r="J97" s="29"/>
      <c r="K97" s="1664"/>
      <c r="L97" s="1251"/>
      <c r="R97" s="9"/>
      <c r="T97" s="40"/>
      <c r="U97" s="40"/>
      <c r="Z97" s="16"/>
      <c r="AA97" s="9"/>
      <c r="AB97" s="65"/>
      <c r="AC97" s="3"/>
      <c r="AD97" s="3"/>
      <c r="AE97" s="3"/>
      <c r="AF97" s="3"/>
      <c r="AG97" s="45"/>
      <c r="AH97" s="3"/>
      <c r="AI97" s="47"/>
      <c r="AJ97" s="48"/>
      <c r="AK97" s="13"/>
      <c r="AL97" s="9"/>
      <c r="AM97" s="9"/>
      <c r="AN97" s="9"/>
      <c r="AO97" s="49"/>
      <c r="AP97" s="50"/>
      <c r="AQ97" s="13"/>
      <c r="AR97" s="16"/>
    </row>
    <row r="98" spans="1:44" ht="17.25">
      <c r="A98" s="7"/>
      <c r="B98" s="1654" t="s">
        <v>33</v>
      </c>
      <c r="C98" s="1655" t="s">
        <v>8829</v>
      </c>
      <c r="D98" s="67"/>
      <c r="E98" s="68">
        <v>401</v>
      </c>
      <c r="F98" s="447"/>
      <c r="G98" s="34">
        <v>699.96</v>
      </c>
      <c r="H98" s="71">
        <v>45596</v>
      </c>
      <c r="I98" s="16"/>
      <c r="J98" s="29"/>
      <c r="K98" s="1664"/>
      <c r="L98" s="1251"/>
      <c r="R98" s="9"/>
      <c r="T98" s="1979" t="s">
        <v>8852</v>
      </c>
      <c r="U98" s="40"/>
      <c r="Z98" s="16"/>
      <c r="AA98" s="9"/>
      <c r="AB98" s="65"/>
      <c r="AC98" s="3"/>
      <c r="AD98" s="3"/>
      <c r="AE98" s="3"/>
      <c r="AF98" s="3"/>
      <c r="AG98" s="45"/>
      <c r="AH98" s="3"/>
      <c r="AI98" s="47"/>
      <c r="AJ98" s="48"/>
      <c r="AK98" s="13"/>
      <c r="AL98" s="9"/>
      <c r="AM98" s="9"/>
      <c r="AN98" s="9"/>
      <c r="AO98" s="49"/>
      <c r="AP98" s="50"/>
      <c r="AQ98" s="13"/>
      <c r="AR98" s="16"/>
    </row>
    <row r="99" spans="1:44" ht="17.25">
      <c r="A99" s="7"/>
      <c r="B99" s="1656" t="s">
        <v>377</v>
      </c>
      <c r="C99" s="1655" t="s">
        <v>8822</v>
      </c>
      <c r="D99" s="1657">
        <v>8.8249999999999993</v>
      </c>
      <c r="E99" s="1658">
        <v>10</v>
      </c>
      <c r="F99" s="343">
        <v>12.42</v>
      </c>
      <c r="G99" s="1609">
        <v>3594.2</v>
      </c>
      <c r="H99" s="71">
        <v>45590</v>
      </c>
      <c r="I99" s="1597">
        <v>8026</v>
      </c>
      <c r="J99" s="1853">
        <f>G99/I99</f>
        <v>0.44781958634438074</v>
      </c>
      <c r="K99" s="1664"/>
      <c r="L99" s="1251">
        <f>G99</f>
        <v>3594.2</v>
      </c>
      <c r="R99" s="9"/>
      <c r="T99" s="343" t="s">
        <v>8853</v>
      </c>
      <c r="U99" s="1930">
        <v>8000</v>
      </c>
      <c r="Z99" s="16"/>
      <c r="AA99" s="9"/>
      <c r="AB99" s="65"/>
      <c r="AC99" s="3"/>
      <c r="AD99" s="3"/>
      <c r="AE99" s="3"/>
      <c r="AF99" s="3"/>
      <c r="AG99" s="45"/>
      <c r="AH99" s="3"/>
      <c r="AI99" s="47"/>
      <c r="AJ99" s="48"/>
      <c r="AK99" s="13"/>
      <c r="AL99" s="9"/>
      <c r="AM99" s="9"/>
      <c r="AN99" s="9"/>
      <c r="AO99" s="49"/>
      <c r="AP99" s="50"/>
      <c r="AQ99" s="13"/>
      <c r="AR99" s="16"/>
    </row>
    <row r="100" spans="1:44" ht="17.25">
      <c r="A100" s="7"/>
      <c r="B100" s="1654" t="s">
        <v>377</v>
      </c>
      <c r="C100" s="1655" t="s">
        <v>8822</v>
      </c>
      <c r="D100" s="82">
        <v>2.0499999999999998</v>
      </c>
      <c r="E100" s="68">
        <v>25</v>
      </c>
      <c r="F100" s="40">
        <v>3.05</v>
      </c>
      <c r="G100" s="34">
        <v>1587.5</v>
      </c>
      <c r="H100" s="71">
        <v>45587</v>
      </c>
      <c r="I100" s="16">
        <v>8236</v>
      </c>
      <c r="J100" s="1853">
        <f>G100/I100</f>
        <v>0.19275133559980573</v>
      </c>
      <c r="K100" s="1664"/>
      <c r="L100" s="1251">
        <f>G100</f>
        <v>1587.5</v>
      </c>
      <c r="R100" s="9"/>
      <c r="T100" s="40" t="s">
        <v>8854</v>
      </c>
      <c r="U100" s="1930">
        <f>89*12</f>
        <v>1068</v>
      </c>
      <c r="Z100" s="16"/>
      <c r="AA100" s="9"/>
      <c r="AB100" s="65"/>
      <c r="AC100" s="3"/>
      <c r="AD100" s="3"/>
      <c r="AE100" s="3"/>
      <c r="AF100" s="3"/>
      <c r="AG100" s="45"/>
      <c r="AH100" s="3"/>
      <c r="AI100" s="47"/>
      <c r="AJ100" s="48"/>
      <c r="AK100" s="13"/>
      <c r="AL100" s="9"/>
      <c r="AM100" s="9"/>
      <c r="AN100" s="9"/>
      <c r="AO100" s="49"/>
      <c r="AP100" s="50"/>
      <c r="AQ100" s="13"/>
      <c r="AR100" s="16"/>
    </row>
    <row r="101" spans="1:44" ht="17.25">
      <c r="A101" s="7"/>
      <c r="B101" s="1654"/>
      <c r="C101" s="1655"/>
      <c r="D101" s="67"/>
      <c r="E101" s="68"/>
      <c r="F101" s="1852" t="s">
        <v>22</v>
      </c>
      <c r="G101" s="74">
        <f>SUM(G102:G103)</f>
        <v>1407.51</v>
      </c>
      <c r="H101" s="69"/>
      <c r="I101" s="16"/>
      <c r="J101" s="29"/>
      <c r="K101" s="1664"/>
      <c r="M101" s="1665"/>
      <c r="O101" s="9"/>
      <c r="P101" s="1986">
        <v>45640</v>
      </c>
      <c r="Q101" s="8"/>
      <c r="R101" s="9"/>
      <c r="T101" s="760" t="s">
        <v>8855</v>
      </c>
      <c r="U101" s="1930">
        <v>1950</v>
      </c>
      <c r="Z101" s="16"/>
      <c r="AA101" s="9"/>
      <c r="AB101" s="65"/>
      <c r="AC101" s="3"/>
      <c r="AD101" s="3"/>
      <c r="AE101" s="3"/>
      <c r="AF101" s="3"/>
      <c r="AG101" s="45"/>
      <c r="AH101" s="3"/>
      <c r="AI101" s="47"/>
      <c r="AJ101" s="48"/>
      <c r="AK101" s="13"/>
      <c r="AL101" s="9"/>
      <c r="AM101" s="9"/>
      <c r="AN101" s="9"/>
      <c r="AO101" s="49"/>
      <c r="AP101" s="50"/>
      <c r="AQ101" s="13"/>
      <c r="AR101" s="16"/>
    </row>
    <row r="102" spans="1:44" s="1596" customFormat="1" ht="17.25">
      <c r="A102" s="1594"/>
      <c r="B102" s="1654" t="s">
        <v>33</v>
      </c>
      <c r="C102" s="22" t="s">
        <v>6507</v>
      </c>
      <c r="D102" s="67">
        <v>1.75</v>
      </c>
      <c r="E102" s="68">
        <v>401</v>
      </c>
      <c r="F102" s="1661"/>
      <c r="G102" s="34">
        <f>E102*D102</f>
        <v>701.75</v>
      </c>
      <c r="H102" s="71">
        <v>45464</v>
      </c>
      <c r="I102" s="16"/>
      <c r="J102" s="29" t="s">
        <v>8821</v>
      </c>
      <c r="K102" s="1666"/>
      <c r="M102" s="1667"/>
      <c r="O102" s="1597">
        <v>3429.87</v>
      </c>
      <c r="P102" s="1607" t="s">
        <v>72</v>
      </c>
      <c r="Q102" s="1597">
        <v>320000</v>
      </c>
      <c r="R102" s="1848"/>
      <c r="T102" s="40" t="s">
        <v>8856</v>
      </c>
      <c r="U102" s="1930">
        <v>1950</v>
      </c>
      <c r="V102"/>
      <c r="W102"/>
      <c r="X102"/>
      <c r="Z102" s="1597"/>
      <c r="AA102" s="22"/>
      <c r="AB102" s="1659"/>
      <c r="AC102" s="1607"/>
      <c r="AD102" s="1607"/>
      <c r="AE102" s="1607"/>
      <c r="AF102" s="1607"/>
      <c r="AG102" s="1610"/>
      <c r="AH102" s="1607"/>
      <c r="AI102" s="1612"/>
      <c r="AJ102" s="1613"/>
      <c r="AK102" s="1608"/>
      <c r="AL102" s="22"/>
      <c r="AM102" s="22"/>
      <c r="AN102" s="22"/>
      <c r="AO102" s="1614"/>
      <c r="AP102" s="1615"/>
      <c r="AQ102" s="1608"/>
      <c r="AR102" s="1597"/>
    </row>
    <row r="103" spans="1:44" ht="28.5">
      <c r="A103" s="7"/>
      <c r="B103" s="1654" t="s">
        <v>33</v>
      </c>
      <c r="C103" s="22" t="s">
        <v>6507</v>
      </c>
      <c r="D103" s="67">
        <v>1.76</v>
      </c>
      <c r="E103" s="68">
        <v>401</v>
      </c>
      <c r="F103" s="1661"/>
      <c r="G103" s="34">
        <v>705.76</v>
      </c>
      <c r="H103" s="71">
        <v>45464</v>
      </c>
      <c r="I103" s="16"/>
      <c r="J103" s="29" t="s">
        <v>8821</v>
      </c>
      <c r="K103" s="1664"/>
      <c r="M103" s="1665"/>
      <c r="O103" s="1597">
        <v>3754.09</v>
      </c>
      <c r="P103" s="9" t="s">
        <v>74</v>
      </c>
      <c r="Q103" s="16">
        <v>0</v>
      </c>
      <c r="R103" s="1849"/>
      <c r="T103" s="760" t="s">
        <v>8907</v>
      </c>
      <c r="U103" s="1930">
        <v>823</v>
      </c>
      <c r="Z103" s="16"/>
      <c r="AA103" s="9"/>
      <c r="AB103" s="65"/>
      <c r="AC103" s="3"/>
      <c r="AD103" s="3"/>
      <c r="AE103" s="3"/>
      <c r="AF103" s="3"/>
      <c r="AG103" s="45"/>
      <c r="AH103" s="3"/>
      <c r="AI103" s="47"/>
      <c r="AJ103" s="48"/>
      <c r="AK103" s="13"/>
      <c r="AL103" s="9"/>
      <c r="AM103" s="9"/>
      <c r="AN103" s="9"/>
      <c r="AO103" s="49"/>
      <c r="AP103" s="50"/>
      <c r="AQ103" s="13"/>
      <c r="AR103" s="16"/>
    </row>
    <row r="104" spans="1:44" ht="17.25">
      <c r="A104" s="7"/>
      <c r="B104" s="1654"/>
      <c r="C104" s="1655"/>
      <c r="D104" s="67"/>
      <c r="E104" s="68"/>
      <c r="F104" s="447" t="s">
        <v>25</v>
      </c>
      <c r="G104" s="74">
        <f>SUM(G105:G106)</f>
        <v>1477.6</v>
      </c>
      <c r="H104" s="69"/>
      <c r="I104" s="16"/>
      <c r="J104" s="29"/>
      <c r="K104" s="1664"/>
      <c r="M104" s="1665"/>
      <c r="O104" s="1597">
        <v>4148.74</v>
      </c>
      <c r="P104" s="9" t="s">
        <v>76</v>
      </c>
      <c r="Q104" s="16">
        <v>400000</v>
      </c>
      <c r="T104" t="s">
        <v>8927</v>
      </c>
      <c r="U104" s="1930">
        <v>30</v>
      </c>
      <c r="Z104" s="16"/>
      <c r="AA104" s="9"/>
      <c r="AB104" s="65"/>
      <c r="AC104" s="3"/>
      <c r="AD104" s="3"/>
      <c r="AE104" s="3"/>
      <c r="AF104" s="3"/>
      <c r="AG104" s="45"/>
      <c r="AH104" s="3"/>
      <c r="AI104" s="47"/>
      <c r="AJ104" s="48"/>
      <c r="AK104" s="13"/>
      <c r="AL104" s="9"/>
      <c r="AM104" s="9"/>
      <c r="AN104" s="9"/>
      <c r="AO104" s="49"/>
      <c r="AP104" s="50"/>
      <c r="AQ104" s="13"/>
      <c r="AR104" s="16"/>
    </row>
    <row r="105" spans="1:44" ht="17.25">
      <c r="A105" s="7"/>
      <c r="B105" s="1654" t="s">
        <v>33</v>
      </c>
      <c r="C105" s="22" t="s">
        <v>6507</v>
      </c>
      <c r="D105" s="67">
        <v>1.6</v>
      </c>
      <c r="E105" s="68">
        <v>401</v>
      </c>
      <c r="F105" s="1661"/>
      <c r="G105" s="34">
        <v>641.6</v>
      </c>
      <c r="H105" s="71">
        <v>45366</v>
      </c>
      <c r="I105" s="16"/>
      <c r="J105" s="29" t="s">
        <v>8821</v>
      </c>
      <c r="K105" s="1664"/>
      <c r="M105" s="1665"/>
      <c r="O105" s="1597">
        <v>4485.63</v>
      </c>
      <c r="P105" s="9" t="s">
        <v>78</v>
      </c>
      <c r="Q105" s="16">
        <v>106475</v>
      </c>
      <c r="U105" s="1961">
        <f>SUM(U99:U104)</f>
        <v>13821</v>
      </c>
      <c r="Z105" s="16"/>
      <c r="AA105" s="9"/>
      <c r="AB105" s="65"/>
      <c r="AC105" s="3"/>
      <c r="AD105" s="3"/>
      <c r="AE105" s="3"/>
      <c r="AF105" s="3"/>
      <c r="AG105" s="45"/>
      <c r="AH105" s="3"/>
      <c r="AI105" s="47"/>
      <c r="AJ105" s="48"/>
      <c r="AK105" s="13"/>
      <c r="AL105" s="9"/>
      <c r="AM105" s="9"/>
      <c r="AN105" s="9"/>
      <c r="AO105" s="49"/>
      <c r="AP105" s="50"/>
      <c r="AQ105" s="13"/>
      <c r="AR105" s="16"/>
    </row>
    <row r="106" spans="1:44" ht="17.25">
      <c r="A106" s="7"/>
      <c r="B106" s="1654" t="s">
        <v>33</v>
      </c>
      <c r="D106" s="72">
        <v>474.15</v>
      </c>
      <c r="E106" s="68">
        <v>20</v>
      </c>
      <c r="F106" s="40">
        <v>517.09</v>
      </c>
      <c r="G106" s="34">
        <v>836</v>
      </c>
      <c r="H106" s="73">
        <v>45364</v>
      </c>
      <c r="I106" s="16">
        <v>9483</v>
      </c>
      <c r="J106" s="29"/>
      <c r="K106" s="1664"/>
      <c r="M106" s="1665"/>
      <c r="O106" s="1597">
        <f>SUM(O102:O105)</f>
        <v>15818.330000000002</v>
      </c>
      <c r="P106" s="9" t="s">
        <v>80</v>
      </c>
      <c r="Q106" s="16">
        <v>56836</v>
      </c>
      <c r="U106" s="40"/>
      <c r="Z106" s="16"/>
      <c r="AA106" s="9"/>
      <c r="AB106" s="65"/>
      <c r="AC106" s="3"/>
      <c r="AD106" s="3"/>
      <c r="AE106" s="3"/>
      <c r="AF106" s="3"/>
      <c r="AG106" s="45"/>
      <c r="AH106" s="3"/>
      <c r="AI106" s="47"/>
      <c r="AJ106" s="48"/>
      <c r="AK106" s="13"/>
      <c r="AL106" s="9"/>
      <c r="AM106" s="9"/>
      <c r="AN106" s="9"/>
      <c r="AO106" s="49"/>
      <c r="AP106" s="50"/>
      <c r="AQ106" s="13"/>
      <c r="AR106" s="16"/>
    </row>
    <row r="107" spans="1:44" ht="17.25">
      <c r="A107" s="7"/>
      <c r="B107" s="1654">
        <v>2023</v>
      </c>
      <c r="C107" s="1655" t="s">
        <v>82</v>
      </c>
      <c r="D107" s="1662">
        <f>34090/210000</f>
        <v>0.16233333333333333</v>
      </c>
      <c r="E107" s="68"/>
      <c r="F107" s="447">
        <v>2023</v>
      </c>
      <c r="G107" s="74">
        <f>G141+G138+G134+G124+G108</f>
        <v>34124.850000000006</v>
      </c>
      <c r="H107" s="69"/>
      <c r="I107" s="16"/>
      <c r="J107" s="29"/>
      <c r="K107" s="1664"/>
      <c r="M107" s="34"/>
      <c r="P107" s="9" t="s">
        <v>83</v>
      </c>
      <c r="Q107" s="16">
        <v>123205</v>
      </c>
      <c r="R107" s="1251">
        <f>Q105+Q106+Q107</f>
        <v>286516</v>
      </c>
      <c r="U107" s="40"/>
      <c r="Z107" s="16"/>
      <c r="AA107" s="9"/>
      <c r="AB107" s="65"/>
      <c r="AC107" s="3"/>
      <c r="AD107" s="61"/>
      <c r="AE107" s="3"/>
      <c r="AF107" s="34"/>
      <c r="AG107" s="45"/>
      <c r="AH107" s="3"/>
      <c r="AI107" s="47"/>
      <c r="AJ107" s="48"/>
      <c r="AK107" s="13"/>
      <c r="AL107" s="9"/>
      <c r="AM107" s="9"/>
      <c r="AN107" s="9"/>
      <c r="AO107" s="49"/>
      <c r="AP107" s="50"/>
      <c r="AQ107" s="13"/>
      <c r="AR107" s="16"/>
    </row>
    <row r="108" spans="1:44" ht="17.25">
      <c r="A108" s="7"/>
      <c r="B108" s="1663"/>
      <c r="C108" s="22"/>
      <c r="D108" s="67"/>
      <c r="E108" s="68"/>
      <c r="F108" s="3" t="s">
        <v>86</v>
      </c>
      <c r="G108" s="74">
        <f>SUM(G110:G123)</f>
        <v>11408.25</v>
      </c>
      <c r="H108" s="73"/>
      <c r="I108" s="16"/>
      <c r="J108" s="29"/>
      <c r="P108" s="70" t="s">
        <v>61</v>
      </c>
      <c r="Q108" s="1985">
        <f>SUM(Q102:Q107)</f>
        <v>1006516</v>
      </c>
      <c r="U108" s="40"/>
      <c r="AA108" s="9"/>
      <c r="AB108" s="65"/>
      <c r="AC108" s="3"/>
      <c r="AD108" s="3"/>
      <c r="AE108" s="3"/>
      <c r="AF108" s="3"/>
      <c r="AG108" s="3"/>
      <c r="AH108" s="3"/>
      <c r="AI108" s="47"/>
      <c r="AJ108" s="48"/>
      <c r="AK108" s="13"/>
      <c r="AL108" s="9"/>
      <c r="AM108" s="9"/>
      <c r="AN108" s="9"/>
      <c r="AO108" s="49"/>
      <c r="AP108" s="50"/>
      <c r="AQ108" s="13"/>
      <c r="AR108" s="16"/>
    </row>
    <row r="109" spans="1:44" ht="17.25">
      <c r="A109" s="7"/>
      <c r="B109" s="1663"/>
      <c r="C109" s="22"/>
      <c r="D109" s="67"/>
      <c r="E109" s="68"/>
      <c r="F109" s="9"/>
      <c r="G109" s="9"/>
      <c r="H109" s="73"/>
      <c r="I109" s="16"/>
      <c r="J109" s="29"/>
      <c r="O109" s="9"/>
      <c r="T109" s="9"/>
      <c r="U109" s="40"/>
      <c r="AA109" s="9"/>
      <c r="AB109" s="65"/>
      <c r="AC109" s="3"/>
      <c r="AD109" s="3"/>
      <c r="AE109" s="3"/>
      <c r="AF109" s="3"/>
      <c r="AG109" s="3"/>
      <c r="AH109" s="3"/>
      <c r="AI109" s="47"/>
      <c r="AJ109" s="48"/>
      <c r="AK109" s="13"/>
      <c r="AL109" s="9"/>
      <c r="AM109" s="9"/>
      <c r="AN109" s="9"/>
      <c r="AO109" s="49"/>
      <c r="AP109" s="50"/>
      <c r="AQ109" s="13"/>
      <c r="AR109" s="16"/>
    </row>
    <row r="110" spans="1:44" ht="28.5">
      <c r="A110" s="7"/>
      <c r="B110" s="1663" t="s">
        <v>27</v>
      </c>
      <c r="C110" s="22"/>
      <c r="D110" s="67">
        <v>1000</v>
      </c>
      <c r="E110" s="68">
        <v>1</v>
      </c>
      <c r="F110" s="9">
        <v>1008.25</v>
      </c>
      <c r="G110" s="9">
        <f>8.25-6.12</f>
        <v>2.13</v>
      </c>
      <c r="H110" s="73">
        <v>45309</v>
      </c>
      <c r="I110" s="16">
        <v>1000</v>
      </c>
      <c r="J110" s="29"/>
      <c r="M110" s="9"/>
      <c r="N110" s="36"/>
      <c r="O110" s="9"/>
      <c r="P110" s="9"/>
      <c r="S110" s="9">
        <v>382.79</v>
      </c>
      <c r="T110" s="9" t="s">
        <v>87</v>
      </c>
      <c r="U110" s="40"/>
      <c r="V110" s="2086" t="s">
        <v>88</v>
      </c>
      <c r="W110" s="2087"/>
      <c r="AA110" s="9"/>
      <c r="AB110" s="65"/>
      <c r="AC110" s="3"/>
      <c r="AD110" s="3"/>
      <c r="AE110" s="3"/>
      <c r="AF110" s="3"/>
      <c r="AG110" s="3"/>
      <c r="AH110" s="3"/>
      <c r="AI110" s="47"/>
      <c r="AJ110" s="48"/>
      <c r="AK110" s="13"/>
      <c r="AL110" s="9"/>
      <c r="AM110" s="9"/>
      <c r="AN110" s="9"/>
      <c r="AO110" s="49"/>
      <c r="AP110" s="50"/>
      <c r="AQ110" s="13"/>
      <c r="AR110" s="16"/>
    </row>
    <row r="111" spans="1:44" ht="17.25">
      <c r="A111" s="7"/>
      <c r="B111" s="1663" t="s">
        <v>27</v>
      </c>
      <c r="C111" s="22"/>
      <c r="D111" s="67">
        <v>1000</v>
      </c>
      <c r="E111" s="68">
        <v>1</v>
      </c>
      <c r="F111" s="9">
        <v>1006.12</v>
      </c>
      <c r="G111" s="9">
        <v>6.12</v>
      </c>
      <c r="H111" s="73">
        <v>45291</v>
      </c>
      <c r="I111" s="16">
        <v>1000</v>
      </c>
      <c r="J111" s="29"/>
      <c r="L111" s="1854"/>
      <c r="M111" s="9"/>
      <c r="N111" s="36"/>
      <c r="O111" s="9"/>
      <c r="P111" s="9"/>
      <c r="R111" s="16"/>
      <c r="S111" s="9">
        <v>473.65</v>
      </c>
      <c r="T111" s="12">
        <f>1000000-927000</f>
        <v>73000</v>
      </c>
      <c r="U111" s="40"/>
      <c r="V111" s="80" t="s">
        <v>89</v>
      </c>
      <c r="W111" s="16">
        <f>1000000*12/100/12</f>
        <v>10000</v>
      </c>
      <c r="X111" s="16">
        <f>W111*12</f>
        <v>120000</v>
      </c>
      <c r="AA111" s="9"/>
      <c r="AB111" s="65"/>
      <c r="AC111" s="3"/>
      <c r="AD111" s="3"/>
      <c r="AE111" s="3"/>
      <c r="AF111" s="3"/>
      <c r="AG111" s="3"/>
      <c r="AH111" s="3"/>
      <c r="AI111" s="47"/>
      <c r="AJ111" s="48"/>
      <c r="AK111" s="13"/>
      <c r="AL111" s="9"/>
      <c r="AM111" s="9"/>
      <c r="AN111" s="9"/>
      <c r="AO111" s="49"/>
      <c r="AP111" s="50"/>
      <c r="AQ111" s="13"/>
      <c r="AR111" s="16"/>
    </row>
    <row r="112" spans="1:44" ht="17.25">
      <c r="A112" s="7"/>
      <c r="B112" s="1663" t="s">
        <v>31</v>
      </c>
      <c r="C112" s="22" t="str">
        <f>B112</f>
        <v>PBSV</v>
      </c>
      <c r="D112" s="67">
        <v>1.04</v>
      </c>
      <c r="E112" s="68">
        <f>100+2500+4003+1365</f>
        <v>7968</v>
      </c>
      <c r="F112" s="9">
        <v>1.02</v>
      </c>
      <c r="G112" s="81">
        <f>27+1-80-50</f>
        <v>-102</v>
      </c>
      <c r="H112" s="73">
        <v>45288</v>
      </c>
      <c r="I112" s="16">
        <f>D112*E112</f>
        <v>8286.7200000000012</v>
      </c>
      <c r="J112" s="29" t="s">
        <v>90</v>
      </c>
      <c r="N112" s="9"/>
      <c r="O112" s="9"/>
      <c r="P112" s="13"/>
      <c r="R112" s="16"/>
      <c r="S112" s="9">
        <f>S111-S110</f>
        <v>90.859999999999957</v>
      </c>
      <c r="T112" s="12">
        <v>36000</v>
      </c>
      <c r="U112" s="40"/>
      <c r="AA112" s="9"/>
      <c r="AB112" s="65"/>
      <c r="AC112" s="3"/>
      <c r="AD112" s="3"/>
      <c r="AE112" s="3"/>
      <c r="AF112" s="3"/>
      <c r="AG112" s="3"/>
      <c r="AH112" s="3"/>
      <c r="AI112" s="47"/>
      <c r="AJ112" s="48"/>
      <c r="AK112" s="13"/>
      <c r="AL112" s="9"/>
      <c r="AM112" s="9"/>
      <c r="AN112" s="9"/>
      <c r="AO112" s="49"/>
      <c r="AP112" s="50"/>
      <c r="AQ112" s="13"/>
      <c r="AR112" s="16"/>
    </row>
    <row r="113" spans="1:44" ht="17.25">
      <c r="A113" s="7"/>
      <c r="B113" s="1663" t="s">
        <v>91</v>
      </c>
      <c r="C113" s="22" t="str">
        <f ca="1">IFERROR(__xludf.DUMMYFUNCTION("googlefinance (B31, ""name"")"),"Bluerock Homes Trust Inc")</f>
        <v>Bluerock Homes Trust Inc</v>
      </c>
      <c r="D113" s="67">
        <v>14.68</v>
      </c>
      <c r="E113" s="68">
        <v>740</v>
      </c>
      <c r="F113" s="9">
        <v>15.74</v>
      </c>
      <c r="G113" s="3">
        <v>784</v>
      </c>
      <c r="H113" s="73">
        <v>45281</v>
      </c>
      <c r="I113" s="16">
        <v>10863</v>
      </c>
      <c r="J113" s="29" t="s">
        <v>90</v>
      </c>
      <c r="L113" s="9"/>
      <c r="M113" s="9"/>
      <c r="N113" s="13"/>
      <c r="O113" s="9"/>
      <c r="R113" s="16"/>
      <c r="S113" s="9">
        <f>S112/S110</f>
        <v>0.23736252253193643</v>
      </c>
      <c r="T113" s="12">
        <f>T111+T112</f>
        <v>109000</v>
      </c>
      <c r="U113" s="40"/>
      <c r="V113" s="16">
        <f>1000000-918000</f>
        <v>82000</v>
      </c>
      <c r="AA113" s="9"/>
      <c r="AB113" s="65"/>
      <c r="AC113" s="3"/>
      <c r="AD113" s="3"/>
      <c r="AE113" s="3"/>
      <c r="AF113" s="3"/>
      <c r="AG113" s="3"/>
      <c r="AH113" s="3"/>
      <c r="AI113" s="47"/>
      <c r="AJ113" s="48"/>
      <c r="AK113" s="13"/>
      <c r="AL113" s="9"/>
      <c r="AM113" s="9"/>
      <c r="AN113" s="9"/>
      <c r="AO113" s="49"/>
      <c r="AP113" s="50"/>
      <c r="AQ113" s="13"/>
      <c r="AR113" s="16"/>
    </row>
    <row r="114" spans="1:44" ht="17.25">
      <c r="A114" s="7"/>
      <c r="B114" s="1663" t="s">
        <v>92</v>
      </c>
      <c r="C114" s="22" t="str">
        <f ca="1">IFERROR(__xludf.DUMMYFUNCTION("googlefinance (B32, ""name"")"),"Costco Wholesale Corporation")</f>
        <v>Costco Wholesale Corporation</v>
      </c>
      <c r="D114" s="67">
        <v>664.3</v>
      </c>
      <c r="E114" s="68">
        <v>121</v>
      </c>
      <c r="F114" s="9">
        <v>666</v>
      </c>
      <c r="G114" s="34">
        <v>206</v>
      </c>
      <c r="H114" s="73">
        <v>45282</v>
      </c>
      <c r="I114" s="16">
        <v>80380</v>
      </c>
      <c r="J114" s="29" t="s">
        <v>90</v>
      </c>
      <c r="L114" s="9"/>
      <c r="M114" s="9"/>
      <c r="N114" s="13"/>
      <c r="O114" s="9"/>
      <c r="R114" s="16">
        <v>1000000</v>
      </c>
      <c r="T114" s="13">
        <f>T113/927000/2.5</f>
        <v>4.7033441208198488E-2</v>
      </c>
      <c r="U114" s="40"/>
      <c r="AA114" s="9"/>
      <c r="AB114" s="65"/>
      <c r="AC114" s="3"/>
      <c r="AD114" s="3"/>
      <c r="AE114" s="3"/>
      <c r="AF114" s="3"/>
      <c r="AG114" s="3"/>
      <c r="AH114" s="3"/>
      <c r="AI114" s="47"/>
      <c r="AJ114" s="48"/>
      <c r="AK114" s="13"/>
      <c r="AL114" s="9"/>
      <c r="AM114" s="9"/>
      <c r="AN114" s="9"/>
      <c r="AO114" s="49"/>
      <c r="AP114" s="50"/>
      <c r="AQ114" s="13"/>
      <c r="AR114" s="16"/>
    </row>
    <row r="115" spans="1:44" ht="17.25">
      <c r="A115" s="7"/>
      <c r="B115" s="1663" t="s">
        <v>93</v>
      </c>
      <c r="C115" s="22" t="str">
        <f ca="1">IFERROR(__xludf.DUMMYFUNCTION("googlefinance (B33, ""name"")"),"Site Centers Corp")</f>
        <v>Site Centers Corp</v>
      </c>
      <c r="D115" s="67">
        <v>14.56</v>
      </c>
      <c r="E115" s="68">
        <v>5215</v>
      </c>
      <c r="F115" s="9">
        <v>13.8</v>
      </c>
      <c r="G115" s="81">
        <v>-3963</v>
      </c>
      <c r="H115" s="73">
        <v>45282</v>
      </c>
      <c r="I115" s="16">
        <v>75930</v>
      </c>
      <c r="J115" s="29" t="s">
        <v>90</v>
      </c>
      <c r="M115" s="9"/>
      <c r="N115" s="36"/>
      <c r="O115" s="9"/>
      <c r="R115" s="16">
        <f>18000*4</f>
        <v>72000</v>
      </c>
      <c r="T115" s="12"/>
      <c r="U115" s="40"/>
      <c r="AA115" s="9"/>
      <c r="AB115" s="65"/>
      <c r="AC115" s="3"/>
      <c r="AD115" s="3"/>
      <c r="AE115" s="3"/>
      <c r="AF115" s="3"/>
      <c r="AG115" s="3"/>
      <c r="AH115" s="3"/>
      <c r="AI115" s="47"/>
      <c r="AJ115" s="48"/>
      <c r="AK115" s="13"/>
      <c r="AL115" s="9"/>
      <c r="AM115" s="9"/>
      <c r="AN115" s="9"/>
      <c r="AO115" s="49"/>
      <c r="AP115" s="50"/>
      <c r="AQ115" s="13"/>
      <c r="AR115" s="16"/>
    </row>
    <row r="116" spans="1:44" ht="17.25">
      <c r="A116" s="7"/>
      <c r="B116" s="1663" t="s">
        <v>94</v>
      </c>
      <c r="C116" s="22" t="str">
        <f ca="1">IFERROR(__xludf.DUMMYFUNCTION("googlefinance (B34, ""name"")"),"Cion Investment Corp")</f>
        <v>Cion Investment Corp</v>
      </c>
      <c r="D116" s="67">
        <v>11.31</v>
      </c>
      <c r="E116" s="68">
        <v>5305</v>
      </c>
      <c r="F116" s="9">
        <v>11.38</v>
      </c>
      <c r="G116" s="34">
        <v>371</v>
      </c>
      <c r="H116" s="73">
        <v>45278</v>
      </c>
      <c r="I116" s="16">
        <v>60000</v>
      </c>
      <c r="J116" s="29" t="s">
        <v>90</v>
      </c>
      <c r="L116" s="9"/>
      <c r="M116" s="9"/>
      <c r="N116" s="13"/>
      <c r="O116" s="9"/>
      <c r="Q116" s="9"/>
      <c r="R116" s="13">
        <f>R115/R114</f>
        <v>7.1999999999999995E-2</v>
      </c>
      <c r="T116" s="12"/>
      <c r="U116" s="40"/>
      <c r="V116" s="2086" t="s">
        <v>95</v>
      </c>
      <c r="W116" s="2087"/>
      <c r="X116" s="2087"/>
      <c r="Y116" s="2087"/>
      <c r="Z116" s="2088" t="s">
        <v>96</v>
      </c>
      <c r="AA116" s="2087"/>
      <c r="AB116" s="2089" t="s">
        <v>97</v>
      </c>
      <c r="AC116" s="2087"/>
      <c r="AD116" s="3"/>
      <c r="AE116" s="3"/>
      <c r="AF116" s="3"/>
      <c r="AG116" s="3"/>
      <c r="AH116" s="3"/>
      <c r="AI116" s="47"/>
      <c r="AJ116" s="48"/>
      <c r="AK116" s="13"/>
      <c r="AL116" s="9"/>
      <c r="AM116" s="9"/>
      <c r="AN116" s="9"/>
      <c r="AO116" s="49"/>
      <c r="AP116" s="50"/>
      <c r="AQ116" s="13"/>
      <c r="AR116" s="16"/>
    </row>
    <row r="117" spans="1:44" ht="17.25">
      <c r="A117" s="7"/>
      <c r="B117" s="1663" t="s">
        <v>98</v>
      </c>
      <c r="C117" s="22" t="str">
        <f ca="1">IFERROR(__xludf.DUMMYFUNCTION("googlefinance (B35, ""name"")"),"SonicShares Global Shipping ETF")</f>
        <v>SonicShares Global Shipping ETF</v>
      </c>
      <c r="D117" s="67">
        <v>28.09</v>
      </c>
      <c r="E117" s="68">
        <v>2649</v>
      </c>
      <c r="F117" s="9">
        <v>28.65</v>
      </c>
      <c r="G117" s="34">
        <v>1483</v>
      </c>
      <c r="H117" s="73">
        <v>45275</v>
      </c>
      <c r="I117" s="16">
        <v>74410</v>
      </c>
      <c r="J117" s="29"/>
      <c r="O117" s="9"/>
      <c r="Q117" s="9"/>
      <c r="R117" s="16"/>
      <c r="T117" s="9"/>
      <c r="U117" s="40"/>
      <c r="V117" s="9" t="s">
        <v>99</v>
      </c>
      <c r="W117" s="9">
        <v>850</v>
      </c>
      <c r="X117" s="16">
        <f t="shared" ref="X117:X125" si="35">W117*12</f>
        <v>10200</v>
      </c>
      <c r="Z117" s="16">
        <v>1971</v>
      </c>
      <c r="AA117" s="16">
        <f t="shared" ref="AA117:AA125" si="36">Z117*12</f>
        <v>23652</v>
      </c>
      <c r="AB117" s="16">
        <v>0</v>
      </c>
      <c r="AC117" s="16">
        <f t="shared" ref="AC117:AC127" si="37">AB117*12</f>
        <v>0</v>
      </c>
      <c r="AD117" s="3"/>
      <c r="AE117" s="3"/>
      <c r="AF117" s="3"/>
      <c r="AG117" s="3"/>
      <c r="AH117" s="3"/>
      <c r="AI117" s="47"/>
      <c r="AJ117" s="48"/>
      <c r="AK117" s="13"/>
      <c r="AL117" s="9"/>
      <c r="AM117" s="9"/>
      <c r="AN117" s="9"/>
      <c r="AO117" s="49"/>
      <c r="AP117" s="50"/>
      <c r="AQ117" s="13"/>
      <c r="AR117" s="16"/>
    </row>
    <row r="118" spans="1:44" ht="17.25">
      <c r="A118" s="7"/>
      <c r="B118" s="1663" t="s">
        <v>100</v>
      </c>
      <c r="C118" s="22" t="str">
        <f ca="1">IFERROR(__xludf.DUMMYFUNCTION("googlefinance (B36, ""name"")"),"Saga Communications Inc")</f>
        <v>Saga Communications Inc</v>
      </c>
      <c r="D118" s="67">
        <v>21.44</v>
      </c>
      <c r="E118" s="68">
        <v>4493</v>
      </c>
      <c r="F118" s="9">
        <v>22.05</v>
      </c>
      <c r="G118" s="34">
        <v>4089</v>
      </c>
      <c r="H118" s="73">
        <v>45268</v>
      </c>
      <c r="I118" s="16">
        <v>94982</v>
      </c>
      <c r="J118" s="29" t="s">
        <v>90</v>
      </c>
      <c r="O118" s="9"/>
      <c r="Q118" s="9"/>
      <c r="R118" s="9"/>
      <c r="T118" s="9"/>
      <c r="U118" s="40"/>
      <c r="V118" s="9" t="s">
        <v>101</v>
      </c>
      <c r="W118" s="9">
        <v>200</v>
      </c>
      <c r="X118" s="16">
        <f t="shared" si="35"/>
        <v>2400</v>
      </c>
      <c r="Z118" s="16">
        <v>100</v>
      </c>
      <c r="AA118" s="16">
        <f t="shared" si="36"/>
        <v>1200</v>
      </c>
      <c r="AB118" s="16">
        <v>200</v>
      </c>
      <c r="AC118" s="16">
        <f t="shared" si="37"/>
        <v>2400</v>
      </c>
      <c r="AD118" s="3"/>
      <c r="AE118" s="3"/>
      <c r="AF118" s="3"/>
      <c r="AG118" s="3"/>
      <c r="AH118" s="3"/>
      <c r="AI118" s="47"/>
      <c r="AJ118" s="48"/>
      <c r="AK118" s="13"/>
      <c r="AL118" s="9"/>
      <c r="AM118" s="9"/>
      <c r="AN118" s="9"/>
      <c r="AO118" s="49"/>
      <c r="AP118" s="50"/>
      <c r="AQ118" s="13"/>
      <c r="AR118" s="16"/>
    </row>
    <row r="119" spans="1:44" ht="17.25">
      <c r="A119" s="7"/>
      <c r="B119" s="1663" t="s">
        <v>102</v>
      </c>
      <c r="C119" s="22" t="str">
        <f ca="1">IFERROR(__xludf.DUMMYFUNCTION("googlefinance (B37, ""name"")"),"MBIA Inc")</f>
        <v>MBIA Inc</v>
      </c>
      <c r="D119" s="67">
        <v>12.51</v>
      </c>
      <c r="E119" s="68">
        <v>6314</v>
      </c>
      <c r="F119" s="9">
        <v>13.2</v>
      </c>
      <c r="G119" s="34">
        <v>4357</v>
      </c>
      <c r="H119" s="73">
        <v>45268</v>
      </c>
      <c r="I119" s="16">
        <v>78988</v>
      </c>
      <c r="J119" s="29" t="s">
        <v>90</v>
      </c>
      <c r="O119" s="9"/>
      <c r="T119" s="9"/>
      <c r="U119" s="40"/>
      <c r="V119" s="9" t="s">
        <v>103</v>
      </c>
      <c r="W119" s="9">
        <v>100</v>
      </c>
      <c r="X119" s="16">
        <f t="shared" si="35"/>
        <v>1200</v>
      </c>
      <c r="Z119" s="16">
        <v>20</v>
      </c>
      <c r="AA119" s="16">
        <f t="shared" si="36"/>
        <v>240</v>
      </c>
      <c r="AB119" s="16">
        <v>100</v>
      </c>
      <c r="AC119" s="16">
        <f t="shared" si="37"/>
        <v>1200</v>
      </c>
      <c r="AD119" s="3"/>
      <c r="AE119" s="3"/>
      <c r="AF119" s="3"/>
      <c r="AG119" s="3"/>
      <c r="AH119" s="3"/>
      <c r="AI119" s="47"/>
      <c r="AJ119" s="48"/>
      <c r="AK119" s="13"/>
      <c r="AL119" s="9"/>
      <c r="AM119" s="9"/>
      <c r="AN119" s="9"/>
      <c r="AO119" s="49"/>
      <c r="AP119" s="50"/>
      <c r="AQ119" s="13"/>
      <c r="AR119" s="16"/>
    </row>
    <row r="120" spans="1:44" ht="17.25">
      <c r="A120" s="7"/>
      <c r="B120" s="1663" t="s">
        <v>104</v>
      </c>
      <c r="C120" s="22" t="str">
        <f ca="1">IFERROR(__xludf.DUMMYFUNCTION("googlefinance (B38, ""name"")"),"Landstar System, Inc.")</f>
        <v>Landstar System, Inc.</v>
      </c>
      <c r="D120" s="67">
        <v>178.97</v>
      </c>
      <c r="E120" s="68">
        <v>196</v>
      </c>
      <c r="F120" s="9">
        <v>191.9</v>
      </c>
      <c r="G120" s="34">
        <v>574</v>
      </c>
      <c r="H120" s="73">
        <v>45268</v>
      </c>
      <c r="I120" s="16">
        <v>35078</v>
      </c>
      <c r="J120" s="29" t="s">
        <v>90</v>
      </c>
      <c r="O120" s="9" t="s">
        <v>105</v>
      </c>
      <c r="R120" s="16">
        <f>25000-G107</f>
        <v>-9124.8500000000058</v>
      </c>
      <c r="T120" s="9"/>
      <c r="U120" s="40"/>
      <c r="V120" s="9" t="s">
        <v>106</v>
      </c>
      <c r="W120" s="9">
        <v>100</v>
      </c>
      <c r="X120" s="16">
        <f t="shared" si="35"/>
        <v>1200</v>
      </c>
      <c r="Z120" s="16">
        <v>100</v>
      </c>
      <c r="AA120" s="16">
        <f t="shared" si="36"/>
        <v>1200</v>
      </c>
      <c r="AB120" s="16">
        <v>100</v>
      </c>
      <c r="AC120" s="16">
        <f t="shared" si="37"/>
        <v>1200</v>
      </c>
      <c r="AD120" s="3"/>
      <c r="AE120" s="3"/>
      <c r="AF120" s="3"/>
      <c r="AG120" s="3"/>
      <c r="AH120" s="3"/>
      <c r="AI120" s="47"/>
      <c r="AJ120" s="48"/>
      <c r="AK120" s="13"/>
      <c r="AL120" s="9"/>
      <c r="AM120" s="9"/>
      <c r="AN120" s="9"/>
      <c r="AO120" s="49"/>
      <c r="AP120" s="50"/>
      <c r="AQ120" s="13"/>
      <c r="AR120" s="16"/>
    </row>
    <row r="121" spans="1:44" ht="17.25">
      <c r="A121" s="7"/>
      <c r="B121" s="1663" t="s">
        <v>107</v>
      </c>
      <c r="C121" s="22" t="str">
        <f ca="1">IFERROR(__xludf.DUMMYFUNCTION("googlefinance (B39, ""name"")"),"Buckle Inc")</f>
        <v>Buckle Inc</v>
      </c>
      <c r="D121" s="67">
        <v>40.51</v>
      </c>
      <c r="E121" s="68">
        <v>1657</v>
      </c>
      <c r="F121" s="9">
        <v>41.61</v>
      </c>
      <c r="G121" s="34">
        <v>1823</v>
      </c>
      <c r="H121" s="73">
        <v>45266</v>
      </c>
      <c r="I121" s="16">
        <v>67125</v>
      </c>
      <c r="J121" s="29" t="s">
        <v>90</v>
      </c>
      <c r="N121" s="9" t="s">
        <v>108</v>
      </c>
      <c r="O121" s="9">
        <v>967</v>
      </c>
      <c r="T121" s="9"/>
      <c r="U121" s="40"/>
      <c r="V121" s="9" t="s">
        <v>109</v>
      </c>
      <c r="W121" s="9">
        <v>150</v>
      </c>
      <c r="X121" s="16">
        <f t="shared" si="35"/>
        <v>1800</v>
      </c>
      <c r="Z121" s="16">
        <v>0</v>
      </c>
      <c r="AA121" s="16">
        <f t="shared" si="36"/>
        <v>0</v>
      </c>
      <c r="AB121" s="16">
        <v>100</v>
      </c>
      <c r="AC121" s="16">
        <f t="shared" si="37"/>
        <v>1200</v>
      </c>
      <c r="AD121" s="3"/>
      <c r="AE121" s="3"/>
      <c r="AF121" s="3"/>
      <c r="AG121" s="3"/>
      <c r="AH121" s="3"/>
      <c r="AI121" s="47"/>
      <c r="AJ121" s="48"/>
      <c r="AK121" s="13"/>
      <c r="AL121" s="9"/>
      <c r="AM121" s="9"/>
      <c r="AN121" s="9"/>
      <c r="AO121" s="49"/>
      <c r="AP121" s="50"/>
      <c r="AQ121" s="13"/>
      <c r="AR121" s="16"/>
    </row>
    <row r="122" spans="1:44" s="1596" customFormat="1" ht="17.25">
      <c r="A122" s="1594"/>
      <c r="B122" s="1684" t="s">
        <v>110</v>
      </c>
      <c r="C122" s="22" t="str">
        <f ca="1">IFERROR(__xludf.DUMMYFUNCTION("googlefinance (B40, ""name"")"),"PACCAR Inc")</f>
        <v>PACCAR Inc</v>
      </c>
      <c r="D122" s="1657">
        <v>93.86</v>
      </c>
      <c r="E122" s="1658">
        <v>1065</v>
      </c>
      <c r="F122" s="22">
        <v>95.18</v>
      </c>
      <c r="G122" s="1609">
        <v>1406</v>
      </c>
      <c r="H122" s="1701">
        <v>45266</v>
      </c>
      <c r="I122" s="1597">
        <v>99961</v>
      </c>
      <c r="J122" s="1600" t="s">
        <v>90</v>
      </c>
      <c r="M122" s="1603"/>
      <c r="O122" s="22">
        <v>1.62</v>
      </c>
      <c r="T122" s="22"/>
      <c r="U122" s="40"/>
      <c r="V122" s="22" t="s">
        <v>111</v>
      </c>
      <c r="W122" s="22">
        <v>200</v>
      </c>
      <c r="X122" s="1597">
        <f t="shared" si="35"/>
        <v>2400</v>
      </c>
      <c r="Z122" s="1597">
        <v>0</v>
      </c>
      <c r="AA122" s="1597">
        <f t="shared" si="36"/>
        <v>0</v>
      </c>
      <c r="AB122" s="1597">
        <v>200</v>
      </c>
      <c r="AC122" s="1597">
        <f t="shared" si="37"/>
        <v>2400</v>
      </c>
      <c r="AD122" s="1607"/>
      <c r="AE122" s="1607"/>
      <c r="AF122" s="1607"/>
      <c r="AG122" s="1607"/>
      <c r="AH122" s="1607"/>
      <c r="AI122" s="1612"/>
      <c r="AJ122" s="1613"/>
      <c r="AK122" s="1608"/>
      <c r="AL122" s="22"/>
      <c r="AM122" s="22"/>
      <c r="AN122" s="22"/>
      <c r="AO122" s="1614"/>
      <c r="AP122" s="1615"/>
      <c r="AQ122" s="1608"/>
      <c r="AR122" s="1597"/>
    </row>
    <row r="123" spans="1:44" ht="17.25">
      <c r="A123" s="7"/>
      <c r="B123" s="1663" t="s">
        <v>33</v>
      </c>
      <c r="C123" s="22" t="str">
        <f ca="1">IFERROR(__xludf.DUMMYFUNCTION("googlefinance (B41, ""name"")"),"SPDR S&amp;P 500 ETF Trust")</f>
        <v>SPDR S&amp;P 500 ETF Trust</v>
      </c>
      <c r="D123" s="67">
        <v>454.66</v>
      </c>
      <c r="E123" s="68">
        <v>219</v>
      </c>
      <c r="F123" s="9">
        <v>456.36</v>
      </c>
      <c r="G123" s="34">
        <v>372</v>
      </c>
      <c r="H123" s="71">
        <v>45265</v>
      </c>
      <c r="I123" s="16">
        <v>99571</v>
      </c>
      <c r="J123" s="29"/>
      <c r="M123" s="36"/>
      <c r="O123" s="9">
        <v>2</v>
      </c>
      <c r="T123" s="9"/>
      <c r="U123" s="40"/>
      <c r="V123" s="9" t="s">
        <v>112</v>
      </c>
      <c r="W123" s="9">
        <v>200</v>
      </c>
      <c r="X123" s="16">
        <f t="shared" si="35"/>
        <v>2400</v>
      </c>
      <c r="Z123" s="16">
        <v>500</v>
      </c>
      <c r="AA123" s="16">
        <f t="shared" si="36"/>
        <v>6000</v>
      </c>
      <c r="AB123" s="16">
        <v>500</v>
      </c>
      <c r="AC123" s="16">
        <f t="shared" si="37"/>
        <v>6000</v>
      </c>
      <c r="AD123" s="3"/>
      <c r="AE123" s="3"/>
      <c r="AF123" s="3"/>
      <c r="AG123" s="3"/>
      <c r="AH123" s="3"/>
      <c r="AI123" s="47"/>
      <c r="AJ123" s="48"/>
      <c r="AK123" s="13"/>
      <c r="AL123" s="9"/>
      <c r="AM123" s="9"/>
      <c r="AN123" s="9"/>
      <c r="AO123" s="49"/>
      <c r="AP123" s="50"/>
      <c r="AQ123" s="13"/>
      <c r="AR123" s="16"/>
    </row>
    <row r="124" spans="1:44" ht="17.25">
      <c r="A124" s="7"/>
      <c r="B124" s="1663"/>
      <c r="C124" s="22"/>
      <c r="D124" s="67"/>
      <c r="E124" s="68"/>
      <c r="F124" s="3" t="s">
        <v>17</v>
      </c>
      <c r="G124" s="61">
        <f>SUM(G125:G133)</f>
        <v>7041.2800000000007</v>
      </c>
      <c r="H124" s="73"/>
      <c r="I124" s="16"/>
      <c r="J124" s="29"/>
      <c r="O124" s="9">
        <f>O121*O123/100/12</f>
        <v>1.6116666666666666</v>
      </c>
      <c r="T124" s="9"/>
      <c r="U124" s="40"/>
      <c r="V124" s="9" t="s">
        <v>113</v>
      </c>
      <c r="W124" s="9">
        <v>25</v>
      </c>
      <c r="X124" s="16">
        <f t="shared" si="35"/>
        <v>300</v>
      </c>
      <c r="Z124" s="16">
        <v>25</v>
      </c>
      <c r="AA124" s="16">
        <f t="shared" si="36"/>
        <v>300</v>
      </c>
      <c r="AB124" s="16">
        <v>25</v>
      </c>
      <c r="AC124" s="16">
        <f t="shared" si="37"/>
        <v>300</v>
      </c>
      <c r="AD124" s="3"/>
      <c r="AE124" s="3"/>
      <c r="AF124" s="3"/>
      <c r="AG124" s="3"/>
      <c r="AH124" s="3"/>
      <c r="AI124" s="47"/>
      <c r="AJ124" s="48"/>
      <c r="AK124" s="13"/>
      <c r="AL124" s="9"/>
      <c r="AM124" s="9"/>
      <c r="AN124" s="9"/>
      <c r="AO124" s="49"/>
      <c r="AP124" s="50"/>
      <c r="AQ124" s="13"/>
      <c r="AR124" s="16"/>
    </row>
    <row r="125" spans="1:44" s="1596" customFormat="1" ht="17.25">
      <c r="A125" s="1594"/>
      <c r="B125" s="1684" t="s">
        <v>33</v>
      </c>
      <c r="C125" s="22" t="str">
        <f ca="1">IFERROR(__xludf.DUMMYFUNCTION("googlefinance (B43, ""name"")"),"SPDR S&amp;P 500 ETF Trust")</f>
        <v>SPDR S&amp;P 500 ETF Trust</v>
      </c>
      <c r="D125" s="1657">
        <v>455.02</v>
      </c>
      <c r="E125" s="1658">
        <v>219</v>
      </c>
      <c r="F125" s="22">
        <v>456.77</v>
      </c>
      <c r="G125" s="1609">
        <v>383</v>
      </c>
      <c r="H125" s="1701">
        <v>45259</v>
      </c>
      <c r="I125" s="1597">
        <v>99649</v>
      </c>
      <c r="J125" s="1600"/>
      <c r="O125" s="1608">
        <f>O122*12/O121</f>
        <v>2.0103412616339196E-2</v>
      </c>
      <c r="R125" s="1607" t="s">
        <v>114</v>
      </c>
      <c r="S125" s="424" t="s">
        <v>115</v>
      </c>
      <c r="T125" s="424" t="s">
        <v>116</v>
      </c>
      <c r="U125" s="40"/>
      <c r="V125" s="22" t="s">
        <v>117</v>
      </c>
      <c r="W125" s="22">
        <v>25</v>
      </c>
      <c r="X125" s="1597">
        <f t="shared" si="35"/>
        <v>300</v>
      </c>
      <c r="Z125" s="1597">
        <v>25</v>
      </c>
      <c r="AA125" s="1597">
        <f t="shared" si="36"/>
        <v>300</v>
      </c>
      <c r="AB125" s="1597">
        <v>25</v>
      </c>
      <c r="AC125" s="1597">
        <f t="shared" si="37"/>
        <v>300</v>
      </c>
      <c r="AD125" s="1607"/>
      <c r="AE125" s="1607"/>
      <c r="AF125" s="1607"/>
      <c r="AG125" s="1607"/>
      <c r="AH125" s="1607"/>
      <c r="AI125" s="1612"/>
      <c r="AJ125" s="1613"/>
      <c r="AK125" s="1608"/>
      <c r="AL125" s="22"/>
      <c r="AM125" s="22"/>
      <c r="AN125" s="22"/>
      <c r="AO125" s="1614"/>
      <c r="AP125" s="1615"/>
      <c r="AQ125" s="1608"/>
      <c r="AR125" s="1597"/>
    </row>
    <row r="126" spans="1:44" ht="17.25">
      <c r="A126" s="7"/>
      <c r="B126" s="1663" t="s">
        <v>118</v>
      </c>
      <c r="C126" s="22" t="str">
        <f ca="1">IFERROR(__xludf.DUMMYFUNCTION("googlefinance (B44, ""name"")"),"RLI Corp")</f>
        <v>RLI Corp</v>
      </c>
      <c r="D126" s="67">
        <v>135.63999999999999</v>
      </c>
      <c r="E126" s="68">
        <v>443</v>
      </c>
      <c r="F126" s="9">
        <v>136.63999999999999</v>
      </c>
      <c r="G126" s="34">
        <v>554</v>
      </c>
      <c r="H126" s="73">
        <v>45251</v>
      </c>
      <c r="I126" s="16">
        <v>59978</v>
      </c>
      <c r="J126" s="29" t="s">
        <v>90</v>
      </c>
      <c r="R126" s="9" t="s">
        <v>119</v>
      </c>
      <c r="S126" s="16">
        <v>2331</v>
      </c>
      <c r="T126" s="83">
        <f t="shared" ref="T126:T133" si="38">S126/12</f>
        <v>194.25</v>
      </c>
      <c r="U126" s="40"/>
      <c r="V126" s="9" t="s">
        <v>120</v>
      </c>
      <c r="Z126" s="16"/>
      <c r="AA126" s="16"/>
      <c r="AB126" s="16">
        <v>200</v>
      </c>
      <c r="AC126" s="16">
        <f t="shared" si="37"/>
        <v>2400</v>
      </c>
      <c r="AD126" s="3"/>
      <c r="AE126" s="3"/>
      <c r="AF126" s="3"/>
      <c r="AG126" s="3"/>
      <c r="AH126" s="3"/>
      <c r="AI126" s="47"/>
      <c r="AJ126" s="48"/>
      <c r="AK126" s="13"/>
      <c r="AL126" s="9"/>
      <c r="AM126" s="9"/>
      <c r="AN126" s="9"/>
      <c r="AO126" s="49"/>
      <c r="AP126" s="50"/>
      <c r="AQ126" s="13"/>
      <c r="AR126" s="16"/>
    </row>
    <row r="127" spans="1:44" ht="17.25">
      <c r="A127" s="7"/>
      <c r="B127" s="1663" t="s">
        <v>121</v>
      </c>
      <c r="C127" s="22" t="str">
        <f ca="1">IFERROR(__xludf.DUMMYFUNCTION("googlefinance (B45, ""name"")"),"Farmers And Merchants Bank of Long Beach")</f>
        <v>Farmers And Merchants Bank of Long Beach</v>
      </c>
      <c r="D127" s="67">
        <v>4580</v>
      </c>
      <c r="E127" s="68">
        <v>5</v>
      </c>
      <c r="F127" s="9">
        <v>4599</v>
      </c>
      <c r="G127" s="34">
        <v>95</v>
      </c>
      <c r="H127" s="73">
        <v>45251</v>
      </c>
      <c r="I127" s="16">
        <v>22900</v>
      </c>
      <c r="J127" s="29" t="s">
        <v>90</v>
      </c>
      <c r="R127" s="9" t="s">
        <v>111</v>
      </c>
      <c r="S127" s="16">
        <f>3764+180</f>
        <v>3944</v>
      </c>
      <c r="T127" s="83">
        <f t="shared" si="38"/>
        <v>328.66666666666669</v>
      </c>
      <c r="U127" s="40"/>
      <c r="V127" s="9" t="s">
        <v>122</v>
      </c>
      <c r="Z127" s="16" t="s">
        <v>123</v>
      </c>
      <c r="AA127" s="16">
        <v>10000</v>
      </c>
      <c r="AB127" s="16">
        <v>500</v>
      </c>
      <c r="AC127" s="16">
        <f t="shared" si="37"/>
        <v>6000</v>
      </c>
      <c r="AD127" s="3"/>
      <c r="AE127" s="3"/>
      <c r="AF127" s="3"/>
      <c r="AG127" s="3"/>
      <c r="AH127" s="3"/>
      <c r="AI127" s="47"/>
      <c r="AJ127" s="48"/>
      <c r="AK127" s="13"/>
      <c r="AL127" s="9"/>
      <c r="AM127" s="9"/>
      <c r="AN127" s="9"/>
      <c r="AO127" s="49"/>
      <c r="AP127" s="50"/>
      <c r="AQ127" s="13"/>
      <c r="AR127" s="16"/>
    </row>
    <row r="128" spans="1:44" s="1596" customFormat="1" ht="17.25">
      <c r="A128" s="1594"/>
      <c r="B128" s="1684" t="s">
        <v>124</v>
      </c>
      <c r="C128" s="22" t="str">
        <f ca="1">IFERROR(__xludf.DUMMYFUNCTION("googlefinance (B46, ""name"")"),"Natural Grocers by Vitamin Cottage Inc")</f>
        <v>Natural Grocers by Vitamin Cottage Inc</v>
      </c>
      <c r="D128" s="1657">
        <v>15.45</v>
      </c>
      <c r="E128" s="1658">
        <v>1446</v>
      </c>
      <c r="F128" s="22">
        <v>16.190000000000001</v>
      </c>
      <c r="G128" s="1609">
        <v>1070</v>
      </c>
      <c r="H128" s="1701">
        <v>45250</v>
      </c>
      <c r="I128" s="1597">
        <v>22341</v>
      </c>
      <c r="J128" s="1600" t="s">
        <v>90</v>
      </c>
      <c r="L128" s="800" t="s">
        <v>67</v>
      </c>
      <c r="M128" s="800" t="s">
        <v>125</v>
      </c>
      <c r="N128" s="1702">
        <v>6417.39</v>
      </c>
      <c r="R128" s="22" t="s">
        <v>126</v>
      </c>
      <c r="S128" s="1597">
        <f>420*12</f>
        <v>5040</v>
      </c>
      <c r="T128" s="1703">
        <f t="shared" si="38"/>
        <v>420</v>
      </c>
      <c r="U128" s="40"/>
      <c r="V128" s="1607" t="s">
        <v>61</v>
      </c>
      <c r="W128" s="1609">
        <f>SUM(W117:W127)</f>
        <v>1850</v>
      </c>
      <c r="X128" s="1609">
        <f>W128*12</f>
        <v>22200</v>
      </c>
      <c r="Z128" s="1609">
        <f>SUM(Z117:Z127)</f>
        <v>2741</v>
      </c>
      <c r="AA128" s="1609">
        <f>SUM(AA117:AA125)-(AA127)</f>
        <v>22892</v>
      </c>
      <c r="AB128" s="1609">
        <f>SUM(AB117:AB127)</f>
        <v>1950</v>
      </c>
      <c r="AC128" s="1609">
        <f>SUM(AC117:AC127)</f>
        <v>23400</v>
      </c>
      <c r="AD128" s="1607"/>
      <c r="AE128" s="1607"/>
      <c r="AF128" s="1607"/>
      <c r="AG128" s="1607"/>
      <c r="AH128" s="1607"/>
      <c r="AI128" s="1612"/>
      <c r="AJ128" s="1613"/>
      <c r="AK128" s="1608"/>
      <c r="AL128" s="22"/>
      <c r="AM128" s="22"/>
      <c r="AN128" s="22"/>
      <c r="AO128" s="1614"/>
      <c r="AP128" s="1615"/>
      <c r="AQ128" s="1608"/>
      <c r="AR128" s="1597"/>
    </row>
    <row r="129" spans="1:44" ht="17.25">
      <c r="A129" s="7"/>
      <c r="B129" s="1663" t="s">
        <v>127</v>
      </c>
      <c r="C129" s="22" t="str">
        <f ca="1">IFERROR(__xludf.DUMMYFUNCTION("googlefinance (B47, ""name"")"),"TransDigm Group Inc")</f>
        <v>TransDigm Group Inc</v>
      </c>
      <c r="D129" s="67">
        <v>973.52</v>
      </c>
      <c r="E129" s="68">
        <v>82</v>
      </c>
      <c r="F129" s="9">
        <v>993.12</v>
      </c>
      <c r="G129" s="34">
        <v>1608</v>
      </c>
      <c r="H129" s="73">
        <v>45246</v>
      </c>
      <c r="I129" s="16">
        <v>79829</v>
      </c>
      <c r="J129" s="29" t="s">
        <v>90</v>
      </c>
      <c r="O129" s="63"/>
      <c r="P129" s="63"/>
      <c r="R129" s="9" t="s">
        <v>128</v>
      </c>
      <c r="S129" s="16">
        <f>109*12</f>
        <v>1308</v>
      </c>
      <c r="T129" s="83">
        <f t="shared" si="38"/>
        <v>109</v>
      </c>
      <c r="U129" s="40"/>
      <c r="AA129" s="9"/>
      <c r="AB129" s="65"/>
      <c r="AC129" s="3"/>
      <c r="AD129" s="3"/>
      <c r="AE129" s="3"/>
      <c r="AF129" s="3"/>
      <c r="AG129" s="3"/>
      <c r="AH129" s="3"/>
      <c r="AI129" s="47"/>
      <c r="AJ129" s="48"/>
      <c r="AK129" s="13"/>
      <c r="AL129" s="9"/>
      <c r="AM129" s="9"/>
      <c r="AN129" s="9"/>
      <c r="AO129" s="49"/>
      <c r="AP129" s="50"/>
      <c r="AQ129" s="13"/>
      <c r="AR129" s="16"/>
    </row>
    <row r="130" spans="1:44" ht="17.25">
      <c r="A130" s="7"/>
      <c r="B130" s="1663" t="s">
        <v>129</v>
      </c>
      <c r="C130" s="22" t="str">
        <f ca="1">IFERROR(__xludf.DUMMYFUNCTION("googlefinance (B48, ""name"")"),"MEI Pharma Inc")</f>
        <v>MEI Pharma Inc</v>
      </c>
      <c r="D130" s="67">
        <v>7.53</v>
      </c>
      <c r="E130" s="68">
        <f>11917+1313+50</f>
        <v>13280</v>
      </c>
      <c r="F130" s="9">
        <v>7.58</v>
      </c>
      <c r="G130" s="34">
        <v>598</v>
      </c>
      <c r="H130" s="73">
        <v>45245</v>
      </c>
      <c r="I130" s="16">
        <v>99999</v>
      </c>
      <c r="J130" s="29" t="s">
        <v>90</v>
      </c>
      <c r="O130" s="8"/>
      <c r="P130" s="8"/>
      <c r="R130" s="9" t="s">
        <v>130</v>
      </c>
      <c r="S130" s="16">
        <f>3*60*12</f>
        <v>2160</v>
      </c>
      <c r="T130" s="83">
        <f t="shared" si="38"/>
        <v>180</v>
      </c>
      <c r="U130" s="40"/>
      <c r="AB130" s="65"/>
      <c r="AC130" s="3"/>
      <c r="AD130" s="3"/>
      <c r="AE130" s="3"/>
      <c r="AF130" s="3"/>
      <c r="AG130" s="3"/>
      <c r="AH130" s="3"/>
      <c r="AI130" s="47"/>
      <c r="AJ130" s="48"/>
      <c r="AK130" s="13"/>
      <c r="AL130" s="9"/>
      <c r="AM130" s="9"/>
      <c r="AN130" s="9"/>
      <c r="AO130" s="49"/>
      <c r="AP130" s="50"/>
      <c r="AQ130" s="13"/>
      <c r="AR130" s="16"/>
    </row>
    <row r="131" spans="1:44" ht="17.25">
      <c r="A131" s="7"/>
      <c r="B131" s="1663" t="s">
        <v>131</v>
      </c>
      <c r="C131" s="22" t="str">
        <f ca="1">IFERROR(__xludf.DUMMYFUNCTION("googlefinance (B49, ""name"")"),"Capital Southwest Corporation")</f>
        <v>Capital Southwest Corporation</v>
      </c>
      <c r="D131" s="67">
        <v>21.73</v>
      </c>
      <c r="E131" s="68">
        <v>6228</v>
      </c>
      <c r="F131" s="9">
        <v>21.85</v>
      </c>
      <c r="G131" s="34">
        <f>747-108</f>
        <v>639</v>
      </c>
      <c r="H131" s="73">
        <v>45239</v>
      </c>
      <c r="I131" s="16">
        <f>135334+39179</f>
        <v>174513</v>
      </c>
      <c r="J131" s="29"/>
      <c r="O131" s="8"/>
      <c r="P131" s="8"/>
      <c r="R131" s="9"/>
      <c r="S131" s="16"/>
      <c r="T131" s="83">
        <f t="shared" si="38"/>
        <v>0</v>
      </c>
      <c r="U131" s="40"/>
      <c r="AA131" s="9"/>
      <c r="AB131" s="65"/>
      <c r="AC131" s="3"/>
      <c r="AD131" s="3"/>
      <c r="AE131" s="3"/>
      <c r="AF131" s="3"/>
      <c r="AG131" s="3"/>
      <c r="AH131" s="3"/>
      <c r="AI131" s="47"/>
      <c r="AJ131" s="48"/>
      <c r="AK131" s="13"/>
      <c r="AL131" s="9"/>
      <c r="AM131" s="9"/>
      <c r="AN131" s="9"/>
      <c r="AO131" s="49"/>
      <c r="AP131" s="50"/>
      <c r="AQ131" s="13"/>
      <c r="AR131" s="16"/>
    </row>
    <row r="132" spans="1:44" ht="17.25">
      <c r="A132" s="7"/>
      <c r="B132" s="1663" t="s">
        <v>132</v>
      </c>
      <c r="C132" s="22" t="str">
        <f ca="1">IFERROR(__xludf.DUMMYFUNCTION("googlefinance (B50, ""name"")"),"Stellus Capital Investment Corp")</f>
        <v>Stellus Capital Investment Corp</v>
      </c>
      <c r="D132" s="67">
        <v>12.77</v>
      </c>
      <c r="E132" s="68">
        <v>2360</v>
      </c>
      <c r="F132" s="9">
        <v>12.78</v>
      </c>
      <c r="G132" s="34">
        <f>337+314.59</f>
        <v>651.58999999999992</v>
      </c>
      <c r="H132" s="73">
        <v>45232</v>
      </c>
      <c r="I132" s="16">
        <v>30137</v>
      </c>
      <c r="J132" s="85" t="s">
        <v>133</v>
      </c>
      <c r="P132" s="9"/>
      <c r="R132" s="9"/>
      <c r="S132" s="16"/>
      <c r="T132" s="83">
        <f t="shared" si="38"/>
        <v>0</v>
      </c>
      <c r="U132" s="40"/>
      <c r="Z132" s="9">
        <f>AA132/12</f>
        <v>1250</v>
      </c>
      <c r="AA132" s="9">
        <f>150000/10</f>
        <v>15000</v>
      </c>
      <c r="AB132" s="65" t="s">
        <v>134</v>
      </c>
      <c r="AC132" s="3"/>
      <c r="AD132" s="3"/>
      <c r="AE132" s="3"/>
      <c r="AF132" s="3"/>
      <c r="AG132" s="3"/>
      <c r="AH132" s="3"/>
      <c r="AI132" s="47"/>
      <c r="AJ132" s="48"/>
      <c r="AK132" s="13"/>
      <c r="AL132" s="9"/>
      <c r="AM132" s="9"/>
      <c r="AN132" s="9"/>
      <c r="AO132" s="49"/>
      <c r="AP132" s="50"/>
      <c r="AQ132" s="13"/>
      <c r="AR132" s="16"/>
    </row>
    <row r="133" spans="1:44" ht="17.25">
      <c r="A133" s="7"/>
      <c r="B133" s="1663" t="s">
        <v>33</v>
      </c>
      <c r="C133" s="22" t="str">
        <f ca="1">IFERROR(__xludf.DUMMYFUNCTION("googlefinance (B51, ""name"")"),"SPDR S&amp;P 500 ETF Trust")</f>
        <v>SPDR S&amp;P 500 ETF Trust</v>
      </c>
      <c r="D133" s="67">
        <v>424.61</v>
      </c>
      <c r="E133" s="68">
        <v>459.78</v>
      </c>
      <c r="F133" s="9">
        <v>426.8</v>
      </c>
      <c r="G133" s="34">
        <f>1003+439.69</f>
        <v>1442.69</v>
      </c>
      <c r="H133" s="73">
        <v>45232</v>
      </c>
      <c r="I133" s="16">
        <v>194379</v>
      </c>
      <c r="J133" s="85" t="s">
        <v>133</v>
      </c>
      <c r="P133" s="9"/>
      <c r="R133" s="9" t="s">
        <v>67</v>
      </c>
      <c r="S133" s="34">
        <f>SUM(S126:S132)</f>
        <v>14783</v>
      </c>
      <c r="T133" s="34">
        <f t="shared" si="38"/>
        <v>1231.9166666666667</v>
      </c>
      <c r="U133" s="40"/>
      <c r="AA133" s="9"/>
      <c r="AB133" s="65"/>
      <c r="AC133" s="3"/>
      <c r="AD133" s="3"/>
      <c r="AE133" s="3"/>
      <c r="AF133" s="3"/>
      <c r="AG133" s="3"/>
      <c r="AH133" s="3"/>
      <c r="AI133" s="47"/>
      <c r="AJ133" s="48"/>
      <c r="AK133" s="13"/>
      <c r="AL133" s="9"/>
      <c r="AM133" s="9"/>
      <c r="AN133" s="9"/>
      <c r="AO133" s="49"/>
      <c r="AP133" s="50"/>
      <c r="AQ133" s="13"/>
      <c r="AR133" s="16"/>
    </row>
    <row r="134" spans="1:44" ht="17.25">
      <c r="A134" s="7"/>
      <c r="B134" s="1663"/>
      <c r="C134" s="22"/>
      <c r="D134" s="67"/>
      <c r="E134" s="68"/>
      <c r="F134" s="3" t="s">
        <v>19</v>
      </c>
      <c r="G134" s="61">
        <f>G135+G136+G137</f>
        <v>1933.69</v>
      </c>
      <c r="H134" s="73"/>
      <c r="I134" s="16"/>
      <c r="J134" s="29"/>
      <c r="P134" s="9"/>
      <c r="U134" s="40"/>
      <c r="AA134" s="9"/>
      <c r="AB134" s="65"/>
      <c r="AC134" s="3"/>
      <c r="AD134" s="3"/>
      <c r="AE134" s="3"/>
      <c r="AF134" s="3"/>
      <c r="AG134" s="3"/>
      <c r="AH134" s="3"/>
      <c r="AI134" s="47"/>
      <c r="AJ134" s="48"/>
      <c r="AK134" s="13"/>
      <c r="AL134" s="9"/>
      <c r="AM134" s="9"/>
      <c r="AN134" s="9"/>
      <c r="AO134" s="49"/>
      <c r="AP134" s="50"/>
      <c r="AQ134" s="13"/>
      <c r="AR134" s="16"/>
    </row>
    <row r="135" spans="1:44" ht="17.25">
      <c r="A135" s="7"/>
      <c r="B135" s="1663" t="s">
        <v>33</v>
      </c>
      <c r="C135" s="22" t="str">
        <f ca="1">IFERROR(__xludf.DUMMYFUNCTION("googlefinance (B53, ""name"")"),"SPDR S&amp;P 500 ETF Trust")</f>
        <v>SPDR S&amp;P 500 ETF Trust</v>
      </c>
      <c r="D135" s="67" t="s">
        <v>135</v>
      </c>
      <c r="E135" s="68"/>
      <c r="F135" s="9"/>
      <c r="G135" s="9">
        <v>439.69</v>
      </c>
      <c r="H135" s="73">
        <v>45230</v>
      </c>
      <c r="I135" s="16"/>
      <c r="J135" s="29" t="s">
        <v>36</v>
      </c>
      <c r="R135" s="3"/>
      <c r="U135" s="40"/>
      <c r="V135" s="9"/>
      <c r="W135" s="16"/>
      <c r="X135" s="16"/>
      <c r="AA135" s="9"/>
      <c r="AB135" s="65"/>
      <c r="AC135" s="3"/>
      <c r="AD135" s="3"/>
      <c r="AE135" s="3"/>
      <c r="AF135" s="3"/>
      <c r="AG135" s="3"/>
      <c r="AH135" s="3"/>
      <c r="AI135" s="47"/>
      <c r="AJ135" s="48"/>
      <c r="AK135" s="13"/>
      <c r="AL135" s="9"/>
      <c r="AM135" s="9"/>
      <c r="AN135" s="9"/>
      <c r="AO135" s="49"/>
      <c r="AP135" s="50"/>
      <c r="AQ135" s="13"/>
      <c r="AR135" s="16"/>
    </row>
    <row r="136" spans="1:44" ht="17.25">
      <c r="A136" s="7"/>
      <c r="B136" s="1663" t="s">
        <v>136</v>
      </c>
      <c r="C136" s="22" t="s">
        <v>137</v>
      </c>
      <c r="D136" s="67">
        <v>271.07</v>
      </c>
      <c r="E136" s="68">
        <v>180</v>
      </c>
      <c r="F136" s="9">
        <v>273.39999999999998</v>
      </c>
      <c r="G136" s="9">
        <v>425</v>
      </c>
      <c r="H136" s="73">
        <v>45181</v>
      </c>
      <c r="I136" s="16">
        <v>49216.98</v>
      </c>
      <c r="J136" s="29"/>
      <c r="R136" s="3"/>
      <c r="U136" s="40"/>
      <c r="W136" s="16"/>
      <c r="X136" s="16"/>
      <c r="AA136" s="9"/>
      <c r="AB136" s="65"/>
      <c r="AC136" s="3"/>
      <c r="AD136" s="3"/>
      <c r="AE136" s="3"/>
      <c r="AF136" s="3"/>
      <c r="AG136" s="3"/>
      <c r="AH136" s="3"/>
      <c r="AI136" s="47"/>
      <c r="AJ136" s="48"/>
      <c r="AK136" s="13"/>
      <c r="AL136" s="9"/>
      <c r="AM136" s="9"/>
      <c r="AN136" s="9"/>
      <c r="AO136" s="49"/>
      <c r="AP136" s="50"/>
      <c r="AQ136" s="13"/>
      <c r="AR136" s="16"/>
    </row>
    <row r="137" spans="1:44" ht="17.25">
      <c r="A137" s="7"/>
      <c r="B137" s="1663" t="s">
        <v>136</v>
      </c>
      <c r="C137" s="22" t="s">
        <v>137</v>
      </c>
      <c r="D137" s="67">
        <v>271.07</v>
      </c>
      <c r="E137" s="68">
        <v>408</v>
      </c>
      <c r="F137" s="9">
        <v>273.69</v>
      </c>
      <c r="G137" s="16">
        <v>1069</v>
      </c>
      <c r="H137" s="73">
        <v>45182</v>
      </c>
      <c r="I137" s="16">
        <v>49216.98</v>
      </c>
      <c r="J137" s="29"/>
      <c r="Q137" s="86"/>
      <c r="R137" s="3"/>
      <c r="U137" s="40"/>
      <c r="W137" s="16"/>
      <c r="X137" s="16"/>
      <c r="AA137" s="9"/>
      <c r="AB137" s="65"/>
      <c r="AC137" s="3"/>
      <c r="AD137" s="3"/>
      <c r="AE137" s="3"/>
      <c r="AF137" s="3"/>
      <c r="AG137" s="3"/>
      <c r="AH137" s="3"/>
      <c r="AI137" s="47"/>
      <c r="AJ137" s="48"/>
      <c r="AK137" s="13"/>
      <c r="AL137" s="9"/>
      <c r="AM137" s="9"/>
      <c r="AN137" s="9"/>
      <c r="AO137" s="49"/>
      <c r="AP137" s="50"/>
      <c r="AQ137" s="13"/>
      <c r="AR137" s="16"/>
    </row>
    <row r="138" spans="1:44" ht="17.25">
      <c r="A138" s="7"/>
      <c r="B138" s="1663"/>
      <c r="C138" s="22"/>
      <c r="D138" s="67"/>
      <c r="E138" s="68"/>
      <c r="F138" s="76" t="s">
        <v>138</v>
      </c>
      <c r="G138" s="61">
        <f>G139+G140</f>
        <v>15870.630000000001</v>
      </c>
      <c r="H138" s="71"/>
      <c r="I138" s="16"/>
      <c r="J138" s="29"/>
      <c r="Q138" s="87"/>
      <c r="R138" s="3"/>
      <c r="U138" s="40"/>
      <c r="AA138" s="9"/>
      <c r="AB138" s="65"/>
      <c r="AC138" s="3"/>
      <c r="AD138" s="3"/>
      <c r="AE138" s="3"/>
      <c r="AF138" s="3"/>
      <c r="AG138" s="3"/>
      <c r="AH138" s="3"/>
      <c r="AI138" s="47"/>
      <c r="AJ138" s="48"/>
      <c r="AK138" s="13"/>
      <c r="AL138" s="9"/>
      <c r="AM138" s="9"/>
      <c r="AN138" s="9"/>
      <c r="AO138" s="49"/>
      <c r="AP138" s="50"/>
      <c r="AQ138" s="13"/>
      <c r="AR138" s="16"/>
    </row>
    <row r="139" spans="1:44" ht="17.25">
      <c r="A139" s="7"/>
      <c r="B139" s="1663" t="s">
        <v>33</v>
      </c>
      <c r="C139" s="22" t="s">
        <v>139</v>
      </c>
      <c r="D139" s="67">
        <v>412.88</v>
      </c>
      <c r="E139" s="68">
        <v>329</v>
      </c>
      <c r="F139" s="9">
        <v>454.9</v>
      </c>
      <c r="G139" s="34">
        <f>13821+1.78+990.49</f>
        <v>14813.27</v>
      </c>
      <c r="H139" s="71">
        <v>45127</v>
      </c>
      <c r="I139" s="16">
        <v>135838</v>
      </c>
      <c r="J139" s="85" t="s">
        <v>140</v>
      </c>
      <c r="Q139" s="87"/>
      <c r="R139" s="3"/>
      <c r="U139" s="40"/>
      <c r="AA139" s="9"/>
      <c r="AB139" s="65"/>
      <c r="AC139" s="3"/>
      <c r="AD139" s="3"/>
      <c r="AE139" s="3"/>
      <c r="AF139" s="3"/>
      <c r="AG139" s="3"/>
      <c r="AH139" s="3"/>
      <c r="AI139" s="47"/>
      <c r="AJ139" s="48"/>
      <c r="AK139" s="13"/>
      <c r="AL139" s="9"/>
      <c r="AM139" s="9"/>
      <c r="AN139" s="9"/>
      <c r="AO139" s="49"/>
      <c r="AP139" s="50"/>
      <c r="AQ139" s="13"/>
      <c r="AR139" s="16"/>
    </row>
    <row r="140" spans="1:44" ht="17.25">
      <c r="A140" s="7"/>
      <c r="B140" s="1663" t="s">
        <v>141</v>
      </c>
      <c r="C140" s="22" t="s">
        <v>142</v>
      </c>
      <c r="D140" s="67"/>
      <c r="E140" s="68"/>
      <c r="F140" s="3"/>
      <c r="G140" s="34">
        <v>1057.3599999999999</v>
      </c>
      <c r="H140" s="71">
        <v>45044</v>
      </c>
      <c r="I140" s="16"/>
      <c r="J140" s="29" t="s">
        <v>36</v>
      </c>
      <c r="Q140" s="87"/>
      <c r="R140" s="3"/>
      <c r="U140" s="88"/>
      <c r="AA140" s="9"/>
      <c r="AB140" s="65"/>
      <c r="AC140" s="3"/>
      <c r="AD140" s="3"/>
      <c r="AE140" s="3"/>
      <c r="AF140" s="3"/>
      <c r="AG140" s="3"/>
      <c r="AH140" s="3"/>
      <c r="AI140" s="47"/>
      <c r="AJ140" s="48"/>
      <c r="AK140" s="13"/>
      <c r="AL140" s="9"/>
      <c r="AM140" s="9"/>
      <c r="AN140" s="9"/>
      <c r="AO140" s="49"/>
      <c r="AP140" s="50"/>
      <c r="AQ140" s="13"/>
      <c r="AR140" s="16"/>
    </row>
    <row r="141" spans="1:44" ht="17.25">
      <c r="A141" s="7"/>
      <c r="B141" s="1663"/>
      <c r="C141" s="22"/>
      <c r="D141" s="67"/>
      <c r="E141" s="68"/>
      <c r="F141" s="9" t="s">
        <v>143</v>
      </c>
      <c r="G141" s="61">
        <f>G142</f>
        <v>-2129</v>
      </c>
      <c r="H141" s="71"/>
      <c r="I141" s="16"/>
      <c r="J141" s="29"/>
      <c r="Q141" s="87"/>
      <c r="R141" s="3"/>
      <c r="U141" s="88"/>
      <c r="AA141" s="9"/>
      <c r="AB141" s="65"/>
      <c r="AC141" s="3"/>
      <c r="AD141" s="3"/>
      <c r="AE141" s="3"/>
      <c r="AF141" s="3"/>
      <c r="AG141" s="3"/>
      <c r="AH141" s="3"/>
      <c r="AI141" s="47"/>
      <c r="AJ141" s="48"/>
      <c r="AK141" s="13"/>
      <c r="AL141" s="9"/>
      <c r="AM141" s="9"/>
      <c r="AN141" s="9"/>
      <c r="AO141" s="49"/>
      <c r="AP141" s="50"/>
      <c r="AQ141" s="13"/>
      <c r="AR141" s="16"/>
    </row>
    <row r="142" spans="1:44" ht="17.25">
      <c r="A142" s="7"/>
      <c r="B142" s="1663" t="s">
        <v>144</v>
      </c>
      <c r="C142" s="22" t="str">
        <f ca="1">IFERROR(__xludf.DUMMYFUNCTION("googlefinance (B60, ""name"")"),"Unit Corp")</f>
        <v>Unit Corp</v>
      </c>
      <c r="D142" s="67">
        <v>65.89</v>
      </c>
      <c r="E142" s="68">
        <v>1532</v>
      </c>
      <c r="F142" s="9">
        <v>64.5</v>
      </c>
      <c r="G142" s="34">
        <f>-2129</f>
        <v>-2129</v>
      </c>
      <c r="H142" s="71">
        <v>44944</v>
      </c>
      <c r="I142" s="16">
        <v>100943</v>
      </c>
      <c r="J142" s="29"/>
      <c r="Q142" s="87"/>
      <c r="R142" s="3"/>
      <c r="U142" s="88"/>
      <c r="AA142" s="9"/>
      <c r="AB142" s="65"/>
      <c r="AC142" s="3"/>
      <c r="AD142" s="3"/>
      <c r="AE142" s="3"/>
      <c r="AF142" s="3"/>
      <c r="AG142" s="3"/>
      <c r="AH142" s="3"/>
      <c r="AI142" s="47"/>
      <c r="AJ142" s="48"/>
      <c r="AK142" s="13"/>
      <c r="AL142" s="9"/>
      <c r="AM142" s="9"/>
      <c r="AN142" s="9"/>
      <c r="AO142" s="49"/>
      <c r="AP142" s="50"/>
      <c r="AQ142" s="13"/>
      <c r="AR142" s="16"/>
    </row>
    <row r="143" spans="1:44" ht="17.25">
      <c r="A143" s="7"/>
      <c r="B143" s="1654" t="s">
        <v>145</v>
      </c>
      <c r="C143" s="1655"/>
      <c r="D143" s="67"/>
      <c r="E143" s="68"/>
      <c r="F143" s="76">
        <v>2022</v>
      </c>
      <c r="G143" s="61">
        <f>G161+G154+G144</f>
        <v>17799.5</v>
      </c>
      <c r="H143" s="71"/>
      <c r="I143" s="16"/>
      <c r="J143" s="29"/>
      <c r="Q143" s="87"/>
      <c r="R143" s="3"/>
      <c r="T143" s="89"/>
      <c r="U143" s="88"/>
      <c r="AA143" s="9"/>
      <c r="AB143" s="65"/>
      <c r="AC143" s="3"/>
      <c r="AD143" s="3"/>
      <c r="AE143" s="3"/>
      <c r="AF143" s="3"/>
      <c r="AG143" s="3"/>
      <c r="AH143" s="3"/>
      <c r="AI143" s="47"/>
      <c r="AJ143" s="48"/>
      <c r="AK143" s="13"/>
      <c r="AL143" s="9"/>
      <c r="AM143" s="9"/>
      <c r="AN143" s="9"/>
      <c r="AO143" s="49"/>
      <c r="AP143" s="50"/>
      <c r="AQ143" s="13"/>
      <c r="AR143" s="16"/>
    </row>
    <row r="144" spans="1:44" ht="17.25">
      <c r="A144" s="7"/>
      <c r="B144" s="1663"/>
      <c r="C144" s="22"/>
      <c r="D144" s="67"/>
      <c r="E144" s="68"/>
      <c r="F144" s="9" t="s">
        <v>86</v>
      </c>
      <c r="G144" s="61">
        <f>SUM(G145:G153)</f>
        <v>1574.5</v>
      </c>
      <c r="H144" s="71"/>
      <c r="I144" s="16"/>
      <c r="J144" s="29"/>
      <c r="M144" s="36"/>
      <c r="N144" s="36"/>
      <c r="Q144" s="90"/>
      <c r="R144" s="3"/>
      <c r="U144" s="88"/>
      <c r="AA144" s="9"/>
      <c r="AB144" s="65"/>
      <c r="AC144" s="3"/>
      <c r="AD144" s="3"/>
      <c r="AE144" s="3"/>
      <c r="AF144" s="3"/>
      <c r="AG144" s="3"/>
      <c r="AH144" s="3"/>
      <c r="AI144" s="47"/>
      <c r="AJ144" s="48"/>
      <c r="AK144" s="13"/>
      <c r="AL144" s="9"/>
      <c r="AM144" s="9"/>
      <c r="AN144" s="9"/>
      <c r="AO144" s="49"/>
      <c r="AP144" s="50"/>
      <c r="AQ144" s="13"/>
      <c r="AR144" s="16"/>
    </row>
    <row r="145" spans="1:44" ht="17.25">
      <c r="A145" s="7"/>
      <c r="B145" s="1663" t="s">
        <v>146</v>
      </c>
      <c r="C145" s="22" t="str">
        <f ca="1">IFERROR(__xludf.DUMMYFUNCTION("googlefinance (B63, ""name"")"),"CBL &amp; Associates Properties, Inc.")</f>
        <v>CBL &amp; Associates Properties, Inc.</v>
      </c>
      <c r="D145" s="67">
        <v>30.3</v>
      </c>
      <c r="E145" s="68">
        <v>2774</v>
      </c>
      <c r="F145" s="3">
        <v>24.8</v>
      </c>
      <c r="G145" s="34">
        <f>-9154+6102.5</f>
        <v>-3051.5</v>
      </c>
      <c r="H145" s="71">
        <v>44938</v>
      </c>
      <c r="I145" s="16">
        <v>84052</v>
      </c>
      <c r="J145" s="29"/>
      <c r="R145" s="3"/>
      <c r="U145" s="88"/>
      <c r="AA145" s="9"/>
      <c r="AB145" s="65"/>
      <c r="AC145" s="3"/>
      <c r="AD145" s="3"/>
      <c r="AE145" s="3"/>
      <c r="AF145" s="3"/>
      <c r="AG145" s="3"/>
      <c r="AH145" s="3"/>
      <c r="AI145" s="47"/>
      <c r="AJ145" s="48"/>
      <c r="AK145" s="13"/>
      <c r="AL145" s="9"/>
      <c r="AM145" s="9"/>
      <c r="AN145" s="9"/>
      <c r="AO145" s="49"/>
      <c r="AP145" s="50"/>
      <c r="AQ145" s="13"/>
      <c r="AR145" s="16"/>
    </row>
    <row r="146" spans="1:44" ht="17.25">
      <c r="A146" s="7"/>
      <c r="B146" s="1663" t="s">
        <v>147</v>
      </c>
      <c r="C146" s="22" t="str">
        <f ca="1">IFERROR(__xludf.DUMMYFUNCTION("googlefinance (B64, ""name"")"),"Frequency Electronics Inc")</f>
        <v>Frequency Electronics Inc</v>
      </c>
      <c r="D146" s="67">
        <v>6.03</v>
      </c>
      <c r="E146" s="68">
        <v>1869</v>
      </c>
      <c r="F146" s="9">
        <v>6.46</v>
      </c>
      <c r="G146" s="34">
        <v>804</v>
      </c>
      <c r="H146" s="71">
        <v>44924</v>
      </c>
      <c r="I146" s="16">
        <f t="shared" ref="I146:I153" si="39">D146*E146</f>
        <v>11270.07</v>
      </c>
      <c r="J146" s="29"/>
      <c r="R146" s="3"/>
      <c r="U146" s="88"/>
      <c r="AA146" s="9"/>
      <c r="AB146" s="65"/>
      <c r="AC146" s="3"/>
      <c r="AD146" s="3"/>
      <c r="AE146" s="3"/>
      <c r="AF146" s="3"/>
      <c r="AG146" s="3"/>
      <c r="AH146" s="3"/>
      <c r="AI146" s="47"/>
      <c r="AJ146" s="48"/>
      <c r="AK146" s="13"/>
      <c r="AL146" s="9"/>
      <c r="AM146" s="9"/>
      <c r="AN146" s="9"/>
      <c r="AO146" s="49"/>
      <c r="AP146" s="50"/>
      <c r="AQ146" s="13"/>
      <c r="AR146" s="16"/>
    </row>
    <row r="147" spans="1:44" ht="17.25">
      <c r="A147" s="7"/>
      <c r="B147" s="1663" t="s">
        <v>100</v>
      </c>
      <c r="C147" s="22" t="str">
        <f ca="1">IFERROR(__xludf.DUMMYFUNCTION("googlefinance (B65, ""name"")"),"Saga Communications Inc")</f>
        <v>Saga Communications Inc</v>
      </c>
      <c r="D147" s="67">
        <v>29.15</v>
      </c>
      <c r="E147" s="68">
        <v>2418</v>
      </c>
      <c r="F147" s="9">
        <v>27.59</v>
      </c>
      <c r="G147" s="34">
        <v>-3722</v>
      </c>
      <c r="H147" s="71">
        <v>44914</v>
      </c>
      <c r="I147" s="16">
        <f t="shared" si="39"/>
        <v>70484.7</v>
      </c>
      <c r="J147" s="29"/>
      <c r="U147" s="88"/>
      <c r="AA147" s="9"/>
      <c r="AB147" s="65"/>
      <c r="AC147" s="3"/>
      <c r="AD147" s="3"/>
      <c r="AE147" s="3"/>
      <c r="AF147" s="3"/>
      <c r="AG147" s="3"/>
      <c r="AH147" s="3"/>
      <c r="AI147" s="47"/>
      <c r="AJ147" s="48"/>
      <c r="AK147" s="13"/>
      <c r="AL147" s="9"/>
      <c r="AM147" s="9"/>
      <c r="AN147" s="9"/>
      <c r="AO147" s="49"/>
      <c r="AP147" s="50"/>
      <c r="AQ147" s="13"/>
      <c r="AR147" s="16"/>
    </row>
    <row r="148" spans="1:44" ht="17.25">
      <c r="A148" s="7"/>
      <c r="B148" s="1663" t="s">
        <v>104</v>
      </c>
      <c r="C148" s="22" t="str">
        <f ca="1">IFERROR(__xludf.DUMMYFUNCTION("googlefinance (B66, ""name"")"),"Landstar System, Inc.")</f>
        <v>Landstar System, Inc.</v>
      </c>
      <c r="D148" s="67">
        <v>171.4</v>
      </c>
      <c r="E148" s="68">
        <v>470</v>
      </c>
      <c r="F148" s="9">
        <v>173.31</v>
      </c>
      <c r="G148" s="34">
        <v>99</v>
      </c>
      <c r="H148" s="71">
        <v>44908</v>
      </c>
      <c r="I148" s="16">
        <f t="shared" si="39"/>
        <v>80558</v>
      </c>
      <c r="J148" s="29"/>
      <c r="M148" s="8"/>
      <c r="R148" s="3"/>
      <c r="U148" s="88"/>
      <c r="AA148" s="9"/>
      <c r="AB148" s="65"/>
      <c r="AC148" s="3"/>
      <c r="AD148" s="3"/>
      <c r="AE148" s="3"/>
      <c r="AF148" s="3"/>
      <c r="AG148" s="3"/>
      <c r="AH148" s="3"/>
      <c r="AI148" s="47"/>
      <c r="AJ148" s="48"/>
      <c r="AK148" s="13"/>
      <c r="AL148" s="9"/>
      <c r="AM148" s="9"/>
      <c r="AN148" s="9"/>
      <c r="AO148" s="49"/>
      <c r="AP148" s="50"/>
      <c r="AQ148" s="13"/>
      <c r="AR148" s="16"/>
    </row>
    <row r="149" spans="1:44" ht="17.25">
      <c r="A149" s="7"/>
      <c r="B149" s="1663" t="s">
        <v>107</v>
      </c>
      <c r="C149" s="22" t="str">
        <f ca="1">IFERROR(__xludf.DUMMYFUNCTION("googlefinance (B67, ""name"")"),"Buckle Inc")</f>
        <v>Buckle Inc</v>
      </c>
      <c r="D149" s="67">
        <v>45.31</v>
      </c>
      <c r="E149" s="68">
        <v>1413</v>
      </c>
      <c r="F149" s="9">
        <v>46.3</v>
      </c>
      <c r="G149" s="34">
        <v>1399</v>
      </c>
      <c r="H149" s="71">
        <v>44908</v>
      </c>
      <c r="I149" s="16">
        <f t="shared" si="39"/>
        <v>64023.030000000006</v>
      </c>
      <c r="J149" s="29"/>
      <c r="M149" s="8"/>
      <c r="R149" s="3"/>
      <c r="U149" s="88"/>
      <c r="AA149" s="9"/>
      <c r="AB149" s="65"/>
      <c r="AC149" s="3"/>
      <c r="AD149" s="3"/>
      <c r="AE149" s="3"/>
      <c r="AF149" s="3"/>
      <c r="AG149" s="3"/>
      <c r="AH149" s="3"/>
      <c r="AI149" s="47"/>
      <c r="AJ149" s="48"/>
      <c r="AK149" s="13"/>
      <c r="AL149" s="9"/>
      <c r="AM149" s="9"/>
      <c r="AN149" s="9"/>
      <c r="AO149" s="49"/>
      <c r="AP149" s="50"/>
      <c r="AQ149" s="13"/>
      <c r="AR149" s="16"/>
    </row>
    <row r="150" spans="1:44" ht="17.25">
      <c r="A150" s="7"/>
      <c r="B150" s="1663" t="s">
        <v>110</v>
      </c>
      <c r="C150" s="22" t="str">
        <f ca="1">IFERROR(__xludf.DUMMYFUNCTION("googlefinance (B68, ""name"")"),"PACCAR Inc")</f>
        <v>PACCAR Inc</v>
      </c>
      <c r="D150" s="67">
        <v>103.51</v>
      </c>
      <c r="E150" s="68">
        <v>676</v>
      </c>
      <c r="F150" s="9">
        <v>104.65</v>
      </c>
      <c r="G150" s="34">
        <v>771</v>
      </c>
      <c r="H150" s="71">
        <v>44903</v>
      </c>
      <c r="I150" s="16">
        <f t="shared" si="39"/>
        <v>69972.760000000009</v>
      </c>
      <c r="J150" s="29"/>
      <c r="M150" s="8"/>
      <c r="R150" s="3"/>
      <c r="U150" s="88"/>
      <c r="AA150" s="9"/>
      <c r="AB150" s="65"/>
      <c r="AC150" s="3"/>
      <c r="AD150" s="3"/>
      <c r="AE150" s="3"/>
      <c r="AF150" s="3"/>
      <c r="AG150" s="3"/>
      <c r="AH150" s="3"/>
      <c r="AI150" s="47"/>
      <c r="AJ150" s="48"/>
      <c r="AK150" s="13"/>
      <c r="AL150" s="9"/>
      <c r="AM150" s="9"/>
      <c r="AN150" s="9"/>
      <c r="AO150" s="49"/>
      <c r="AP150" s="50"/>
      <c r="AQ150" s="13"/>
      <c r="AR150" s="16"/>
    </row>
    <row r="151" spans="1:44" ht="17.25">
      <c r="A151" s="7"/>
      <c r="B151" s="1663" t="s">
        <v>148</v>
      </c>
      <c r="C151" s="22" t="str">
        <f ca="1">IFERROR(__xludf.DUMMYFUNCTION("googlefinance (B69, ""name"")"),"Dillard's Inc")</f>
        <v>Dillard's Inc</v>
      </c>
      <c r="D151" s="67">
        <v>360.05</v>
      </c>
      <c r="E151" s="68">
        <v>36</v>
      </c>
      <c r="F151" s="9">
        <v>360.26</v>
      </c>
      <c r="G151" s="34">
        <v>8</v>
      </c>
      <c r="H151" s="71">
        <v>44902</v>
      </c>
      <c r="I151" s="16">
        <f t="shared" si="39"/>
        <v>12961.800000000001</v>
      </c>
      <c r="J151" s="29"/>
      <c r="R151" s="3"/>
      <c r="T151" s="43"/>
      <c r="U151" s="3"/>
      <c r="AA151" s="9"/>
      <c r="AB151" s="65"/>
      <c r="AC151" s="3"/>
      <c r="AD151" s="3"/>
      <c r="AE151" s="3"/>
      <c r="AF151" s="3"/>
      <c r="AG151" s="3"/>
      <c r="AH151" s="3"/>
      <c r="AI151" s="47"/>
      <c r="AJ151" s="48"/>
      <c r="AK151" s="13"/>
      <c r="AL151" s="9"/>
      <c r="AM151" s="9"/>
      <c r="AN151" s="9"/>
      <c r="AO151" s="49"/>
      <c r="AP151" s="50"/>
      <c r="AQ151" s="13"/>
      <c r="AR151" s="16"/>
    </row>
    <row r="152" spans="1:44" ht="17.25">
      <c r="A152" s="7"/>
      <c r="B152" s="1663" t="s">
        <v>149</v>
      </c>
      <c r="C152" s="22" t="str">
        <f ca="1">IFERROR(__xludf.DUMMYFUNCTION("googlefinance (B70, ""name"")"),"Sturm Ruger &amp; Company Inc")</f>
        <v>Sturm Ruger &amp; Company Inc</v>
      </c>
      <c r="D152" s="67">
        <v>61.28</v>
      </c>
      <c r="E152" s="68">
        <v>402</v>
      </c>
      <c r="F152" s="9">
        <v>62.9</v>
      </c>
      <c r="G152" s="34">
        <v>651</v>
      </c>
      <c r="H152" s="71">
        <v>44901</v>
      </c>
      <c r="I152" s="16">
        <f t="shared" si="39"/>
        <v>24634.560000000001</v>
      </c>
      <c r="J152" s="29"/>
      <c r="AA152" s="9"/>
      <c r="AB152" s="65"/>
      <c r="AC152" s="3"/>
      <c r="AD152" s="3"/>
      <c r="AE152" s="3"/>
      <c r="AF152" s="3"/>
      <c r="AG152" s="3"/>
      <c r="AH152" s="3"/>
      <c r="AI152" s="47"/>
      <c r="AJ152" s="48"/>
      <c r="AK152" s="13"/>
      <c r="AL152" s="9"/>
      <c r="AM152" s="9"/>
      <c r="AN152" s="9"/>
      <c r="AO152" s="49"/>
      <c r="AP152" s="50"/>
      <c r="AQ152" s="13"/>
      <c r="AR152" s="16"/>
    </row>
    <row r="153" spans="1:44" ht="17.25">
      <c r="A153" s="7"/>
      <c r="B153" s="1663" t="s">
        <v>150</v>
      </c>
      <c r="C153" s="22" t="str">
        <f ca="1">IFERROR(__xludf.DUMMYFUNCTION("googlefinance (B71, ""name"")"),"United Maritime Corp")</f>
        <v>United Maritime Corp</v>
      </c>
      <c r="D153" s="67">
        <v>3.43</v>
      </c>
      <c r="E153" s="68">
        <v>17095</v>
      </c>
      <c r="F153" s="9">
        <v>3.7</v>
      </c>
      <c r="G153" s="34">
        <v>4616</v>
      </c>
      <c r="H153" s="71">
        <v>44897</v>
      </c>
      <c r="I153" s="16">
        <f t="shared" si="39"/>
        <v>58635.850000000006</v>
      </c>
      <c r="J153" s="29"/>
      <c r="M153" s="2087"/>
      <c r="N153" s="2087"/>
      <c r="R153" s="3" t="s">
        <v>151</v>
      </c>
      <c r="AA153" s="9"/>
      <c r="AB153" s="65"/>
      <c r="AC153" s="3"/>
      <c r="AD153" s="3"/>
      <c r="AE153" s="3"/>
      <c r="AF153" s="3"/>
      <c r="AG153" s="3"/>
      <c r="AH153" s="3"/>
      <c r="AI153" s="47"/>
      <c r="AJ153" s="48"/>
      <c r="AK153" s="13"/>
      <c r="AL153" s="9"/>
      <c r="AM153" s="9"/>
      <c r="AN153" s="9"/>
      <c r="AO153" s="49"/>
      <c r="AP153" s="50"/>
      <c r="AQ153" s="13"/>
      <c r="AR153" s="16"/>
    </row>
    <row r="154" spans="1:44" ht="17.25">
      <c r="A154" s="7"/>
      <c r="B154" s="1663"/>
      <c r="C154" s="22"/>
      <c r="D154" s="67"/>
      <c r="E154" s="68"/>
      <c r="F154" s="76" t="s">
        <v>17</v>
      </c>
      <c r="G154" s="61">
        <f>SUM(G155:G160)</f>
        <v>1071</v>
      </c>
      <c r="H154" s="71"/>
      <c r="I154" s="16"/>
      <c r="J154" s="29"/>
      <c r="P154" s="9"/>
      <c r="R154" s="9" t="s">
        <v>152</v>
      </c>
      <c r="AA154" s="9"/>
      <c r="AB154" s="65"/>
      <c r="AC154" s="3"/>
      <c r="AD154" s="3"/>
      <c r="AE154" s="3"/>
      <c r="AF154" s="3"/>
      <c r="AG154" s="3"/>
      <c r="AH154" s="3"/>
      <c r="AI154" s="47"/>
      <c r="AJ154" s="48"/>
      <c r="AK154" s="13"/>
      <c r="AL154" s="9"/>
      <c r="AM154" s="9"/>
      <c r="AN154" s="9"/>
      <c r="AO154" s="49"/>
      <c r="AP154" s="50"/>
      <c r="AQ154" s="13"/>
      <c r="AR154" s="16"/>
    </row>
    <row r="155" spans="1:44" ht="17.25">
      <c r="A155" s="7"/>
      <c r="B155" s="1663" t="s">
        <v>150</v>
      </c>
      <c r="C155" s="22" t="str">
        <f ca="1">IFERROR(__xludf.DUMMYFUNCTION("googlefinance (B73, ""name"")"),"United Maritime Corp")</f>
        <v>United Maritime Corp</v>
      </c>
      <c r="D155" s="67">
        <v>3.43</v>
      </c>
      <c r="E155" s="68">
        <v>7001</v>
      </c>
      <c r="F155" s="3">
        <v>3.7</v>
      </c>
      <c r="G155" s="34">
        <v>1890</v>
      </c>
      <c r="H155" s="71">
        <v>44895</v>
      </c>
      <c r="I155" s="16">
        <f t="shared" ref="I155:I160" si="40">D155*E155</f>
        <v>24013.43</v>
      </c>
      <c r="J155" s="29"/>
      <c r="P155" s="9"/>
      <c r="R155" s="9" t="s">
        <v>153</v>
      </c>
      <c r="S155" s="8"/>
      <c r="AA155" s="9"/>
      <c r="AB155" s="65"/>
      <c r="AC155" s="3"/>
      <c r="AD155" s="3"/>
      <c r="AE155" s="3"/>
      <c r="AF155" s="3"/>
      <c r="AG155" s="3"/>
      <c r="AH155" s="3"/>
      <c r="AI155" s="47"/>
      <c r="AJ155" s="48"/>
      <c r="AK155" s="13"/>
      <c r="AL155" s="9"/>
      <c r="AM155" s="9"/>
      <c r="AN155" s="9"/>
      <c r="AO155" s="49"/>
      <c r="AP155" s="50"/>
      <c r="AQ155" s="13"/>
      <c r="AR155" s="16"/>
    </row>
    <row r="156" spans="1:44" ht="17.25">
      <c r="A156" s="7"/>
      <c r="B156" s="1663" t="s">
        <v>154</v>
      </c>
      <c r="C156" s="22" t="str">
        <f ca="1">IFERROR(__xludf.DUMMYFUNCTION("googlefinance (B74, ""name"")"),"#N/A")</f>
        <v>#N/A</v>
      </c>
      <c r="D156" s="67">
        <v>10.23</v>
      </c>
      <c r="E156" s="68">
        <v>8797</v>
      </c>
      <c r="F156" s="3">
        <v>11.02</v>
      </c>
      <c r="G156" s="34">
        <v>6950</v>
      </c>
      <c r="H156" s="71">
        <v>44894</v>
      </c>
      <c r="I156" s="16">
        <f t="shared" si="40"/>
        <v>89993.31</v>
      </c>
      <c r="J156" s="29" t="s">
        <v>90</v>
      </c>
      <c r="R156" s="9" t="s">
        <v>155</v>
      </c>
      <c r="S156" s="8"/>
      <c r="AA156" s="9"/>
      <c r="AB156" s="65"/>
      <c r="AC156" s="3"/>
      <c r="AD156" s="3"/>
      <c r="AE156" s="3"/>
      <c r="AF156" s="3"/>
      <c r="AG156" s="3"/>
      <c r="AH156" s="3"/>
      <c r="AI156" s="47"/>
      <c r="AJ156" s="48"/>
      <c r="AK156" s="13"/>
      <c r="AL156" s="9"/>
      <c r="AM156" s="9"/>
      <c r="AN156" s="9"/>
      <c r="AO156" s="49"/>
      <c r="AP156" s="50"/>
      <c r="AQ156" s="13"/>
      <c r="AR156" s="16"/>
    </row>
    <row r="157" spans="1:44" ht="17.25">
      <c r="A157" s="7"/>
      <c r="B157" s="1663" t="s">
        <v>156</v>
      </c>
      <c r="C157" s="22" t="str">
        <f ca="1">IFERROR(__xludf.DUMMYFUNCTION("googlefinance (B75, ""name"")"),"Insteel Industries Inc")</f>
        <v>Insteel Industries Inc</v>
      </c>
      <c r="D157" s="67">
        <v>29.29</v>
      </c>
      <c r="E157" s="68">
        <f>2400+481</f>
        <v>2881</v>
      </c>
      <c r="F157" s="3">
        <v>28.72</v>
      </c>
      <c r="G157" s="34">
        <f>-1368+53</f>
        <v>-1315</v>
      </c>
      <c r="H157" s="71">
        <v>44894</v>
      </c>
      <c r="I157" s="16">
        <f t="shared" si="40"/>
        <v>84384.489999999991</v>
      </c>
      <c r="J157" s="29" t="s">
        <v>90</v>
      </c>
      <c r="R157" s="9" t="s">
        <v>157</v>
      </c>
      <c r="S157" s="8"/>
      <c r="V157" s="82"/>
      <c r="W157" s="82"/>
      <c r="AA157" s="9"/>
      <c r="AB157" s="65"/>
      <c r="AC157" s="3"/>
      <c r="AD157" s="3"/>
      <c r="AE157" s="3"/>
      <c r="AF157" s="3"/>
      <c r="AG157" s="3"/>
      <c r="AH157" s="3"/>
      <c r="AI157" s="47"/>
      <c r="AJ157" s="48"/>
      <c r="AK157" s="13"/>
      <c r="AL157" s="9"/>
      <c r="AM157" s="9"/>
      <c r="AN157" s="9"/>
      <c r="AO157" s="49"/>
      <c r="AP157" s="50"/>
      <c r="AQ157" s="13"/>
      <c r="AR157" s="16"/>
    </row>
    <row r="158" spans="1:44" ht="17.25">
      <c r="A158" s="7"/>
      <c r="B158" s="1663" t="s">
        <v>158</v>
      </c>
      <c r="C158" s="22" t="str">
        <f ca="1">IFERROR(__xludf.DUMMYFUNCTION("googlefinance (B76, ""name"")"),"Investors Title Company")</f>
        <v>Investors Title Company</v>
      </c>
      <c r="D158" s="67">
        <v>154.94999999999999</v>
      </c>
      <c r="E158" s="68">
        <v>593</v>
      </c>
      <c r="F158" s="3">
        <v>155.41999999999999</v>
      </c>
      <c r="G158" s="34">
        <v>279</v>
      </c>
      <c r="H158" s="71">
        <v>44875</v>
      </c>
      <c r="I158" s="16">
        <f t="shared" si="40"/>
        <v>91885.349999999991</v>
      </c>
      <c r="J158" s="29" t="s">
        <v>90</v>
      </c>
      <c r="R158" s="9" t="s">
        <v>159</v>
      </c>
      <c r="S158" s="8"/>
      <c r="V158" s="16"/>
      <c r="W158" s="16"/>
      <c r="AA158" s="9"/>
      <c r="AB158" s="65"/>
      <c r="AC158" s="3"/>
      <c r="AD158" s="3"/>
      <c r="AE158" s="3"/>
      <c r="AF158" s="3"/>
      <c r="AG158" s="3"/>
      <c r="AH158" s="3"/>
      <c r="AI158" s="47"/>
      <c r="AJ158" s="48"/>
      <c r="AK158" s="13"/>
      <c r="AL158" s="9"/>
      <c r="AM158" s="9"/>
      <c r="AN158" s="9"/>
      <c r="AO158" s="49"/>
      <c r="AP158" s="50"/>
      <c r="AQ158" s="13"/>
      <c r="AR158" s="16"/>
    </row>
    <row r="159" spans="1:44" ht="17.25">
      <c r="A159" s="7"/>
      <c r="B159" s="1663" t="s">
        <v>160</v>
      </c>
      <c r="C159" s="22" t="str">
        <f ca="1">IFERROR(__xludf.DUMMYFUNCTION("googlefinance (B77, ""name"")"),"American Financial Group Inc")</f>
        <v>American Financial Group Inc</v>
      </c>
      <c r="D159" s="67">
        <v>146.87</v>
      </c>
      <c r="E159" s="68">
        <v>553</v>
      </c>
      <c r="F159" s="3">
        <v>148.56</v>
      </c>
      <c r="G159" s="34">
        <v>935</v>
      </c>
      <c r="H159" s="71">
        <v>44875</v>
      </c>
      <c r="I159" s="16">
        <f t="shared" si="40"/>
        <v>81219.11</v>
      </c>
      <c r="J159" s="29" t="s">
        <v>90</v>
      </c>
      <c r="R159" s="9" t="s">
        <v>161</v>
      </c>
      <c r="S159" s="8"/>
      <c r="V159" s="16"/>
      <c r="W159" s="16"/>
      <c r="AA159" s="9"/>
      <c r="AB159" s="65"/>
      <c r="AC159" s="3"/>
      <c r="AD159" s="3"/>
      <c r="AE159" s="3"/>
      <c r="AF159" s="3"/>
      <c r="AG159" s="3"/>
      <c r="AH159" s="3"/>
      <c r="AI159" s="47"/>
      <c r="AJ159" s="48"/>
      <c r="AK159" s="13"/>
      <c r="AL159" s="9"/>
      <c r="AM159" s="9"/>
      <c r="AN159" s="9"/>
      <c r="AO159" s="49"/>
      <c r="AP159" s="50"/>
      <c r="AQ159" s="13"/>
      <c r="AR159" s="16"/>
    </row>
    <row r="160" spans="1:44" ht="17.25">
      <c r="A160" s="7"/>
      <c r="B160" s="1663" t="s">
        <v>162</v>
      </c>
      <c r="C160" s="22" t="str">
        <f ca="1">IFERROR(__xludf.DUMMYFUNCTION("googlefinance (B78, ""name"")"),"Enact Holdings Inc")</f>
        <v>Enact Holdings Inc</v>
      </c>
      <c r="D160" s="67">
        <v>27.67</v>
      </c>
      <c r="E160" s="68">
        <v>3600</v>
      </c>
      <c r="F160" s="3">
        <v>25.54</v>
      </c>
      <c r="G160" s="34">
        <v>-7668</v>
      </c>
      <c r="H160" s="71">
        <v>44869</v>
      </c>
      <c r="I160" s="16">
        <f t="shared" si="40"/>
        <v>99612</v>
      </c>
      <c r="J160" s="29" t="s">
        <v>90</v>
      </c>
      <c r="R160" s="9" t="s">
        <v>163</v>
      </c>
      <c r="S160" s="8"/>
      <c r="V160" s="16"/>
      <c r="W160" s="16"/>
      <c r="AA160" s="9"/>
      <c r="AB160" s="65"/>
      <c r="AC160" s="3"/>
      <c r="AD160" s="3"/>
      <c r="AE160" s="3"/>
      <c r="AF160" s="3"/>
      <c r="AG160" s="3"/>
      <c r="AH160" s="3"/>
      <c r="AI160" s="47"/>
      <c r="AJ160" s="48"/>
      <c r="AK160" s="13"/>
      <c r="AL160" s="9"/>
      <c r="AM160" s="9"/>
      <c r="AN160" s="9"/>
      <c r="AO160" s="49"/>
      <c r="AP160" s="50"/>
      <c r="AQ160" s="13"/>
      <c r="AR160" s="16"/>
    </row>
    <row r="161" spans="1:44" ht="17.25">
      <c r="A161" s="7"/>
      <c r="B161" s="1663"/>
      <c r="C161" s="22"/>
      <c r="D161" s="67"/>
      <c r="E161" s="68"/>
      <c r="F161" s="70" t="s">
        <v>18</v>
      </c>
      <c r="G161" s="61">
        <f>SUM(G162:G168)</f>
        <v>15154</v>
      </c>
      <c r="H161" s="69"/>
      <c r="I161" s="16"/>
      <c r="J161" s="29"/>
      <c r="R161" s="9" t="s">
        <v>164</v>
      </c>
      <c r="S161" s="8"/>
      <c r="V161" s="34"/>
      <c r="W161" s="34"/>
      <c r="AA161" s="9"/>
      <c r="AB161" s="65"/>
      <c r="AC161" s="3"/>
      <c r="AD161" s="3"/>
      <c r="AE161" s="3"/>
      <c r="AF161" s="3"/>
      <c r="AG161" s="3"/>
      <c r="AH161" s="3"/>
      <c r="AI161" s="47"/>
      <c r="AJ161" s="48"/>
      <c r="AK161" s="13"/>
      <c r="AL161" s="9"/>
      <c r="AM161" s="9"/>
      <c r="AN161" s="9"/>
      <c r="AO161" s="49"/>
      <c r="AP161" s="50"/>
      <c r="AQ161" s="13"/>
      <c r="AR161" s="16"/>
    </row>
    <row r="162" spans="1:44" ht="17.25">
      <c r="A162" s="7"/>
      <c r="B162" s="1663" t="s">
        <v>165</v>
      </c>
      <c r="C162" s="22" t="str">
        <f ca="1">IFERROR(__xludf.DUMMYFUNCTION("googlefinance (B80, ""name"")"),"Amerisafe, Inc.")</f>
        <v>Amerisafe, Inc.</v>
      </c>
      <c r="D162" s="67">
        <v>57.82</v>
      </c>
      <c r="E162" s="68">
        <v>1876</v>
      </c>
      <c r="F162" s="3">
        <v>58.65</v>
      </c>
      <c r="G162" s="34">
        <v>1536</v>
      </c>
      <c r="H162" s="71">
        <v>44865</v>
      </c>
      <c r="I162" s="16">
        <f t="shared" ref="I162:I168" si="41">D162*E162</f>
        <v>108470.32</v>
      </c>
      <c r="J162" s="29" t="s">
        <v>90</v>
      </c>
      <c r="R162" s="9" t="s">
        <v>166</v>
      </c>
      <c r="S162" s="8"/>
      <c r="V162" s="61"/>
      <c r="W162" s="61"/>
      <c r="AB162" s="65"/>
      <c r="AC162" s="3"/>
      <c r="AD162" s="3"/>
      <c r="AE162" s="3"/>
      <c r="AF162" s="3"/>
      <c r="AG162" s="3"/>
      <c r="AH162" s="3"/>
      <c r="AI162" s="47" t="s">
        <v>167</v>
      </c>
      <c r="AJ162" s="48">
        <f ca="1">IFERROR(__xludf.DUMMYFUNCTION("GOOGLEFINANCE(""NYSE:DSL"",""price"")"),12.98)</f>
        <v>12.98</v>
      </c>
      <c r="AK162" s="13">
        <f ca="1">AN162*12/AJ162</f>
        <v>0.10169491525423729</v>
      </c>
      <c r="AL162" s="9" t="s">
        <v>48</v>
      </c>
      <c r="AM162" s="9">
        <v>16</v>
      </c>
      <c r="AN162" s="9">
        <v>0.11</v>
      </c>
      <c r="AO162" s="49">
        <f ca="1">100000/AJ162*AN162</f>
        <v>847.45762711864404</v>
      </c>
      <c r="AP162" s="50">
        <f ca="1">AO162*10</f>
        <v>8474.5762711864409</v>
      </c>
      <c r="AQ162" s="13">
        <f ca="1">AO162*12/100000</f>
        <v>0.10169491525423728</v>
      </c>
      <c r="AR162" s="16"/>
    </row>
    <row r="163" spans="1:44" ht="15.75">
      <c r="A163" s="91"/>
      <c r="B163" s="1663" t="s">
        <v>168</v>
      </c>
      <c r="C163" s="22" t="str">
        <f ca="1">IFERROR(__xludf.DUMMYFUNCTION("googlefinance (B81, ""name"")"),"#N/A")</f>
        <v>#N/A</v>
      </c>
      <c r="D163" s="67">
        <v>39.020000000000003</v>
      </c>
      <c r="E163" s="68">
        <v>1793</v>
      </c>
      <c r="F163" s="3">
        <v>38.950000000000003</v>
      </c>
      <c r="G163" s="34">
        <v>-950</v>
      </c>
      <c r="H163" s="71">
        <v>44862</v>
      </c>
      <c r="I163" s="16">
        <f t="shared" si="41"/>
        <v>69962.86</v>
      </c>
      <c r="J163" s="29" t="s">
        <v>90</v>
      </c>
      <c r="K163" s="92"/>
      <c r="R163" s="9" t="s">
        <v>169</v>
      </c>
      <c r="S163" s="8"/>
      <c r="V163" s="34"/>
      <c r="W163" s="34"/>
      <c r="Z163" s="16"/>
      <c r="AB163" s="43"/>
      <c r="AC163" s="33"/>
      <c r="AD163" s="33"/>
      <c r="AE163" s="33"/>
      <c r="AF163" s="33"/>
      <c r="AG163" s="3"/>
      <c r="AH163" s="33"/>
      <c r="AI163" s="41"/>
      <c r="AP163" s="44"/>
      <c r="AR163" s="92"/>
    </row>
    <row r="164" spans="1:44" ht="28.5">
      <c r="A164" s="7"/>
      <c r="B164" s="1663" t="s">
        <v>170</v>
      </c>
      <c r="C164" s="22" t="str">
        <f ca="1">IFERROR(__xludf.DUMMYFUNCTION("googlefinance (B82, ""name"")"),"Winmark Corp")</f>
        <v>Winmark Corp</v>
      </c>
      <c r="D164" s="67">
        <v>229.7</v>
      </c>
      <c r="E164" s="68">
        <v>435</v>
      </c>
      <c r="F164" s="3">
        <v>235.12</v>
      </c>
      <c r="G164" s="34">
        <v>2358</v>
      </c>
      <c r="H164" s="71">
        <v>44855</v>
      </c>
      <c r="I164" s="16">
        <f t="shared" si="41"/>
        <v>99919.5</v>
      </c>
      <c r="J164" s="29" t="s">
        <v>90</v>
      </c>
      <c r="K164" s="93"/>
      <c r="L164" s="93"/>
      <c r="P164" s="36"/>
      <c r="Q164" s="36"/>
      <c r="R164" s="9" t="s">
        <v>171</v>
      </c>
      <c r="S164" s="25"/>
      <c r="V164" s="16"/>
      <c r="W164" s="16"/>
      <c r="AC164" s="3"/>
      <c r="AD164" s="3"/>
      <c r="AE164" s="3"/>
      <c r="AF164" s="3"/>
      <c r="AG164" s="3"/>
      <c r="AH164" s="3"/>
      <c r="AI164" s="47" t="s">
        <v>172</v>
      </c>
      <c r="AJ164" s="48">
        <f ca="1">IFERROR(__xludf.DUMMYFUNCTION("GOOGLEFINANCE(""NYSE:OKE"",""price"")"),95.23)</f>
        <v>95.23</v>
      </c>
      <c r="AK164" s="13">
        <f ca="1">AN164*4/AJ164</f>
        <v>3.9273338233749872E-2</v>
      </c>
      <c r="AL164" s="9" t="s">
        <v>173</v>
      </c>
      <c r="AM164" s="8">
        <v>44400</v>
      </c>
      <c r="AN164" s="9">
        <v>0.93500000000000005</v>
      </c>
      <c r="AO164" s="49">
        <f ca="1">100000/AJ164*AN164/3</f>
        <v>327.2778186145822</v>
      </c>
      <c r="AP164" s="50">
        <f ca="1">AO164*10</f>
        <v>3272.778186145822</v>
      </c>
      <c r="AQ164" s="13">
        <f ca="1">AO164*12/100000</f>
        <v>3.9273338233749865E-2</v>
      </c>
      <c r="AR164" s="92"/>
    </row>
    <row r="165" spans="1:44">
      <c r="A165" s="7"/>
      <c r="B165" s="1663" t="s">
        <v>174</v>
      </c>
      <c r="C165" s="22" t="str">
        <f ca="1">IFERROR(__xludf.DUMMYFUNCTION("googlefinance (B83, ""name"")"),"El Pollo LoCo Holdings Inc")</f>
        <v>El Pollo LoCo Holdings Inc</v>
      </c>
      <c r="D165" s="67">
        <v>10.45</v>
      </c>
      <c r="E165" s="68">
        <v>9607</v>
      </c>
      <c r="F165" s="3">
        <v>11.47</v>
      </c>
      <c r="G165" s="34">
        <v>9799</v>
      </c>
      <c r="H165" s="71">
        <v>44852</v>
      </c>
      <c r="I165" s="16">
        <f t="shared" si="41"/>
        <v>100393.15</v>
      </c>
      <c r="J165" s="29" t="s">
        <v>90</v>
      </c>
      <c r="R165" s="9" t="s">
        <v>175</v>
      </c>
      <c r="U165" s="16"/>
      <c r="AA165" s="3"/>
      <c r="AC165" s="9"/>
      <c r="AD165" s="9"/>
      <c r="AE165" s="9"/>
      <c r="AJ165" s="94"/>
      <c r="AK165" s="94"/>
      <c r="AL165" s="34"/>
      <c r="AM165" s="34"/>
      <c r="AN165" s="43"/>
      <c r="AO165" s="43"/>
      <c r="AP165" s="43"/>
      <c r="AQ165" s="43"/>
    </row>
    <row r="166" spans="1:44">
      <c r="A166" s="7"/>
      <c r="B166" s="1663" t="s">
        <v>176</v>
      </c>
      <c r="C166" s="22" t="str">
        <f ca="1">IFERROR(__xludf.DUMMYFUNCTION("googlefinance (B84, ""name"")"),"Albertsons Companies Inc")</f>
        <v>Albertsons Companies Inc</v>
      </c>
      <c r="D166" s="67">
        <v>27.56</v>
      </c>
      <c r="E166" s="68">
        <v>2176</v>
      </c>
      <c r="F166" s="3">
        <v>26.56</v>
      </c>
      <c r="G166" s="34">
        <v>-2611</v>
      </c>
      <c r="H166" s="71">
        <v>44851</v>
      </c>
      <c r="I166" s="16">
        <f t="shared" si="41"/>
        <v>59970.559999999998</v>
      </c>
      <c r="J166" s="29" t="s">
        <v>90</v>
      </c>
      <c r="R166" s="9" t="s">
        <v>177</v>
      </c>
      <c r="U166" s="16"/>
      <c r="AA166" s="3"/>
      <c r="AC166" s="9"/>
      <c r="AD166" s="9"/>
      <c r="AE166" s="9"/>
      <c r="AJ166" s="94"/>
      <c r="AK166" s="94"/>
      <c r="AL166" s="34"/>
      <c r="AM166" s="34"/>
      <c r="AN166" s="43"/>
      <c r="AO166" s="43"/>
      <c r="AP166" s="43"/>
      <c r="AQ166" s="43"/>
    </row>
    <row r="167" spans="1:44">
      <c r="A167" s="7"/>
      <c r="B167" s="1663" t="s">
        <v>178</v>
      </c>
      <c r="C167" s="22" t="str">
        <f ca="1">IFERROR(__xludf.DUMMYFUNCTION("googlefinance (B85, ""name"")"),"Cango Inc - ADR")</f>
        <v>Cango Inc - ADR</v>
      </c>
      <c r="D167" s="67">
        <v>2.52</v>
      </c>
      <c r="E167" s="68">
        <v>831</v>
      </c>
      <c r="F167" s="9">
        <v>2.5299999999999998</v>
      </c>
      <c r="G167" s="34">
        <v>8</v>
      </c>
      <c r="H167" s="71">
        <v>44847</v>
      </c>
      <c r="I167" s="16">
        <f t="shared" si="41"/>
        <v>2094.12</v>
      </c>
      <c r="J167" s="29" t="s">
        <v>90</v>
      </c>
      <c r="R167" s="9" t="s">
        <v>179</v>
      </c>
      <c r="U167" s="16"/>
      <c r="AA167" s="3"/>
      <c r="AC167" s="9"/>
      <c r="AD167" s="9"/>
      <c r="AE167" s="9"/>
      <c r="AJ167" s="94"/>
      <c r="AK167" s="94"/>
      <c r="AL167" s="34"/>
      <c r="AM167" s="34"/>
      <c r="AN167" s="43"/>
      <c r="AO167" s="43"/>
      <c r="AP167" s="43"/>
      <c r="AQ167" s="43"/>
    </row>
    <row r="168" spans="1:44">
      <c r="A168" s="7"/>
      <c r="B168" s="1663" t="s">
        <v>180</v>
      </c>
      <c r="C168" s="22" t="str">
        <f ca="1">IFERROR(__xludf.DUMMYFUNCTION("googlefinance (B86, ""name"")"),"Madison Square Garden Sports Corp")</f>
        <v>Madison Square Garden Sports Corp</v>
      </c>
      <c r="D168" s="67">
        <v>149.69</v>
      </c>
      <c r="E168" s="68">
        <v>1013</v>
      </c>
      <c r="F168" s="9">
        <v>154.63999999999999</v>
      </c>
      <c r="G168" s="34">
        <v>5014</v>
      </c>
      <c r="H168" s="71">
        <v>44847</v>
      </c>
      <c r="I168" s="16">
        <f t="shared" si="41"/>
        <v>151635.97</v>
      </c>
      <c r="J168" s="29" t="s">
        <v>90</v>
      </c>
      <c r="R168" s="9" t="s">
        <v>181</v>
      </c>
      <c r="U168" s="16"/>
      <c r="AA168" s="3"/>
      <c r="AC168" s="9"/>
      <c r="AD168" s="9"/>
      <c r="AE168" s="9"/>
      <c r="AJ168" s="94"/>
      <c r="AK168" s="94"/>
      <c r="AL168" s="34"/>
      <c r="AM168" s="34"/>
      <c r="AN168" s="43"/>
      <c r="AO168" s="43"/>
      <c r="AP168" s="43"/>
      <c r="AQ168" s="43"/>
    </row>
    <row r="169" spans="1:44">
      <c r="A169" s="7"/>
      <c r="B169" s="1654">
        <v>2022</v>
      </c>
      <c r="C169" s="1655"/>
      <c r="D169" s="67"/>
      <c r="E169" s="68"/>
      <c r="F169" s="3"/>
      <c r="G169" s="3"/>
      <c r="H169" s="69"/>
      <c r="I169" s="16"/>
      <c r="J169" s="29"/>
      <c r="R169" s="9" t="s">
        <v>182</v>
      </c>
      <c r="U169" s="16"/>
      <c r="AA169" s="3"/>
      <c r="AC169" s="9"/>
      <c r="AD169" s="9"/>
      <c r="AE169" s="9"/>
      <c r="AJ169" s="94"/>
      <c r="AK169" s="94"/>
      <c r="AL169" s="34"/>
      <c r="AM169" s="34"/>
      <c r="AN169" s="43"/>
      <c r="AO169" s="43"/>
      <c r="AP169" s="43"/>
      <c r="AQ169" s="43"/>
    </row>
    <row r="170" spans="1:44">
      <c r="A170" s="7"/>
      <c r="B170" s="1663"/>
      <c r="C170" s="1655"/>
      <c r="D170" s="67"/>
      <c r="E170" s="68"/>
      <c r="F170" s="3"/>
      <c r="G170" s="3"/>
      <c r="H170" s="69"/>
      <c r="I170" s="16"/>
      <c r="J170" s="29"/>
      <c r="R170" s="9" t="s">
        <v>183</v>
      </c>
      <c r="U170" s="16"/>
      <c r="AA170" s="3"/>
      <c r="AC170" s="9"/>
      <c r="AD170" s="9"/>
      <c r="AE170" s="9"/>
      <c r="AJ170" s="94"/>
      <c r="AK170" s="94"/>
      <c r="AL170" s="34"/>
      <c r="AM170" s="34"/>
      <c r="AN170" s="43"/>
      <c r="AO170" s="43"/>
      <c r="AP170" s="43"/>
      <c r="AQ170" s="43"/>
    </row>
    <row r="171" spans="1:44">
      <c r="A171" s="7"/>
      <c r="B171" s="1663"/>
      <c r="C171" s="1655"/>
      <c r="D171" s="67"/>
      <c r="E171" s="68"/>
      <c r="F171" s="3"/>
      <c r="G171" s="3"/>
      <c r="H171" s="69"/>
      <c r="I171" s="16"/>
      <c r="J171" s="29"/>
      <c r="R171" s="9" t="s">
        <v>184</v>
      </c>
      <c r="U171" s="16"/>
      <c r="AA171" s="3"/>
      <c r="AC171" s="9"/>
      <c r="AD171" s="9"/>
      <c r="AE171" s="9"/>
      <c r="AJ171" s="94"/>
      <c r="AK171" s="94"/>
      <c r="AL171" s="34"/>
      <c r="AM171" s="34"/>
      <c r="AN171" s="43"/>
      <c r="AO171" s="43"/>
      <c r="AP171" s="43"/>
      <c r="AQ171" s="43"/>
    </row>
    <row r="172" spans="1:44">
      <c r="A172" s="7"/>
      <c r="B172" s="95" t="s">
        <v>185</v>
      </c>
      <c r="C172" s="96">
        <f>G661</f>
        <v>242126.74</v>
      </c>
      <c r="D172" s="94">
        <f>C172/10</f>
        <v>24212.673999999999</v>
      </c>
      <c r="E172" s="97" t="s">
        <v>186</v>
      </c>
      <c r="F172" s="70" t="s">
        <v>26</v>
      </c>
      <c r="G172" s="70">
        <f>SUM(G173)</f>
        <v>0</v>
      </c>
      <c r="H172" s="69"/>
      <c r="I172" s="16"/>
      <c r="J172" s="29"/>
      <c r="R172" s="9" t="s">
        <v>187</v>
      </c>
      <c r="U172" s="16"/>
      <c r="AA172" s="3"/>
      <c r="AJ172" s="94"/>
      <c r="AK172" s="94"/>
      <c r="AL172" s="34"/>
      <c r="AM172" s="34"/>
      <c r="AN172" s="43" t="s">
        <v>188</v>
      </c>
      <c r="AO172" s="43" t="s">
        <v>189</v>
      </c>
      <c r="AP172" s="43" t="s">
        <v>190</v>
      </c>
      <c r="AQ172" s="43" t="s">
        <v>191</v>
      </c>
    </row>
    <row r="173" spans="1:44" ht="15">
      <c r="A173" s="44"/>
      <c r="B173" s="75"/>
      <c r="C173" s="66"/>
      <c r="D173" s="67"/>
      <c r="E173" s="68"/>
      <c r="F173" s="76"/>
      <c r="G173" s="76"/>
      <c r="H173" s="69"/>
      <c r="I173" s="16"/>
      <c r="J173" s="29"/>
      <c r="L173" s="3" t="s">
        <v>186</v>
      </c>
      <c r="M173" s="43" t="s">
        <v>90</v>
      </c>
      <c r="R173" s="9" t="s">
        <v>192</v>
      </c>
      <c r="U173" s="16"/>
      <c r="V173" s="26"/>
      <c r="W173" s="98"/>
      <c r="X173" s="32"/>
      <c r="AJ173" s="99"/>
      <c r="AK173" s="68"/>
      <c r="AN173" s="9"/>
      <c r="AP173" s="9"/>
    </row>
    <row r="174" spans="1:44" ht="15">
      <c r="A174" s="44"/>
      <c r="B174" s="1663"/>
      <c r="C174" s="1655"/>
      <c r="D174" s="67"/>
      <c r="E174" s="68"/>
      <c r="F174" s="70" t="s">
        <v>143</v>
      </c>
      <c r="G174" s="61">
        <f>G175</f>
        <v>1452</v>
      </c>
      <c r="H174" s="69"/>
      <c r="I174" s="16"/>
      <c r="J174" s="29"/>
      <c r="L174" s="9" t="s">
        <v>193</v>
      </c>
      <c r="M174" s="9">
        <v>1</v>
      </c>
      <c r="R174" s="9" t="s">
        <v>194</v>
      </c>
      <c r="U174" s="13"/>
      <c r="V174" s="26"/>
      <c r="W174" s="98"/>
      <c r="X174" s="32"/>
      <c r="AJ174" s="99"/>
      <c r="AK174" s="68"/>
      <c r="AN174" s="9"/>
      <c r="AP174" s="9"/>
    </row>
    <row r="175" spans="1:44" ht="15">
      <c r="A175" s="44"/>
      <c r="B175" s="1663" t="s">
        <v>47</v>
      </c>
      <c r="C175" s="22" t="s">
        <v>195</v>
      </c>
      <c r="D175" s="67"/>
      <c r="E175" s="68">
        <v>20743</v>
      </c>
      <c r="F175" s="100"/>
      <c r="G175" s="98">
        <v>1452</v>
      </c>
      <c r="H175" s="71">
        <v>44591</v>
      </c>
      <c r="I175" s="16">
        <v>198303</v>
      </c>
      <c r="J175" s="29" t="s">
        <v>36</v>
      </c>
      <c r="L175" s="9" t="s">
        <v>196</v>
      </c>
      <c r="M175" s="9">
        <v>2</v>
      </c>
      <c r="R175" s="9" t="s">
        <v>197</v>
      </c>
      <c r="U175" s="101"/>
      <c r="V175" s="26"/>
      <c r="W175" s="98"/>
      <c r="X175" s="32"/>
      <c r="AJ175" s="99"/>
      <c r="AK175" s="68"/>
      <c r="AN175" s="9"/>
      <c r="AP175" s="9"/>
    </row>
    <row r="176" spans="1:44" ht="15">
      <c r="A176" s="44"/>
      <c r="B176" s="1674">
        <v>2021</v>
      </c>
      <c r="C176" s="1655"/>
      <c r="D176" s="67"/>
      <c r="E176" s="68"/>
      <c r="F176" s="70" t="s">
        <v>86</v>
      </c>
      <c r="G176" s="61">
        <f>SUM(G177:G185)</f>
        <v>1304</v>
      </c>
      <c r="H176" s="69"/>
      <c r="I176" s="16"/>
      <c r="J176" s="29"/>
      <c r="L176" s="9" t="s">
        <v>198</v>
      </c>
      <c r="M176" s="9">
        <v>0</v>
      </c>
      <c r="R176" s="9" t="s">
        <v>199</v>
      </c>
      <c r="U176" s="101"/>
      <c r="V176" s="26"/>
      <c r="W176" s="98"/>
      <c r="X176" s="32"/>
      <c r="AJ176" s="99"/>
      <c r="AK176" s="68"/>
      <c r="AN176" s="9">
        <v>40</v>
      </c>
      <c r="AO176" s="9">
        <f>AQ180+AN176</f>
        <v>-7</v>
      </c>
      <c r="AP176" s="9">
        <v>-47</v>
      </c>
      <c r="AQ176" s="9">
        <f>AO176+AP176</f>
        <v>-54</v>
      </c>
    </row>
    <row r="177" spans="1:43">
      <c r="B177" s="1663" t="s">
        <v>47</v>
      </c>
      <c r="C177" s="22" t="s">
        <v>195</v>
      </c>
      <c r="D177" s="67"/>
      <c r="E177" s="68">
        <v>19148</v>
      </c>
      <c r="F177" s="100"/>
      <c r="G177" s="102">
        <v>1340</v>
      </c>
      <c r="H177" s="71">
        <v>44560</v>
      </c>
      <c r="I177" s="16">
        <v>183246</v>
      </c>
      <c r="J177" s="29" t="s">
        <v>36</v>
      </c>
      <c r="L177" s="9" t="s">
        <v>200</v>
      </c>
      <c r="M177" s="9">
        <v>3</v>
      </c>
      <c r="R177" s="9" t="s">
        <v>201</v>
      </c>
      <c r="Z177" s="103"/>
      <c r="AB177" s="36"/>
      <c r="AJ177" s="99"/>
      <c r="AK177" s="68"/>
      <c r="AN177" s="9"/>
      <c r="AP177" s="9"/>
    </row>
    <row r="178" spans="1:43">
      <c r="B178" s="1663" t="s">
        <v>160</v>
      </c>
      <c r="C178" s="22" t="s">
        <v>202</v>
      </c>
      <c r="D178" s="67">
        <v>139.93</v>
      </c>
      <c r="E178" s="68">
        <v>654</v>
      </c>
      <c r="F178" s="100">
        <v>135.57</v>
      </c>
      <c r="G178" s="102">
        <v>-2851</v>
      </c>
      <c r="H178" s="71">
        <v>44551</v>
      </c>
      <c r="I178" s="16">
        <v>91514</v>
      </c>
      <c r="J178" s="29" t="s">
        <v>90</v>
      </c>
      <c r="L178" s="9" t="s">
        <v>198</v>
      </c>
      <c r="M178" s="9">
        <v>2</v>
      </c>
      <c r="R178" s="9" t="s">
        <v>203</v>
      </c>
      <c r="Z178" s="103"/>
      <c r="AB178" s="36"/>
      <c r="AJ178" s="99"/>
      <c r="AK178" s="68"/>
      <c r="AN178" s="9"/>
      <c r="AP178" s="9"/>
    </row>
    <row r="179" spans="1:43">
      <c r="B179" s="1663" t="s">
        <v>204</v>
      </c>
      <c r="C179" s="22" t="s">
        <v>205</v>
      </c>
      <c r="D179" s="67">
        <v>7.93</v>
      </c>
      <c r="E179" s="68">
        <v>11842</v>
      </c>
      <c r="F179" s="100">
        <v>7.91</v>
      </c>
      <c r="G179" s="102">
        <v>-237</v>
      </c>
      <c r="H179" s="71">
        <v>44544</v>
      </c>
      <c r="I179" s="16">
        <v>93907</v>
      </c>
      <c r="J179" s="29" t="s">
        <v>90</v>
      </c>
      <c r="L179" s="9" t="s">
        <v>193</v>
      </c>
      <c r="M179" s="9">
        <v>3</v>
      </c>
      <c r="R179" s="9" t="s">
        <v>135</v>
      </c>
      <c r="U179" s="13"/>
      <c r="Z179" s="103"/>
      <c r="AB179" s="36"/>
      <c r="AJ179" s="99"/>
      <c r="AK179" s="68"/>
      <c r="AN179" s="9"/>
      <c r="AP179" s="9"/>
    </row>
    <row r="180" spans="1:43">
      <c r="B180" s="1663" t="s">
        <v>104</v>
      </c>
      <c r="C180" s="22" t="s">
        <v>206</v>
      </c>
      <c r="D180" s="67">
        <v>173.04</v>
      </c>
      <c r="E180" s="68">
        <v>523</v>
      </c>
      <c r="F180" s="100">
        <v>176.95</v>
      </c>
      <c r="G180" s="102">
        <v>2045</v>
      </c>
      <c r="H180" s="71">
        <v>44539</v>
      </c>
      <c r="I180" s="16">
        <v>90500</v>
      </c>
      <c r="J180" s="29" t="s">
        <v>90</v>
      </c>
      <c r="L180" s="9" t="s">
        <v>193</v>
      </c>
      <c r="M180" s="9">
        <v>4</v>
      </c>
      <c r="Z180" s="103"/>
      <c r="AB180" s="36"/>
      <c r="AJ180" s="99"/>
      <c r="AK180" s="68"/>
      <c r="AN180" s="9">
        <v>15</v>
      </c>
      <c r="AO180" s="9">
        <f>AQ181+AN180</f>
        <v>0</v>
      </c>
      <c r="AP180" s="9">
        <v>-47</v>
      </c>
      <c r="AQ180" s="9">
        <f>AO180+AP180</f>
        <v>-47</v>
      </c>
    </row>
    <row r="181" spans="1:43" ht="15.75">
      <c r="A181" s="92"/>
      <c r="B181" s="1663" t="s">
        <v>207</v>
      </c>
      <c r="C181" s="22" t="s">
        <v>208</v>
      </c>
      <c r="D181" s="67">
        <v>58.62</v>
      </c>
      <c r="E181" s="68">
        <v>840</v>
      </c>
      <c r="F181" s="100">
        <v>59.94</v>
      </c>
      <c r="G181" s="102">
        <v>1109</v>
      </c>
      <c r="H181" s="71">
        <v>44539</v>
      </c>
      <c r="I181" s="16">
        <v>49241</v>
      </c>
      <c r="J181" s="29" t="s">
        <v>90</v>
      </c>
      <c r="L181" s="9" t="s">
        <v>200</v>
      </c>
      <c r="M181" s="9">
        <v>4</v>
      </c>
      <c r="U181" s="3"/>
      <c r="V181" s="3"/>
      <c r="W181" s="20"/>
      <c r="X181" s="20"/>
      <c r="Y181" s="20"/>
      <c r="Z181" s="20"/>
      <c r="AA181" s="20"/>
      <c r="AB181" s="98"/>
      <c r="AJ181" s="99"/>
      <c r="AK181" s="68"/>
      <c r="AN181" s="9">
        <v>0</v>
      </c>
      <c r="AO181" s="9">
        <f>29</f>
        <v>29</v>
      </c>
      <c r="AP181" s="9">
        <v>-44</v>
      </c>
      <c r="AQ181" s="9">
        <f>AO181+AP181</f>
        <v>-15</v>
      </c>
    </row>
    <row r="182" spans="1:43" ht="15">
      <c r="A182" s="63"/>
      <c r="B182" s="1663" t="s">
        <v>207</v>
      </c>
      <c r="C182" s="22" t="s">
        <v>208</v>
      </c>
      <c r="D182" s="67">
        <v>57.98</v>
      </c>
      <c r="E182" s="68">
        <v>534</v>
      </c>
      <c r="F182" s="100">
        <v>59.68</v>
      </c>
      <c r="G182" s="102">
        <v>908</v>
      </c>
      <c r="H182" s="71">
        <v>44538</v>
      </c>
      <c r="I182" s="16">
        <v>30961</v>
      </c>
      <c r="J182" s="29" t="s">
        <v>90</v>
      </c>
      <c r="L182" s="9" t="s">
        <v>209</v>
      </c>
      <c r="M182" s="9">
        <v>1</v>
      </c>
      <c r="U182" s="101"/>
      <c r="V182" s="104"/>
      <c r="W182" s="98"/>
      <c r="X182" s="32"/>
      <c r="Z182" s="25"/>
      <c r="AA182" s="35"/>
      <c r="AB182" s="98"/>
      <c r="AF182" s="9"/>
      <c r="AG182" s="9"/>
      <c r="AJ182" s="99"/>
      <c r="AK182" s="94"/>
      <c r="AM182" s="3"/>
    </row>
    <row r="183" spans="1:43" ht="26.25">
      <c r="A183" s="105"/>
      <c r="B183" s="1663" t="s">
        <v>47</v>
      </c>
      <c r="C183" s="22" t="s">
        <v>195</v>
      </c>
      <c r="D183" s="9">
        <v>9.52</v>
      </c>
      <c r="E183" s="16">
        <v>10228</v>
      </c>
      <c r="F183" s="9">
        <v>9.36</v>
      </c>
      <c r="G183" s="34">
        <v>-1636</v>
      </c>
      <c r="H183" s="71">
        <v>44537</v>
      </c>
      <c r="I183" s="16">
        <v>97371</v>
      </c>
      <c r="J183" s="29" t="s">
        <v>210</v>
      </c>
      <c r="K183" s="106"/>
      <c r="L183" s="93" t="s">
        <v>211</v>
      </c>
      <c r="M183" s="9">
        <v>4</v>
      </c>
      <c r="Q183" s="13"/>
      <c r="T183" s="107" t="s">
        <v>212</v>
      </c>
      <c r="U183" s="101"/>
      <c r="V183" s="26"/>
      <c r="W183" s="98"/>
      <c r="X183" s="32"/>
      <c r="Y183" s="20"/>
      <c r="Z183" s="20"/>
      <c r="AA183" s="35"/>
      <c r="AB183" s="98"/>
      <c r="AF183" s="9"/>
      <c r="AG183" s="9"/>
      <c r="AJ183" s="108"/>
      <c r="AK183" s="94"/>
      <c r="AL183" s="3"/>
    </row>
    <row r="184" spans="1:43" ht="15">
      <c r="A184" s="109"/>
      <c r="B184" s="1663" t="s">
        <v>213</v>
      </c>
      <c r="C184" s="22" t="s">
        <v>214</v>
      </c>
      <c r="D184" s="67">
        <v>177.77</v>
      </c>
      <c r="E184" s="68">
        <v>326</v>
      </c>
      <c r="F184" s="100">
        <v>179.5</v>
      </c>
      <c r="G184" s="102">
        <v>564</v>
      </c>
      <c r="H184" s="71">
        <v>44537</v>
      </c>
      <c r="I184" s="16">
        <v>57953</v>
      </c>
      <c r="J184" s="29" t="s">
        <v>90</v>
      </c>
      <c r="K184" s="93"/>
      <c r="L184" s="93" t="s">
        <v>215</v>
      </c>
      <c r="M184" s="9">
        <v>9</v>
      </c>
      <c r="Q184" s="13"/>
      <c r="T184" s="110"/>
      <c r="U184" s="111"/>
      <c r="V184" s="26"/>
      <c r="W184" s="98"/>
      <c r="X184" s="32"/>
      <c r="Z184" s="35"/>
      <c r="AA184" s="112"/>
      <c r="AB184" s="98"/>
      <c r="AF184" s="9"/>
      <c r="AG184" s="9"/>
      <c r="AH184" s="9"/>
      <c r="AJ184" s="113"/>
      <c r="AK184" s="113"/>
      <c r="AL184" s="113"/>
      <c r="AM184" s="113"/>
    </row>
    <row r="185" spans="1:43" ht="15">
      <c r="A185" s="109"/>
      <c r="B185" s="1663" t="s">
        <v>216</v>
      </c>
      <c r="C185" s="22" t="s">
        <v>217</v>
      </c>
      <c r="D185" s="67">
        <v>19.22</v>
      </c>
      <c r="E185" s="68">
        <v>3121</v>
      </c>
      <c r="F185" s="100">
        <v>19.239999999999998</v>
      </c>
      <c r="G185" s="102">
        <v>62</v>
      </c>
      <c r="H185" s="71">
        <v>44532</v>
      </c>
      <c r="I185" s="16">
        <v>59986</v>
      </c>
      <c r="J185" s="29" t="s">
        <v>90</v>
      </c>
      <c r="K185" s="93"/>
      <c r="L185" s="93" t="s">
        <v>218</v>
      </c>
      <c r="M185" s="9">
        <v>8</v>
      </c>
      <c r="Q185" s="13"/>
      <c r="R185" s="9" t="s">
        <v>219</v>
      </c>
      <c r="T185" s="110">
        <f>403032.55+515196</f>
        <v>918228.55</v>
      </c>
      <c r="U185" s="111"/>
      <c r="V185" s="26"/>
      <c r="W185" s="98"/>
      <c r="X185" s="32"/>
      <c r="Z185" s="35"/>
      <c r="AA185" s="112"/>
      <c r="AB185" s="98"/>
      <c r="AC185" s="9"/>
      <c r="AD185" s="9"/>
      <c r="AE185" s="9"/>
      <c r="AF185" s="9"/>
      <c r="AG185" s="9"/>
      <c r="AH185" s="9"/>
      <c r="AJ185" s="113"/>
      <c r="AK185" s="113"/>
      <c r="AL185" s="113"/>
      <c r="AM185" s="113"/>
    </row>
    <row r="186" spans="1:43" s="1596" customFormat="1" ht="15.75" thickBot="1">
      <c r="A186" s="1241"/>
      <c r="B186" s="1684"/>
      <c r="C186" s="22"/>
      <c r="D186" s="1657"/>
      <c r="E186" s="1658"/>
      <c r="F186" s="1660" t="s">
        <v>17</v>
      </c>
      <c r="G186" s="1673">
        <f>SUM(G187:G195)</f>
        <v>13643</v>
      </c>
      <c r="H186" s="1641" t="s">
        <v>220</v>
      </c>
      <c r="I186" s="1597">
        <v>9</v>
      </c>
      <c r="J186" s="1600"/>
      <c r="K186" s="919"/>
      <c r="L186" s="1006" t="s">
        <v>67</v>
      </c>
      <c r="M186" s="1607">
        <f>SUM(M174:M185)</f>
        <v>41</v>
      </c>
      <c r="N186" s="1685"/>
      <c r="Q186" s="22"/>
      <c r="T186" s="22" t="s">
        <v>221</v>
      </c>
      <c r="U186" s="1672"/>
      <c r="V186" s="138"/>
      <c r="W186" s="1686"/>
      <c r="X186" s="1687"/>
      <c r="Z186" s="1688"/>
      <c r="AA186" s="768"/>
      <c r="AB186" s="1686"/>
      <c r="AC186" s="22"/>
      <c r="AD186" s="22"/>
      <c r="AE186" s="22"/>
      <c r="AF186" s="22"/>
      <c r="AG186" s="22"/>
      <c r="AH186" s="22"/>
      <c r="AJ186" s="1689"/>
      <c r="AK186" s="1689"/>
      <c r="AL186" s="1689"/>
      <c r="AM186" s="1689"/>
    </row>
    <row r="187" spans="1:43" ht="27" thickTop="1">
      <c r="A187" s="109"/>
      <c r="B187" s="1663" t="s">
        <v>47</v>
      </c>
      <c r="C187" s="9" t="s">
        <v>195</v>
      </c>
      <c r="D187" s="67">
        <v>9.9499999999999993</v>
      </c>
      <c r="E187" s="68">
        <v>10228</v>
      </c>
      <c r="F187" s="100">
        <v>9.9499999999999993</v>
      </c>
      <c r="G187" s="102">
        <v>716</v>
      </c>
      <c r="H187" s="71">
        <v>44529</v>
      </c>
      <c r="I187" s="16">
        <v>97371</v>
      </c>
      <c r="J187" s="29" t="s">
        <v>36</v>
      </c>
      <c r="K187" s="93"/>
      <c r="L187" s="93"/>
      <c r="Q187" s="9"/>
      <c r="R187" s="117" t="s">
        <v>222</v>
      </c>
      <c r="S187" s="118">
        <v>2022</v>
      </c>
      <c r="T187" s="9" t="s">
        <v>223</v>
      </c>
      <c r="U187" s="101"/>
      <c r="V187" s="26"/>
      <c r="W187" s="98"/>
      <c r="X187" s="32"/>
      <c r="Z187" s="35"/>
      <c r="AA187" s="112"/>
      <c r="AB187" s="98"/>
      <c r="AC187" s="9"/>
      <c r="AD187" s="9"/>
      <c r="AE187" s="9"/>
      <c r="AF187" s="9"/>
      <c r="AG187" s="9"/>
      <c r="AH187" s="9"/>
      <c r="AJ187" s="116"/>
      <c r="AK187" s="116"/>
      <c r="AL187" s="116"/>
      <c r="AM187" s="116"/>
    </row>
    <row r="188" spans="1:43" ht="39">
      <c r="A188" s="109"/>
      <c r="B188" s="1663" t="s">
        <v>224</v>
      </c>
      <c r="C188" s="9" t="s">
        <v>225</v>
      </c>
      <c r="D188" s="67">
        <v>120.95</v>
      </c>
      <c r="E188" s="68">
        <v>650</v>
      </c>
      <c r="F188" s="100">
        <v>124.36</v>
      </c>
      <c r="G188" s="102">
        <v>2217</v>
      </c>
      <c r="H188" s="71">
        <v>44524</v>
      </c>
      <c r="I188" s="16">
        <v>78618</v>
      </c>
      <c r="J188" s="29" t="s">
        <v>90</v>
      </c>
      <c r="K188" s="93"/>
      <c r="L188" s="93"/>
      <c r="Q188" s="9"/>
      <c r="R188" s="119" t="s">
        <v>226</v>
      </c>
      <c r="S188" s="29" t="s">
        <v>227</v>
      </c>
      <c r="T188" s="9" t="s">
        <v>228</v>
      </c>
      <c r="U188" s="101"/>
      <c r="V188" s="26"/>
      <c r="W188" s="98"/>
      <c r="X188" s="32"/>
      <c r="Z188" s="35"/>
      <c r="AA188" s="112"/>
      <c r="AB188" s="98"/>
      <c r="AC188" s="9"/>
      <c r="AD188" s="9"/>
      <c r="AE188" s="9"/>
      <c r="AF188" s="9"/>
      <c r="AG188" s="9"/>
      <c r="AH188" s="9"/>
      <c r="AJ188" s="116"/>
      <c r="AK188" s="116"/>
      <c r="AL188" s="116"/>
      <c r="AM188" s="116"/>
    </row>
    <row r="189" spans="1:43" ht="51.75">
      <c r="A189" s="109"/>
      <c r="B189" s="1663" t="s">
        <v>224</v>
      </c>
      <c r="C189" s="9" t="s">
        <v>225</v>
      </c>
      <c r="D189" s="67">
        <v>120.6</v>
      </c>
      <c r="E189" s="68">
        <v>383</v>
      </c>
      <c r="F189" s="100">
        <v>122.49</v>
      </c>
      <c r="G189" s="102">
        <v>724</v>
      </c>
      <c r="H189" s="71">
        <v>44523</v>
      </c>
      <c r="I189" s="16">
        <v>46190</v>
      </c>
      <c r="J189" s="29" t="s">
        <v>90</v>
      </c>
      <c r="K189" s="93"/>
      <c r="L189" s="93"/>
      <c r="Q189" s="9"/>
      <c r="R189" s="119" t="s">
        <v>229</v>
      </c>
      <c r="S189" s="29" t="s">
        <v>230</v>
      </c>
      <c r="T189" s="120" t="s">
        <v>231</v>
      </c>
      <c r="U189" s="101"/>
      <c r="V189" s="26"/>
      <c r="W189" s="98"/>
      <c r="X189" s="32"/>
      <c r="Z189" s="35"/>
      <c r="AA189" s="112"/>
      <c r="AB189" s="98"/>
      <c r="AC189" s="9"/>
      <c r="AD189" s="9"/>
      <c r="AE189" s="9"/>
      <c r="AF189" s="9"/>
      <c r="AG189" s="9"/>
      <c r="AH189" s="9"/>
      <c r="AJ189" s="116"/>
      <c r="AK189" s="116"/>
      <c r="AL189" s="116"/>
      <c r="AM189" s="116"/>
    </row>
    <row r="190" spans="1:43" ht="64.5">
      <c r="A190" s="109"/>
      <c r="B190" s="1663" t="s">
        <v>156</v>
      </c>
      <c r="C190" s="22" t="s">
        <v>232</v>
      </c>
      <c r="D190" s="67">
        <v>44.21</v>
      </c>
      <c r="E190" s="68">
        <v>1022</v>
      </c>
      <c r="F190" s="100">
        <v>45.75</v>
      </c>
      <c r="G190" s="102">
        <v>1574</v>
      </c>
      <c r="H190" s="71">
        <v>44522</v>
      </c>
      <c r="I190" s="16">
        <v>45183</v>
      </c>
      <c r="J190" s="29" t="s">
        <v>90</v>
      </c>
      <c r="K190" s="93"/>
      <c r="L190" s="93"/>
      <c r="Q190" s="9"/>
      <c r="R190" s="119" t="s">
        <v>230</v>
      </c>
      <c r="S190" s="29" t="s">
        <v>233</v>
      </c>
      <c r="T190" s="120" t="s">
        <v>234</v>
      </c>
      <c r="U190" s="101"/>
      <c r="V190" s="26"/>
      <c r="W190" s="98"/>
      <c r="X190" s="32"/>
      <c r="Z190" s="35"/>
      <c r="AA190" s="112"/>
      <c r="AB190" s="98"/>
      <c r="AC190" s="9"/>
      <c r="AD190" s="9"/>
      <c r="AE190" s="9"/>
      <c r="AF190" s="9"/>
      <c r="AG190" s="9"/>
      <c r="AH190" s="9"/>
      <c r="AJ190" s="116"/>
      <c r="AK190" s="116"/>
      <c r="AL190" s="116"/>
      <c r="AM190" s="116"/>
    </row>
    <row r="191" spans="1:43" ht="64.5">
      <c r="A191" s="109"/>
      <c r="B191" s="1663" t="s">
        <v>148</v>
      </c>
      <c r="C191" s="22" t="s">
        <v>235</v>
      </c>
      <c r="D191" s="67">
        <v>365.05</v>
      </c>
      <c r="E191" s="68">
        <v>274</v>
      </c>
      <c r="F191" s="100">
        <v>369.95</v>
      </c>
      <c r="G191" s="102">
        <v>1342</v>
      </c>
      <c r="H191" s="71">
        <v>44522</v>
      </c>
      <c r="I191" s="16">
        <v>99987</v>
      </c>
      <c r="J191" s="29" t="s">
        <v>90</v>
      </c>
      <c r="K191" s="93"/>
      <c r="L191" s="93"/>
      <c r="Q191" s="9"/>
      <c r="R191" s="119" t="s">
        <v>236</v>
      </c>
      <c r="S191" s="29" t="s">
        <v>233</v>
      </c>
      <c r="T191" s="120"/>
      <c r="U191" s="101"/>
      <c r="V191" s="26"/>
      <c r="W191" s="98"/>
      <c r="X191" s="32"/>
      <c r="Z191" s="35"/>
      <c r="AA191" s="112"/>
      <c r="AB191" s="98"/>
      <c r="AC191" s="9"/>
      <c r="AD191" s="9"/>
      <c r="AE191" s="9"/>
      <c r="AF191" s="9"/>
      <c r="AG191" s="9"/>
      <c r="AH191" s="9"/>
      <c r="AJ191" s="116"/>
      <c r="AK191" s="116"/>
      <c r="AL191" s="116"/>
      <c r="AM191" s="116"/>
    </row>
    <row r="192" spans="1:43" ht="15">
      <c r="A192" s="109"/>
      <c r="B192" s="1663" t="s">
        <v>237</v>
      </c>
      <c r="C192" s="22" t="s">
        <v>238</v>
      </c>
      <c r="D192" s="67">
        <v>51.3</v>
      </c>
      <c r="E192" s="68">
        <v>2515</v>
      </c>
      <c r="F192" s="100">
        <v>52.45</v>
      </c>
      <c r="G192" s="102">
        <v>2892</v>
      </c>
      <c r="H192" s="71">
        <v>44518</v>
      </c>
      <c r="I192" s="16">
        <v>129003</v>
      </c>
      <c r="J192" s="29" t="s">
        <v>90</v>
      </c>
      <c r="K192" s="93"/>
      <c r="L192" s="93"/>
      <c r="Q192" s="9"/>
      <c r="R192" s="119" t="s">
        <v>239</v>
      </c>
      <c r="S192" s="122">
        <f>17797+6498+3003+5620+1176+5602</f>
        <v>39696</v>
      </c>
      <c r="T192" s="120"/>
      <c r="U192" s="101"/>
      <c r="V192" s="26"/>
      <c r="W192" s="98"/>
      <c r="X192" s="32"/>
      <c r="Z192" s="35"/>
      <c r="AA192" s="112"/>
      <c r="AB192" s="98"/>
      <c r="AC192" s="9"/>
      <c r="AD192" s="9"/>
      <c r="AE192" s="9"/>
      <c r="AF192" s="9"/>
      <c r="AG192" s="9"/>
      <c r="AH192" s="9"/>
      <c r="AJ192" s="116"/>
      <c r="AK192" s="116"/>
      <c r="AL192" s="116"/>
      <c r="AM192" s="116"/>
    </row>
    <row r="193" spans="1:42" ht="39">
      <c r="A193" s="109"/>
      <c r="B193" s="1663" t="s">
        <v>158</v>
      </c>
      <c r="C193" s="22" t="s">
        <v>240</v>
      </c>
      <c r="D193" s="67">
        <v>234.48</v>
      </c>
      <c r="E193" s="68">
        <v>544</v>
      </c>
      <c r="F193" s="100">
        <v>238.2</v>
      </c>
      <c r="G193" s="102">
        <v>2024</v>
      </c>
      <c r="H193" s="71">
        <v>44516</v>
      </c>
      <c r="I193" s="16">
        <v>127557</v>
      </c>
      <c r="J193" s="29" t="s">
        <v>90</v>
      </c>
      <c r="K193" s="93"/>
      <c r="L193" s="93"/>
      <c r="Q193" s="9"/>
      <c r="R193" s="119" t="s">
        <v>241</v>
      </c>
      <c r="S193" s="29" t="s">
        <v>227</v>
      </c>
      <c r="T193" s="120"/>
      <c r="U193" s="101"/>
      <c r="V193" s="26"/>
      <c r="W193" s="98"/>
      <c r="X193" s="32"/>
      <c r="Z193" s="35"/>
      <c r="AA193" s="112"/>
      <c r="AB193" s="98"/>
      <c r="AC193" s="9"/>
      <c r="AD193" s="9"/>
      <c r="AE193" s="9"/>
      <c r="AF193" s="9"/>
      <c r="AG193" s="9"/>
      <c r="AH193" s="9"/>
      <c r="AJ193" s="116"/>
      <c r="AK193" s="116"/>
      <c r="AL193" s="116"/>
      <c r="AM193" s="116"/>
    </row>
    <row r="194" spans="1:42" ht="39">
      <c r="A194" s="109"/>
      <c r="B194" s="1663" t="s">
        <v>160</v>
      </c>
      <c r="C194" s="22" t="s">
        <v>202</v>
      </c>
      <c r="D194" s="67">
        <v>146</v>
      </c>
      <c r="E194" s="68">
        <v>850</v>
      </c>
      <c r="F194" s="100">
        <v>146.1</v>
      </c>
      <c r="G194" s="102">
        <v>85</v>
      </c>
      <c r="H194" s="71">
        <v>44510</v>
      </c>
      <c r="I194" s="16">
        <v>124100</v>
      </c>
      <c r="J194" s="29" t="s">
        <v>90</v>
      </c>
      <c r="K194" s="93"/>
      <c r="L194" s="93"/>
      <c r="R194" s="119" t="s">
        <v>242</v>
      </c>
      <c r="S194" s="29" t="s">
        <v>227</v>
      </c>
      <c r="T194" s="120"/>
      <c r="U194" s="101"/>
      <c r="V194" s="26"/>
      <c r="W194" s="98"/>
      <c r="X194" s="32"/>
      <c r="Z194" s="35"/>
      <c r="AA194" s="112"/>
      <c r="AB194" s="98"/>
      <c r="AC194" s="9"/>
      <c r="AD194" s="9"/>
      <c r="AE194" s="9"/>
      <c r="AF194" s="9"/>
      <c r="AG194" s="9"/>
      <c r="AH194" s="9"/>
      <c r="AJ194" s="116"/>
      <c r="AK194" s="116"/>
      <c r="AL194" s="116"/>
      <c r="AM194" s="116"/>
    </row>
    <row r="195" spans="1:42" ht="51.75">
      <c r="A195" s="109"/>
      <c r="B195" s="1663" t="s">
        <v>165</v>
      </c>
      <c r="C195" s="22" t="s">
        <v>243</v>
      </c>
      <c r="D195" s="67">
        <v>59.96</v>
      </c>
      <c r="E195" s="68">
        <v>2090</v>
      </c>
      <c r="F195" s="100">
        <v>60.95</v>
      </c>
      <c r="G195" s="102">
        <v>2069</v>
      </c>
      <c r="H195" s="71">
        <v>44501</v>
      </c>
      <c r="I195" s="16">
        <v>125316</v>
      </c>
      <c r="J195" s="29" t="s">
        <v>90</v>
      </c>
      <c r="K195" s="93"/>
      <c r="L195" s="93"/>
      <c r="R195" s="119" t="s">
        <v>244</v>
      </c>
      <c r="S195" s="29" t="s">
        <v>230</v>
      </c>
      <c r="T195" s="98"/>
      <c r="U195" s="101"/>
      <c r="V195" s="26"/>
      <c r="W195" s="98"/>
      <c r="X195" s="32"/>
      <c r="Z195" s="35"/>
      <c r="AA195" s="112"/>
      <c r="AB195" s="98"/>
      <c r="AC195" s="9"/>
      <c r="AD195" s="9" t="s">
        <v>245</v>
      </c>
      <c r="AE195" s="9"/>
      <c r="AF195" s="9"/>
      <c r="AG195" s="9"/>
      <c r="AH195" s="9"/>
      <c r="AJ195" s="116"/>
      <c r="AK195" s="116"/>
      <c r="AL195" s="116"/>
      <c r="AM195" s="116"/>
    </row>
    <row r="196" spans="1:42" s="1596" customFormat="1" ht="15">
      <c r="A196" s="1241"/>
      <c r="B196" s="1684"/>
      <c r="C196" s="22"/>
      <c r="D196" s="1657"/>
      <c r="E196" s="1658"/>
      <c r="F196" s="1690" t="s">
        <v>18</v>
      </c>
      <c r="G196" s="1691">
        <f>SUM(G197:G201)</f>
        <v>13328</v>
      </c>
      <c r="H196" s="1692"/>
      <c r="I196" s="1597">
        <v>5</v>
      </c>
      <c r="J196" s="1600"/>
      <c r="K196" s="919"/>
      <c r="L196" s="919"/>
      <c r="Q196" s="1608"/>
      <c r="R196" s="1693" t="s">
        <v>246</v>
      </c>
      <c r="S196" s="1600" t="s">
        <v>233</v>
      </c>
      <c r="T196" s="1686"/>
      <c r="U196" s="1694"/>
      <c r="V196" s="138"/>
      <c r="W196" s="1686"/>
      <c r="X196" s="1687"/>
      <c r="Z196" s="1688"/>
      <c r="AA196" s="1695" t="s">
        <v>247</v>
      </c>
      <c r="AB196" s="1696">
        <f>515196+403032.55</f>
        <v>918228.55</v>
      </c>
      <c r="AC196" s="22"/>
      <c r="AD196" s="1597">
        <f>1000000-AB196</f>
        <v>81771.449999999953</v>
      </c>
      <c r="AE196" s="22"/>
      <c r="AF196" s="22"/>
      <c r="AG196" s="22"/>
      <c r="AH196" s="22"/>
      <c r="AJ196" s="1689"/>
      <c r="AK196" s="1689"/>
      <c r="AL196" s="1689"/>
      <c r="AM196" s="1689"/>
    </row>
    <row r="197" spans="1:42" ht="15">
      <c r="A197" s="109"/>
      <c r="B197" s="1663" t="s">
        <v>248</v>
      </c>
      <c r="C197" s="22" t="s">
        <v>249</v>
      </c>
      <c r="D197" s="67">
        <v>207.5</v>
      </c>
      <c r="E197" s="68">
        <v>605</v>
      </c>
      <c r="F197" s="100">
        <v>207</v>
      </c>
      <c r="G197" s="102">
        <v>-300</v>
      </c>
      <c r="H197" s="71">
        <v>44498</v>
      </c>
      <c r="I197" s="16">
        <v>125538</v>
      </c>
      <c r="J197" s="29" t="s">
        <v>90</v>
      </c>
      <c r="K197" s="93"/>
      <c r="L197" s="93"/>
      <c r="Q197" s="13"/>
      <c r="R197" s="119"/>
      <c r="S197" s="29"/>
      <c r="T197" s="98"/>
      <c r="U197" s="125"/>
      <c r="V197" s="26"/>
      <c r="W197" s="98"/>
      <c r="X197" s="32"/>
      <c r="Z197" s="35"/>
      <c r="AA197" s="112" t="s">
        <v>43</v>
      </c>
      <c r="AB197" s="98">
        <v>922527</v>
      </c>
      <c r="AE197" s="9"/>
      <c r="AF197" s="9"/>
      <c r="AG197" s="9"/>
      <c r="AH197" s="9"/>
      <c r="AJ197" s="116"/>
      <c r="AK197" s="116"/>
      <c r="AL197" s="116"/>
      <c r="AM197" s="116"/>
    </row>
    <row r="198" spans="1:42" ht="15">
      <c r="A198" s="109"/>
      <c r="B198" s="1663" t="s">
        <v>47</v>
      </c>
      <c r="C198" s="22" t="s">
        <v>195</v>
      </c>
      <c r="D198" s="67">
        <v>10.45</v>
      </c>
      <c r="E198" s="68">
        <v>12048</v>
      </c>
      <c r="F198" s="100">
        <v>10.44</v>
      </c>
      <c r="G198" s="102">
        <v>-120</v>
      </c>
      <c r="H198" s="71">
        <v>44496</v>
      </c>
      <c r="I198" s="16">
        <v>125902</v>
      </c>
      <c r="J198" s="29" t="s">
        <v>250</v>
      </c>
      <c r="K198" s="93"/>
      <c r="L198" s="93"/>
      <c r="Q198" s="13"/>
      <c r="R198" s="119"/>
      <c r="S198" s="29"/>
      <c r="T198" s="98"/>
      <c r="U198" s="125"/>
      <c r="V198" s="26"/>
      <c r="W198" s="98"/>
      <c r="X198" s="32"/>
      <c r="Z198" s="35"/>
      <c r="AA198" s="126" t="s">
        <v>59</v>
      </c>
      <c r="AB198" s="102">
        <f>AB197-AB196</f>
        <v>4298.4499999999534</v>
      </c>
      <c r="AC198" s="9"/>
      <c r="AD198" s="9"/>
      <c r="AE198" s="9">
        <v>513598</v>
      </c>
      <c r="AF198" s="9"/>
      <c r="AG198" s="9"/>
      <c r="AH198" s="9"/>
      <c r="AJ198" s="116"/>
      <c r="AK198" s="116"/>
      <c r="AL198" s="116"/>
      <c r="AM198" s="116"/>
    </row>
    <row r="199" spans="1:42" ht="15">
      <c r="A199" s="109"/>
      <c r="B199" s="1663" t="s">
        <v>47</v>
      </c>
      <c r="C199" s="22" t="s">
        <v>195</v>
      </c>
      <c r="D199" s="67">
        <f>10.16</f>
        <v>10.16</v>
      </c>
      <c r="E199" s="68">
        <v>91080</v>
      </c>
      <c r="F199" s="100">
        <v>10.28</v>
      </c>
      <c r="G199" s="102">
        <v>10182</v>
      </c>
      <c r="H199" s="71">
        <v>44489</v>
      </c>
      <c r="I199" s="16">
        <v>926175</v>
      </c>
      <c r="J199" s="29" t="s">
        <v>250</v>
      </c>
      <c r="K199" s="93"/>
      <c r="L199" s="93"/>
      <c r="Q199" s="13"/>
      <c r="R199" s="119"/>
      <c r="S199" s="29"/>
      <c r="T199" s="98"/>
      <c r="U199" s="125"/>
      <c r="V199" s="26"/>
      <c r="W199" s="98"/>
      <c r="X199" s="32"/>
      <c r="Z199" s="35"/>
      <c r="AA199" s="112"/>
      <c r="AB199" s="98"/>
      <c r="AC199" s="9"/>
      <c r="AD199" s="9"/>
      <c r="AE199" s="16">
        <f>AE4-AE198</f>
        <v>-513598</v>
      </c>
      <c r="AF199" s="9"/>
      <c r="AG199" s="9"/>
      <c r="AH199" s="9"/>
      <c r="AJ199" s="2092"/>
      <c r="AK199" s="2087"/>
      <c r="AL199" s="116"/>
      <c r="AM199" s="116"/>
    </row>
    <row r="200" spans="1:42" ht="15">
      <c r="A200" s="109"/>
      <c r="B200" s="1663" t="s">
        <v>170</v>
      </c>
      <c r="C200" s="22" t="s">
        <v>251</v>
      </c>
      <c r="D200" s="67">
        <v>211.16</v>
      </c>
      <c r="E200" s="68">
        <v>355</v>
      </c>
      <c r="F200" s="100">
        <v>216.99</v>
      </c>
      <c r="G200" s="102">
        <v>2070</v>
      </c>
      <c r="H200" s="71">
        <v>44489</v>
      </c>
      <c r="I200" s="16">
        <v>74962</v>
      </c>
      <c r="J200" s="29" t="s">
        <v>90</v>
      </c>
      <c r="K200" s="93"/>
      <c r="L200" s="93"/>
      <c r="Q200" s="13"/>
      <c r="R200" s="127"/>
      <c r="S200" s="128"/>
      <c r="T200" s="98"/>
      <c r="U200" s="125"/>
      <c r="V200" s="26"/>
      <c r="W200" s="98"/>
      <c r="X200" s="32"/>
      <c r="Z200" s="35"/>
      <c r="AA200" s="112"/>
      <c r="AB200" s="98"/>
      <c r="AC200" s="9"/>
      <c r="AD200" s="9"/>
      <c r="AE200" s="9"/>
      <c r="AF200" s="9"/>
      <c r="AG200" s="9"/>
      <c r="AH200" s="9"/>
      <c r="AJ200" s="94"/>
      <c r="AK200" s="129"/>
      <c r="AL200" s="3"/>
      <c r="AM200" s="34"/>
      <c r="AN200" s="16">
        <f>45000-AM200</f>
        <v>45000</v>
      </c>
    </row>
    <row r="201" spans="1:42" ht="39">
      <c r="A201" s="109"/>
      <c r="B201" s="1663" t="s">
        <v>252</v>
      </c>
      <c r="C201" s="22" t="s">
        <v>253</v>
      </c>
      <c r="D201" s="67">
        <v>27.478999999999999</v>
      </c>
      <c r="E201" s="68">
        <v>3639</v>
      </c>
      <c r="F201" s="100">
        <v>27.89</v>
      </c>
      <c r="G201" s="102">
        <v>1496</v>
      </c>
      <c r="H201" s="71">
        <v>44481</v>
      </c>
      <c r="I201" s="16">
        <v>99996</v>
      </c>
      <c r="J201" s="29" t="s">
        <v>90</v>
      </c>
      <c r="K201" s="93"/>
      <c r="L201" s="93"/>
      <c r="Q201" s="13"/>
      <c r="T201" s="98" t="s">
        <v>254</v>
      </c>
      <c r="U201" s="125"/>
      <c r="V201" s="26"/>
      <c r="W201" s="98"/>
      <c r="X201" s="32"/>
      <c r="Z201" s="35"/>
      <c r="AA201" s="130">
        <v>44558</v>
      </c>
      <c r="AB201" s="98"/>
      <c r="AC201" s="9"/>
      <c r="AD201" s="9"/>
      <c r="AE201" s="9"/>
      <c r="AF201" s="9"/>
      <c r="AG201" s="9"/>
      <c r="AH201" s="9"/>
      <c r="AJ201" s="94"/>
      <c r="AK201" s="129"/>
      <c r="AL201" s="3"/>
      <c r="AM201" s="34"/>
      <c r="AO201" s="16">
        <v>202968</v>
      </c>
      <c r="AP201" s="9" t="s">
        <v>255</v>
      </c>
    </row>
    <row r="202" spans="1:42" ht="24.75">
      <c r="A202" s="109"/>
      <c r="B202" s="1663"/>
      <c r="C202" s="22"/>
      <c r="D202" s="67"/>
      <c r="E202" s="68"/>
      <c r="F202" s="123" t="s">
        <v>256</v>
      </c>
      <c r="G202" s="124">
        <f>SUM(G203:G241)</f>
        <v>-99957</v>
      </c>
      <c r="H202" s="71"/>
      <c r="I202" s="16">
        <v>39</v>
      </c>
      <c r="J202" s="29"/>
      <c r="K202" s="93"/>
      <c r="L202" s="93"/>
      <c r="Q202" s="13"/>
      <c r="T202" s="98">
        <v>8000000000</v>
      </c>
      <c r="U202" s="101"/>
      <c r="V202" s="26"/>
      <c r="W202" s="98"/>
      <c r="X202" s="32"/>
      <c r="Z202" s="35"/>
      <c r="AA202" s="112" t="s">
        <v>257</v>
      </c>
      <c r="AB202" s="98">
        <v>5023</v>
      </c>
      <c r="AC202" s="9"/>
      <c r="AD202" s="9"/>
      <c r="AE202" s="9"/>
      <c r="AF202" s="9"/>
      <c r="AG202" s="9"/>
      <c r="AH202" s="9"/>
      <c r="AJ202" s="94"/>
      <c r="AK202" s="129"/>
      <c r="AL202" s="3"/>
      <c r="AM202" s="34"/>
      <c r="AO202" s="16">
        <v>140198</v>
      </c>
      <c r="AP202" s="9" t="s">
        <v>258</v>
      </c>
    </row>
    <row r="203" spans="1:42" s="1596" customFormat="1" ht="15">
      <c r="A203" s="1241"/>
      <c r="B203" s="1684" t="s">
        <v>47</v>
      </c>
      <c r="C203" s="22" t="s">
        <v>259</v>
      </c>
      <c r="D203" s="1657"/>
      <c r="E203" s="1658"/>
      <c r="F203" s="1697"/>
      <c r="G203" s="1698">
        <f>826+1998+5568</f>
        <v>8392</v>
      </c>
      <c r="H203" s="1692"/>
      <c r="I203" s="1597"/>
      <c r="J203" s="1600" t="s">
        <v>260</v>
      </c>
      <c r="K203" s="919"/>
      <c r="L203" s="919"/>
      <c r="Q203" s="1608"/>
      <c r="S203" s="22" t="s">
        <v>261</v>
      </c>
      <c r="T203" s="1686">
        <f>T202/80</f>
        <v>100000000</v>
      </c>
      <c r="U203" s="1672"/>
      <c r="V203" s="138"/>
      <c r="W203" s="1686"/>
      <c r="X203" s="1687"/>
      <c r="Z203" s="1688"/>
      <c r="AA203" s="768" t="s">
        <v>262</v>
      </c>
      <c r="AB203" s="1686">
        <v>3000</v>
      </c>
      <c r="AC203" s="22"/>
      <c r="AD203" s="22"/>
      <c r="AE203" s="22"/>
      <c r="AF203" s="22"/>
      <c r="AG203" s="22"/>
      <c r="AH203" s="22"/>
      <c r="AJ203" s="1699"/>
      <c r="AK203" s="1700"/>
      <c r="AL203" s="1607"/>
      <c r="AM203" s="1609"/>
      <c r="AO203" s="1597">
        <f>AO201-AO202</f>
        <v>62770</v>
      </c>
      <c r="AP203" s="22" t="s">
        <v>263</v>
      </c>
    </row>
    <row r="204" spans="1:42" ht="51.75">
      <c r="A204" s="109"/>
      <c r="B204" s="1663" t="s">
        <v>264</v>
      </c>
      <c r="C204" s="22" t="s">
        <v>265</v>
      </c>
      <c r="D204" s="67">
        <v>11.35</v>
      </c>
      <c r="E204" s="68">
        <v>4351</v>
      </c>
      <c r="F204" s="100">
        <v>10.82</v>
      </c>
      <c r="G204" s="102">
        <v>-2306</v>
      </c>
      <c r="H204" s="71">
        <v>44469</v>
      </c>
      <c r="I204" s="16">
        <v>49384</v>
      </c>
      <c r="J204" s="29" t="s">
        <v>266</v>
      </c>
      <c r="K204" s="93"/>
      <c r="L204" s="93"/>
      <c r="Q204" s="13"/>
      <c r="S204" s="9" t="s">
        <v>267</v>
      </c>
      <c r="T204" s="98">
        <f>T203/24/60</f>
        <v>69444.444444444438</v>
      </c>
      <c r="U204" s="101"/>
      <c r="V204" s="26"/>
      <c r="W204" s="98"/>
      <c r="X204" s="32"/>
      <c r="Z204" s="35"/>
      <c r="AA204" s="112" t="s">
        <v>61</v>
      </c>
      <c r="AB204" s="102">
        <f>AB202+AB203</f>
        <v>8023</v>
      </c>
      <c r="AC204" s="9"/>
      <c r="AD204" s="9"/>
      <c r="AE204" s="9"/>
      <c r="AF204" s="9"/>
      <c r="AG204" s="9"/>
      <c r="AH204" s="9"/>
      <c r="AJ204" s="94"/>
      <c r="AK204" s="129"/>
      <c r="AL204" s="3"/>
      <c r="AM204" s="34"/>
      <c r="AO204" s="16">
        <v>12000</v>
      </c>
      <c r="AP204" s="9" t="s">
        <v>34</v>
      </c>
    </row>
    <row r="205" spans="1:42" ht="24.75">
      <c r="A205" s="109"/>
      <c r="B205" s="1663" t="s">
        <v>268</v>
      </c>
      <c r="C205" s="22" t="s">
        <v>269</v>
      </c>
      <c r="D205" s="67">
        <v>4.45</v>
      </c>
      <c r="E205" s="68">
        <v>11848</v>
      </c>
      <c r="F205" s="100">
        <v>4.1500000000000004</v>
      </c>
      <c r="G205" s="102">
        <v>-3554</v>
      </c>
      <c r="H205" s="71">
        <v>44469</v>
      </c>
      <c r="I205" s="16">
        <v>52724</v>
      </c>
      <c r="J205" s="29" t="s">
        <v>266</v>
      </c>
      <c r="K205" s="93"/>
      <c r="L205" s="93"/>
      <c r="Q205" s="13"/>
      <c r="T205" s="98"/>
      <c r="U205" s="101"/>
      <c r="V205" s="26"/>
      <c r="W205" s="98"/>
      <c r="X205" s="32"/>
      <c r="Z205" s="35"/>
      <c r="AA205" s="112" t="s">
        <v>270</v>
      </c>
      <c r="AB205" s="98">
        <v>6345</v>
      </c>
      <c r="AC205" s="9"/>
      <c r="AD205" s="9"/>
      <c r="AE205" s="9"/>
      <c r="AF205" s="9"/>
      <c r="AG205" s="9"/>
      <c r="AH205" s="9"/>
      <c r="AJ205" s="94"/>
      <c r="AK205" s="129"/>
      <c r="AL205" s="3"/>
      <c r="AM205" s="34"/>
      <c r="AO205" s="16">
        <f>AO203-AO204</f>
        <v>50770</v>
      </c>
      <c r="AP205" s="9" t="s">
        <v>271</v>
      </c>
    </row>
    <row r="206" spans="1:42" s="1596" customFormat="1" ht="15">
      <c r="A206" s="1241"/>
      <c r="B206" s="1684" t="s">
        <v>272</v>
      </c>
      <c r="C206" s="22" t="s">
        <v>273</v>
      </c>
      <c r="D206" s="1657">
        <v>25.84</v>
      </c>
      <c r="E206" s="1658">
        <v>1988</v>
      </c>
      <c r="F206" s="1697">
        <v>25.39</v>
      </c>
      <c r="G206" s="1698">
        <v>-895</v>
      </c>
      <c r="H206" s="1692">
        <v>44469</v>
      </c>
      <c r="I206" s="1597">
        <v>51370</v>
      </c>
      <c r="J206" s="1600" t="s">
        <v>90</v>
      </c>
      <c r="K206" s="919"/>
      <c r="L206" s="919"/>
      <c r="Q206" s="1608"/>
      <c r="T206" s="1686"/>
      <c r="U206" s="1672"/>
      <c r="V206" s="138"/>
      <c r="W206" s="1686"/>
      <c r="X206" s="1687"/>
      <c r="Z206" s="1688"/>
      <c r="AA206" s="768" t="s">
        <v>274</v>
      </c>
      <c r="AB206" s="1698">
        <f>AB204-AB205</f>
        <v>1678</v>
      </c>
      <c r="AC206" s="22"/>
      <c r="AD206" s="22"/>
      <c r="AE206" s="22"/>
      <c r="AF206" s="22"/>
      <c r="AG206" s="22"/>
      <c r="AH206" s="22"/>
      <c r="AJ206" s="1699"/>
      <c r="AK206" s="1699"/>
      <c r="AL206" s="1607"/>
      <c r="AM206" s="1609"/>
      <c r="AO206" s="1597">
        <v>125000</v>
      </c>
      <c r="AP206" s="22" t="s">
        <v>275</v>
      </c>
    </row>
    <row r="207" spans="1:42" ht="15">
      <c r="A207" s="109"/>
      <c r="B207" s="1663" t="s">
        <v>276</v>
      </c>
      <c r="C207" s="22" t="s">
        <v>277</v>
      </c>
      <c r="D207" s="67">
        <v>309.27999999999997</v>
      </c>
      <c r="E207" s="68">
        <v>161</v>
      </c>
      <c r="F207" s="100">
        <v>258.3</v>
      </c>
      <c r="G207" s="102">
        <v>-8208</v>
      </c>
      <c r="H207" s="71">
        <v>44469</v>
      </c>
      <c r="I207" s="16">
        <v>49794</v>
      </c>
      <c r="J207" s="29" t="s">
        <v>278</v>
      </c>
      <c r="K207" s="93"/>
      <c r="L207" s="2093" t="s">
        <v>279</v>
      </c>
      <c r="M207" s="2094"/>
      <c r="N207" s="2094"/>
      <c r="O207" s="2094"/>
      <c r="P207" s="2094"/>
      <c r="Q207" s="2095"/>
      <c r="T207" s="98"/>
      <c r="U207" s="101"/>
      <c r="V207" s="26"/>
      <c r="W207" s="98"/>
      <c r="X207" s="32"/>
      <c r="Z207" s="35"/>
      <c r="AA207" s="112"/>
      <c r="AB207" s="98"/>
      <c r="AC207" s="9"/>
      <c r="AD207" s="9"/>
      <c r="AE207" s="9"/>
      <c r="AF207" s="9"/>
      <c r="AG207" s="9"/>
      <c r="AH207" s="9"/>
      <c r="AJ207" s="94"/>
      <c r="AK207" s="94"/>
      <c r="AL207" s="3"/>
      <c r="AM207" s="3"/>
      <c r="AO207" s="16">
        <f>AO205+AO206</f>
        <v>175770</v>
      </c>
      <c r="AP207" s="9" t="s">
        <v>280</v>
      </c>
    </row>
    <row r="208" spans="1:42" ht="15.75">
      <c r="A208" s="109"/>
      <c r="B208" s="1663" t="s">
        <v>281</v>
      </c>
      <c r="C208" s="22" t="s">
        <v>282</v>
      </c>
      <c r="D208" s="67">
        <v>26.43</v>
      </c>
      <c r="E208" s="68">
        <v>1893</v>
      </c>
      <c r="F208" s="100">
        <v>31.9</v>
      </c>
      <c r="G208" s="102">
        <v>-8575</v>
      </c>
      <c r="H208" s="71">
        <v>44469</v>
      </c>
      <c r="I208" s="16">
        <v>50032</v>
      </c>
      <c r="J208" s="29" t="s">
        <v>278</v>
      </c>
      <c r="K208" s="93"/>
      <c r="L208" s="131"/>
      <c r="M208" s="9" t="s">
        <v>283</v>
      </c>
      <c r="N208" s="9" t="s">
        <v>41</v>
      </c>
      <c r="O208" s="9" t="s">
        <v>284</v>
      </c>
      <c r="P208" s="9" t="s">
        <v>285</v>
      </c>
      <c r="Q208" s="44" t="s">
        <v>286</v>
      </c>
      <c r="T208" s="98"/>
      <c r="U208" s="101"/>
      <c r="V208" s="26"/>
      <c r="W208" s="98"/>
      <c r="X208" s="32"/>
      <c r="Z208" s="35"/>
      <c r="AA208" s="2096" t="s">
        <v>287</v>
      </c>
      <c r="AB208" s="2087"/>
      <c r="AC208" s="9"/>
      <c r="AD208" s="9"/>
      <c r="AE208" s="9"/>
      <c r="AF208" s="9"/>
      <c r="AG208" s="9"/>
      <c r="AH208" s="9"/>
      <c r="AJ208" s="94"/>
      <c r="AK208" s="94"/>
      <c r="AL208" s="3"/>
      <c r="AM208" s="3"/>
    </row>
    <row r="209" spans="1:39" ht="15">
      <c r="A209" s="109"/>
      <c r="B209" s="1663" t="s">
        <v>288</v>
      </c>
      <c r="C209" s="22" t="s">
        <v>289</v>
      </c>
      <c r="D209" s="67">
        <v>403.99</v>
      </c>
      <c r="E209" s="68">
        <v>123</v>
      </c>
      <c r="F209" s="100">
        <v>381.26</v>
      </c>
      <c r="G209" s="102">
        <v>-2796</v>
      </c>
      <c r="H209" s="71">
        <v>44469</v>
      </c>
      <c r="I209" s="16">
        <v>49691</v>
      </c>
      <c r="J209" s="29" t="s">
        <v>278</v>
      </c>
      <c r="K209" s="93"/>
      <c r="L209" s="131" t="s">
        <v>290</v>
      </c>
      <c r="M209" s="9">
        <v>0.49959999999999999</v>
      </c>
      <c r="N209" s="16">
        <v>100000</v>
      </c>
      <c r="O209" s="16">
        <f>N209/M209</f>
        <v>200160.12810248198</v>
      </c>
      <c r="P209" s="9">
        <v>0.52059999999999995</v>
      </c>
      <c r="Q209" s="42">
        <f>(P209-M209)*O209</f>
        <v>4203.3626901521138</v>
      </c>
      <c r="T209" s="98"/>
      <c r="U209" s="101"/>
      <c r="V209" s="26"/>
      <c r="W209" s="98"/>
      <c r="X209" s="32"/>
      <c r="Z209" s="35"/>
      <c r="AA209" s="2097" t="s">
        <v>291</v>
      </c>
      <c r="AB209" s="2087"/>
      <c r="AC209" s="9"/>
      <c r="AD209" s="9"/>
      <c r="AE209" s="9"/>
      <c r="AF209" s="9"/>
      <c r="AG209" s="9"/>
      <c r="AH209" s="9"/>
      <c r="AJ209" s="94"/>
      <c r="AK209" s="94"/>
      <c r="AL209" s="3"/>
      <c r="AM209" s="3"/>
    </row>
    <row r="210" spans="1:39" ht="15.75">
      <c r="A210" s="109"/>
      <c r="B210" s="1663" t="s">
        <v>292</v>
      </c>
      <c r="C210" s="1655" t="s">
        <v>293</v>
      </c>
      <c r="D210" s="67">
        <v>74.7</v>
      </c>
      <c r="E210" s="68">
        <v>672</v>
      </c>
      <c r="F210" s="100">
        <v>70.42</v>
      </c>
      <c r="G210" s="102">
        <v>-2876</v>
      </c>
      <c r="H210" s="71">
        <v>44469</v>
      </c>
      <c r="I210" s="16">
        <v>50198</v>
      </c>
      <c r="J210" s="29" t="s">
        <v>278</v>
      </c>
      <c r="K210" s="93"/>
      <c r="L210" s="131" t="s">
        <v>294</v>
      </c>
      <c r="M210" s="9">
        <v>657.66</v>
      </c>
      <c r="N210" s="16">
        <v>100000</v>
      </c>
      <c r="O210" s="16">
        <f>N210/M210</f>
        <v>152.05425295745522</v>
      </c>
      <c r="P210" s="9">
        <v>667.28</v>
      </c>
      <c r="Q210" s="42">
        <f>(P210-M210)*O210</f>
        <v>1462.7619134507199</v>
      </c>
      <c r="T210" s="98"/>
      <c r="U210" s="101"/>
      <c r="V210" s="26"/>
      <c r="W210" s="98"/>
      <c r="X210" s="32"/>
      <c r="Z210" s="35"/>
      <c r="AA210" s="2097" t="s">
        <v>295</v>
      </c>
      <c r="AB210" s="2087"/>
      <c r="AC210" s="9"/>
      <c r="AD210" s="9"/>
      <c r="AE210" s="9"/>
      <c r="AF210" s="9"/>
      <c r="AG210" s="9"/>
      <c r="AH210" s="9"/>
      <c r="AJ210" s="94"/>
      <c r="AK210" s="94"/>
      <c r="AL210" s="3"/>
      <c r="AM210" s="3"/>
    </row>
    <row r="211" spans="1:39" ht="15.75">
      <c r="A211" s="109"/>
      <c r="B211" s="1663" t="s">
        <v>296</v>
      </c>
      <c r="C211" s="22" t="s">
        <v>297</v>
      </c>
      <c r="D211" s="67">
        <v>31.53</v>
      </c>
      <c r="E211" s="68">
        <v>1589</v>
      </c>
      <c r="F211" s="100">
        <v>31.07</v>
      </c>
      <c r="G211" s="102">
        <v>-731</v>
      </c>
      <c r="H211" s="71">
        <v>44467</v>
      </c>
      <c r="I211" s="16">
        <v>50101</v>
      </c>
      <c r="J211" s="29" t="s">
        <v>266</v>
      </c>
      <c r="K211" s="93"/>
      <c r="L211" s="131" t="s">
        <v>298</v>
      </c>
      <c r="M211" s="9">
        <v>25.49</v>
      </c>
      <c r="N211" s="16">
        <v>100000</v>
      </c>
      <c r="O211" s="16">
        <f>N211/M211</f>
        <v>3923.1071008238528</v>
      </c>
      <c r="P211" s="9">
        <v>27.14</v>
      </c>
      <c r="Q211" s="42">
        <f>(P211-M211)*O211</f>
        <v>6473.1267163593657</v>
      </c>
      <c r="T211" s="98"/>
      <c r="U211" s="101"/>
      <c r="V211" s="26"/>
      <c r="W211" s="98"/>
      <c r="X211" s="32"/>
      <c r="Z211" s="35"/>
      <c r="AA211" s="2097" t="s">
        <v>299</v>
      </c>
      <c r="AB211" s="2087"/>
      <c r="AC211" s="9"/>
      <c r="AD211" s="9"/>
      <c r="AE211" s="9"/>
      <c r="AF211" s="9"/>
      <c r="AG211" s="9"/>
      <c r="AH211" s="9"/>
      <c r="AJ211" s="94"/>
      <c r="AK211" s="94"/>
      <c r="AL211" s="3"/>
      <c r="AM211" s="3"/>
    </row>
    <row r="212" spans="1:39" ht="15">
      <c r="A212" s="109"/>
      <c r="B212" s="1663" t="s">
        <v>300</v>
      </c>
      <c r="C212" s="22" t="s">
        <v>301</v>
      </c>
      <c r="D212" s="67">
        <v>35.299999999999997</v>
      </c>
      <c r="E212" s="68">
        <v>1366</v>
      </c>
      <c r="F212" s="100">
        <v>29.74</v>
      </c>
      <c r="G212" s="102">
        <v>-7595</v>
      </c>
      <c r="H212" s="71">
        <v>44467</v>
      </c>
      <c r="I212" s="16">
        <v>48220</v>
      </c>
      <c r="J212" s="29" t="s">
        <v>266</v>
      </c>
      <c r="K212" s="93"/>
      <c r="L212" s="132" t="s">
        <v>302</v>
      </c>
      <c r="M212" s="133">
        <v>28.06</v>
      </c>
      <c r="N212" s="134">
        <v>100000</v>
      </c>
      <c r="O212" s="134">
        <f>N212/M212</f>
        <v>3563.7918745545262</v>
      </c>
      <c r="P212" s="133">
        <v>28.96</v>
      </c>
      <c r="Q212" s="135">
        <f>(P212-M212)*O212</f>
        <v>3207.4126870990813</v>
      </c>
      <c r="S212" s="25"/>
      <c r="T212" s="98"/>
      <c r="U212" s="25"/>
      <c r="V212" s="98"/>
      <c r="W212" s="98"/>
      <c r="X212" s="32"/>
      <c r="Z212" s="35"/>
      <c r="AA212" s="2097" t="s">
        <v>303</v>
      </c>
      <c r="AB212" s="2087"/>
      <c r="AC212" s="9"/>
      <c r="AD212" s="9"/>
      <c r="AE212" s="9"/>
      <c r="AF212" s="9"/>
      <c r="AG212" s="9"/>
      <c r="AH212" s="9"/>
      <c r="AJ212" s="94"/>
      <c r="AK212" s="94"/>
      <c r="AL212" s="3"/>
      <c r="AM212" s="3"/>
    </row>
    <row r="213" spans="1:39" ht="15.75">
      <c r="A213" s="109"/>
      <c r="B213" s="1663" t="s">
        <v>304</v>
      </c>
      <c r="C213" s="22" t="s">
        <v>305</v>
      </c>
      <c r="D213" s="67">
        <v>22.73</v>
      </c>
      <c r="E213" s="68">
        <v>3946</v>
      </c>
      <c r="F213" s="100">
        <v>1683</v>
      </c>
      <c r="G213" s="102">
        <v>-17362</v>
      </c>
      <c r="H213" s="71">
        <v>44467</v>
      </c>
      <c r="I213" s="16">
        <v>89693</v>
      </c>
      <c r="J213" s="29" t="s">
        <v>90</v>
      </c>
      <c r="K213" s="93"/>
      <c r="L213" s="93"/>
      <c r="N213" s="9"/>
      <c r="Q213" s="13"/>
      <c r="T213" s="98"/>
      <c r="U213" s="101"/>
      <c r="V213" s="26"/>
      <c r="W213" s="98"/>
      <c r="X213" s="32"/>
      <c r="Z213" s="35"/>
      <c r="AA213" s="2097" t="s">
        <v>306</v>
      </c>
      <c r="AB213" s="2087"/>
      <c r="AC213" s="9"/>
      <c r="AD213" s="9"/>
      <c r="AE213" s="9"/>
      <c r="AF213" s="9"/>
      <c r="AG213" s="9"/>
      <c r="AH213" s="9"/>
      <c r="AJ213" s="94"/>
      <c r="AK213" s="94"/>
      <c r="AL213" s="3"/>
      <c r="AM213" s="3"/>
    </row>
    <row r="214" spans="1:39" ht="15">
      <c r="A214" s="109"/>
      <c r="B214" s="1663" t="s">
        <v>307</v>
      </c>
      <c r="C214" s="22" t="s">
        <v>308</v>
      </c>
      <c r="D214" s="67">
        <v>88.66</v>
      </c>
      <c r="E214" s="68">
        <v>575</v>
      </c>
      <c r="F214" s="100">
        <v>65.87</v>
      </c>
      <c r="G214" s="102">
        <v>-9881</v>
      </c>
      <c r="H214" s="71">
        <v>44467</v>
      </c>
      <c r="I214" s="16">
        <v>50980</v>
      </c>
      <c r="J214" s="29" t="s">
        <v>90</v>
      </c>
      <c r="K214" s="93"/>
      <c r="L214" s="93"/>
      <c r="N214" s="9"/>
      <c r="Q214" s="16">
        <f>SUM(Q209:Q212)</f>
        <v>15346.664007061281</v>
      </c>
      <c r="T214" s="98"/>
      <c r="U214" s="101"/>
      <c r="V214" s="26"/>
      <c r="W214" s="98"/>
      <c r="X214" s="32"/>
      <c r="Z214" s="35"/>
      <c r="AA214" s="2097"/>
      <c r="AB214" s="2087"/>
      <c r="AC214" s="9"/>
      <c r="AD214" s="9"/>
      <c r="AE214" s="9"/>
      <c r="AF214" s="9"/>
      <c r="AG214" s="9"/>
      <c r="AH214" s="9"/>
      <c r="AJ214" s="94"/>
      <c r="AK214" s="94"/>
      <c r="AL214" s="3"/>
      <c r="AM214" s="3"/>
    </row>
    <row r="215" spans="1:39" ht="15">
      <c r="A215" s="109"/>
      <c r="B215" s="1663" t="s">
        <v>309</v>
      </c>
      <c r="C215" s="22" t="s">
        <v>310</v>
      </c>
      <c r="D215" s="67">
        <v>34.369999999999997</v>
      </c>
      <c r="E215" s="68">
        <v>1456</v>
      </c>
      <c r="F215" s="100">
        <v>32.619999999999997</v>
      </c>
      <c r="G215" s="102">
        <v>-2548</v>
      </c>
      <c r="H215" s="71">
        <v>44467</v>
      </c>
      <c r="I215" s="16">
        <v>50043</v>
      </c>
      <c r="J215" s="29" t="s">
        <v>266</v>
      </c>
      <c r="K215" s="93"/>
      <c r="L215" s="93"/>
      <c r="N215" s="9"/>
      <c r="Q215" s="13"/>
      <c r="T215" s="98"/>
      <c r="U215" s="2098" t="s">
        <v>311</v>
      </c>
      <c r="V215" s="2087"/>
      <c r="W215" s="98"/>
      <c r="X215" s="32"/>
      <c r="Z215" s="35"/>
      <c r="AA215" s="2097"/>
      <c r="AB215" s="2087"/>
      <c r="AC215" s="9"/>
      <c r="AD215" s="9"/>
      <c r="AE215" s="9"/>
      <c r="AF215" s="9"/>
      <c r="AG215" s="9"/>
      <c r="AH215" s="9"/>
      <c r="AJ215" s="94"/>
      <c r="AK215" s="94"/>
      <c r="AL215" s="3"/>
      <c r="AM215" s="3"/>
    </row>
    <row r="216" spans="1:39" ht="15">
      <c r="A216" s="109"/>
      <c r="B216" s="1663" t="s">
        <v>312</v>
      </c>
      <c r="C216" s="22" t="s">
        <v>313</v>
      </c>
      <c r="D216" s="67">
        <v>4.4000000000000004</v>
      </c>
      <c r="E216" s="68">
        <v>11389</v>
      </c>
      <c r="F216" s="100">
        <v>4.29</v>
      </c>
      <c r="G216" s="102">
        <v>-1253</v>
      </c>
      <c r="H216" s="71">
        <v>44467</v>
      </c>
      <c r="I216" s="16">
        <v>50112</v>
      </c>
      <c r="J216" s="29" t="s">
        <v>266</v>
      </c>
      <c r="K216" s="93"/>
      <c r="L216" s="93"/>
      <c r="N216" s="9"/>
      <c r="Q216" s="13"/>
      <c r="T216" s="98"/>
      <c r="U216" s="136">
        <v>44777</v>
      </c>
      <c r="V216" s="136">
        <v>44655</v>
      </c>
      <c r="W216" s="98"/>
      <c r="X216" s="32"/>
      <c r="Z216" s="35"/>
      <c r="AA216" s="112"/>
      <c r="AB216" s="98"/>
      <c r="AC216" s="9"/>
      <c r="AD216" s="9"/>
      <c r="AE216" s="9"/>
      <c r="AF216" s="9"/>
      <c r="AG216" s="9"/>
      <c r="AH216" s="9"/>
      <c r="AJ216" s="94"/>
      <c r="AK216" s="94"/>
      <c r="AL216" s="3"/>
      <c r="AM216" s="3"/>
    </row>
    <row r="217" spans="1:39" s="1596" customFormat="1">
      <c r="A217" s="1241"/>
      <c r="B217" s="1684" t="s">
        <v>314</v>
      </c>
      <c r="C217" s="22" t="s">
        <v>315</v>
      </c>
      <c r="D217" s="1657">
        <v>4.07</v>
      </c>
      <c r="E217" s="1658">
        <v>6944</v>
      </c>
      <c r="F217" s="1697">
        <v>2.5499999999999998</v>
      </c>
      <c r="G217" s="1698">
        <v>-10138</v>
      </c>
      <c r="H217" s="1692">
        <v>44467</v>
      </c>
      <c r="I217" s="1597">
        <v>28262</v>
      </c>
      <c r="J217" s="1600" t="s">
        <v>266</v>
      </c>
      <c r="K217" s="919"/>
      <c r="L217" s="919"/>
      <c r="N217" s="22"/>
      <c r="Q217" s="1608"/>
      <c r="U217" s="22" t="s">
        <v>316</v>
      </c>
      <c r="V217" s="22" t="s">
        <v>317</v>
      </c>
      <c r="AA217" s="768"/>
      <c r="AB217" s="1686"/>
      <c r="AC217" s="22"/>
      <c r="AD217" s="22"/>
      <c r="AE217" s="22"/>
      <c r="AF217" s="22"/>
      <c r="AG217" s="22"/>
      <c r="AH217" s="22"/>
      <c r="AJ217" s="1699"/>
      <c r="AK217" s="1699"/>
      <c r="AL217" s="1607"/>
      <c r="AM217" s="1607"/>
    </row>
    <row r="218" spans="1:39">
      <c r="A218" s="109"/>
      <c r="B218" s="1663" t="s">
        <v>318</v>
      </c>
      <c r="C218" s="22" t="s">
        <v>319</v>
      </c>
      <c r="D218" s="67">
        <v>17.940000000000001</v>
      </c>
      <c r="E218" s="68">
        <v>9090</v>
      </c>
      <c r="F218" s="100">
        <v>17.97</v>
      </c>
      <c r="G218" s="102">
        <v>273</v>
      </c>
      <c r="H218" s="71">
        <v>44467</v>
      </c>
      <c r="I218" s="16">
        <v>163075</v>
      </c>
      <c r="J218" s="29" t="s">
        <v>90</v>
      </c>
      <c r="K218" s="93"/>
      <c r="L218" s="93"/>
      <c r="N218" s="9"/>
      <c r="Q218" s="13"/>
      <c r="S218" s="9">
        <v>1</v>
      </c>
      <c r="T218" s="98" t="s">
        <v>320</v>
      </c>
      <c r="U218" s="125">
        <v>82</v>
      </c>
      <c r="V218" s="125">
        <v>82</v>
      </c>
      <c r="W218" s="2099" t="s">
        <v>321</v>
      </c>
      <c r="X218" s="2087"/>
      <c r="Y218" s="2087"/>
      <c r="Z218" s="2087"/>
      <c r="AA218" s="112"/>
      <c r="AB218" s="98"/>
      <c r="AC218" s="9"/>
      <c r="AD218" s="9"/>
      <c r="AE218" s="9"/>
      <c r="AF218" s="9"/>
      <c r="AG218" s="9"/>
      <c r="AH218" s="9"/>
      <c r="AJ218" s="94"/>
      <c r="AK218" s="94"/>
      <c r="AL218" s="3"/>
      <c r="AM218" s="3"/>
    </row>
    <row r="219" spans="1:39">
      <c r="A219" s="109"/>
      <c r="B219" s="1663" t="s">
        <v>322</v>
      </c>
      <c r="C219" s="22" t="s">
        <v>323</v>
      </c>
      <c r="D219" s="67">
        <v>53.84</v>
      </c>
      <c r="E219" s="68">
        <v>1463</v>
      </c>
      <c r="F219" s="100">
        <v>30.63</v>
      </c>
      <c r="G219" s="102">
        <v>-6524</v>
      </c>
      <c r="H219" s="71">
        <v>44467</v>
      </c>
      <c r="I219" s="16">
        <v>78768</v>
      </c>
      <c r="J219" s="29" t="s">
        <v>90</v>
      </c>
      <c r="K219" s="93"/>
      <c r="L219" s="93"/>
      <c r="N219" s="9"/>
      <c r="Q219" s="13"/>
      <c r="S219" s="9">
        <v>1</v>
      </c>
      <c r="T219" s="98" t="s">
        <v>324</v>
      </c>
      <c r="U219" s="125">
        <v>82</v>
      </c>
      <c r="V219" s="125">
        <v>82</v>
      </c>
      <c r="W219" s="2099" t="s">
        <v>325</v>
      </c>
      <c r="X219" s="2087"/>
      <c r="Y219" s="2087"/>
      <c r="Z219" s="2087"/>
      <c r="AA219" s="112"/>
      <c r="AB219" s="98"/>
      <c r="AC219" s="9"/>
      <c r="AD219" s="9"/>
      <c r="AE219" s="9"/>
      <c r="AF219" s="9"/>
      <c r="AG219" s="9"/>
      <c r="AH219" s="9"/>
      <c r="AJ219" s="94"/>
      <c r="AK219" s="94"/>
      <c r="AL219" s="3"/>
      <c r="AM219" s="3"/>
    </row>
    <row r="220" spans="1:39">
      <c r="A220" s="109"/>
      <c r="B220" s="1663" t="s">
        <v>326</v>
      </c>
      <c r="C220" s="22" t="s">
        <v>327</v>
      </c>
      <c r="D220" s="67">
        <v>27.22</v>
      </c>
      <c r="E220" s="68">
        <v>1834</v>
      </c>
      <c r="F220" s="100">
        <v>27.5</v>
      </c>
      <c r="G220" s="102">
        <v>514</v>
      </c>
      <c r="H220" s="71">
        <v>44466</v>
      </c>
      <c r="I220" s="16">
        <v>49921</v>
      </c>
      <c r="J220" s="29" t="s">
        <v>266</v>
      </c>
      <c r="K220" s="93"/>
      <c r="L220" s="93"/>
      <c r="N220" s="9"/>
      <c r="Q220" s="13"/>
      <c r="S220" s="9">
        <v>1</v>
      </c>
      <c r="T220" s="98" t="s">
        <v>328</v>
      </c>
      <c r="U220" s="125">
        <v>36</v>
      </c>
      <c r="V220" s="125">
        <v>82</v>
      </c>
      <c r="W220" s="2099" t="s">
        <v>329</v>
      </c>
      <c r="X220" s="2087"/>
      <c r="Y220" s="2087"/>
      <c r="Z220" s="2087"/>
      <c r="AA220" s="112"/>
      <c r="AB220" s="98"/>
      <c r="AC220" s="9"/>
      <c r="AD220" s="9"/>
      <c r="AE220" s="9"/>
      <c r="AF220" s="9"/>
      <c r="AG220" s="9"/>
      <c r="AH220" s="9"/>
      <c r="AJ220" s="94"/>
      <c r="AK220" s="94"/>
      <c r="AL220" s="3"/>
      <c r="AM220" s="3"/>
    </row>
    <row r="221" spans="1:39">
      <c r="A221" s="109"/>
      <c r="B221" s="1663" t="s">
        <v>268</v>
      </c>
      <c r="C221" s="22" t="s">
        <v>269</v>
      </c>
      <c r="D221" s="67">
        <v>4.1100000000000003</v>
      </c>
      <c r="E221" s="68">
        <v>12165</v>
      </c>
      <c r="F221" s="100">
        <v>4.1500000000000004</v>
      </c>
      <c r="G221" s="102">
        <v>487</v>
      </c>
      <c r="H221" s="71">
        <v>44463</v>
      </c>
      <c r="I221" s="16">
        <v>49998</v>
      </c>
      <c r="J221" s="29" t="s">
        <v>266</v>
      </c>
      <c r="K221" s="93"/>
      <c r="L221" s="93"/>
      <c r="N221" s="9"/>
      <c r="Q221" s="13"/>
      <c r="S221" s="9">
        <v>0.5</v>
      </c>
      <c r="T221" s="98" t="s">
        <v>330</v>
      </c>
      <c r="U221" s="125">
        <v>36</v>
      </c>
      <c r="V221" s="125">
        <v>82</v>
      </c>
      <c r="W221" s="2099" t="s">
        <v>331</v>
      </c>
      <c r="X221" s="2087"/>
      <c r="Y221" s="2087"/>
      <c r="Z221" s="2087"/>
      <c r="AA221" s="112"/>
      <c r="AB221" s="98"/>
      <c r="AC221" s="9"/>
      <c r="AD221" s="9"/>
      <c r="AE221" s="9"/>
      <c r="AF221" s="9"/>
      <c r="AG221" s="9"/>
      <c r="AH221" s="9"/>
      <c r="AJ221" s="94"/>
      <c r="AK221" s="94"/>
      <c r="AL221" s="3"/>
      <c r="AM221" s="3"/>
    </row>
    <row r="222" spans="1:39">
      <c r="A222" s="109"/>
      <c r="B222" s="1663" t="s">
        <v>332</v>
      </c>
      <c r="C222" s="22" t="s">
        <v>333</v>
      </c>
      <c r="D222" s="67"/>
      <c r="E222" s="68"/>
      <c r="F222" s="100"/>
      <c r="G222" s="102">
        <f>254.31+15.69</f>
        <v>270</v>
      </c>
      <c r="H222" s="71">
        <v>44463</v>
      </c>
      <c r="I222" s="16">
        <v>50000</v>
      </c>
      <c r="J222" s="29" t="s">
        <v>36</v>
      </c>
      <c r="K222" s="93"/>
      <c r="L222" s="93"/>
      <c r="N222" s="9"/>
      <c r="Q222" s="13"/>
      <c r="S222" s="9">
        <v>0.5</v>
      </c>
      <c r="T222" s="98" t="s">
        <v>334</v>
      </c>
      <c r="U222" s="125">
        <v>36</v>
      </c>
      <c r="V222" s="125">
        <v>37</v>
      </c>
      <c r="W222" s="2099" t="s">
        <v>335</v>
      </c>
      <c r="X222" s="2087"/>
      <c r="Y222" s="2087"/>
      <c r="Z222" s="2087"/>
      <c r="AA222" s="112"/>
      <c r="AB222" s="98"/>
      <c r="AC222" s="9"/>
      <c r="AD222" s="9"/>
      <c r="AE222" s="9"/>
      <c r="AF222" s="9"/>
      <c r="AG222" s="9"/>
      <c r="AH222" s="9"/>
      <c r="AJ222" s="94"/>
      <c r="AK222" s="94"/>
      <c r="AL222" s="3"/>
      <c r="AM222" s="3"/>
    </row>
    <row r="223" spans="1:39">
      <c r="A223" s="109"/>
      <c r="B223" s="1663" t="s">
        <v>160</v>
      </c>
      <c r="C223" s="22" t="s">
        <v>202</v>
      </c>
      <c r="D223" s="67">
        <v>132.85499999999999</v>
      </c>
      <c r="E223" s="68">
        <v>752</v>
      </c>
      <c r="F223" s="100">
        <v>133.44999999999999</v>
      </c>
      <c r="G223" s="102">
        <v>447</v>
      </c>
      <c r="H223" s="71">
        <v>44462</v>
      </c>
      <c r="I223" s="16">
        <v>99907</v>
      </c>
      <c r="J223" s="29" t="s">
        <v>90</v>
      </c>
      <c r="K223" s="93"/>
      <c r="L223" s="93"/>
      <c r="N223" s="9"/>
      <c r="Q223" s="13"/>
      <c r="S223" s="9">
        <v>0.5</v>
      </c>
      <c r="T223" s="98" t="s">
        <v>336</v>
      </c>
      <c r="U223" s="125">
        <v>37</v>
      </c>
      <c r="V223" s="125">
        <v>37</v>
      </c>
      <c r="W223" s="2099" t="s">
        <v>337</v>
      </c>
      <c r="X223" s="2087"/>
      <c r="Y223" s="2087"/>
      <c r="Z223" s="2087"/>
      <c r="AA223" s="112"/>
      <c r="AB223" s="98"/>
      <c r="AC223" s="9"/>
      <c r="AD223" s="9"/>
      <c r="AE223" s="9"/>
      <c r="AF223" s="9"/>
      <c r="AG223" s="9"/>
      <c r="AH223" s="9"/>
      <c r="AJ223" s="94"/>
      <c r="AK223" s="94"/>
      <c r="AL223" s="3"/>
      <c r="AM223" s="3"/>
    </row>
    <row r="224" spans="1:39" ht="15">
      <c r="A224" s="109"/>
      <c r="B224" s="1663" t="s">
        <v>338</v>
      </c>
      <c r="C224" s="22" t="s">
        <v>339</v>
      </c>
      <c r="D224" s="67">
        <v>12.86</v>
      </c>
      <c r="E224" s="68">
        <f>1617+2261</f>
        <v>3878</v>
      </c>
      <c r="F224" s="100">
        <v>12.72</v>
      </c>
      <c r="G224" s="102">
        <v>504</v>
      </c>
      <c r="H224" s="71">
        <v>44461</v>
      </c>
      <c r="I224" s="16">
        <v>49871</v>
      </c>
      <c r="J224" s="29" t="s">
        <v>266</v>
      </c>
      <c r="K224" s="93"/>
      <c r="L224" s="93"/>
      <c r="N224" s="9"/>
      <c r="Q224" s="13"/>
      <c r="S224" s="9">
        <v>0.5</v>
      </c>
      <c r="T224" s="98"/>
      <c r="U224" s="125"/>
      <c r="V224" s="125"/>
      <c r="W224" s="98"/>
      <c r="X224" s="32"/>
      <c r="Z224" s="35"/>
      <c r="AA224" s="112"/>
      <c r="AB224" s="98"/>
      <c r="AC224" s="9"/>
      <c r="AD224" s="9"/>
      <c r="AE224" s="9"/>
      <c r="AF224" s="9"/>
      <c r="AG224" s="9"/>
      <c r="AH224" s="9"/>
      <c r="AJ224" s="94"/>
      <c r="AK224" s="94"/>
      <c r="AL224" s="3"/>
      <c r="AM224" s="3"/>
    </row>
    <row r="225" spans="1:39" ht="15">
      <c r="A225" s="109"/>
      <c r="B225" s="1663" t="s">
        <v>340</v>
      </c>
      <c r="C225" s="22" t="s">
        <v>341</v>
      </c>
      <c r="D225" s="67">
        <v>12.54</v>
      </c>
      <c r="E225" s="68">
        <v>3776</v>
      </c>
      <c r="F225" s="100">
        <v>12.72</v>
      </c>
      <c r="G225" s="102">
        <v>680</v>
      </c>
      <c r="H225" s="71">
        <v>44461</v>
      </c>
      <c r="I225" s="16">
        <v>47351</v>
      </c>
      <c r="J225" s="29" t="s">
        <v>266</v>
      </c>
      <c r="K225" s="93"/>
      <c r="L225" s="93"/>
      <c r="N225" s="9"/>
      <c r="Q225" s="13"/>
      <c r="S225" s="9">
        <v>0.5</v>
      </c>
      <c r="T225" s="98" t="s">
        <v>342</v>
      </c>
      <c r="U225" s="125">
        <v>82</v>
      </c>
      <c r="V225" s="125"/>
      <c r="W225" s="98"/>
      <c r="X225" s="32"/>
      <c r="Z225" s="35"/>
      <c r="AA225" s="112"/>
      <c r="AB225" s="98"/>
      <c r="AC225" s="9"/>
      <c r="AD225" s="9"/>
      <c r="AE225" s="9"/>
      <c r="AF225" s="9"/>
      <c r="AG225" s="9"/>
      <c r="AH225" s="9"/>
      <c r="AJ225" s="94"/>
      <c r="AK225" s="94"/>
      <c r="AL225" s="3"/>
      <c r="AM225" s="3"/>
    </row>
    <row r="226" spans="1:39" ht="25.5">
      <c r="A226" s="109"/>
      <c r="B226" s="1663" t="s">
        <v>343</v>
      </c>
      <c r="C226" s="22" t="s">
        <v>344</v>
      </c>
      <c r="D226" s="67">
        <v>8.19</v>
      </c>
      <c r="E226" s="68">
        <v>7142</v>
      </c>
      <c r="F226" s="100">
        <v>9.17</v>
      </c>
      <c r="G226" s="102">
        <v>6999</v>
      </c>
      <c r="H226" s="71">
        <v>44460</v>
      </c>
      <c r="I226" s="16">
        <v>58493</v>
      </c>
      <c r="J226" s="29" t="s">
        <v>90</v>
      </c>
      <c r="K226" s="93" t="s">
        <v>345</v>
      </c>
      <c r="L226" s="93"/>
      <c r="N226" s="9"/>
      <c r="Q226" s="13"/>
      <c r="S226" s="9">
        <v>0.5</v>
      </c>
      <c r="T226" s="98" t="s">
        <v>346</v>
      </c>
      <c r="U226" s="125">
        <v>82</v>
      </c>
      <c r="V226" s="125"/>
      <c r="W226" s="98"/>
      <c r="X226" s="32"/>
      <c r="Z226" s="35"/>
      <c r="AA226" s="112"/>
      <c r="AB226" s="98"/>
      <c r="AC226" s="9"/>
      <c r="AD226" s="9"/>
      <c r="AE226" s="9"/>
      <c r="AF226" s="9"/>
      <c r="AG226" s="9"/>
      <c r="AH226" s="9"/>
      <c r="AJ226" s="94"/>
      <c r="AK226" s="94"/>
      <c r="AL226" s="3"/>
      <c r="AM226" s="3"/>
    </row>
    <row r="227" spans="1:39" ht="15">
      <c r="A227" s="109"/>
      <c r="B227" s="1663" t="s">
        <v>343</v>
      </c>
      <c r="C227" s="22" t="s">
        <v>344</v>
      </c>
      <c r="D227" s="67">
        <v>8.19</v>
      </c>
      <c r="E227" s="68">
        <v>7142</v>
      </c>
      <c r="F227" s="100">
        <v>8.89</v>
      </c>
      <c r="G227" s="102">
        <v>4999</v>
      </c>
      <c r="H227" s="71">
        <v>44459</v>
      </c>
      <c r="I227" s="16">
        <v>58493</v>
      </c>
      <c r="J227" s="29" t="s">
        <v>90</v>
      </c>
      <c r="K227" s="93" t="s">
        <v>347</v>
      </c>
      <c r="L227" s="93"/>
      <c r="N227" s="9"/>
      <c r="Q227" s="13"/>
      <c r="S227" s="25"/>
      <c r="U227" s="101">
        <f>SUM(U218:U226)</f>
        <v>473</v>
      </c>
      <c r="V227" s="101">
        <f>SUM(V218:V223)</f>
        <v>402</v>
      </c>
      <c r="W227" s="98"/>
      <c r="X227" s="32"/>
      <c r="Z227" s="35"/>
      <c r="AA227" s="112"/>
      <c r="AB227" s="98"/>
      <c r="AC227" s="9"/>
      <c r="AD227" s="9"/>
      <c r="AE227" s="9"/>
      <c r="AF227" s="9"/>
      <c r="AG227" s="9"/>
      <c r="AH227" s="9"/>
      <c r="AJ227" s="94"/>
      <c r="AK227" s="94"/>
      <c r="AL227" s="3"/>
      <c r="AM227" s="3"/>
    </row>
    <row r="228" spans="1:39" ht="15">
      <c r="A228" s="109"/>
      <c r="B228" s="1663" t="s">
        <v>348</v>
      </c>
      <c r="C228" s="22" t="s">
        <v>349</v>
      </c>
      <c r="D228" s="67">
        <v>117.24</v>
      </c>
      <c r="E228" s="68">
        <v>426</v>
      </c>
      <c r="F228" s="100">
        <v>108.16</v>
      </c>
      <c r="G228" s="102">
        <v>-3868</v>
      </c>
      <c r="H228" s="71">
        <v>44454</v>
      </c>
      <c r="I228" s="16">
        <v>49944</v>
      </c>
      <c r="J228" s="29" t="s">
        <v>278</v>
      </c>
      <c r="K228" s="137"/>
      <c r="L228" s="93"/>
      <c r="M228" s="16">
        <f>G228+G231+G233+G238+G240</f>
        <v>-1122</v>
      </c>
      <c r="N228" s="9" t="s">
        <v>278</v>
      </c>
      <c r="Q228" s="13"/>
      <c r="T228" s="98"/>
      <c r="U228" s="101">
        <f>U227/12</f>
        <v>39.416666666666664</v>
      </c>
      <c r="V228" s="101">
        <f>V227/12</f>
        <v>33.5</v>
      </c>
      <c r="W228" s="98"/>
      <c r="X228" s="32"/>
      <c r="Z228" s="35"/>
      <c r="AA228" s="112"/>
      <c r="AB228" s="98"/>
      <c r="AC228" s="9"/>
      <c r="AD228" s="9"/>
      <c r="AE228" s="9"/>
      <c r="AF228" s="9"/>
      <c r="AG228" s="9"/>
      <c r="AH228" s="9"/>
      <c r="AJ228" s="94"/>
      <c r="AK228" s="94"/>
      <c r="AL228" s="3"/>
      <c r="AM228" s="3"/>
    </row>
    <row r="229" spans="1:39" ht="15">
      <c r="A229" s="109"/>
      <c r="B229" s="1663" t="s">
        <v>350</v>
      </c>
      <c r="C229" s="22" t="s">
        <v>351</v>
      </c>
      <c r="D229" s="67">
        <v>26.21</v>
      </c>
      <c r="E229" s="68">
        <v>3813</v>
      </c>
      <c r="F229" s="100">
        <v>25.09</v>
      </c>
      <c r="G229" s="102">
        <v>-4264</v>
      </c>
      <c r="H229" s="71">
        <v>44452</v>
      </c>
      <c r="I229" s="16">
        <v>99939</v>
      </c>
      <c r="J229" s="29" t="s">
        <v>90</v>
      </c>
      <c r="K229" s="137"/>
      <c r="L229" s="93"/>
      <c r="M229" s="16">
        <f>G229+G235+G236+G237</f>
        <v>-30460</v>
      </c>
      <c r="N229" s="9" t="s">
        <v>90</v>
      </c>
      <c r="Q229" s="13"/>
      <c r="T229" s="98"/>
      <c r="U229" s="101"/>
      <c r="V229" s="26"/>
      <c r="W229" s="98"/>
      <c r="X229" s="32"/>
      <c r="Z229" s="35"/>
      <c r="AA229" s="112"/>
      <c r="AB229" s="98"/>
      <c r="AC229" s="9"/>
      <c r="AD229" s="9"/>
      <c r="AE229" s="9"/>
      <c r="AF229" s="9"/>
      <c r="AG229" s="9"/>
      <c r="AH229" s="9"/>
      <c r="AJ229" s="94"/>
      <c r="AK229" s="94"/>
      <c r="AL229" s="3"/>
      <c r="AM229" s="3"/>
    </row>
    <row r="230" spans="1:39" ht="15">
      <c r="A230" s="109"/>
      <c r="B230" s="1663" t="s">
        <v>352</v>
      </c>
      <c r="C230" s="22" t="s">
        <v>259</v>
      </c>
      <c r="D230" s="67">
        <v>498.19</v>
      </c>
      <c r="E230" s="68">
        <v>101</v>
      </c>
      <c r="F230" s="100">
        <v>503.14</v>
      </c>
      <c r="G230" s="102">
        <v>500</v>
      </c>
      <c r="H230" s="71">
        <v>44449</v>
      </c>
      <c r="I230" s="16">
        <v>50317</v>
      </c>
      <c r="J230" s="29" t="s">
        <v>266</v>
      </c>
      <c r="K230" s="137"/>
      <c r="L230" s="93"/>
      <c r="M230" s="16">
        <f>G230+G232+G234+G239+G241</f>
        <v>-6698</v>
      </c>
      <c r="N230" s="9" t="s">
        <v>266</v>
      </c>
      <c r="Q230" s="13"/>
      <c r="S230" s="9"/>
      <c r="T230" s="98"/>
      <c r="U230" s="101"/>
      <c r="V230" s="26"/>
      <c r="W230" s="98"/>
      <c r="X230" s="32"/>
      <c r="Z230" s="35"/>
      <c r="AA230" s="112"/>
      <c r="AB230" s="98"/>
      <c r="AC230" s="9"/>
      <c r="AD230" s="9"/>
      <c r="AE230" s="9"/>
      <c r="AF230" s="9"/>
      <c r="AG230" s="9"/>
      <c r="AH230" s="9"/>
      <c r="AJ230" s="94"/>
      <c r="AK230" s="94"/>
      <c r="AL230" s="3"/>
      <c r="AM230" s="3"/>
    </row>
    <row r="231" spans="1:39" ht="39">
      <c r="A231" s="109"/>
      <c r="B231" s="1663" t="s">
        <v>353</v>
      </c>
      <c r="C231" s="9" t="s">
        <v>354</v>
      </c>
      <c r="D231" s="67">
        <v>143.38</v>
      </c>
      <c r="E231" s="68">
        <v>348</v>
      </c>
      <c r="F231" s="100">
        <v>144.82</v>
      </c>
      <c r="G231" s="102">
        <v>501</v>
      </c>
      <c r="H231" s="71">
        <v>44449</v>
      </c>
      <c r="I231" s="16">
        <v>49896</v>
      </c>
      <c r="J231" s="29" t="s">
        <v>278</v>
      </c>
      <c r="K231" s="137"/>
      <c r="L231" s="93"/>
      <c r="Q231" s="13"/>
      <c r="S231" s="9">
        <v>5</v>
      </c>
      <c r="T231" s="98" t="s">
        <v>355</v>
      </c>
      <c r="U231" s="101"/>
      <c r="V231" s="138" t="s">
        <v>356</v>
      </c>
      <c r="W231" s="98"/>
      <c r="X231" s="32"/>
      <c r="Z231" s="35"/>
      <c r="AA231" s="112"/>
      <c r="AB231" s="98"/>
      <c r="AC231" s="9"/>
      <c r="AD231" s="9"/>
      <c r="AE231" s="9"/>
      <c r="AF231" s="9"/>
      <c r="AG231" s="9"/>
      <c r="AH231" s="9"/>
      <c r="AJ231" s="94"/>
      <c r="AK231" s="94"/>
      <c r="AL231" s="3"/>
      <c r="AM231" s="3"/>
    </row>
    <row r="232" spans="1:39" ht="26.25">
      <c r="A232" s="109"/>
      <c r="B232" s="1663" t="s">
        <v>357</v>
      </c>
      <c r="C232" s="9" t="s">
        <v>358</v>
      </c>
      <c r="D232" s="67">
        <v>221.53</v>
      </c>
      <c r="E232" s="68">
        <v>225</v>
      </c>
      <c r="F232" s="100">
        <v>223.75</v>
      </c>
      <c r="G232" s="102">
        <v>500</v>
      </c>
      <c r="H232" s="71">
        <v>44447</v>
      </c>
      <c r="I232" s="16">
        <v>49844</v>
      </c>
      <c r="J232" s="29" t="s">
        <v>266</v>
      </c>
      <c r="K232" s="137"/>
      <c r="L232" s="93"/>
      <c r="Q232" s="13"/>
      <c r="S232" s="9"/>
      <c r="T232" s="98"/>
      <c r="U232" s="101"/>
      <c r="V232" s="26"/>
      <c r="W232" s="98"/>
      <c r="X232" s="32"/>
      <c r="Z232" s="35"/>
      <c r="AA232" s="112"/>
      <c r="AB232" s="98"/>
      <c r="AC232" s="9"/>
      <c r="AD232" s="9"/>
      <c r="AE232" s="9"/>
      <c r="AF232" s="9"/>
      <c r="AG232" s="9"/>
      <c r="AH232" s="9"/>
      <c r="AJ232" s="94"/>
      <c r="AK232" s="94"/>
      <c r="AL232" s="3"/>
      <c r="AM232" s="3"/>
    </row>
    <row r="233" spans="1:39" ht="26.25">
      <c r="A233" s="109"/>
      <c r="B233" s="1663" t="s">
        <v>359</v>
      </c>
      <c r="C233" s="9" t="s">
        <v>360</v>
      </c>
      <c r="D233" s="67">
        <v>290.70999999999998</v>
      </c>
      <c r="E233" s="68">
        <v>171</v>
      </c>
      <c r="F233" s="100">
        <v>293.63</v>
      </c>
      <c r="G233" s="102">
        <v>499</v>
      </c>
      <c r="H233" s="71">
        <v>44446</v>
      </c>
      <c r="I233" s="16">
        <v>49711</v>
      </c>
      <c r="J233" s="29" t="s">
        <v>278</v>
      </c>
      <c r="K233" s="137"/>
      <c r="L233" s="93"/>
      <c r="Q233" s="13"/>
      <c r="S233" s="9"/>
      <c r="T233" s="98" t="s">
        <v>361</v>
      </c>
      <c r="U233" s="101">
        <v>8</v>
      </c>
      <c r="V233" s="26"/>
      <c r="W233" s="98"/>
      <c r="X233" s="32"/>
      <c r="Z233" s="101">
        <v>8</v>
      </c>
      <c r="AA233" s="112"/>
      <c r="AB233" s="98"/>
      <c r="AC233" s="9"/>
      <c r="AD233" s="9"/>
      <c r="AE233" s="9"/>
      <c r="AF233" s="9"/>
      <c r="AG233" s="9"/>
      <c r="AH233" s="9"/>
      <c r="AJ233" s="94"/>
      <c r="AK233" s="94"/>
      <c r="AL233" s="3"/>
      <c r="AM233" s="3"/>
    </row>
    <row r="234" spans="1:39" ht="26.25">
      <c r="A234" s="109"/>
      <c r="B234" s="1663" t="s">
        <v>314</v>
      </c>
      <c r="C234" s="22" t="s">
        <v>315</v>
      </c>
      <c r="D234" s="67">
        <v>4.07</v>
      </c>
      <c r="E234" s="68">
        <v>6944</v>
      </c>
      <c r="F234" s="100">
        <v>2.77</v>
      </c>
      <c r="G234" s="102">
        <v>-8610</v>
      </c>
      <c r="H234" s="71">
        <v>44446</v>
      </c>
      <c r="I234" s="16">
        <v>28282</v>
      </c>
      <c r="J234" s="29" t="s">
        <v>266</v>
      </c>
      <c r="K234" s="137">
        <v>0.5</v>
      </c>
      <c r="L234" s="93"/>
      <c r="M234" s="16">
        <f>G234+G235+G236+G237</f>
        <v>-34806</v>
      </c>
      <c r="Q234" s="13"/>
      <c r="S234" s="9"/>
      <c r="T234" s="98" t="s">
        <v>362</v>
      </c>
      <c r="U234" s="101">
        <f>12</f>
        <v>12</v>
      </c>
      <c r="V234" s="26"/>
      <c r="W234" s="98"/>
      <c r="X234" s="32"/>
      <c r="Z234" s="101">
        <f>12</f>
        <v>12</v>
      </c>
      <c r="AA234" s="112"/>
      <c r="AB234" s="98"/>
      <c r="AC234" s="9"/>
      <c r="AD234" s="9"/>
      <c r="AE234" s="9"/>
      <c r="AF234" s="9"/>
      <c r="AG234" s="9"/>
      <c r="AH234" s="9"/>
      <c r="AJ234" s="94"/>
      <c r="AK234" s="94"/>
      <c r="AL234" s="3"/>
      <c r="AM234" s="3"/>
    </row>
    <row r="235" spans="1:39" ht="26.25">
      <c r="A235" s="109"/>
      <c r="B235" s="1663" t="s">
        <v>307</v>
      </c>
      <c r="C235" s="22" t="s">
        <v>308</v>
      </c>
      <c r="D235" s="67">
        <v>88.66</v>
      </c>
      <c r="E235" s="68">
        <v>574</v>
      </c>
      <c r="F235" s="100">
        <v>76.33</v>
      </c>
      <c r="G235" s="102">
        <v>-3854</v>
      </c>
      <c r="H235" s="71">
        <v>44442</v>
      </c>
      <c r="I235" s="16">
        <v>50891</v>
      </c>
      <c r="J235" s="29" t="s">
        <v>90</v>
      </c>
      <c r="K235" s="137">
        <v>0.5</v>
      </c>
      <c r="L235" s="93"/>
      <c r="Q235" s="13"/>
      <c r="S235" s="9"/>
      <c r="T235" s="102" t="s">
        <v>363</v>
      </c>
      <c r="U235" s="139" t="s">
        <v>364</v>
      </c>
      <c r="V235" s="26"/>
      <c r="W235" s="98"/>
      <c r="X235" s="32"/>
      <c r="Z235" s="139" t="s">
        <v>365</v>
      </c>
      <c r="AA235" s="112"/>
      <c r="AB235" s="98"/>
      <c r="AC235" s="9"/>
      <c r="AD235" s="9"/>
      <c r="AE235" s="9"/>
      <c r="AF235" s="9"/>
      <c r="AG235" s="9"/>
      <c r="AH235" s="9"/>
      <c r="AJ235" s="94"/>
      <c r="AK235" s="94"/>
      <c r="AL235" s="3"/>
      <c r="AM235" s="3"/>
    </row>
    <row r="236" spans="1:39" ht="15">
      <c r="A236" s="109"/>
      <c r="B236" s="1663" t="s">
        <v>322</v>
      </c>
      <c r="C236" s="22" t="s">
        <v>323</v>
      </c>
      <c r="D236" s="67">
        <v>53.84</v>
      </c>
      <c r="E236" s="68">
        <v>1463</v>
      </c>
      <c r="F236" s="100">
        <v>30.04</v>
      </c>
      <c r="G236" s="102">
        <v>-7387</v>
      </c>
      <c r="H236" s="71">
        <v>44441</v>
      </c>
      <c r="I236" s="16">
        <v>78768</v>
      </c>
      <c r="J236" s="29" t="s">
        <v>90</v>
      </c>
      <c r="K236" s="137">
        <v>0.5</v>
      </c>
      <c r="L236" s="93"/>
      <c r="Q236" s="13"/>
      <c r="S236" s="9"/>
      <c r="T236" s="98" t="s">
        <v>366</v>
      </c>
      <c r="U236" s="101">
        <f>2*7*7/12</f>
        <v>8.1666666666666661</v>
      </c>
      <c r="V236" s="26">
        <v>65</v>
      </c>
      <c r="W236" s="98" t="s">
        <v>367</v>
      </c>
      <c r="X236" s="32"/>
      <c r="Z236" s="101">
        <f>2*7*7/12</f>
        <v>8.1666666666666661</v>
      </c>
      <c r="AA236" s="112"/>
      <c r="AB236" s="98"/>
      <c r="AC236" s="9"/>
      <c r="AD236" s="9"/>
      <c r="AE236" s="9"/>
      <c r="AF236" s="9"/>
      <c r="AG236" s="9"/>
      <c r="AH236" s="9"/>
      <c r="AJ236" s="94"/>
      <c r="AK236" s="94"/>
      <c r="AL236" s="3"/>
      <c r="AM236" s="3"/>
    </row>
    <row r="237" spans="1:39" ht="15">
      <c r="A237" s="109"/>
      <c r="B237" s="1663" t="s">
        <v>304</v>
      </c>
      <c r="C237" s="22" t="s">
        <v>305</v>
      </c>
      <c r="D237" s="67">
        <v>22.73</v>
      </c>
      <c r="E237" s="68">
        <v>3946</v>
      </c>
      <c r="F237" s="100">
        <v>17.440000000000001</v>
      </c>
      <c r="G237" s="102">
        <v>-14955</v>
      </c>
      <c r="H237" s="71">
        <v>44441</v>
      </c>
      <c r="I237" s="16">
        <v>89693</v>
      </c>
      <c r="J237" s="29" t="s">
        <v>90</v>
      </c>
      <c r="K237" s="137">
        <v>0.5</v>
      </c>
      <c r="L237" s="93"/>
      <c r="Q237" s="13"/>
      <c r="S237" s="9"/>
      <c r="T237" s="98" t="s">
        <v>368</v>
      </c>
      <c r="U237" s="101">
        <f>U236*5</f>
        <v>40.833333333333329</v>
      </c>
      <c r="V237" s="9">
        <v>426.4</v>
      </c>
      <c r="W237" s="9" t="s">
        <v>369</v>
      </c>
      <c r="X237" s="32"/>
      <c r="Z237" s="101">
        <f>Z236*5</f>
        <v>40.833333333333329</v>
      </c>
      <c r="AA237" s="112"/>
      <c r="AB237" s="98"/>
      <c r="AC237" s="9"/>
      <c r="AD237" s="9"/>
      <c r="AE237" s="9"/>
      <c r="AF237" s="9"/>
      <c r="AG237" s="9"/>
      <c r="AH237" s="9"/>
      <c r="AJ237" s="94"/>
      <c r="AK237" s="94"/>
      <c r="AL237" s="3"/>
      <c r="AM237" s="3"/>
    </row>
    <row r="238" spans="1:39" ht="26.25">
      <c r="A238" s="109"/>
      <c r="B238" s="1663" t="s">
        <v>370</v>
      </c>
      <c r="C238" s="22" t="s">
        <v>371</v>
      </c>
      <c r="D238" s="67">
        <v>1559.82</v>
      </c>
      <c r="E238" s="68">
        <v>63</v>
      </c>
      <c r="F238" s="100">
        <v>1579.6</v>
      </c>
      <c r="G238" s="102">
        <v>1246</v>
      </c>
      <c r="H238" s="71">
        <v>44441</v>
      </c>
      <c r="I238" s="16">
        <v>98269</v>
      </c>
      <c r="J238" s="29" t="s">
        <v>278</v>
      </c>
      <c r="K238" s="93"/>
      <c r="L238" s="93"/>
      <c r="Q238" s="13"/>
      <c r="S238" s="9"/>
      <c r="T238" s="98" t="s">
        <v>372</v>
      </c>
      <c r="U238" s="101">
        <v>8.99</v>
      </c>
      <c r="V238" s="26">
        <v>0</v>
      </c>
      <c r="W238" s="98" t="s">
        <v>373</v>
      </c>
      <c r="X238" s="32"/>
      <c r="Z238" s="101">
        <v>8.99</v>
      </c>
      <c r="AA238" s="112"/>
      <c r="AB238" s="98"/>
      <c r="AC238" s="9"/>
      <c r="AD238" s="9"/>
      <c r="AE238" s="9"/>
      <c r="AF238" s="9"/>
      <c r="AG238" s="9"/>
      <c r="AH238" s="9"/>
      <c r="AJ238" s="94"/>
      <c r="AK238" s="94"/>
      <c r="AL238" s="3"/>
      <c r="AM238" s="3"/>
    </row>
    <row r="239" spans="1:39" ht="15">
      <c r="A239" s="109"/>
      <c r="B239" s="1663" t="s">
        <v>374</v>
      </c>
      <c r="C239" s="22" t="s">
        <v>375</v>
      </c>
      <c r="D239" s="67">
        <v>45.14</v>
      </c>
      <c r="E239" s="68">
        <v>1108</v>
      </c>
      <c r="F239" s="100">
        <v>45.52</v>
      </c>
      <c r="G239" s="102">
        <v>421</v>
      </c>
      <c r="H239" s="71">
        <v>44440</v>
      </c>
      <c r="I239" s="16">
        <v>50015</v>
      </c>
      <c r="J239" s="29" t="s">
        <v>266</v>
      </c>
      <c r="K239" s="93"/>
      <c r="L239" s="93"/>
      <c r="Q239" s="13"/>
      <c r="S239" s="9"/>
      <c r="T239" s="98" t="s">
        <v>376</v>
      </c>
      <c r="U239" s="101">
        <f>U237*U238</f>
        <v>367.09166666666664</v>
      </c>
      <c r="V239" s="26">
        <f>V237+V238</f>
        <v>426.4</v>
      </c>
      <c r="W239" s="98" t="s">
        <v>61</v>
      </c>
      <c r="X239" s="32"/>
      <c r="Z239" s="101">
        <f>Z237*Z238</f>
        <v>367.09166666666664</v>
      </c>
      <c r="AA239" s="112"/>
      <c r="AB239" s="98"/>
      <c r="AC239" s="9"/>
      <c r="AD239" s="9"/>
      <c r="AE239" s="9"/>
      <c r="AF239" s="9"/>
      <c r="AG239" s="9"/>
      <c r="AH239" s="9"/>
      <c r="AJ239" s="94"/>
      <c r="AK239" s="94"/>
      <c r="AL239" s="3"/>
      <c r="AM239" s="3"/>
    </row>
    <row r="240" spans="1:39" ht="15">
      <c r="A240" s="109"/>
      <c r="B240" s="1663" t="s">
        <v>377</v>
      </c>
      <c r="C240" s="9" t="s">
        <v>137</v>
      </c>
      <c r="D240" s="67">
        <v>729.94</v>
      </c>
      <c r="E240" s="68">
        <v>68</v>
      </c>
      <c r="F240" s="100">
        <v>737.29</v>
      </c>
      <c r="G240" s="102">
        <v>500</v>
      </c>
      <c r="H240" s="71">
        <v>44440</v>
      </c>
      <c r="I240" s="16">
        <v>49636</v>
      </c>
      <c r="J240" s="29" t="s">
        <v>278</v>
      </c>
      <c r="K240" s="93"/>
      <c r="L240" s="93"/>
      <c r="Q240" s="13"/>
      <c r="S240" s="9"/>
      <c r="T240" s="98" t="s">
        <v>378</v>
      </c>
      <c r="U240" s="139">
        <f>(U239*9/100)+U239</f>
        <v>400.12991666666665</v>
      </c>
      <c r="V240" s="26"/>
      <c r="W240" s="98"/>
      <c r="X240" s="32"/>
      <c r="Z240" s="139">
        <f>(Z239*9/100)+Z239</f>
        <v>400.12991666666665</v>
      </c>
      <c r="AA240" s="112"/>
      <c r="AB240" s="98"/>
      <c r="AC240" s="9"/>
      <c r="AD240" s="9"/>
      <c r="AE240" s="9"/>
      <c r="AF240" s="9"/>
      <c r="AG240" s="9"/>
      <c r="AH240" s="9"/>
      <c r="AJ240" s="94"/>
      <c r="AK240" s="94"/>
      <c r="AL240" s="3"/>
      <c r="AM240" s="3"/>
    </row>
    <row r="241" spans="1:39" ht="15">
      <c r="A241" s="109"/>
      <c r="B241" s="1663" t="s">
        <v>340</v>
      </c>
      <c r="C241" s="22" t="s">
        <v>341</v>
      </c>
      <c r="D241" s="67">
        <v>12.41</v>
      </c>
      <c r="E241" s="68">
        <v>376</v>
      </c>
      <c r="F241" s="100">
        <v>12.54</v>
      </c>
      <c r="G241" s="102">
        <v>491</v>
      </c>
      <c r="H241" s="71">
        <v>44440</v>
      </c>
      <c r="I241" s="16">
        <v>46860</v>
      </c>
      <c r="J241" s="29" t="s">
        <v>266</v>
      </c>
      <c r="K241" s="93"/>
      <c r="L241" s="93"/>
      <c r="Q241" s="13"/>
      <c r="S241" s="9"/>
      <c r="T241" s="102" t="s">
        <v>379</v>
      </c>
      <c r="U241" s="101"/>
      <c r="V241" s="26"/>
      <c r="W241" s="98"/>
      <c r="X241" s="32"/>
      <c r="Z241" s="101"/>
      <c r="AA241" s="112"/>
      <c r="AB241" s="98"/>
      <c r="AC241" s="9"/>
      <c r="AD241" s="9"/>
      <c r="AE241" s="9"/>
      <c r="AF241" s="9"/>
      <c r="AG241" s="9"/>
      <c r="AH241" s="9"/>
      <c r="AJ241" s="94"/>
      <c r="AK241" s="94"/>
      <c r="AL241" s="3"/>
      <c r="AM241" s="3"/>
    </row>
    <row r="242" spans="1:39" ht="15">
      <c r="A242" s="109"/>
      <c r="B242" s="1663"/>
      <c r="C242" s="22"/>
      <c r="D242" s="67"/>
      <c r="E242" s="68"/>
      <c r="F242" s="70" t="s">
        <v>20</v>
      </c>
      <c r="G242" s="61">
        <f>SUM(G243:G287)</f>
        <v>25322.28</v>
      </c>
      <c r="H242" s="71"/>
      <c r="I242" s="16">
        <v>45</v>
      </c>
      <c r="J242" s="29"/>
      <c r="K242" s="93"/>
      <c r="L242" s="93"/>
      <c r="Q242" s="13"/>
      <c r="S242" s="9"/>
      <c r="T242" s="98" t="s">
        <v>380</v>
      </c>
      <c r="U242" s="101">
        <f>1*9*7/12</f>
        <v>5.25</v>
      </c>
      <c r="V242" s="26">
        <v>45</v>
      </c>
      <c r="W242" s="98" t="s">
        <v>367</v>
      </c>
      <c r="X242" s="32"/>
      <c r="Z242" s="101">
        <f>1*9*7/12</f>
        <v>5.25</v>
      </c>
      <c r="AA242" s="112"/>
      <c r="AB242" s="98"/>
      <c r="AC242" s="9"/>
      <c r="AD242" s="9"/>
      <c r="AE242" s="9"/>
      <c r="AF242" s="9"/>
      <c r="AG242" s="9"/>
      <c r="AH242" s="9"/>
      <c r="AJ242" s="94"/>
      <c r="AK242" s="94"/>
      <c r="AL242" s="3"/>
      <c r="AM242" s="3"/>
    </row>
    <row r="243" spans="1:39" ht="15">
      <c r="A243" s="109"/>
      <c r="B243" s="1663" t="s">
        <v>381</v>
      </c>
      <c r="C243" s="22" t="s">
        <v>382</v>
      </c>
      <c r="D243" s="67">
        <v>6.81</v>
      </c>
      <c r="E243" s="68">
        <f>7342</f>
        <v>7342</v>
      </c>
      <c r="F243" s="100">
        <v>6.88</v>
      </c>
      <c r="G243" s="102">
        <v>441</v>
      </c>
      <c r="H243" s="71">
        <v>44439</v>
      </c>
      <c r="I243" s="16">
        <f>D243*E243</f>
        <v>49999.02</v>
      </c>
      <c r="J243" s="29" t="s">
        <v>266</v>
      </c>
      <c r="K243" s="93"/>
      <c r="L243" s="93"/>
      <c r="M243" s="16">
        <f>G249+G251+G252+G253+G255+G257+G259+G260+G261+G263+G267+G268+G269+G272+G281+G282+G284+G285+G287</f>
        <v>3776.28</v>
      </c>
      <c r="N243" s="9" t="s">
        <v>278</v>
      </c>
      <c r="Q243" s="13"/>
      <c r="S243" s="9"/>
      <c r="T243" s="98" t="s">
        <v>368</v>
      </c>
      <c r="U243" s="101">
        <f>U242*5</f>
        <v>26.25</v>
      </c>
      <c r="V243" s="9">
        <v>244.35</v>
      </c>
      <c r="W243" s="9" t="s">
        <v>369</v>
      </c>
      <c r="X243" s="32"/>
      <c r="Y243" s="9"/>
      <c r="Z243" s="101">
        <f>Z242*5</f>
        <v>26.25</v>
      </c>
      <c r="AA243" s="112"/>
      <c r="AB243" s="98"/>
      <c r="AC243" s="9"/>
      <c r="AD243" s="9"/>
      <c r="AE243" s="9"/>
      <c r="AF243" s="9"/>
      <c r="AG243" s="9"/>
      <c r="AH243" s="9"/>
      <c r="AJ243" s="94"/>
      <c r="AK243" s="94"/>
      <c r="AL243" s="3"/>
      <c r="AM243" s="3"/>
    </row>
    <row r="244" spans="1:39" ht="26.25">
      <c r="A244" s="109"/>
      <c r="B244" s="1663" t="s">
        <v>383</v>
      </c>
      <c r="C244" s="22" t="s">
        <v>384</v>
      </c>
      <c r="D244" s="67">
        <v>33.71</v>
      </c>
      <c r="E244" s="68">
        <v>372</v>
      </c>
      <c r="F244" s="100">
        <v>29.94</v>
      </c>
      <c r="G244" s="102">
        <f>200-1402</f>
        <v>-1202</v>
      </c>
      <c r="H244" s="71">
        <v>44439</v>
      </c>
      <c r="I244" s="16">
        <f>D244*E244</f>
        <v>12540.12</v>
      </c>
      <c r="J244" s="29" t="s">
        <v>266</v>
      </c>
      <c r="K244" s="93"/>
      <c r="L244" s="93"/>
      <c r="M244" s="16">
        <f>G247+G262+G264+G265+G266+G270+G273+G274+G276+G279+G283+G286</f>
        <v>31663</v>
      </c>
      <c r="N244" s="9" t="s">
        <v>90</v>
      </c>
      <c r="Q244" s="13"/>
      <c r="R244" s="25"/>
      <c r="S244" s="25"/>
      <c r="T244" s="98" t="s">
        <v>372</v>
      </c>
      <c r="U244" s="64">
        <v>8.99</v>
      </c>
      <c r="V244" s="26">
        <v>368.43</v>
      </c>
      <c r="W244" s="98" t="s">
        <v>373</v>
      </c>
      <c r="X244" s="32"/>
      <c r="Y244" s="25"/>
      <c r="Z244" s="64">
        <v>8.99</v>
      </c>
      <c r="AA244" s="112"/>
      <c r="AB244" s="98"/>
      <c r="AC244" s="9"/>
      <c r="AD244" s="9"/>
      <c r="AE244" s="9"/>
      <c r="AF244" s="9"/>
      <c r="AG244" s="9"/>
      <c r="AH244" s="9"/>
      <c r="AJ244" s="94"/>
      <c r="AK244" s="94"/>
      <c r="AL244" s="3"/>
      <c r="AM244" s="3"/>
    </row>
    <row r="245" spans="1:39" ht="15">
      <c r="A245" s="109"/>
      <c r="B245" s="1663" t="s">
        <v>338</v>
      </c>
      <c r="C245" s="22" t="s">
        <v>339</v>
      </c>
      <c r="D245" s="67">
        <v>12.64</v>
      </c>
      <c r="E245" s="68">
        <v>3949</v>
      </c>
      <c r="F245" s="100">
        <v>12.78</v>
      </c>
      <c r="G245" s="102">
        <v>553</v>
      </c>
      <c r="H245" s="71">
        <v>44438</v>
      </c>
      <c r="I245" s="16">
        <v>49915</v>
      </c>
      <c r="J245" s="29" t="s">
        <v>266</v>
      </c>
      <c r="K245" s="93"/>
      <c r="L245" s="93"/>
      <c r="M245" s="16">
        <f>G243+G244+G245+G246+G250+G256+G258+G271+G275+G277+G280</f>
        <v>-16391</v>
      </c>
      <c r="N245" s="9" t="s">
        <v>266</v>
      </c>
      <c r="Q245" s="13"/>
      <c r="R245" s="25"/>
      <c r="S245" s="25"/>
      <c r="T245" s="98" t="s">
        <v>376</v>
      </c>
      <c r="U245" s="64">
        <f>U243*U244</f>
        <v>235.98750000000001</v>
      </c>
      <c r="V245" s="26">
        <f>V243+V244</f>
        <v>612.78</v>
      </c>
      <c r="W245" s="98" t="s">
        <v>61</v>
      </c>
      <c r="X245" s="32"/>
      <c r="Y245" s="25"/>
      <c r="Z245" s="64">
        <f>Z243*Z244</f>
        <v>235.98750000000001</v>
      </c>
      <c r="AA245" s="112"/>
      <c r="AB245" s="98"/>
      <c r="AC245" s="9"/>
      <c r="AD245" s="9"/>
      <c r="AE245" s="9"/>
      <c r="AF245" s="9"/>
      <c r="AG245" s="9"/>
      <c r="AH245" s="9"/>
      <c r="AJ245" s="94"/>
      <c r="AK245" s="94"/>
      <c r="AL245" s="3"/>
      <c r="AM245" s="3"/>
    </row>
    <row r="246" spans="1:39" ht="15">
      <c r="A246" s="109"/>
      <c r="B246" s="1663" t="s">
        <v>383</v>
      </c>
      <c r="C246" s="22" t="s">
        <v>384</v>
      </c>
      <c r="D246" s="67">
        <v>33.71</v>
      </c>
      <c r="E246" s="68">
        <v>616</v>
      </c>
      <c r="F246" s="100">
        <v>29.76</v>
      </c>
      <c r="G246" s="102">
        <f>-2370-60</f>
        <v>-2430</v>
      </c>
      <c r="H246" s="71">
        <v>44438</v>
      </c>
      <c r="I246" s="16">
        <f>20226+539</f>
        <v>20765</v>
      </c>
      <c r="J246" s="29" t="s">
        <v>266</v>
      </c>
      <c r="K246" s="93" t="s">
        <v>347</v>
      </c>
      <c r="L246" s="93"/>
      <c r="Q246" s="13"/>
      <c r="R246" s="25"/>
      <c r="S246" s="25"/>
      <c r="T246" s="98" t="s">
        <v>385</v>
      </c>
      <c r="U246" s="139">
        <f>(U245*9/100)+U245</f>
        <v>257.22637500000002</v>
      </c>
      <c r="V246" s="26"/>
      <c r="W246" s="98"/>
      <c r="X246" s="32"/>
      <c r="Y246" s="25"/>
      <c r="Z246" s="139">
        <f>(Z245*9/100)+Z245</f>
        <v>257.22637500000002</v>
      </c>
      <c r="AA246" s="112"/>
      <c r="AB246" s="98"/>
      <c r="AC246" s="9"/>
      <c r="AD246" s="9"/>
      <c r="AE246" s="9"/>
      <c r="AF246" s="9"/>
      <c r="AG246" s="9"/>
      <c r="AH246" s="9"/>
      <c r="AJ246" s="94"/>
      <c r="AK246" s="94"/>
      <c r="AL246" s="3"/>
      <c r="AM246" s="3"/>
    </row>
    <row r="247" spans="1:39" ht="15">
      <c r="A247" s="109"/>
      <c r="B247" s="1663" t="s">
        <v>386</v>
      </c>
      <c r="C247" s="22" t="s">
        <v>387</v>
      </c>
      <c r="D247" s="67">
        <v>44.58</v>
      </c>
      <c r="E247" s="68">
        <v>2468</v>
      </c>
      <c r="F247" s="100">
        <v>45.39</v>
      </c>
      <c r="G247" s="102">
        <v>1999</v>
      </c>
      <c r="H247" s="71">
        <v>44438</v>
      </c>
      <c r="I247" s="16">
        <v>110023</v>
      </c>
      <c r="J247" s="29" t="s">
        <v>90</v>
      </c>
      <c r="K247" s="93"/>
      <c r="L247" s="93"/>
      <c r="Q247" s="13"/>
      <c r="R247" s="25"/>
      <c r="S247" s="25"/>
      <c r="T247" s="98"/>
      <c r="U247" s="101"/>
      <c r="V247" s="26">
        <f>V245+V239</f>
        <v>1039.1799999999998</v>
      </c>
      <c r="W247" s="98" t="s">
        <v>61</v>
      </c>
      <c r="X247" s="32"/>
      <c r="Y247" s="25"/>
      <c r="Z247" s="101"/>
      <c r="AA247" s="112"/>
      <c r="AB247" s="98"/>
      <c r="AC247" s="9"/>
      <c r="AD247" s="9"/>
      <c r="AE247" s="9"/>
      <c r="AF247" s="9"/>
      <c r="AG247" s="9"/>
      <c r="AH247" s="9"/>
      <c r="AJ247" s="94"/>
      <c r="AK247" s="94"/>
      <c r="AL247" s="3"/>
      <c r="AM247" s="3"/>
    </row>
    <row r="248" spans="1:39" ht="26.25">
      <c r="A248" s="109"/>
      <c r="B248" s="1663" t="s">
        <v>47</v>
      </c>
      <c r="C248" s="9" t="s">
        <v>195</v>
      </c>
      <c r="D248" s="67">
        <v>10.45</v>
      </c>
      <c r="E248" s="68">
        <v>11806</v>
      </c>
      <c r="F248" s="100">
        <v>10.66</v>
      </c>
      <c r="G248" s="102">
        <v>826</v>
      </c>
      <c r="H248" s="71">
        <v>44437</v>
      </c>
      <c r="I248" s="16">
        <v>123373</v>
      </c>
      <c r="J248" s="29" t="s">
        <v>36</v>
      </c>
      <c r="K248" s="93"/>
      <c r="L248" s="93"/>
      <c r="Q248" s="13"/>
      <c r="R248" s="25"/>
      <c r="S248" s="25"/>
      <c r="T248" s="98" t="s">
        <v>388</v>
      </c>
      <c r="U248" s="140">
        <f>U246+U240</f>
        <v>657.35629166666672</v>
      </c>
      <c r="V248" s="26"/>
      <c r="W248" s="98"/>
      <c r="X248" s="32"/>
      <c r="Y248" s="25"/>
      <c r="Z248" s="140">
        <f>Z246+Z240</f>
        <v>657.35629166666672</v>
      </c>
      <c r="AA248" s="112"/>
      <c r="AB248" s="98"/>
      <c r="AC248" s="9"/>
      <c r="AD248" s="9"/>
      <c r="AE248" s="9"/>
      <c r="AF248" s="9"/>
      <c r="AG248" s="9"/>
      <c r="AH248" s="9"/>
      <c r="AJ248" s="94"/>
      <c r="AK248" s="94"/>
      <c r="AL248" s="3"/>
      <c r="AM248" s="3"/>
    </row>
    <row r="249" spans="1:39" ht="26.25">
      <c r="A249" s="109"/>
      <c r="B249" s="1663" t="s">
        <v>389</v>
      </c>
      <c r="C249" s="9" t="s">
        <v>390</v>
      </c>
      <c r="D249" s="67">
        <v>29.86</v>
      </c>
      <c r="E249" s="68">
        <v>1718</v>
      </c>
      <c r="F249" s="100">
        <v>30.15</v>
      </c>
      <c r="G249" s="102">
        <v>498</v>
      </c>
      <c r="H249" s="71">
        <v>44435</v>
      </c>
      <c r="I249" s="16">
        <v>51299</v>
      </c>
      <c r="J249" s="29" t="s">
        <v>278</v>
      </c>
      <c r="K249" s="93"/>
      <c r="L249" s="93"/>
      <c r="Q249" s="13"/>
      <c r="R249" s="25"/>
      <c r="S249" s="25"/>
      <c r="T249" s="98"/>
      <c r="U249" s="64"/>
      <c r="V249" s="26"/>
      <c r="W249" s="98"/>
      <c r="X249" s="32"/>
      <c r="Y249" s="25"/>
      <c r="Z249" s="35"/>
      <c r="AA249" s="112"/>
      <c r="AB249" s="98"/>
      <c r="AC249" s="9"/>
      <c r="AD249" s="9"/>
      <c r="AE249" s="9"/>
      <c r="AF249" s="9"/>
      <c r="AG249" s="9"/>
      <c r="AH249" s="9"/>
      <c r="AJ249" s="94"/>
      <c r="AK249" s="94"/>
      <c r="AL249" s="3"/>
      <c r="AM249" s="3"/>
    </row>
    <row r="250" spans="1:39" ht="15">
      <c r="A250" s="109"/>
      <c r="B250" s="1663" t="s">
        <v>383</v>
      </c>
      <c r="C250" s="22" t="s">
        <v>384</v>
      </c>
      <c r="D250" s="67">
        <v>33.71</v>
      </c>
      <c r="E250" s="68">
        <v>495</v>
      </c>
      <c r="F250" s="100">
        <v>30.05</v>
      </c>
      <c r="G250" s="102">
        <v>-1478</v>
      </c>
      <c r="H250" s="71">
        <v>44435</v>
      </c>
      <c r="I250" s="16">
        <v>16686</v>
      </c>
      <c r="J250" s="29" t="s">
        <v>266</v>
      </c>
      <c r="K250" s="93" t="s">
        <v>347</v>
      </c>
      <c r="L250" s="93"/>
      <c r="Q250" s="13"/>
      <c r="R250" s="25"/>
      <c r="S250" s="25"/>
      <c r="T250" s="98" t="s">
        <v>391</v>
      </c>
      <c r="U250" s="64">
        <v>379.7</v>
      </c>
      <c r="V250" s="26"/>
      <c r="W250" s="98"/>
      <c r="X250" s="32"/>
      <c r="Y250" s="25"/>
      <c r="Z250" s="35"/>
      <c r="AA250" s="112"/>
      <c r="AB250" s="98"/>
      <c r="AC250" s="9"/>
      <c r="AD250" s="9"/>
      <c r="AE250" s="9"/>
      <c r="AF250" s="9"/>
      <c r="AG250" s="9"/>
      <c r="AH250" s="9"/>
      <c r="AJ250" s="94"/>
      <c r="AK250" s="94"/>
      <c r="AL250" s="3"/>
      <c r="AM250" s="3"/>
    </row>
    <row r="251" spans="1:39" ht="15">
      <c r="A251" s="109"/>
      <c r="B251" s="1663" t="s">
        <v>392</v>
      </c>
      <c r="C251" s="22" t="s">
        <v>393</v>
      </c>
      <c r="D251" s="67">
        <v>110.45</v>
      </c>
      <c r="E251" s="68">
        <v>452</v>
      </c>
      <c r="F251" s="100">
        <v>111.56</v>
      </c>
      <c r="G251" s="102">
        <v>502</v>
      </c>
      <c r="H251" s="71">
        <v>44435</v>
      </c>
      <c r="I251" s="16">
        <v>49923</v>
      </c>
      <c r="J251" s="29" t="s">
        <v>278</v>
      </c>
      <c r="K251" s="93"/>
      <c r="L251" s="93"/>
      <c r="Q251" s="13"/>
      <c r="R251" s="25"/>
      <c r="S251" s="25"/>
      <c r="T251" s="98" t="s">
        <v>394</v>
      </c>
      <c r="U251" s="64">
        <f>53+27</f>
        <v>80</v>
      </c>
      <c r="V251" s="26"/>
      <c r="W251" s="98"/>
      <c r="X251" s="32"/>
      <c r="Y251" s="25"/>
      <c r="Z251" s="35"/>
      <c r="AA251" s="112"/>
      <c r="AB251" s="98"/>
      <c r="AC251" s="9"/>
      <c r="AD251" s="9"/>
      <c r="AE251" s="9"/>
      <c r="AF251" s="9"/>
      <c r="AG251" s="9"/>
      <c r="AH251" s="9"/>
      <c r="AJ251" s="94"/>
      <c r="AK251" s="94"/>
      <c r="AL251" s="3"/>
      <c r="AM251" s="3"/>
    </row>
    <row r="252" spans="1:39" ht="15">
      <c r="A252" s="109"/>
      <c r="B252" s="1663" t="s">
        <v>395</v>
      </c>
      <c r="C252" s="22" t="s">
        <v>396</v>
      </c>
      <c r="D252" s="67">
        <v>138.12</v>
      </c>
      <c r="E252" s="68">
        <v>362</v>
      </c>
      <c r="F252" s="100">
        <v>136.99</v>
      </c>
      <c r="G252" s="102">
        <v>-409</v>
      </c>
      <c r="H252" s="71">
        <v>44435</v>
      </c>
      <c r="I252" s="16">
        <v>49999</v>
      </c>
      <c r="J252" s="29" t="s">
        <v>278</v>
      </c>
      <c r="K252" s="93"/>
      <c r="L252" s="93"/>
      <c r="Q252" s="13"/>
      <c r="R252" s="25"/>
      <c r="S252" s="25"/>
      <c r="T252" s="98"/>
      <c r="U252" s="64">
        <f>U250/U251</f>
        <v>4.7462499999999999</v>
      </c>
      <c r="V252" s="26"/>
      <c r="W252" s="98"/>
      <c r="X252" s="32"/>
      <c r="Y252" s="25"/>
      <c r="Z252" s="35"/>
      <c r="AA252" s="112"/>
      <c r="AB252" s="98"/>
      <c r="AC252" s="9"/>
      <c r="AD252" s="9"/>
      <c r="AE252" s="9"/>
      <c r="AF252" s="9"/>
      <c r="AG252" s="9"/>
      <c r="AH252" s="9"/>
      <c r="AJ252" s="94"/>
      <c r="AK252" s="94"/>
      <c r="AL252" s="3"/>
      <c r="AM252" s="3"/>
    </row>
    <row r="253" spans="1:39" ht="15">
      <c r="A253" s="109"/>
      <c r="B253" s="1663" t="s">
        <v>397</v>
      </c>
      <c r="C253" s="22" t="s">
        <v>398</v>
      </c>
      <c r="D253" s="67">
        <v>143.91999999999999</v>
      </c>
      <c r="E253" s="68">
        <v>347</v>
      </c>
      <c r="F253" s="100">
        <v>132.80000000000001</v>
      </c>
      <c r="G253" s="102">
        <f>83.28-3859</f>
        <v>-3775.72</v>
      </c>
      <c r="H253" s="71">
        <v>44433</v>
      </c>
      <c r="I253" s="16">
        <v>49940</v>
      </c>
      <c r="J253" s="29" t="s">
        <v>278</v>
      </c>
      <c r="K253" s="93"/>
      <c r="L253" s="93"/>
      <c r="Q253" s="13"/>
      <c r="R253" s="25"/>
      <c r="S253" s="25"/>
      <c r="T253" s="98"/>
      <c r="U253" s="64"/>
      <c r="V253" s="26"/>
      <c r="W253" s="98"/>
      <c r="X253" s="32"/>
      <c r="Y253" s="25"/>
      <c r="Z253" s="35"/>
      <c r="AA253" s="112"/>
      <c r="AB253" s="98"/>
      <c r="AC253" s="9"/>
      <c r="AD253" s="9"/>
      <c r="AE253" s="9"/>
      <c r="AF253" s="9"/>
      <c r="AG253" s="9"/>
      <c r="AH253" s="9"/>
      <c r="AJ253" s="94"/>
      <c r="AK253" s="94"/>
      <c r="AL253" s="3"/>
      <c r="AM253" s="3"/>
    </row>
    <row r="254" spans="1:39" ht="15">
      <c r="A254" s="109"/>
      <c r="B254" s="1663" t="s">
        <v>399</v>
      </c>
      <c r="C254" s="22" t="s">
        <v>400</v>
      </c>
      <c r="D254" s="67">
        <v>5.2</v>
      </c>
      <c r="E254" s="68">
        <v>23793</v>
      </c>
      <c r="F254" s="100">
        <v>5.53</v>
      </c>
      <c r="G254" s="102">
        <v>7852</v>
      </c>
      <c r="H254" s="71">
        <v>44432</v>
      </c>
      <c r="I254" s="16">
        <v>123724</v>
      </c>
      <c r="J254" s="29" t="s">
        <v>90</v>
      </c>
      <c r="K254" s="93"/>
      <c r="L254" s="93"/>
      <c r="Q254" s="13"/>
      <c r="R254" s="25"/>
      <c r="S254" s="25"/>
      <c r="T254" s="98"/>
      <c r="U254" s="64"/>
      <c r="V254" s="26"/>
      <c r="W254" s="98"/>
      <c r="X254" s="32"/>
      <c r="Y254" s="25"/>
      <c r="Z254" s="35"/>
      <c r="AA254" s="112"/>
      <c r="AB254" s="98"/>
      <c r="AC254" s="9"/>
      <c r="AD254" s="9"/>
      <c r="AE254" s="9"/>
      <c r="AF254" s="9"/>
      <c r="AG254" s="9"/>
      <c r="AH254" s="9"/>
      <c r="AJ254" s="94"/>
      <c r="AK254" s="94"/>
      <c r="AL254" s="3"/>
      <c r="AM254" s="3"/>
    </row>
    <row r="255" spans="1:39" ht="15">
      <c r="A255" s="109"/>
      <c r="B255" s="1663" t="s">
        <v>401</v>
      </c>
      <c r="C255" s="22" t="s">
        <v>402</v>
      </c>
      <c r="D255" s="67">
        <v>24.88</v>
      </c>
      <c r="E255" s="68">
        <v>2009</v>
      </c>
      <c r="F255" s="100">
        <v>25.25</v>
      </c>
      <c r="G255" s="102">
        <v>743</v>
      </c>
      <c r="H255" s="71">
        <v>44432</v>
      </c>
      <c r="I255" s="16">
        <v>49984</v>
      </c>
      <c r="J255" s="29" t="s">
        <v>278</v>
      </c>
      <c r="K255" s="93"/>
      <c r="L255" s="93"/>
      <c r="Q255" s="13"/>
      <c r="T255" s="98"/>
      <c r="U255" s="101"/>
      <c r="V255" s="26"/>
      <c r="W255" s="98"/>
      <c r="X255" s="32"/>
      <c r="Y255" s="9"/>
      <c r="Z255" s="35"/>
      <c r="AA255" s="112"/>
      <c r="AB255" s="98"/>
      <c r="AC255" s="9"/>
      <c r="AD255" s="9"/>
      <c r="AE255" s="9"/>
      <c r="AF255" s="9"/>
      <c r="AG255" s="9"/>
      <c r="AH255" s="9"/>
      <c r="AJ255" s="94"/>
      <c r="AK255" s="94"/>
      <c r="AL255" s="3"/>
      <c r="AM255" s="3"/>
    </row>
    <row r="256" spans="1:39" ht="15">
      <c r="A256" s="109"/>
      <c r="B256" s="1663" t="s">
        <v>403</v>
      </c>
      <c r="C256" s="22" t="s">
        <v>384</v>
      </c>
      <c r="D256" s="67">
        <v>33.71</v>
      </c>
      <c r="E256" s="68">
        <v>1100</v>
      </c>
      <c r="F256" s="100">
        <v>45.49</v>
      </c>
      <c r="G256" s="102">
        <v>55</v>
      </c>
      <c r="H256" s="71">
        <v>44432</v>
      </c>
      <c r="I256" s="16">
        <v>49992</v>
      </c>
      <c r="J256" s="29" t="s">
        <v>266</v>
      </c>
      <c r="K256" s="93"/>
      <c r="L256" s="93"/>
      <c r="Q256" s="13"/>
      <c r="T256" s="98"/>
      <c r="U256" s="101"/>
      <c r="V256" s="26"/>
      <c r="W256" s="98"/>
      <c r="X256" s="32"/>
      <c r="Y256" s="9"/>
      <c r="Z256" s="35"/>
      <c r="AA256" s="112"/>
      <c r="AB256" s="98"/>
      <c r="AC256" s="9"/>
      <c r="AD256" s="9"/>
      <c r="AE256" s="9"/>
      <c r="AF256" s="9"/>
      <c r="AG256" s="9"/>
      <c r="AH256" s="9"/>
      <c r="AJ256" s="94"/>
      <c r="AK256" s="94"/>
      <c r="AL256" s="3"/>
      <c r="AM256" s="3"/>
    </row>
    <row r="257" spans="1:39" ht="15">
      <c r="A257" s="109"/>
      <c r="B257" s="1663" t="s">
        <v>404</v>
      </c>
      <c r="C257" s="1675" t="s">
        <v>405</v>
      </c>
      <c r="D257" s="67">
        <v>172.1</v>
      </c>
      <c r="E257" s="68">
        <v>290</v>
      </c>
      <c r="F257" s="100">
        <v>173.83</v>
      </c>
      <c r="G257" s="102">
        <v>502</v>
      </c>
      <c r="H257" s="71">
        <v>44432</v>
      </c>
      <c r="I257" s="16">
        <v>49909</v>
      </c>
      <c r="J257" s="29" t="s">
        <v>278</v>
      </c>
      <c r="K257" s="93"/>
      <c r="L257" s="93"/>
      <c r="Q257" s="13"/>
      <c r="T257" s="98"/>
      <c r="U257" s="101"/>
      <c r="V257" s="26"/>
      <c r="W257" s="98"/>
      <c r="X257" s="32"/>
      <c r="Y257" s="9"/>
      <c r="Z257" s="35"/>
      <c r="AA257" s="112"/>
      <c r="AB257" s="98"/>
      <c r="AC257" s="9"/>
      <c r="AD257" s="9"/>
      <c r="AE257" s="9"/>
      <c r="AF257" s="9"/>
      <c r="AG257" s="9"/>
      <c r="AH257" s="9"/>
      <c r="AJ257" s="94"/>
      <c r="AK257" s="94"/>
      <c r="AL257" s="3"/>
      <c r="AM257" s="3"/>
    </row>
    <row r="258" spans="1:39" ht="15">
      <c r="A258" s="109"/>
      <c r="B258" s="1663" t="s">
        <v>406</v>
      </c>
      <c r="C258" s="22" t="s">
        <v>407</v>
      </c>
      <c r="D258" s="67">
        <v>111.33</v>
      </c>
      <c r="E258" s="68">
        <v>455</v>
      </c>
      <c r="F258" s="100">
        <v>112.43</v>
      </c>
      <c r="G258" s="102">
        <v>501</v>
      </c>
      <c r="H258" s="71">
        <v>44432</v>
      </c>
      <c r="I258" s="16">
        <v>50655</v>
      </c>
      <c r="J258" s="29" t="s">
        <v>266</v>
      </c>
      <c r="K258" s="93"/>
      <c r="L258" s="93"/>
      <c r="Q258" s="13"/>
      <c r="S258" s="9"/>
      <c r="T258" s="98"/>
      <c r="U258" s="101"/>
      <c r="V258" s="26"/>
      <c r="W258" s="98"/>
      <c r="X258" s="32"/>
      <c r="Y258" s="9"/>
      <c r="Z258" s="35"/>
      <c r="AA258" s="112"/>
      <c r="AB258" s="98"/>
      <c r="AC258" s="9"/>
      <c r="AD258" s="9"/>
      <c r="AE258" s="9"/>
      <c r="AF258" s="9"/>
      <c r="AG258" s="9"/>
      <c r="AH258" s="9"/>
      <c r="AJ258" s="94"/>
      <c r="AK258" s="94"/>
      <c r="AL258" s="3"/>
      <c r="AM258" s="3"/>
    </row>
    <row r="259" spans="1:39" ht="15">
      <c r="A259" s="109"/>
      <c r="B259" s="1663" t="s">
        <v>408</v>
      </c>
      <c r="C259" s="22" t="s">
        <v>409</v>
      </c>
      <c r="D259" s="67">
        <v>30.16</v>
      </c>
      <c r="E259" s="68">
        <v>1650</v>
      </c>
      <c r="F259" s="100">
        <v>30.22</v>
      </c>
      <c r="G259" s="102">
        <v>99</v>
      </c>
      <c r="H259" s="71">
        <v>44431</v>
      </c>
      <c r="I259" s="16">
        <v>49757</v>
      </c>
      <c r="J259" s="29" t="s">
        <v>278</v>
      </c>
      <c r="K259" s="93"/>
      <c r="L259" s="93"/>
      <c r="Q259" s="13"/>
      <c r="S259" s="9"/>
      <c r="T259" s="98"/>
      <c r="U259" s="101"/>
      <c r="V259" s="26"/>
      <c r="W259" s="98"/>
      <c r="X259" s="32"/>
      <c r="Y259" s="9"/>
      <c r="Z259" s="35"/>
      <c r="AA259" s="112"/>
      <c r="AB259" s="98"/>
      <c r="AC259" s="9"/>
      <c r="AD259" s="9"/>
      <c r="AE259" s="9"/>
      <c r="AF259" s="9"/>
      <c r="AG259" s="9"/>
      <c r="AH259" s="9"/>
      <c r="AJ259" s="94"/>
      <c r="AK259" s="94"/>
      <c r="AL259" s="3"/>
      <c r="AM259" s="3"/>
    </row>
    <row r="260" spans="1:39" ht="15">
      <c r="A260" s="109"/>
      <c r="B260" s="1663" t="s">
        <v>410</v>
      </c>
      <c r="C260" s="1675" t="s">
        <v>411</v>
      </c>
      <c r="D260" s="67">
        <v>60.25</v>
      </c>
      <c r="E260" s="68">
        <v>829</v>
      </c>
      <c r="F260" s="100">
        <v>60.37</v>
      </c>
      <c r="G260" s="102">
        <v>99</v>
      </c>
      <c r="H260" s="71">
        <v>44431</v>
      </c>
      <c r="I260" s="16">
        <v>49947</v>
      </c>
      <c r="J260" s="29" t="s">
        <v>278</v>
      </c>
      <c r="K260" s="93"/>
      <c r="L260" s="93"/>
      <c r="Q260" s="13"/>
      <c r="S260" s="9"/>
      <c r="T260" s="98"/>
      <c r="U260" s="101"/>
      <c r="V260" s="26"/>
      <c r="W260" s="98"/>
      <c r="X260" s="32"/>
      <c r="Y260" s="9"/>
      <c r="Z260" s="35"/>
      <c r="AA260" s="112"/>
      <c r="AB260" s="98"/>
      <c r="AC260" s="9"/>
      <c r="AD260" s="9"/>
      <c r="AE260" s="9"/>
      <c r="AF260" s="9"/>
      <c r="AG260" s="9"/>
      <c r="AH260" s="9"/>
      <c r="AJ260" s="141"/>
      <c r="AK260" s="94"/>
      <c r="AL260" s="3"/>
      <c r="AM260" s="142"/>
    </row>
    <row r="261" spans="1:39" ht="15">
      <c r="A261" s="109"/>
      <c r="B261" s="1663" t="s">
        <v>412</v>
      </c>
      <c r="C261" s="1675" t="s">
        <v>413</v>
      </c>
      <c r="D261" s="67">
        <v>75.8</v>
      </c>
      <c r="E261" s="68">
        <v>659</v>
      </c>
      <c r="F261" s="100">
        <v>76.569999999999993</v>
      </c>
      <c r="G261" s="102">
        <v>507</v>
      </c>
      <c r="H261" s="71">
        <v>44428</v>
      </c>
      <c r="I261" s="16">
        <v>49952</v>
      </c>
      <c r="J261" s="29" t="s">
        <v>278</v>
      </c>
      <c r="K261" s="93"/>
      <c r="L261" s="93"/>
      <c r="Q261" s="13"/>
      <c r="S261" s="9"/>
      <c r="T261" s="98"/>
      <c r="U261" s="101"/>
      <c r="V261" s="26"/>
      <c r="W261" s="98"/>
      <c r="X261" s="32"/>
      <c r="Y261" s="9"/>
      <c r="Z261" s="35"/>
      <c r="AA261" s="112"/>
      <c r="AB261" s="98"/>
      <c r="AC261" s="9"/>
      <c r="AD261" s="9"/>
      <c r="AE261" s="9"/>
      <c r="AF261" s="9"/>
      <c r="AG261" s="9"/>
      <c r="AH261" s="9"/>
      <c r="AJ261" s="141"/>
      <c r="AK261" s="94"/>
      <c r="AL261" s="3"/>
      <c r="AM261" s="142"/>
    </row>
    <row r="262" spans="1:39" ht="15">
      <c r="A262" s="109"/>
      <c r="B262" s="1663" t="s">
        <v>399</v>
      </c>
      <c r="C262" s="22" t="s">
        <v>400</v>
      </c>
      <c r="D262" s="67">
        <v>5.2</v>
      </c>
      <c r="E262" s="68">
        <v>14817</v>
      </c>
      <c r="F262" s="100">
        <v>5.47</v>
      </c>
      <c r="G262" s="102">
        <v>4001</v>
      </c>
      <c r="H262" s="71">
        <v>44427</v>
      </c>
      <c r="I262" s="16">
        <v>77048</v>
      </c>
      <c r="J262" s="29" t="s">
        <v>90</v>
      </c>
      <c r="K262" s="93"/>
      <c r="L262" s="93"/>
      <c r="Q262" s="13"/>
      <c r="S262" s="9"/>
      <c r="T262" s="98"/>
      <c r="U262" s="101"/>
      <c r="V262" s="26"/>
      <c r="W262" s="98"/>
      <c r="X262" s="32"/>
      <c r="Y262" s="9"/>
      <c r="Z262" s="35"/>
      <c r="AA262" s="112"/>
      <c r="AB262" s="98"/>
      <c r="AC262" s="9"/>
      <c r="AD262" s="9"/>
      <c r="AE262" s="9"/>
      <c r="AF262" s="9"/>
      <c r="AG262" s="9"/>
      <c r="AH262" s="9"/>
      <c r="AJ262" s="141"/>
      <c r="AK262" s="94"/>
      <c r="AL262" s="3"/>
      <c r="AM262" s="142"/>
    </row>
    <row r="263" spans="1:39" ht="26.25">
      <c r="A263" s="109"/>
      <c r="B263" s="1663" t="s">
        <v>414</v>
      </c>
      <c r="C263" s="9" t="s">
        <v>415</v>
      </c>
      <c r="D263" s="67">
        <v>527.95000000000005</v>
      </c>
      <c r="E263" s="68">
        <v>94</v>
      </c>
      <c r="F263" s="100">
        <v>533.28</v>
      </c>
      <c r="G263" s="102">
        <v>501</v>
      </c>
      <c r="H263" s="71">
        <v>44426</v>
      </c>
      <c r="I263" s="16">
        <v>49627</v>
      </c>
      <c r="J263" s="29" t="s">
        <v>278</v>
      </c>
      <c r="K263" s="93"/>
      <c r="L263" s="93"/>
      <c r="Q263" s="13"/>
      <c r="S263" s="9"/>
      <c r="T263" s="98"/>
      <c r="U263" s="101"/>
      <c r="V263" s="26"/>
      <c r="W263" s="98"/>
      <c r="X263" s="32"/>
      <c r="Y263" s="9"/>
      <c r="Z263" s="35"/>
      <c r="AA263" s="112"/>
      <c r="AB263" s="98"/>
      <c r="AC263" s="9"/>
      <c r="AD263" s="9"/>
      <c r="AE263" s="9"/>
      <c r="AF263" s="9"/>
      <c r="AG263" s="9"/>
      <c r="AH263" s="9"/>
      <c r="AJ263" s="141"/>
      <c r="AK263" s="94"/>
      <c r="AL263" s="3"/>
      <c r="AM263" s="142"/>
    </row>
    <row r="264" spans="1:39" ht="15">
      <c r="A264" s="109"/>
      <c r="B264" s="1663" t="s">
        <v>416</v>
      </c>
      <c r="C264" s="22" t="s">
        <v>417</v>
      </c>
      <c r="D264" s="67">
        <v>15.31</v>
      </c>
      <c r="E264" s="68">
        <v>6557</v>
      </c>
      <c r="F264" s="100">
        <v>15.47</v>
      </c>
      <c r="G264" s="102">
        <v>1049</v>
      </c>
      <c r="H264" s="71">
        <v>44426</v>
      </c>
      <c r="I264" s="16">
        <v>100388</v>
      </c>
      <c r="J264" s="29" t="s">
        <v>90</v>
      </c>
      <c r="K264" s="93"/>
      <c r="L264" s="93"/>
      <c r="Q264" s="13"/>
      <c r="T264" s="98"/>
      <c r="U264" s="101"/>
      <c r="V264" s="26"/>
      <c r="W264" s="98"/>
      <c r="X264" s="32"/>
      <c r="Z264" s="35"/>
      <c r="AA264" s="112"/>
      <c r="AB264" s="98"/>
      <c r="AC264" s="9"/>
      <c r="AD264" s="9"/>
      <c r="AE264" s="9"/>
      <c r="AF264" s="9"/>
      <c r="AG264" s="9"/>
      <c r="AH264" s="9"/>
      <c r="AJ264" s="141"/>
      <c r="AK264" s="94"/>
      <c r="AL264" s="3"/>
      <c r="AM264" s="142"/>
    </row>
    <row r="265" spans="1:39" ht="15">
      <c r="A265" s="109"/>
      <c r="B265" s="1663" t="s">
        <v>399</v>
      </c>
      <c r="C265" s="22" t="s">
        <v>400</v>
      </c>
      <c r="D265" s="67">
        <v>5.2</v>
      </c>
      <c r="E265" s="68">
        <v>19417</v>
      </c>
      <c r="F265" s="100">
        <v>5.33</v>
      </c>
      <c r="G265" s="102">
        <v>2524</v>
      </c>
      <c r="H265" s="71">
        <v>44425</v>
      </c>
      <c r="I265" s="16">
        <v>100968</v>
      </c>
      <c r="J265" s="29" t="s">
        <v>90</v>
      </c>
      <c r="K265" s="93"/>
      <c r="L265" s="93"/>
      <c r="Q265" s="13"/>
      <c r="T265" s="98"/>
      <c r="U265" s="101"/>
      <c r="V265" s="26"/>
      <c r="W265" s="98"/>
      <c r="X265" s="32"/>
      <c r="Z265" s="35"/>
      <c r="AA265" s="112"/>
      <c r="AB265" s="98"/>
      <c r="AC265" s="9"/>
      <c r="AD265" s="9"/>
      <c r="AE265" s="9"/>
      <c r="AF265" s="9"/>
      <c r="AG265" s="9"/>
      <c r="AH265" s="9"/>
      <c r="AJ265" s="141"/>
      <c r="AK265" s="94"/>
      <c r="AL265" s="3"/>
      <c r="AM265" s="142"/>
    </row>
    <row r="266" spans="1:39" ht="15">
      <c r="A266" s="109"/>
      <c r="B266" s="1663" t="s">
        <v>418</v>
      </c>
      <c r="C266" s="22" t="s">
        <v>419</v>
      </c>
      <c r="D266" s="67">
        <v>78.37</v>
      </c>
      <c r="E266" s="68">
        <v>1316</v>
      </c>
      <c r="F266" s="100">
        <v>79.91</v>
      </c>
      <c r="G266" s="102">
        <v>2027</v>
      </c>
      <c r="H266" s="71">
        <v>44424</v>
      </c>
      <c r="I266" s="16">
        <v>103135</v>
      </c>
      <c r="J266" s="29" t="s">
        <v>90</v>
      </c>
      <c r="K266" s="93"/>
      <c r="L266" s="93"/>
      <c r="Q266" s="13"/>
      <c r="T266" s="98"/>
      <c r="U266" s="101"/>
      <c r="V266" s="26"/>
      <c r="W266" s="98"/>
      <c r="X266" s="32"/>
      <c r="Z266" s="35"/>
      <c r="AA266" s="112"/>
      <c r="AB266" s="98"/>
      <c r="AC266" s="9"/>
      <c r="AD266" s="9"/>
      <c r="AE266" s="9"/>
      <c r="AF266" s="9"/>
      <c r="AG266" s="9"/>
      <c r="AH266" s="9"/>
      <c r="AJ266" s="141"/>
      <c r="AK266" s="94"/>
      <c r="AL266" s="3"/>
      <c r="AM266" s="142"/>
    </row>
    <row r="267" spans="1:39" ht="15">
      <c r="A267" s="109"/>
      <c r="B267" s="1663" t="s">
        <v>420</v>
      </c>
      <c r="C267" s="9" t="s">
        <v>421</v>
      </c>
      <c r="D267" s="67">
        <v>148.26</v>
      </c>
      <c r="E267" s="68">
        <v>331</v>
      </c>
      <c r="F267" s="100">
        <v>149.77000000000001</v>
      </c>
      <c r="G267" s="102">
        <v>500</v>
      </c>
      <c r="H267" s="71">
        <v>44424</v>
      </c>
      <c r="I267" s="16">
        <v>49074</v>
      </c>
      <c r="J267" s="29" t="s">
        <v>278</v>
      </c>
      <c r="K267" s="93"/>
      <c r="L267" s="93"/>
      <c r="Q267" s="13"/>
      <c r="T267" s="98"/>
      <c r="U267" s="101"/>
      <c r="V267" s="26"/>
      <c r="W267" s="98"/>
      <c r="X267" s="32"/>
      <c r="Z267" s="35"/>
      <c r="AA267" s="112"/>
      <c r="AB267" s="98"/>
      <c r="AC267" s="9"/>
      <c r="AD267" s="9"/>
      <c r="AE267" s="9"/>
      <c r="AF267" s="9"/>
      <c r="AG267" s="9"/>
      <c r="AH267" s="9"/>
      <c r="AJ267" s="141"/>
      <c r="AK267" s="94"/>
      <c r="AL267" s="3"/>
      <c r="AM267" s="142"/>
    </row>
    <row r="268" spans="1:39" ht="15">
      <c r="A268" s="109"/>
      <c r="B268" s="1663" t="s">
        <v>422</v>
      </c>
      <c r="C268" s="22" t="s">
        <v>423</v>
      </c>
      <c r="D268" s="67">
        <v>284.18</v>
      </c>
      <c r="E268" s="68">
        <v>175</v>
      </c>
      <c r="F268" s="100">
        <v>287.04000000000002</v>
      </c>
      <c r="G268" s="102">
        <v>501</v>
      </c>
      <c r="H268" s="71">
        <v>44420</v>
      </c>
      <c r="I268" s="16">
        <v>49732</v>
      </c>
      <c r="J268" s="29" t="s">
        <v>278</v>
      </c>
      <c r="K268" s="93"/>
      <c r="L268" s="93"/>
      <c r="Q268" s="13"/>
      <c r="S268" s="9"/>
      <c r="T268" s="98"/>
      <c r="U268" s="101"/>
      <c r="V268" s="26"/>
      <c r="W268" s="98"/>
      <c r="X268" s="32"/>
      <c r="Y268" s="9"/>
      <c r="Z268" s="35"/>
      <c r="AA268" s="112"/>
      <c r="AB268" s="98"/>
      <c r="AC268" s="9"/>
      <c r="AD268" s="9"/>
      <c r="AE268" s="9"/>
      <c r="AF268" s="9"/>
      <c r="AG268" s="9"/>
      <c r="AH268" s="9"/>
      <c r="AJ268" s="141"/>
      <c r="AK268" s="94"/>
      <c r="AL268" s="3"/>
      <c r="AM268" s="142"/>
    </row>
    <row r="269" spans="1:39" ht="15">
      <c r="A269" s="109"/>
      <c r="B269" s="1663" t="s">
        <v>424</v>
      </c>
      <c r="C269" s="22" t="s">
        <v>425</v>
      </c>
      <c r="D269" s="67">
        <v>46.57</v>
      </c>
      <c r="E269" s="68">
        <v>1075</v>
      </c>
      <c r="F269" s="100">
        <v>47.04</v>
      </c>
      <c r="G269" s="102">
        <v>505</v>
      </c>
      <c r="H269" s="71">
        <v>44419</v>
      </c>
      <c r="I269" s="16">
        <v>50063</v>
      </c>
      <c r="J269" s="29" t="s">
        <v>278</v>
      </c>
      <c r="K269" s="93"/>
      <c r="L269" s="93"/>
      <c r="Q269" s="13"/>
      <c r="S269" s="9"/>
      <c r="T269" s="98" t="s">
        <v>135</v>
      </c>
      <c r="U269" s="101"/>
      <c r="V269" s="26"/>
      <c r="W269" s="98"/>
      <c r="X269" s="32"/>
      <c r="Y269" s="9"/>
      <c r="Z269" s="35"/>
      <c r="AA269" s="112"/>
      <c r="AB269" s="98"/>
      <c r="AC269" s="9"/>
      <c r="AD269" s="9"/>
      <c r="AE269" s="9"/>
      <c r="AF269" s="9"/>
      <c r="AG269" s="9"/>
      <c r="AH269" s="9"/>
      <c r="AJ269" s="141"/>
      <c r="AK269" s="94"/>
      <c r="AL269" s="3"/>
      <c r="AM269" s="142"/>
    </row>
    <row r="270" spans="1:39" ht="15">
      <c r="A270" s="109"/>
      <c r="B270" s="1663" t="s">
        <v>426</v>
      </c>
      <c r="C270" s="22" t="s">
        <v>427</v>
      </c>
      <c r="D270" s="67">
        <v>30.28</v>
      </c>
      <c r="E270" s="68">
        <v>3299</v>
      </c>
      <c r="F270" s="100">
        <v>30.72</v>
      </c>
      <c r="G270" s="102">
        <v>1452</v>
      </c>
      <c r="H270" s="71">
        <v>44419</v>
      </c>
      <c r="I270" s="16">
        <v>99894</v>
      </c>
      <c r="J270" s="29" t="s">
        <v>90</v>
      </c>
      <c r="K270" s="93"/>
      <c r="L270" s="93"/>
      <c r="Q270" s="13"/>
      <c r="S270" s="9"/>
      <c r="T270" s="98"/>
      <c r="U270" s="101"/>
      <c r="V270" s="26"/>
      <c r="W270" s="98"/>
      <c r="X270" s="32"/>
      <c r="Y270" s="9"/>
      <c r="Z270" s="35"/>
      <c r="AA270" s="112"/>
      <c r="AB270" s="98"/>
      <c r="AC270" s="9"/>
      <c r="AD270" s="9"/>
      <c r="AE270" s="9"/>
      <c r="AF270" s="9"/>
      <c r="AG270" s="9"/>
      <c r="AH270" s="9"/>
      <c r="AJ270" s="141"/>
      <c r="AK270" s="94"/>
      <c r="AL270" s="3"/>
      <c r="AM270" s="142"/>
    </row>
    <row r="271" spans="1:39" ht="15">
      <c r="A271" s="109"/>
      <c r="B271" s="1663" t="s">
        <v>428</v>
      </c>
      <c r="C271" s="22" t="s">
        <v>429</v>
      </c>
      <c r="D271" s="67">
        <v>48.52</v>
      </c>
      <c r="E271" s="68">
        <v>1037</v>
      </c>
      <c r="F271" s="100">
        <v>48.62</v>
      </c>
      <c r="G271" s="102">
        <v>104</v>
      </c>
      <c r="H271" s="71">
        <v>44419</v>
      </c>
      <c r="I271" s="16">
        <v>50315</v>
      </c>
      <c r="J271" s="29" t="s">
        <v>266</v>
      </c>
      <c r="K271" s="93"/>
      <c r="L271" s="93"/>
      <c r="Q271" s="13"/>
      <c r="S271" s="9"/>
      <c r="T271" s="98"/>
      <c r="U271" s="101"/>
      <c r="V271" s="26"/>
      <c r="W271" s="98"/>
      <c r="X271" s="32"/>
      <c r="Y271" s="9"/>
      <c r="Z271" s="35"/>
      <c r="AA271" s="112"/>
      <c r="AB271" s="98"/>
      <c r="AC271" s="9"/>
      <c r="AD271" s="9"/>
      <c r="AE271" s="9"/>
      <c r="AF271" s="9"/>
      <c r="AG271" s="9"/>
      <c r="AH271" s="9"/>
      <c r="AJ271" s="141"/>
      <c r="AK271" s="94"/>
      <c r="AL271" s="3"/>
      <c r="AM271" s="142"/>
    </row>
    <row r="272" spans="1:39" ht="26.25">
      <c r="A272" s="109"/>
      <c r="B272" s="1663" t="s">
        <v>430</v>
      </c>
      <c r="C272" s="9" t="s">
        <v>431</v>
      </c>
      <c r="D272" s="67">
        <v>167.35</v>
      </c>
      <c r="E272" s="68">
        <v>298</v>
      </c>
      <c r="F272" s="100">
        <v>169.04</v>
      </c>
      <c r="G272" s="102">
        <v>504</v>
      </c>
      <c r="H272" s="71">
        <v>44418</v>
      </c>
      <c r="I272" s="16">
        <v>49870</v>
      </c>
      <c r="J272" s="29" t="s">
        <v>278</v>
      </c>
      <c r="K272" s="93"/>
      <c r="L272" s="93"/>
      <c r="Q272" s="13"/>
      <c r="S272" s="9"/>
      <c r="T272" s="98"/>
      <c r="U272" s="101"/>
      <c r="V272" s="26"/>
      <c r="W272" s="98"/>
      <c r="X272" s="32"/>
      <c r="Y272" s="9"/>
      <c r="Z272" s="35"/>
      <c r="AA272" s="112"/>
      <c r="AB272" s="98"/>
      <c r="AC272" s="9"/>
      <c r="AD272" s="9"/>
      <c r="AE272" s="9"/>
      <c r="AF272" s="9"/>
      <c r="AG272" s="9"/>
      <c r="AH272" s="9"/>
      <c r="AJ272" s="141"/>
      <c r="AK272" s="94"/>
      <c r="AL272" s="3"/>
      <c r="AM272" s="142"/>
    </row>
    <row r="273" spans="1:39" ht="15">
      <c r="A273" s="109"/>
      <c r="B273" s="1663" t="s">
        <v>432</v>
      </c>
      <c r="C273" s="22" t="s">
        <v>433</v>
      </c>
      <c r="D273" s="67">
        <v>16.100000000000001</v>
      </c>
      <c r="E273" s="68">
        <v>6341</v>
      </c>
      <c r="F273" s="100">
        <v>16.46</v>
      </c>
      <c r="G273" s="102">
        <v>2283</v>
      </c>
      <c r="H273" s="71">
        <v>44418</v>
      </c>
      <c r="I273" s="16">
        <v>102090</v>
      </c>
      <c r="J273" s="29" t="s">
        <v>90</v>
      </c>
      <c r="K273" s="93"/>
      <c r="L273" s="93"/>
      <c r="Q273" s="13"/>
      <c r="S273" s="9"/>
      <c r="T273" s="98"/>
      <c r="U273" s="101"/>
      <c r="V273" s="26"/>
      <c r="W273" s="98"/>
      <c r="X273" s="32"/>
      <c r="Y273" s="9"/>
      <c r="Z273" s="35"/>
      <c r="AA273" s="112"/>
      <c r="AB273" s="98"/>
      <c r="AC273" s="9"/>
      <c r="AD273" s="9"/>
      <c r="AE273" s="9"/>
      <c r="AF273" s="9"/>
      <c r="AG273" s="9"/>
      <c r="AH273" s="9"/>
      <c r="AJ273" s="141"/>
      <c r="AK273" s="94"/>
      <c r="AL273" s="3"/>
      <c r="AM273" s="142"/>
    </row>
    <row r="274" spans="1:39" ht="15">
      <c r="A274" s="109"/>
      <c r="B274" s="1663" t="s">
        <v>434</v>
      </c>
      <c r="C274" s="22" t="s">
        <v>435</v>
      </c>
      <c r="D274" s="67">
        <v>13.96</v>
      </c>
      <c r="E274" s="68">
        <v>10744</v>
      </c>
      <c r="F274" s="100">
        <v>14.39</v>
      </c>
      <c r="G274" s="102">
        <v>4620</v>
      </c>
      <c r="H274" s="71">
        <v>44417</v>
      </c>
      <c r="I274" s="16">
        <v>149986</v>
      </c>
      <c r="J274" s="29" t="s">
        <v>90</v>
      </c>
      <c r="K274" s="93"/>
      <c r="L274" s="93"/>
      <c r="Q274" s="13"/>
      <c r="S274" s="9"/>
      <c r="T274" s="98"/>
      <c r="U274" s="101"/>
      <c r="V274" s="26"/>
      <c r="W274" s="98"/>
      <c r="X274" s="32"/>
      <c r="Y274" s="9"/>
      <c r="Z274" s="35"/>
      <c r="AA274" s="112"/>
      <c r="AB274" s="98"/>
      <c r="AC274" s="9"/>
      <c r="AD274" s="9"/>
      <c r="AE274" s="9"/>
      <c r="AF274" s="9"/>
      <c r="AG274" s="9"/>
      <c r="AH274" s="9"/>
      <c r="AJ274" s="141"/>
      <c r="AK274" s="94"/>
      <c r="AL274" s="3"/>
      <c r="AM274" s="142"/>
    </row>
    <row r="275" spans="1:39" ht="15">
      <c r="A275" s="109"/>
      <c r="B275" s="1663" t="s">
        <v>436</v>
      </c>
      <c r="C275" s="22" t="s">
        <v>437</v>
      </c>
      <c r="D275" s="67">
        <v>26.96</v>
      </c>
      <c r="E275" s="68">
        <v>3709</v>
      </c>
      <c r="F275" s="100">
        <v>24.63</v>
      </c>
      <c r="G275" s="102">
        <v>-7882</v>
      </c>
      <c r="H275" s="71">
        <v>44414</v>
      </c>
      <c r="I275" s="16">
        <v>99995</v>
      </c>
      <c r="J275" s="29" t="s">
        <v>266</v>
      </c>
      <c r="K275" s="93"/>
      <c r="L275" s="93"/>
      <c r="Q275" s="13"/>
      <c r="S275" s="9"/>
      <c r="T275" s="98"/>
      <c r="U275" s="101"/>
      <c r="V275" s="26"/>
      <c r="W275" s="98"/>
      <c r="X275" s="32"/>
      <c r="Y275" s="9"/>
      <c r="Z275" s="35"/>
      <c r="AA275" s="112"/>
      <c r="AB275" s="98"/>
      <c r="AC275" s="9"/>
      <c r="AD275" s="9"/>
      <c r="AE275" s="9"/>
      <c r="AF275" s="9"/>
      <c r="AG275" s="9"/>
      <c r="AH275" s="9"/>
      <c r="AJ275" s="141"/>
      <c r="AK275" s="94"/>
      <c r="AL275" s="3"/>
      <c r="AM275" s="142"/>
    </row>
    <row r="276" spans="1:39" ht="15">
      <c r="A276" s="109"/>
      <c r="B276" s="1663" t="s">
        <v>434</v>
      </c>
      <c r="C276" s="22" t="s">
        <v>435</v>
      </c>
      <c r="D276" s="67">
        <v>13.96</v>
      </c>
      <c r="E276" s="68">
        <v>12000</v>
      </c>
      <c r="F276" s="100">
        <v>14.39</v>
      </c>
      <c r="G276" s="102">
        <v>5160</v>
      </c>
      <c r="H276" s="71">
        <v>44414</v>
      </c>
      <c r="I276" s="16">
        <v>167520</v>
      </c>
      <c r="J276" s="29" t="s">
        <v>90</v>
      </c>
      <c r="K276" s="93"/>
      <c r="L276" s="93"/>
      <c r="Q276" s="13"/>
      <c r="T276" s="98"/>
      <c r="U276" s="101"/>
      <c r="V276" s="26"/>
      <c r="W276" s="98"/>
      <c r="X276" s="32"/>
      <c r="Y276" s="9"/>
      <c r="Z276" s="35"/>
      <c r="AA276" s="112"/>
      <c r="AB276" s="98"/>
      <c r="AC276" s="9"/>
      <c r="AD276" s="9"/>
      <c r="AE276" s="9"/>
      <c r="AF276" s="9"/>
      <c r="AG276" s="9"/>
      <c r="AH276" s="9"/>
      <c r="AJ276" s="141"/>
      <c r="AK276" s="94"/>
      <c r="AL276" s="3"/>
      <c r="AM276" s="142"/>
    </row>
    <row r="277" spans="1:39" ht="15">
      <c r="A277" s="109"/>
      <c r="B277" s="1663" t="s">
        <v>438</v>
      </c>
      <c r="C277" s="22" t="s">
        <v>439</v>
      </c>
      <c r="D277" s="67">
        <v>11.16</v>
      </c>
      <c r="E277" s="68">
        <v>4480</v>
      </c>
      <c r="F277" s="100">
        <v>9.7200000000000006</v>
      </c>
      <c r="G277" s="102">
        <v>-5554</v>
      </c>
      <c r="H277" s="71">
        <v>44414</v>
      </c>
      <c r="I277" s="16">
        <v>49995</v>
      </c>
      <c r="J277" s="29" t="s">
        <v>266</v>
      </c>
      <c r="K277" s="93"/>
      <c r="L277" s="93"/>
      <c r="Q277" s="13"/>
      <c r="T277" s="98"/>
      <c r="U277" s="101"/>
      <c r="V277" s="26"/>
      <c r="W277" s="98"/>
      <c r="X277" s="32"/>
      <c r="Y277" s="9"/>
      <c r="Z277" s="35"/>
      <c r="AA277" s="112"/>
      <c r="AB277" s="98"/>
      <c r="AC277" s="9"/>
      <c r="AD277" s="9"/>
      <c r="AE277" s="9"/>
      <c r="AF277" s="9"/>
      <c r="AG277" s="9"/>
      <c r="AH277" s="9"/>
      <c r="AJ277" s="141"/>
      <c r="AK277" s="94"/>
      <c r="AL277" s="3"/>
      <c r="AM277" s="142"/>
    </row>
    <row r="278" spans="1:39" ht="15">
      <c r="A278" s="109"/>
      <c r="B278" s="1663" t="s">
        <v>440</v>
      </c>
      <c r="C278" s="22" t="s">
        <v>441</v>
      </c>
      <c r="D278" s="67">
        <v>151.25</v>
      </c>
      <c r="E278" s="68">
        <v>230</v>
      </c>
      <c r="F278" s="100">
        <v>139.19</v>
      </c>
      <c r="G278" s="102">
        <v>-2404</v>
      </c>
      <c r="H278" s="71">
        <v>44413</v>
      </c>
      <c r="I278" s="16">
        <v>34788</v>
      </c>
      <c r="J278" s="29" t="s">
        <v>250</v>
      </c>
      <c r="K278" s="93"/>
      <c r="L278" s="93"/>
      <c r="Q278" s="13"/>
      <c r="T278" s="98"/>
      <c r="U278" s="101"/>
      <c r="V278" s="26"/>
      <c r="W278" s="98"/>
      <c r="X278" s="32"/>
      <c r="Y278" s="9"/>
      <c r="Z278" s="35"/>
      <c r="AA278" s="112"/>
      <c r="AB278" s="98"/>
      <c r="AC278" s="9"/>
      <c r="AD278" s="9"/>
      <c r="AE278" s="9"/>
      <c r="AF278" s="9"/>
      <c r="AG278" s="9"/>
      <c r="AH278" s="9"/>
      <c r="AJ278" s="141"/>
      <c r="AK278" s="94"/>
      <c r="AL278" s="3"/>
      <c r="AM278" s="142"/>
    </row>
    <row r="279" spans="1:39" ht="15">
      <c r="A279" s="109"/>
      <c r="B279" s="1663" t="s">
        <v>442</v>
      </c>
      <c r="C279" s="22" t="s">
        <v>427</v>
      </c>
      <c r="D279" s="67">
        <v>28.74</v>
      </c>
      <c r="E279" s="68">
        <v>5219</v>
      </c>
      <c r="F279" s="100">
        <v>29.52</v>
      </c>
      <c r="G279" s="102">
        <v>4071</v>
      </c>
      <c r="H279" s="71">
        <v>44413</v>
      </c>
      <c r="I279" s="16">
        <v>149994</v>
      </c>
      <c r="J279" s="29" t="s">
        <v>90</v>
      </c>
      <c r="K279" s="93"/>
      <c r="L279" s="93"/>
      <c r="Q279" s="13"/>
      <c r="T279" s="98"/>
      <c r="U279" s="101"/>
      <c r="V279" s="26"/>
      <c r="W279" s="98"/>
      <c r="X279" s="32"/>
      <c r="Y279" s="9"/>
      <c r="Z279" s="143"/>
      <c r="AA279" s="112"/>
      <c r="AB279" s="98"/>
      <c r="AC279" s="9"/>
      <c r="AD279" s="9"/>
      <c r="AE279" s="9"/>
      <c r="AF279" s="9"/>
      <c r="AG279" s="9"/>
      <c r="AH279" s="9"/>
      <c r="AJ279" s="141"/>
      <c r="AK279" s="94"/>
      <c r="AL279" s="3"/>
      <c r="AM279" s="142"/>
    </row>
    <row r="280" spans="1:39" ht="15">
      <c r="A280" s="109"/>
      <c r="B280" s="1663" t="s">
        <v>338</v>
      </c>
      <c r="C280" s="22" t="s">
        <v>339</v>
      </c>
      <c r="D280" s="67">
        <v>11.97</v>
      </c>
      <c r="E280" s="68">
        <v>4177</v>
      </c>
      <c r="F280" s="100">
        <v>12.09</v>
      </c>
      <c r="G280" s="102">
        <v>501</v>
      </c>
      <c r="H280" s="71">
        <v>44413</v>
      </c>
      <c r="I280" s="16">
        <v>49999</v>
      </c>
      <c r="J280" s="29" t="s">
        <v>266</v>
      </c>
      <c r="K280" s="93"/>
      <c r="L280" s="93"/>
      <c r="Q280" s="13"/>
      <c r="U280" s="101"/>
      <c r="V280" s="26"/>
      <c r="W280" s="26"/>
      <c r="X280" s="32"/>
      <c r="Y280" s="9"/>
      <c r="Z280" s="35"/>
      <c r="AA280" s="112"/>
      <c r="AB280" s="98"/>
      <c r="AC280" s="9"/>
      <c r="AD280" s="9"/>
      <c r="AE280" s="9"/>
      <c r="AF280" s="9"/>
      <c r="AG280" s="9"/>
      <c r="AH280" s="9"/>
      <c r="AJ280" s="141"/>
      <c r="AK280" s="94"/>
      <c r="AL280" s="3"/>
      <c r="AM280" s="142"/>
    </row>
    <row r="281" spans="1:39" ht="15">
      <c r="A281" s="109"/>
      <c r="B281" s="1663" t="s">
        <v>443</v>
      </c>
      <c r="C281" s="22" t="s">
        <v>444</v>
      </c>
      <c r="D281" s="67">
        <v>397.84</v>
      </c>
      <c r="E281" s="68">
        <v>125</v>
      </c>
      <c r="F281" s="100">
        <v>401.84</v>
      </c>
      <c r="G281" s="102">
        <v>500</v>
      </c>
      <c r="H281" s="71">
        <v>44413</v>
      </c>
      <c r="I281" s="16">
        <v>49730</v>
      </c>
      <c r="J281" s="29" t="s">
        <v>278</v>
      </c>
      <c r="K281" s="93"/>
      <c r="L281" s="93"/>
      <c r="Q281" s="13"/>
      <c r="U281" s="101"/>
      <c r="V281" s="26"/>
      <c r="W281" s="98"/>
      <c r="X281" s="32"/>
      <c r="Z281" s="35"/>
      <c r="AA281" s="112"/>
      <c r="AB281" s="98"/>
      <c r="AC281" s="9"/>
      <c r="AD281" s="9"/>
      <c r="AE281" s="9"/>
      <c r="AF281" s="9"/>
      <c r="AG281" s="9"/>
      <c r="AH281" s="9"/>
      <c r="AJ281" s="141"/>
      <c r="AK281" s="94"/>
      <c r="AL281" s="3"/>
      <c r="AM281" s="142"/>
    </row>
    <row r="282" spans="1:39" ht="15">
      <c r="A282" s="109"/>
      <c r="B282" s="1663" t="s">
        <v>445</v>
      </c>
      <c r="C282" s="22" t="s">
        <v>446</v>
      </c>
      <c r="D282" s="67">
        <v>76.12</v>
      </c>
      <c r="E282" s="68">
        <v>656</v>
      </c>
      <c r="F282" s="100">
        <v>76.88</v>
      </c>
      <c r="G282" s="102">
        <v>499</v>
      </c>
      <c r="H282" s="71">
        <v>44412</v>
      </c>
      <c r="I282" s="16">
        <v>49935</v>
      </c>
      <c r="J282" s="29" t="s">
        <v>278</v>
      </c>
      <c r="K282" s="93"/>
      <c r="L282" s="93"/>
      <c r="Q282" s="13"/>
      <c r="R282" s="18"/>
      <c r="S282" s="18"/>
      <c r="T282" s="18"/>
      <c r="U282" s="144"/>
      <c r="V282" s="145"/>
      <c r="W282" s="146"/>
      <c r="X282" s="147"/>
      <c r="Z282" s="35"/>
      <c r="AA282" s="112"/>
      <c r="AB282" s="98"/>
      <c r="AC282" s="9"/>
      <c r="AD282" s="9"/>
      <c r="AE282" s="9"/>
      <c r="AF282" s="9"/>
      <c r="AG282" s="9"/>
      <c r="AH282" s="9"/>
      <c r="AJ282" s="141"/>
      <c r="AK282" s="94"/>
      <c r="AL282" s="3"/>
      <c r="AM282" s="142"/>
    </row>
    <row r="283" spans="1:39" ht="15">
      <c r="A283" s="109"/>
      <c r="B283" s="1663" t="s">
        <v>447</v>
      </c>
      <c r="C283" s="22" t="s">
        <v>448</v>
      </c>
      <c r="D283" s="67">
        <v>60.85</v>
      </c>
      <c r="E283" s="68">
        <v>3266</v>
      </c>
      <c r="F283" s="100">
        <v>61.3</v>
      </c>
      <c r="G283" s="102">
        <v>1470</v>
      </c>
      <c r="H283" s="71">
        <v>44412</v>
      </c>
      <c r="I283" s="16">
        <v>198736</v>
      </c>
      <c r="J283" s="29" t="s">
        <v>90</v>
      </c>
      <c r="K283" s="93"/>
      <c r="L283" s="93"/>
      <c r="Q283" s="13"/>
      <c r="R283" s="18"/>
      <c r="S283" s="18"/>
      <c r="T283" s="18"/>
      <c r="U283" s="144"/>
      <c r="V283" s="145"/>
      <c r="W283" s="146"/>
      <c r="X283" s="147"/>
      <c r="Z283" s="35"/>
      <c r="AA283" s="112"/>
      <c r="AB283" s="98"/>
      <c r="AC283" s="9"/>
      <c r="AD283" s="9"/>
      <c r="AE283" s="9"/>
      <c r="AF283" s="9"/>
      <c r="AG283" s="9"/>
      <c r="AH283" s="9"/>
      <c r="AJ283" s="141"/>
      <c r="AK283" s="94"/>
      <c r="AL283" s="3"/>
      <c r="AM283" s="142"/>
    </row>
    <row r="284" spans="1:39" ht="15">
      <c r="A284" s="109"/>
      <c r="B284" s="1663" t="s">
        <v>449</v>
      </c>
      <c r="C284" s="22" t="s">
        <v>450</v>
      </c>
      <c r="D284" s="67">
        <v>238.98</v>
      </c>
      <c r="E284" s="68">
        <v>209</v>
      </c>
      <c r="F284" s="100">
        <v>241.37</v>
      </c>
      <c r="G284" s="102">
        <v>500</v>
      </c>
      <c r="H284" s="71">
        <v>44411</v>
      </c>
      <c r="I284" s="16">
        <v>49947</v>
      </c>
      <c r="J284" s="29" t="s">
        <v>278</v>
      </c>
      <c r="K284" s="93"/>
      <c r="L284" s="93"/>
      <c r="Q284" s="13"/>
      <c r="R284" s="18"/>
      <c r="S284" s="18"/>
      <c r="T284" s="18"/>
      <c r="U284" s="144"/>
      <c r="V284" s="145"/>
      <c r="W284" s="146"/>
      <c r="X284" s="147"/>
      <c r="Z284" s="35"/>
      <c r="AA284" s="112"/>
      <c r="AB284" s="98"/>
      <c r="AC284" s="9"/>
      <c r="AD284" s="9"/>
      <c r="AE284" s="9"/>
      <c r="AF284" s="9"/>
      <c r="AG284" s="9"/>
      <c r="AH284" s="9"/>
      <c r="AJ284" s="141"/>
      <c r="AK284" s="94"/>
      <c r="AL284" s="3"/>
      <c r="AM284" s="142"/>
    </row>
    <row r="285" spans="1:39" ht="15">
      <c r="A285" s="109"/>
      <c r="B285" s="1663" t="s">
        <v>451</v>
      </c>
      <c r="C285" s="22" t="s">
        <v>452</v>
      </c>
      <c r="D285" s="67">
        <v>270.18</v>
      </c>
      <c r="E285" s="68">
        <v>185</v>
      </c>
      <c r="F285" s="100">
        <v>272.88</v>
      </c>
      <c r="G285" s="102">
        <v>499</v>
      </c>
      <c r="H285" s="71">
        <v>44410</v>
      </c>
      <c r="I285" s="16">
        <v>49983</v>
      </c>
      <c r="J285" s="29" t="s">
        <v>278</v>
      </c>
      <c r="K285" s="93"/>
      <c r="L285" s="93"/>
      <c r="Q285" s="13"/>
      <c r="U285" s="101"/>
      <c r="V285" s="26"/>
      <c r="W285" s="98"/>
      <c r="X285" s="32"/>
      <c r="Z285" s="35"/>
      <c r="AA285" s="112"/>
      <c r="AB285" s="98"/>
      <c r="AC285" s="9"/>
      <c r="AD285" s="9"/>
      <c r="AE285" s="9"/>
      <c r="AF285" s="9"/>
      <c r="AG285" s="9"/>
      <c r="AH285" s="9"/>
      <c r="AJ285" s="141"/>
      <c r="AK285" s="94"/>
      <c r="AL285" s="3"/>
      <c r="AM285" s="142"/>
    </row>
    <row r="286" spans="1:39" ht="15">
      <c r="A286" s="109"/>
      <c r="B286" s="1663" t="s">
        <v>453</v>
      </c>
      <c r="C286" s="22" t="s">
        <v>454</v>
      </c>
      <c r="D286" s="67">
        <v>91.04</v>
      </c>
      <c r="E286" s="68">
        <v>579</v>
      </c>
      <c r="F286" s="100">
        <v>92.78</v>
      </c>
      <c r="G286" s="102">
        <v>1007</v>
      </c>
      <c r="H286" s="71">
        <v>44410</v>
      </c>
      <c r="I286" s="16">
        <v>52712</v>
      </c>
      <c r="J286" s="29" t="s">
        <v>90</v>
      </c>
      <c r="K286" s="93"/>
      <c r="L286" s="93"/>
      <c r="Q286" s="13"/>
      <c r="U286" s="101"/>
      <c r="V286" s="26"/>
      <c r="W286" s="98"/>
      <c r="X286" s="32"/>
      <c r="Z286" s="35"/>
      <c r="AA286" s="112"/>
      <c r="AB286" s="98"/>
      <c r="AC286" s="9"/>
      <c r="AD286" s="9"/>
      <c r="AE286" s="9"/>
      <c r="AF286" s="9"/>
      <c r="AG286" s="9"/>
      <c r="AH286" s="9"/>
      <c r="AJ286" s="141"/>
      <c r="AK286" s="94"/>
      <c r="AL286" s="3"/>
      <c r="AM286" s="142"/>
    </row>
    <row r="287" spans="1:39" ht="15">
      <c r="A287" s="109"/>
      <c r="B287" s="1663" t="s">
        <v>455</v>
      </c>
      <c r="C287" s="22" t="s">
        <v>456</v>
      </c>
      <c r="D287" s="67">
        <v>110.42</v>
      </c>
      <c r="E287" s="68">
        <v>660</v>
      </c>
      <c r="F287" s="100">
        <v>111.18</v>
      </c>
      <c r="G287" s="102">
        <v>502</v>
      </c>
      <c r="H287" s="71">
        <v>44410</v>
      </c>
      <c r="I287" s="16">
        <v>72877</v>
      </c>
      <c r="J287" s="29" t="s">
        <v>278</v>
      </c>
      <c r="K287" s="93"/>
      <c r="L287" s="93"/>
      <c r="Q287" s="13"/>
      <c r="U287" s="101"/>
      <c r="V287" s="26"/>
      <c r="W287" s="98"/>
      <c r="X287" s="32"/>
      <c r="Z287" s="35"/>
      <c r="AA287" s="112"/>
      <c r="AB287" s="98"/>
      <c r="AC287" s="9"/>
      <c r="AD287" s="9"/>
      <c r="AE287" s="9"/>
      <c r="AF287" s="9"/>
      <c r="AG287" s="9"/>
      <c r="AH287" s="9"/>
      <c r="AJ287" s="148" t="s">
        <v>34</v>
      </c>
      <c r="AK287" s="149">
        <v>6000</v>
      </c>
      <c r="AL287" s="150"/>
      <c r="AM287" s="79">
        <f>AM172-AK287</f>
        <v>-6000</v>
      </c>
    </row>
    <row r="288" spans="1:39" ht="15">
      <c r="A288" s="109"/>
      <c r="B288" s="1663"/>
      <c r="C288" s="9"/>
      <c r="D288" s="67"/>
      <c r="E288" s="68"/>
      <c r="F288" s="151" t="s">
        <v>21</v>
      </c>
      <c r="G288" s="61">
        <f>SUM(G289:G353)</f>
        <v>25961</v>
      </c>
      <c r="H288" s="69" t="s">
        <v>220</v>
      </c>
      <c r="I288" s="16">
        <f>100-35</f>
        <v>65</v>
      </c>
      <c r="J288" s="29"/>
      <c r="K288" s="93"/>
      <c r="L288" s="93"/>
      <c r="Q288" s="13"/>
      <c r="T288" s="25"/>
      <c r="U288" s="101"/>
      <c r="V288" s="26"/>
      <c r="W288" s="98"/>
      <c r="X288" s="32"/>
      <c r="Z288" s="35"/>
      <c r="AA288" s="152"/>
      <c r="AB288" s="98"/>
      <c r="AC288" s="9"/>
      <c r="AD288" s="9"/>
      <c r="AE288" s="9"/>
      <c r="AF288" s="9"/>
      <c r="AG288" s="9"/>
      <c r="AH288" s="9"/>
      <c r="AJ288" s="68"/>
      <c r="AK288" s="68"/>
    </row>
    <row r="289" spans="1:39" ht="15">
      <c r="A289" s="109"/>
      <c r="B289" s="1663" t="s">
        <v>377</v>
      </c>
      <c r="C289" s="9" t="s">
        <v>137</v>
      </c>
      <c r="D289" s="67">
        <v>677.49</v>
      </c>
      <c r="E289" s="68">
        <v>73</v>
      </c>
      <c r="F289" s="100">
        <v>687.2</v>
      </c>
      <c r="G289" s="102">
        <v>709</v>
      </c>
      <c r="H289" s="71">
        <v>44407</v>
      </c>
      <c r="I289" s="16">
        <v>49457</v>
      </c>
      <c r="J289" s="29" t="s">
        <v>278</v>
      </c>
      <c r="K289" s="93"/>
      <c r="L289" s="93"/>
      <c r="M289" s="16">
        <f>G289+G290+G297+G298+G299+G306+G307+G309+G310+G311+G312+G313+G316+G317+G318+G320+G321+G322+G323+G327+G331+G332+G333+G334+G336+G340+G342+G343+G345+G348+G350+G351</f>
        <v>6388</v>
      </c>
      <c r="N289" s="9" t="s">
        <v>278</v>
      </c>
      <c r="Q289" s="13"/>
      <c r="T289" s="25"/>
      <c r="U289" s="101"/>
      <c r="V289" s="26"/>
      <c r="W289" s="98"/>
      <c r="X289" s="32"/>
      <c r="Z289" s="35"/>
      <c r="AA289" s="152"/>
      <c r="AB289" s="98"/>
      <c r="AC289" s="9"/>
      <c r="AD289" s="9"/>
      <c r="AE289" s="9"/>
      <c r="AF289" s="9"/>
      <c r="AG289" s="9"/>
      <c r="AH289" s="9"/>
      <c r="AJ289" s="68"/>
      <c r="AK289" s="68"/>
    </row>
    <row r="290" spans="1:39" ht="15">
      <c r="A290" s="109"/>
      <c r="B290" s="1663" t="s">
        <v>457</v>
      </c>
      <c r="C290" s="22" t="s">
        <v>458</v>
      </c>
      <c r="D290" s="67">
        <v>75.69</v>
      </c>
      <c r="E290" s="68">
        <v>660</v>
      </c>
      <c r="F290" s="100">
        <v>75.989999999999995</v>
      </c>
      <c r="G290" s="102">
        <v>198</v>
      </c>
      <c r="H290" s="71">
        <v>44407</v>
      </c>
      <c r="I290" s="16">
        <v>49955</v>
      </c>
      <c r="J290" s="29" t="s">
        <v>278</v>
      </c>
      <c r="K290" s="93"/>
      <c r="L290" s="93"/>
      <c r="M290" s="16">
        <f>G315+G328+G337+G339+G346+G349</f>
        <v>27356</v>
      </c>
      <c r="N290" s="9" t="s">
        <v>90</v>
      </c>
      <c r="Q290" s="13"/>
      <c r="T290" s="25"/>
      <c r="U290" s="101"/>
      <c r="V290" s="26"/>
      <c r="W290" s="98"/>
      <c r="X290" s="32"/>
      <c r="Z290" s="35"/>
      <c r="AA290" s="152"/>
      <c r="AB290" s="98"/>
      <c r="AC290" s="9"/>
      <c r="AD290" s="9"/>
      <c r="AE290" s="9"/>
      <c r="AF290" s="9"/>
      <c r="AG290" s="9"/>
      <c r="AH290" s="9"/>
      <c r="AJ290" s="68"/>
      <c r="AK290" s="68" t="s">
        <v>459</v>
      </c>
      <c r="AL290" s="16"/>
      <c r="AM290" s="16">
        <v>172889</v>
      </c>
    </row>
    <row r="291" spans="1:39" ht="26.25">
      <c r="A291" s="109"/>
      <c r="B291" s="1663" t="s">
        <v>460</v>
      </c>
      <c r="C291" s="22" t="s">
        <v>461</v>
      </c>
      <c r="D291" s="67">
        <v>45.84</v>
      </c>
      <c r="E291" s="68">
        <v>1086</v>
      </c>
      <c r="F291" s="100">
        <v>46.17</v>
      </c>
      <c r="G291" s="102">
        <v>358</v>
      </c>
      <c r="H291" s="71">
        <v>44407</v>
      </c>
      <c r="I291" s="16">
        <v>49782</v>
      </c>
      <c r="J291" s="29" t="s">
        <v>266</v>
      </c>
      <c r="K291" s="93"/>
      <c r="L291" s="93"/>
      <c r="M291" s="16">
        <f>G291+G294+G295+G296+G300+G301+G302+G304+G305+G308+G314+G319+G324+G325+G326+G329+G330+G335+G338+G341+G344+G347+G352+G353</f>
        <v>-474</v>
      </c>
      <c r="N291" s="9" t="s">
        <v>266</v>
      </c>
      <c r="Q291" s="13"/>
      <c r="T291" s="25"/>
      <c r="U291" s="101"/>
      <c r="V291" s="26"/>
      <c r="W291" s="98"/>
      <c r="X291" s="32"/>
      <c r="Z291" s="35"/>
      <c r="AA291" s="152"/>
      <c r="AB291" s="98"/>
      <c r="AC291" s="9"/>
      <c r="AD291" s="9"/>
      <c r="AE291" s="9"/>
      <c r="AF291" s="9"/>
      <c r="AG291" s="9"/>
      <c r="AH291" s="9"/>
      <c r="AJ291" s="68"/>
      <c r="AK291" s="68" t="s">
        <v>462</v>
      </c>
      <c r="AL291" s="16"/>
      <c r="AM291" s="16">
        <v>-140198</v>
      </c>
    </row>
    <row r="292" spans="1:39" ht="15">
      <c r="A292" s="109"/>
      <c r="B292" s="1663" t="s">
        <v>463</v>
      </c>
      <c r="C292" s="22" t="s">
        <v>464</v>
      </c>
      <c r="D292" s="67">
        <v>10.45</v>
      </c>
      <c r="E292" s="68">
        <v>11806</v>
      </c>
      <c r="F292" s="100">
        <v>10.48</v>
      </c>
      <c r="G292" s="102">
        <v>826</v>
      </c>
      <c r="H292" s="71">
        <v>44407</v>
      </c>
      <c r="I292" s="16">
        <v>123373</v>
      </c>
      <c r="J292" s="29" t="s">
        <v>36</v>
      </c>
      <c r="K292" s="93"/>
      <c r="L292" s="93"/>
      <c r="Q292" s="13"/>
      <c r="T292" s="25"/>
      <c r="U292" s="101"/>
      <c r="V292" s="26"/>
      <c r="W292" s="98"/>
      <c r="X292" s="32"/>
      <c r="Z292" s="35"/>
      <c r="AA292" s="152"/>
      <c r="AB292" s="98"/>
      <c r="AC292" s="9"/>
      <c r="AD292" s="9"/>
      <c r="AE292" s="9"/>
      <c r="AF292" s="9"/>
      <c r="AG292" s="9"/>
      <c r="AH292" s="9"/>
      <c r="AJ292" s="68"/>
      <c r="AK292" s="68"/>
      <c r="AL292" s="34"/>
      <c r="AM292" s="34">
        <f>AM290+AM291</f>
        <v>32691</v>
      </c>
    </row>
    <row r="293" spans="1:39" ht="15">
      <c r="A293" s="109"/>
      <c r="B293" s="1663" t="s">
        <v>440</v>
      </c>
      <c r="C293" s="22" t="s">
        <v>441</v>
      </c>
      <c r="D293" s="67">
        <v>151.25</v>
      </c>
      <c r="E293" s="68">
        <f>290+140</f>
        <v>430</v>
      </c>
      <c r="F293" s="100">
        <v>137.08000000000001</v>
      </c>
      <c r="G293" s="102">
        <v>-3958</v>
      </c>
      <c r="H293" s="71">
        <v>44407</v>
      </c>
      <c r="I293" s="16">
        <f>D293*E293</f>
        <v>65037.5</v>
      </c>
      <c r="J293" s="29" t="s">
        <v>250</v>
      </c>
      <c r="K293" s="93"/>
      <c r="L293" s="93"/>
      <c r="Q293" s="13"/>
      <c r="T293" s="25"/>
      <c r="U293" s="101"/>
      <c r="V293" s="26"/>
      <c r="W293" s="98"/>
      <c r="X293" s="32"/>
      <c r="Z293" s="35"/>
      <c r="AA293" s="152"/>
      <c r="AB293" s="98"/>
      <c r="AC293" s="9"/>
      <c r="AD293" s="9"/>
      <c r="AE293" s="9"/>
      <c r="AF293" s="9"/>
      <c r="AG293" s="9"/>
      <c r="AH293" s="9"/>
    </row>
    <row r="294" spans="1:39" ht="15">
      <c r="A294" s="109"/>
      <c r="B294" s="1663" t="s">
        <v>465</v>
      </c>
      <c r="C294" s="22" t="s">
        <v>466</v>
      </c>
      <c r="D294" s="67">
        <v>177.48</v>
      </c>
      <c r="E294" s="68">
        <v>281</v>
      </c>
      <c r="F294" s="100">
        <v>179.26</v>
      </c>
      <c r="G294" s="102">
        <v>500</v>
      </c>
      <c r="H294" s="71">
        <v>44406</v>
      </c>
      <c r="I294" s="16">
        <v>49872</v>
      </c>
      <c r="J294" s="29" t="s">
        <v>266</v>
      </c>
      <c r="K294" s="93"/>
      <c r="L294" s="93"/>
      <c r="Q294" s="13"/>
      <c r="T294" s="25"/>
      <c r="U294" s="101"/>
      <c r="V294" s="26"/>
      <c r="W294" s="98"/>
      <c r="X294" s="32"/>
      <c r="Z294" s="35"/>
      <c r="AA294" s="152"/>
      <c r="AB294" s="98"/>
      <c r="AC294" s="9"/>
      <c r="AD294" s="9"/>
      <c r="AE294" s="9"/>
      <c r="AF294" s="9"/>
      <c r="AG294" s="9"/>
      <c r="AH294" s="9"/>
    </row>
    <row r="295" spans="1:39" ht="15">
      <c r="A295" s="109"/>
      <c r="B295" s="1663" t="s">
        <v>264</v>
      </c>
      <c r="C295" s="22" t="s">
        <v>265</v>
      </c>
      <c r="D295" s="67">
        <v>11.05</v>
      </c>
      <c r="E295" s="68">
        <v>2217</v>
      </c>
      <c r="F295" s="100">
        <v>11.11</v>
      </c>
      <c r="G295" s="102">
        <v>133</v>
      </c>
      <c r="H295" s="71">
        <v>44406</v>
      </c>
      <c r="I295" s="16">
        <v>24498</v>
      </c>
      <c r="J295" s="29" t="s">
        <v>266</v>
      </c>
      <c r="K295" s="93"/>
      <c r="L295" s="93"/>
      <c r="Q295" s="13"/>
      <c r="T295" s="25"/>
      <c r="U295" s="101"/>
      <c r="V295" s="26"/>
      <c r="W295" s="98"/>
      <c r="X295" s="32"/>
      <c r="Z295" s="35"/>
      <c r="AA295" s="152"/>
      <c r="AB295" s="98"/>
      <c r="AC295" s="9"/>
      <c r="AD295" s="9"/>
      <c r="AE295" s="9"/>
      <c r="AF295" s="9"/>
      <c r="AG295" s="9"/>
      <c r="AH295" s="9"/>
    </row>
    <row r="296" spans="1:39" ht="15">
      <c r="A296" s="109"/>
      <c r="B296" s="1663" t="s">
        <v>340</v>
      </c>
      <c r="C296" s="22" t="s">
        <v>341</v>
      </c>
      <c r="D296" s="67">
        <v>11.52</v>
      </c>
      <c r="E296" s="68">
        <v>4344</v>
      </c>
      <c r="F296" s="100">
        <v>11.59</v>
      </c>
      <c r="G296" s="102">
        <v>304</v>
      </c>
      <c r="H296" s="71">
        <v>44406</v>
      </c>
      <c r="I296" s="16">
        <v>50043</v>
      </c>
      <c r="J296" s="29" t="s">
        <v>266</v>
      </c>
      <c r="K296" s="93"/>
      <c r="L296" s="93"/>
      <c r="Q296" s="13"/>
      <c r="S296" s="9"/>
      <c r="T296" s="25"/>
      <c r="U296" s="101"/>
      <c r="V296" s="26"/>
      <c r="W296" s="98"/>
      <c r="X296" s="32"/>
      <c r="Z296" s="35"/>
      <c r="AA296" s="152"/>
      <c r="AB296" s="98"/>
      <c r="AC296" s="9"/>
      <c r="AD296" s="9"/>
      <c r="AE296" s="9"/>
      <c r="AF296" s="9"/>
      <c r="AG296" s="9"/>
      <c r="AH296" s="9"/>
    </row>
    <row r="297" spans="1:39" ht="15">
      <c r="A297" s="109"/>
      <c r="B297" s="1663" t="s">
        <v>404</v>
      </c>
      <c r="C297" s="22" t="s">
        <v>405</v>
      </c>
      <c r="D297" s="67">
        <v>181.85</v>
      </c>
      <c r="E297" s="68">
        <v>274</v>
      </c>
      <c r="F297" s="100">
        <v>183.67</v>
      </c>
      <c r="G297" s="102">
        <v>499</v>
      </c>
      <c r="H297" s="71">
        <v>44406</v>
      </c>
      <c r="I297" s="16">
        <v>49827</v>
      </c>
      <c r="J297" s="29" t="s">
        <v>278</v>
      </c>
      <c r="K297" s="93"/>
      <c r="L297" s="93"/>
      <c r="Q297" s="13"/>
      <c r="S297" s="9"/>
      <c r="T297" s="25"/>
      <c r="U297" s="101"/>
      <c r="V297" s="26"/>
      <c r="W297" s="98"/>
      <c r="X297" s="32"/>
      <c r="Z297" s="35"/>
      <c r="AA297" s="152"/>
      <c r="AB297" s="98"/>
      <c r="AC297" s="9"/>
      <c r="AD297" s="9"/>
      <c r="AE297" s="9"/>
      <c r="AF297" s="9"/>
      <c r="AG297" s="9"/>
      <c r="AH297" s="9"/>
    </row>
    <row r="298" spans="1:39" ht="15">
      <c r="A298" s="109"/>
      <c r="B298" s="1663" t="s">
        <v>467</v>
      </c>
      <c r="C298" s="22" t="s">
        <v>468</v>
      </c>
      <c r="D298" s="67">
        <v>107.14</v>
      </c>
      <c r="E298" s="68">
        <v>46</v>
      </c>
      <c r="F298" s="100">
        <v>107.95</v>
      </c>
      <c r="G298" s="102">
        <v>377</v>
      </c>
      <c r="H298" s="71">
        <v>44405</v>
      </c>
      <c r="I298" s="16">
        <v>49927</v>
      </c>
      <c r="J298" s="29" t="s">
        <v>278</v>
      </c>
      <c r="K298" s="93"/>
      <c r="L298" s="93"/>
      <c r="Q298" s="13"/>
      <c r="S298" s="9"/>
      <c r="T298" s="25"/>
      <c r="U298" s="101"/>
      <c r="V298" s="26"/>
      <c r="W298" s="98"/>
      <c r="X298" s="32"/>
      <c r="Z298" s="35"/>
      <c r="AA298" s="152"/>
      <c r="AB298" s="98"/>
      <c r="AC298" s="9"/>
      <c r="AD298" s="9"/>
      <c r="AE298" s="9"/>
      <c r="AF298" s="9"/>
      <c r="AG298" s="9"/>
      <c r="AH298" s="9"/>
    </row>
    <row r="299" spans="1:39" ht="15">
      <c r="A299" s="109"/>
      <c r="B299" s="1663" t="s">
        <v>392</v>
      </c>
      <c r="C299" s="22" t="s">
        <v>393</v>
      </c>
      <c r="D299" s="67">
        <v>95.87</v>
      </c>
      <c r="E299" s="68">
        <v>521</v>
      </c>
      <c r="F299" s="100">
        <v>96.83</v>
      </c>
      <c r="G299" s="102">
        <v>500</v>
      </c>
      <c r="H299" s="71">
        <v>44405</v>
      </c>
      <c r="I299" s="16">
        <v>49949</v>
      </c>
      <c r="J299" s="29" t="s">
        <v>278</v>
      </c>
      <c r="K299" s="93"/>
      <c r="L299" s="93"/>
      <c r="Q299" s="13"/>
      <c r="S299" s="9"/>
      <c r="T299" s="25"/>
      <c r="U299" s="101"/>
      <c r="V299" s="26"/>
      <c r="W299" s="98"/>
      <c r="X299" s="32"/>
      <c r="Z299" s="35"/>
      <c r="AA299" s="152"/>
      <c r="AB299" s="98"/>
      <c r="AC299" s="9"/>
      <c r="AD299" s="9"/>
      <c r="AE299" s="9"/>
      <c r="AF299" s="9"/>
      <c r="AG299" s="9"/>
      <c r="AH299" s="9"/>
    </row>
    <row r="300" spans="1:39" ht="15">
      <c r="A300" s="109"/>
      <c r="B300" s="1663" t="s">
        <v>338</v>
      </c>
      <c r="C300" s="22" t="s">
        <v>339</v>
      </c>
      <c r="D300" s="67">
        <v>11.77</v>
      </c>
      <c r="E300" s="68">
        <v>4248</v>
      </c>
      <c r="F300" s="100">
        <v>11.83</v>
      </c>
      <c r="G300" s="102">
        <v>255</v>
      </c>
      <c r="H300" s="71">
        <v>44405</v>
      </c>
      <c r="I300" s="16">
        <v>49999</v>
      </c>
      <c r="J300" s="29" t="s">
        <v>266</v>
      </c>
      <c r="K300" s="93"/>
      <c r="L300" s="93"/>
      <c r="Q300" s="13"/>
      <c r="S300" s="9"/>
      <c r="T300" s="25"/>
      <c r="U300" s="101"/>
      <c r="V300" s="26"/>
      <c r="W300" s="98"/>
      <c r="X300" s="32"/>
      <c r="Z300" s="35"/>
      <c r="AA300" s="152"/>
      <c r="AB300" s="98"/>
      <c r="AC300" s="9"/>
      <c r="AD300" s="9"/>
      <c r="AE300" s="9"/>
      <c r="AF300" s="9"/>
      <c r="AG300" s="9"/>
      <c r="AH300" s="9"/>
    </row>
    <row r="301" spans="1:39" ht="15">
      <c r="A301" s="109"/>
      <c r="B301" s="1663" t="s">
        <v>469</v>
      </c>
      <c r="C301" s="22" t="s">
        <v>470</v>
      </c>
      <c r="D301" s="67">
        <v>87.6</v>
      </c>
      <c r="E301" s="68">
        <v>570</v>
      </c>
      <c r="F301" s="100">
        <v>88.4</v>
      </c>
      <c r="G301" s="102">
        <v>456</v>
      </c>
      <c r="H301" s="71">
        <v>44404</v>
      </c>
      <c r="I301" s="16">
        <v>49932</v>
      </c>
      <c r="J301" s="29" t="s">
        <v>266</v>
      </c>
      <c r="K301" s="93"/>
      <c r="L301" s="93"/>
      <c r="Q301" s="13"/>
      <c r="S301" s="9"/>
      <c r="T301" s="25"/>
      <c r="U301" s="101"/>
      <c r="V301" s="26"/>
      <c r="W301" s="98"/>
      <c r="X301" s="32"/>
      <c r="Z301" s="35"/>
      <c r="AA301" s="152"/>
      <c r="AB301" s="98"/>
      <c r="AC301" s="9"/>
      <c r="AD301" s="9"/>
      <c r="AE301" s="9"/>
      <c r="AF301" s="9"/>
      <c r="AG301" s="9"/>
      <c r="AH301" s="9"/>
    </row>
    <row r="302" spans="1:39" ht="15">
      <c r="A302" s="109"/>
      <c r="B302" s="1663" t="s">
        <v>471</v>
      </c>
      <c r="C302" s="22" t="s">
        <v>472</v>
      </c>
      <c r="D302" s="67">
        <v>40.81</v>
      </c>
      <c r="E302" s="68">
        <v>1225</v>
      </c>
      <c r="F302" s="100">
        <v>41.22</v>
      </c>
      <c r="G302" s="102">
        <v>502</v>
      </c>
      <c r="H302" s="71">
        <v>44404</v>
      </c>
      <c r="I302" s="16">
        <v>49992</v>
      </c>
      <c r="J302" s="29" t="s">
        <v>266</v>
      </c>
      <c r="K302" s="93"/>
      <c r="L302" s="93"/>
      <c r="Q302" s="13"/>
      <c r="S302" s="9"/>
      <c r="T302" s="25"/>
      <c r="U302" s="101"/>
      <c r="V302" s="26"/>
      <c r="W302" s="98"/>
      <c r="X302" s="32"/>
      <c r="Z302" s="35"/>
      <c r="AA302" s="152"/>
      <c r="AB302" s="98"/>
      <c r="AC302" s="9"/>
      <c r="AD302" s="9"/>
      <c r="AE302" s="9"/>
      <c r="AF302" s="9"/>
      <c r="AG302" s="9"/>
      <c r="AH302" s="9"/>
    </row>
    <row r="303" spans="1:39" ht="15">
      <c r="A303" s="109"/>
      <c r="B303" s="1663" t="s">
        <v>473</v>
      </c>
      <c r="C303" s="22" t="s">
        <v>474</v>
      </c>
      <c r="D303" s="67">
        <v>28.24</v>
      </c>
      <c r="E303" s="68">
        <v>1770</v>
      </c>
      <c r="F303" s="100">
        <v>25.47</v>
      </c>
      <c r="G303" s="102">
        <v>-4177</v>
      </c>
      <c r="H303" s="71">
        <v>44403</v>
      </c>
      <c r="I303" s="16">
        <v>49985</v>
      </c>
      <c r="J303" s="29" t="s">
        <v>250</v>
      </c>
      <c r="K303" s="93"/>
      <c r="L303" s="93"/>
      <c r="Q303" s="13"/>
      <c r="S303" s="9"/>
      <c r="T303" s="25"/>
      <c r="U303" s="101"/>
      <c r="V303" s="26"/>
      <c r="W303" s="98"/>
      <c r="X303" s="32"/>
      <c r="Z303" s="35"/>
      <c r="AA303" s="152"/>
      <c r="AB303" s="98"/>
      <c r="AC303" s="9"/>
      <c r="AD303" s="9"/>
      <c r="AE303" s="9"/>
      <c r="AF303" s="9"/>
      <c r="AG303" s="9"/>
      <c r="AH303" s="9"/>
    </row>
    <row r="304" spans="1:39" ht="15">
      <c r="A304" s="109"/>
      <c r="B304" s="1663" t="s">
        <v>475</v>
      </c>
      <c r="C304" s="22" t="s">
        <v>476</v>
      </c>
      <c r="D304" s="67">
        <v>7.77</v>
      </c>
      <c r="E304" s="68">
        <v>6435</v>
      </c>
      <c r="F304" s="100">
        <v>7.85</v>
      </c>
      <c r="G304" s="102">
        <v>515</v>
      </c>
      <c r="H304" s="71">
        <v>44403</v>
      </c>
      <c r="I304" s="16">
        <v>50000</v>
      </c>
      <c r="J304" s="29" t="s">
        <v>266</v>
      </c>
      <c r="K304" s="93"/>
      <c r="L304" s="93"/>
      <c r="Q304" s="13"/>
      <c r="S304" s="9"/>
      <c r="T304" s="25"/>
      <c r="U304" s="101"/>
      <c r="V304" s="26"/>
      <c r="W304" s="98"/>
      <c r="X304" s="32"/>
      <c r="Z304" s="35"/>
      <c r="AA304" s="152"/>
      <c r="AB304" s="98"/>
      <c r="AC304" s="9"/>
      <c r="AD304" s="9"/>
      <c r="AE304" s="9"/>
      <c r="AF304" s="9"/>
      <c r="AG304" s="9"/>
      <c r="AH304" s="9"/>
    </row>
    <row r="305" spans="1:34" ht="15">
      <c r="A305" s="109"/>
      <c r="B305" s="1663" t="s">
        <v>477</v>
      </c>
      <c r="C305" s="22" t="s">
        <v>478</v>
      </c>
      <c r="D305" s="67">
        <v>37.07</v>
      </c>
      <c r="E305" s="68">
        <v>1348</v>
      </c>
      <c r="F305" s="100">
        <v>37.299999999999997</v>
      </c>
      <c r="G305" s="102">
        <v>310</v>
      </c>
      <c r="H305" s="71">
        <v>44400</v>
      </c>
      <c r="I305" s="16">
        <v>49970</v>
      </c>
      <c r="J305" s="29" t="s">
        <v>266</v>
      </c>
      <c r="K305" s="93"/>
      <c r="L305" s="93"/>
      <c r="Q305" s="13"/>
      <c r="S305" s="9"/>
      <c r="T305" s="25"/>
      <c r="U305" s="101"/>
      <c r="V305" s="26"/>
      <c r="W305" s="98"/>
      <c r="X305" s="32"/>
      <c r="Z305" s="35"/>
      <c r="AA305" s="152"/>
      <c r="AB305" s="98"/>
      <c r="AC305" s="9"/>
      <c r="AD305" s="9"/>
      <c r="AE305" s="9"/>
      <c r="AF305" s="9"/>
      <c r="AG305" s="9"/>
      <c r="AH305" s="9"/>
    </row>
    <row r="306" spans="1:34" ht="15">
      <c r="A306" s="109"/>
      <c r="B306" s="1663" t="s">
        <v>479</v>
      </c>
      <c r="C306" s="22" t="s">
        <v>480</v>
      </c>
      <c r="D306" s="67">
        <v>443.93</v>
      </c>
      <c r="E306" s="68">
        <v>112</v>
      </c>
      <c r="F306" s="100">
        <v>448.39</v>
      </c>
      <c r="G306" s="102">
        <v>500</v>
      </c>
      <c r="H306" s="71">
        <v>44400</v>
      </c>
      <c r="I306" s="16">
        <v>49720</v>
      </c>
      <c r="J306" s="29" t="s">
        <v>278</v>
      </c>
      <c r="K306" s="93"/>
      <c r="L306" s="93"/>
      <c r="Q306" s="13"/>
      <c r="S306" s="9"/>
      <c r="T306" s="25"/>
      <c r="U306" s="101"/>
      <c r="V306" s="26"/>
      <c r="W306" s="98"/>
      <c r="X306" s="32"/>
      <c r="Z306" s="35"/>
      <c r="AA306" s="152"/>
      <c r="AB306" s="98"/>
      <c r="AC306" s="9"/>
      <c r="AD306" s="9"/>
      <c r="AE306" s="9"/>
      <c r="AF306" s="9"/>
      <c r="AG306" s="9"/>
      <c r="AH306" s="9"/>
    </row>
    <row r="307" spans="1:34" ht="15">
      <c r="A307" s="109"/>
      <c r="B307" s="1663" t="s">
        <v>445</v>
      </c>
      <c r="C307" s="22" t="s">
        <v>446</v>
      </c>
      <c r="D307" s="67">
        <v>66.8</v>
      </c>
      <c r="E307" s="68">
        <v>501</v>
      </c>
      <c r="F307" s="100">
        <v>63.57</v>
      </c>
      <c r="G307" s="102">
        <v>-1616</v>
      </c>
      <c r="H307" s="71">
        <v>44399</v>
      </c>
      <c r="I307" s="16">
        <v>33465</v>
      </c>
      <c r="J307" s="29" t="s">
        <v>278</v>
      </c>
      <c r="K307" s="93"/>
      <c r="L307" s="93"/>
      <c r="Q307" s="13"/>
      <c r="S307" s="9"/>
      <c r="T307" s="25"/>
      <c r="U307" s="101"/>
      <c r="V307" s="26"/>
      <c r="W307" s="98"/>
      <c r="X307" s="32"/>
      <c r="Z307" s="35"/>
      <c r="AA307" s="152"/>
      <c r="AB307" s="98"/>
      <c r="AC307" s="9"/>
      <c r="AD307" s="9"/>
      <c r="AE307" s="9"/>
      <c r="AF307" s="9"/>
      <c r="AG307" s="9"/>
      <c r="AH307" s="9"/>
    </row>
    <row r="308" spans="1:34" ht="15">
      <c r="A308" s="109"/>
      <c r="B308" s="1663" t="s">
        <v>481</v>
      </c>
      <c r="C308" s="22" t="s">
        <v>482</v>
      </c>
      <c r="D308" s="67">
        <v>71.48</v>
      </c>
      <c r="E308" s="68">
        <v>699</v>
      </c>
      <c r="F308" s="100">
        <v>71.989999999999995</v>
      </c>
      <c r="G308" s="102">
        <v>356</v>
      </c>
      <c r="H308" s="71">
        <v>44399</v>
      </c>
      <c r="I308" s="16">
        <v>49965</v>
      </c>
      <c r="J308" s="29" t="s">
        <v>266</v>
      </c>
      <c r="K308" s="93"/>
      <c r="L308" s="93"/>
      <c r="Q308" s="13"/>
      <c r="S308" s="9"/>
      <c r="T308" s="25"/>
      <c r="U308" s="101"/>
      <c r="V308" s="26"/>
      <c r="W308" s="98"/>
      <c r="X308" s="32"/>
      <c r="Z308" s="35"/>
      <c r="AA308" s="152"/>
      <c r="AB308" s="98">
        <f>AB183+AB287</f>
        <v>0</v>
      </c>
      <c r="AC308" s="9"/>
      <c r="AD308" s="9"/>
      <c r="AE308" s="9"/>
      <c r="AF308" s="9"/>
      <c r="AG308" s="9"/>
      <c r="AH308" s="9"/>
    </row>
    <row r="309" spans="1:34" ht="15">
      <c r="A309" s="109"/>
      <c r="B309" s="1663" t="s">
        <v>408</v>
      </c>
      <c r="C309" s="22" t="s">
        <v>483</v>
      </c>
      <c r="D309" s="67">
        <v>29.59</v>
      </c>
      <c r="E309" s="68">
        <v>3373</v>
      </c>
      <c r="F309" s="100">
        <v>29.81</v>
      </c>
      <c r="G309" s="102">
        <v>742</v>
      </c>
      <c r="H309" s="71">
        <v>44399</v>
      </c>
      <c r="I309" s="16">
        <v>99807</v>
      </c>
      <c r="J309" s="29" t="s">
        <v>278</v>
      </c>
      <c r="K309" s="93"/>
      <c r="L309" s="93"/>
      <c r="Q309" s="13"/>
      <c r="S309" s="9"/>
      <c r="T309" s="25"/>
      <c r="U309" s="101"/>
      <c r="V309" s="26"/>
      <c r="W309" s="98"/>
      <c r="X309" s="32"/>
      <c r="Z309" s="35"/>
      <c r="AA309" s="152" t="s">
        <v>484</v>
      </c>
      <c r="AB309" s="98">
        <v>7000</v>
      </c>
      <c r="AC309" s="9"/>
      <c r="AD309" s="9"/>
      <c r="AE309" s="9"/>
      <c r="AF309" s="9"/>
      <c r="AG309" s="9"/>
      <c r="AH309" s="9"/>
    </row>
    <row r="310" spans="1:34" ht="15">
      <c r="A310" s="109"/>
      <c r="B310" s="1663" t="s">
        <v>485</v>
      </c>
      <c r="C310" s="9" t="s">
        <v>486</v>
      </c>
      <c r="D310" s="67">
        <v>33.799999999999997</v>
      </c>
      <c r="E310" s="68">
        <v>1479</v>
      </c>
      <c r="F310" s="100">
        <v>34.14</v>
      </c>
      <c r="G310" s="102">
        <v>503</v>
      </c>
      <c r="H310" s="71">
        <v>44398</v>
      </c>
      <c r="I310" s="16">
        <v>49990</v>
      </c>
      <c r="J310" s="29" t="s">
        <v>278</v>
      </c>
      <c r="K310" s="93"/>
      <c r="L310" s="93"/>
      <c r="Q310" s="13"/>
      <c r="S310" s="9"/>
      <c r="T310" s="25"/>
      <c r="U310" s="101"/>
      <c r="V310" s="26"/>
      <c r="W310" s="98"/>
      <c r="X310" s="32"/>
      <c r="Z310" s="35"/>
      <c r="AA310" s="152" t="s">
        <v>487</v>
      </c>
      <c r="AB310" s="98">
        <f>AB308-AB309</f>
        <v>-7000</v>
      </c>
      <c r="AC310" s="9"/>
      <c r="AD310" s="9"/>
      <c r="AE310" s="9"/>
      <c r="AF310" s="9"/>
      <c r="AG310" s="9"/>
      <c r="AH310" s="9"/>
    </row>
    <row r="311" spans="1:34" ht="15">
      <c r="A311" s="109"/>
      <c r="B311" s="1663" t="s">
        <v>412</v>
      </c>
      <c r="C311" s="22" t="s">
        <v>413</v>
      </c>
      <c r="D311" s="67">
        <v>73.819999999999993</v>
      </c>
      <c r="E311" s="68">
        <v>677</v>
      </c>
      <c r="F311" s="100">
        <v>74.56</v>
      </c>
      <c r="G311" s="102">
        <v>501</v>
      </c>
      <c r="H311" s="71">
        <v>44398</v>
      </c>
      <c r="I311" s="16">
        <v>49976</v>
      </c>
      <c r="J311" s="29" t="s">
        <v>278</v>
      </c>
      <c r="K311" s="93"/>
      <c r="L311" s="93"/>
      <c r="Q311" s="13"/>
      <c r="S311" s="9"/>
      <c r="T311" s="25"/>
      <c r="U311" s="101"/>
      <c r="V311" s="26"/>
      <c r="W311" s="98"/>
      <c r="X311" s="32"/>
      <c r="Z311" s="35"/>
      <c r="AC311" s="9"/>
      <c r="AD311" s="9"/>
      <c r="AE311" s="9"/>
      <c r="AF311" s="9"/>
      <c r="AG311" s="9"/>
      <c r="AH311" s="9"/>
    </row>
    <row r="312" spans="1:34" ht="15">
      <c r="A312" s="109"/>
      <c r="B312" s="1663" t="s">
        <v>359</v>
      </c>
      <c r="C312" s="22" t="s">
        <v>360</v>
      </c>
      <c r="D312" s="67">
        <v>297.5</v>
      </c>
      <c r="E312" s="68">
        <v>167</v>
      </c>
      <c r="F312" s="100">
        <v>300.49</v>
      </c>
      <c r="G312" s="102">
        <v>499</v>
      </c>
      <c r="H312" s="71">
        <v>44398</v>
      </c>
      <c r="I312" s="16">
        <v>49683</v>
      </c>
      <c r="J312" s="29" t="s">
        <v>278</v>
      </c>
      <c r="K312" s="93"/>
      <c r="L312" s="153">
        <f>SUM(G311:G315)</f>
        <v>2225</v>
      </c>
      <c r="Q312" s="13"/>
      <c r="S312" s="9"/>
      <c r="T312" s="25"/>
      <c r="U312" s="101"/>
      <c r="V312" s="26"/>
      <c r="W312" s="98"/>
      <c r="X312" s="32"/>
      <c r="Z312" s="35"/>
      <c r="AA312" s="152"/>
      <c r="AB312" s="98"/>
      <c r="AC312" s="9"/>
      <c r="AD312" s="9"/>
      <c r="AE312" s="9"/>
      <c r="AF312" s="9"/>
      <c r="AG312" s="9"/>
      <c r="AH312" s="9"/>
    </row>
    <row r="313" spans="1:34" ht="15">
      <c r="A313" s="109"/>
      <c r="B313" s="1663" t="s">
        <v>410</v>
      </c>
      <c r="C313" s="22" t="s">
        <v>411</v>
      </c>
      <c r="D313" s="67">
        <v>56.66</v>
      </c>
      <c r="E313" s="68">
        <v>882</v>
      </c>
      <c r="F313" s="100">
        <v>57.23</v>
      </c>
      <c r="G313" s="102">
        <v>503</v>
      </c>
      <c r="H313" s="71">
        <v>44398</v>
      </c>
      <c r="I313" s="16">
        <v>49974</v>
      </c>
      <c r="J313" s="29" t="s">
        <v>278</v>
      </c>
      <c r="K313" s="93"/>
      <c r="Q313" s="13"/>
      <c r="S313" s="9"/>
      <c r="T313" s="25"/>
      <c r="U313" s="101"/>
      <c r="V313" s="26"/>
      <c r="W313" s="98"/>
      <c r="X313" s="32"/>
      <c r="Z313" s="35"/>
      <c r="AA313" s="152"/>
      <c r="AB313" s="98"/>
      <c r="AC313" s="9"/>
      <c r="AD313" s="9"/>
      <c r="AE313" s="9"/>
      <c r="AF313" s="9"/>
      <c r="AG313" s="9"/>
      <c r="AH313" s="9"/>
    </row>
    <row r="314" spans="1:34" ht="15">
      <c r="A314" s="109"/>
      <c r="B314" s="1663" t="s">
        <v>488</v>
      </c>
      <c r="C314" s="22" t="s">
        <v>489</v>
      </c>
      <c r="D314" s="67">
        <v>200.42</v>
      </c>
      <c r="E314" s="68">
        <v>250</v>
      </c>
      <c r="F314" s="100">
        <v>197.25</v>
      </c>
      <c r="G314" s="102">
        <v>-548</v>
      </c>
      <c r="H314" s="71">
        <v>44398</v>
      </c>
      <c r="I314" s="16">
        <v>50105</v>
      </c>
      <c r="J314" s="29" t="s">
        <v>266</v>
      </c>
      <c r="K314" s="93"/>
      <c r="L314" s="93"/>
      <c r="P314" s="6" t="s">
        <v>90</v>
      </c>
      <c r="Q314" s="6" t="s">
        <v>278</v>
      </c>
      <c r="R314" s="6" t="s">
        <v>266</v>
      </c>
      <c r="S314" s="9"/>
      <c r="T314" s="25"/>
      <c r="U314" s="101"/>
      <c r="V314" s="26"/>
      <c r="W314" s="98"/>
      <c r="X314" s="32"/>
      <c r="Z314" s="35"/>
      <c r="AA314" s="152"/>
      <c r="AB314" s="98"/>
      <c r="AC314" s="9"/>
      <c r="AD314" s="9"/>
      <c r="AE314" s="9"/>
      <c r="AF314" s="9"/>
      <c r="AG314" s="9"/>
      <c r="AH314" s="9"/>
    </row>
    <row r="315" spans="1:34" ht="15">
      <c r="A315" s="109"/>
      <c r="B315" s="1663" t="s">
        <v>160</v>
      </c>
      <c r="C315" s="22" t="s">
        <v>202</v>
      </c>
      <c r="D315" s="67">
        <v>126.88</v>
      </c>
      <c r="E315" s="68">
        <v>799</v>
      </c>
      <c r="F315" s="100">
        <v>128.47</v>
      </c>
      <c r="G315" s="102">
        <v>1270</v>
      </c>
      <c r="H315" s="71">
        <v>44398</v>
      </c>
      <c r="I315" s="16">
        <v>101377</v>
      </c>
      <c r="J315" s="29" t="s">
        <v>90</v>
      </c>
      <c r="K315" s="93"/>
      <c r="L315" s="93"/>
      <c r="O315" s="9" t="s">
        <v>256</v>
      </c>
      <c r="P315" s="16">
        <v>-30060</v>
      </c>
      <c r="Q315" s="16">
        <v>-1122</v>
      </c>
      <c r="R315" s="16">
        <v>-6698</v>
      </c>
      <c r="S315" s="9"/>
      <c r="T315" s="25"/>
      <c r="U315" s="101"/>
      <c r="V315" s="26"/>
      <c r="W315" s="98"/>
      <c r="X315" s="32"/>
      <c r="Z315" s="35"/>
      <c r="AA315" s="152"/>
      <c r="AB315" s="98"/>
      <c r="AC315" s="9"/>
      <c r="AD315" s="9"/>
      <c r="AE315" s="9"/>
      <c r="AF315" s="9"/>
      <c r="AG315" s="9"/>
      <c r="AH315" s="9"/>
    </row>
    <row r="316" spans="1:34" ht="15">
      <c r="A316" s="109"/>
      <c r="B316" s="1663" t="s">
        <v>370</v>
      </c>
      <c r="C316" s="22" t="s">
        <v>371</v>
      </c>
      <c r="D316" s="67">
        <v>1511.17</v>
      </c>
      <c r="E316" s="68">
        <v>33</v>
      </c>
      <c r="F316" s="100">
        <v>1526.31</v>
      </c>
      <c r="G316" s="102">
        <v>500</v>
      </c>
      <c r="H316" s="71">
        <v>44397</v>
      </c>
      <c r="I316" s="16">
        <v>49869</v>
      </c>
      <c r="J316" s="29" t="s">
        <v>278</v>
      </c>
      <c r="K316" s="93"/>
      <c r="L316" s="93"/>
      <c r="O316" s="9" t="s">
        <v>20</v>
      </c>
      <c r="P316" s="16">
        <v>31663</v>
      </c>
      <c r="Q316" s="16">
        <v>3693</v>
      </c>
      <c r="R316" s="16">
        <v>-16591</v>
      </c>
      <c r="T316" s="25"/>
      <c r="U316" s="101"/>
      <c r="V316" s="26"/>
      <c r="W316" s="98"/>
      <c r="X316" s="32"/>
      <c r="Z316" s="35"/>
      <c r="AA316" s="152"/>
      <c r="AB316" s="98"/>
      <c r="AC316" s="9"/>
      <c r="AD316" s="9"/>
      <c r="AE316" s="9"/>
      <c r="AF316" s="9"/>
      <c r="AG316" s="9"/>
      <c r="AH316" s="9"/>
    </row>
    <row r="317" spans="1:34" ht="15">
      <c r="A317" s="109"/>
      <c r="B317" s="1663" t="s">
        <v>490</v>
      </c>
      <c r="C317" s="22" t="s">
        <v>491</v>
      </c>
      <c r="D317" s="67">
        <v>320.61</v>
      </c>
      <c r="E317" s="68">
        <v>155</v>
      </c>
      <c r="F317" s="100">
        <v>323.83999999999997</v>
      </c>
      <c r="G317" s="102">
        <v>501</v>
      </c>
      <c r="H317" s="71">
        <v>44397</v>
      </c>
      <c r="I317" s="16">
        <v>49695</v>
      </c>
      <c r="J317" s="29" t="s">
        <v>278</v>
      </c>
      <c r="K317" s="93"/>
      <c r="L317" s="153">
        <f>SUM(G316:G320)</f>
        <v>2480</v>
      </c>
      <c r="O317" s="9" t="s">
        <v>21</v>
      </c>
      <c r="P317" s="16">
        <f>G346+G349+G339+G337+G328+G315</f>
        <v>27356</v>
      </c>
      <c r="Q317" s="16">
        <f>G351+G350+G348+G345+G343+G342+G340+G336+G334+G333+G332+G331+G327+G323+G322+G321+G320+G318+G317+G316+G313+G312+G311</f>
        <v>3976</v>
      </c>
      <c r="R317" s="16">
        <f>G353+G352+G347+G344+G341+G338+G335+G330+G329+G326+G325+G324+G319+G314</f>
        <v>-4163</v>
      </c>
      <c r="S317" s="11"/>
      <c r="T317" s="98"/>
      <c r="U317" s="101"/>
      <c r="V317" s="26"/>
      <c r="W317" s="98"/>
      <c r="X317" s="32"/>
      <c r="Z317" s="35"/>
      <c r="AA317" s="152"/>
      <c r="AB317" s="98"/>
      <c r="AC317" s="9"/>
      <c r="AD317" s="9"/>
      <c r="AE317" s="9"/>
      <c r="AF317" s="9"/>
      <c r="AG317" s="9"/>
      <c r="AH317" s="9"/>
    </row>
    <row r="318" spans="1:34" ht="15">
      <c r="A318" s="109"/>
      <c r="B318" s="1663" t="s">
        <v>492</v>
      </c>
      <c r="C318" s="22" t="s">
        <v>493</v>
      </c>
      <c r="D318" s="67">
        <v>106.13</v>
      </c>
      <c r="E318" s="68">
        <v>471</v>
      </c>
      <c r="F318" s="100">
        <v>107.19</v>
      </c>
      <c r="G318" s="102">
        <v>499</v>
      </c>
      <c r="H318" s="71">
        <v>44397</v>
      </c>
      <c r="I318" s="16">
        <v>49695</v>
      </c>
      <c r="J318" s="29" t="s">
        <v>278</v>
      </c>
      <c r="K318" s="93"/>
      <c r="L318" s="93"/>
      <c r="O318" s="9" t="s">
        <v>22</v>
      </c>
      <c r="P318" s="16">
        <f>G364+G365+G366+G382+G384+G392</f>
        <v>14309</v>
      </c>
      <c r="Q318" s="16">
        <f>G356+G358</f>
        <v>844</v>
      </c>
      <c r="R318" s="16">
        <f>G355+G357+G359+G360+G361+G362+G363+G368+G369+G370+G371+G372+G373+G374+G376+G379+G380+G381+G383+G385+G386+G388+G390</f>
        <v>6498</v>
      </c>
      <c r="S318" s="11"/>
      <c r="T318" s="98"/>
      <c r="U318" s="101"/>
      <c r="V318" s="26"/>
      <c r="W318" s="98"/>
      <c r="X318" s="32"/>
      <c r="Z318" s="35"/>
      <c r="AA318" s="152"/>
      <c r="AB318" s="98"/>
      <c r="AC318" s="9"/>
      <c r="AD318" s="9"/>
      <c r="AE318" s="9"/>
      <c r="AF318" s="9"/>
      <c r="AG318" s="9"/>
      <c r="AH318" s="9"/>
    </row>
    <row r="319" spans="1:34" ht="15">
      <c r="A319" s="109"/>
      <c r="B319" s="1663" t="s">
        <v>338</v>
      </c>
      <c r="C319" s="22" t="s">
        <v>339</v>
      </c>
      <c r="D319" s="67">
        <v>11.46</v>
      </c>
      <c r="E319" s="68">
        <v>4363</v>
      </c>
      <c r="F319" s="100">
        <v>11.57</v>
      </c>
      <c r="G319" s="102">
        <v>480</v>
      </c>
      <c r="H319" s="71">
        <v>44397</v>
      </c>
      <c r="I319" s="16">
        <v>50000</v>
      </c>
      <c r="J319" s="29" t="s">
        <v>266</v>
      </c>
      <c r="K319" s="93"/>
      <c r="L319" s="93"/>
      <c r="O319" s="9" t="s">
        <v>23</v>
      </c>
      <c r="P319" s="16">
        <f>G395+G406+G407+G409+G412+G418+G420+G421+G434</f>
        <v>27023</v>
      </c>
      <c r="Q319" s="13"/>
      <c r="R319" s="16">
        <f>G396+G398+G399+G400+G401+G402+G404+G405+G408+G410+G413+G416+G417+G423+G426+G427+G428+G429+G431+G435+G439+G440</f>
        <v>8656.36</v>
      </c>
      <c r="S319" s="11"/>
      <c r="T319" s="98"/>
      <c r="U319" s="101"/>
      <c r="V319" s="26"/>
      <c r="W319" s="98"/>
      <c r="X319" s="32"/>
      <c r="Z319" s="35"/>
      <c r="AA319" s="152" t="s">
        <v>271</v>
      </c>
      <c r="AB319" s="98">
        <f>AB183-AB309</f>
        <v>-7000</v>
      </c>
      <c r="AC319" s="9"/>
      <c r="AD319" s="9"/>
      <c r="AE319" s="9"/>
      <c r="AF319" s="9"/>
      <c r="AG319" s="9"/>
      <c r="AH319" s="9"/>
    </row>
    <row r="320" spans="1:34" ht="15">
      <c r="A320" s="109"/>
      <c r="B320" s="1663" t="s">
        <v>494</v>
      </c>
      <c r="C320" s="22" t="s">
        <v>495</v>
      </c>
      <c r="D320" s="67">
        <v>71.25</v>
      </c>
      <c r="E320" s="68">
        <v>701</v>
      </c>
      <c r="F320" s="100">
        <v>91.97</v>
      </c>
      <c r="G320" s="102">
        <v>500</v>
      </c>
      <c r="H320" s="71">
        <v>44397</v>
      </c>
      <c r="I320" s="16">
        <v>49946</v>
      </c>
      <c r="J320" s="29" t="s">
        <v>278</v>
      </c>
      <c r="K320" s="93"/>
      <c r="L320" s="93"/>
      <c r="O320" s="9" t="s">
        <v>24</v>
      </c>
      <c r="P320" s="16">
        <f>G446+G455+G477</f>
        <v>3624</v>
      </c>
      <c r="Q320" s="13"/>
      <c r="R320" s="16">
        <f>G444+G449+G451+G454+G456+G457+G458+G459+G460+G464+G467+G468+G469+G470+G471+G472+G474+G475+G481+G483+G484+G485+G487+G490+G491</f>
        <v>19356.259999999998</v>
      </c>
      <c r="S320" s="11"/>
      <c r="T320" s="98"/>
      <c r="U320" s="101"/>
      <c r="V320" s="26"/>
      <c r="W320" s="98"/>
      <c r="X320" s="32"/>
      <c r="Z320" s="35"/>
      <c r="AA320" s="152"/>
      <c r="AB320" s="98"/>
      <c r="AC320" s="9"/>
      <c r="AD320" s="9"/>
      <c r="AE320" s="9"/>
      <c r="AF320" s="9"/>
      <c r="AG320" s="9"/>
      <c r="AH320" s="9"/>
    </row>
    <row r="321" spans="1:36" ht="15">
      <c r="A321" s="109"/>
      <c r="B321" s="1663" t="s">
        <v>496</v>
      </c>
      <c r="C321" s="22" t="s">
        <v>496</v>
      </c>
      <c r="D321" s="67">
        <v>717.5</v>
      </c>
      <c r="E321" s="68">
        <v>83</v>
      </c>
      <c r="F321" s="100">
        <v>670.02</v>
      </c>
      <c r="G321" s="102">
        <v>-3941</v>
      </c>
      <c r="H321" s="71">
        <v>44393</v>
      </c>
      <c r="I321" s="16">
        <v>59553</v>
      </c>
      <c r="J321" s="29" t="s">
        <v>278</v>
      </c>
      <c r="K321" s="93"/>
      <c r="L321" s="153">
        <f>SUM(G321:G325)</f>
        <v>-12987</v>
      </c>
      <c r="O321" s="9" t="s">
        <v>25</v>
      </c>
      <c r="P321" s="16">
        <f>G512+G519+G520</f>
        <v>6239</v>
      </c>
      <c r="Q321" s="13"/>
      <c r="R321" s="16">
        <f>G495+G500+G502+G503+G507+G508+G509+G510+G513+G513+G514+G515+G516+G517+G518+G521+G522+G524+G525+G529+G530+G531+G532+G533+G534+G538+G539</f>
        <v>19251.52</v>
      </c>
      <c r="S321" s="11"/>
      <c r="T321" s="98"/>
      <c r="U321" s="101"/>
      <c r="V321" s="26"/>
      <c r="W321" s="98"/>
      <c r="X321" s="32"/>
      <c r="Z321" s="35"/>
      <c r="AA321" s="152"/>
      <c r="AB321" s="98"/>
      <c r="AC321" s="9"/>
      <c r="AD321" s="9"/>
      <c r="AE321" s="9"/>
      <c r="AF321" s="9"/>
      <c r="AG321" s="9"/>
      <c r="AH321" s="9"/>
    </row>
    <row r="322" spans="1:36" ht="15">
      <c r="A322" s="109"/>
      <c r="B322" s="1663" t="s">
        <v>497</v>
      </c>
      <c r="C322" s="22" t="s">
        <v>498</v>
      </c>
      <c r="D322" s="67">
        <v>22.9</v>
      </c>
      <c r="E322" s="68">
        <v>4366</v>
      </c>
      <c r="F322" s="100">
        <v>22.24</v>
      </c>
      <c r="G322" s="102">
        <v>-2882</v>
      </c>
      <c r="H322" s="71">
        <v>44393</v>
      </c>
      <c r="I322" s="16">
        <v>99981</v>
      </c>
      <c r="J322" s="29" t="s">
        <v>278</v>
      </c>
      <c r="K322" s="93"/>
      <c r="L322" s="93"/>
      <c r="O322" s="9" t="s">
        <v>26</v>
      </c>
      <c r="P322" s="16">
        <f>G542+G543+G552+G564</f>
        <v>11350</v>
      </c>
      <c r="Q322" s="13"/>
      <c r="R322" s="16">
        <f>G541+G545+G546+G547+G548+G549+G549+G550+G558+G559+G560+G561+G562+G563+G565+G568+G569+G570+G572+G575+G576+G577</f>
        <v>25428</v>
      </c>
      <c r="S322" s="11"/>
      <c r="T322" s="98"/>
      <c r="U322" s="101"/>
      <c r="V322" s="26"/>
      <c r="W322" s="98"/>
      <c r="X322" s="32"/>
      <c r="Z322" s="35"/>
      <c r="AA322" s="152"/>
      <c r="AB322" s="98"/>
      <c r="AC322" s="9"/>
      <c r="AD322" s="9"/>
      <c r="AE322" s="9"/>
      <c r="AF322" s="9"/>
      <c r="AG322" s="9"/>
      <c r="AH322" s="9"/>
    </row>
    <row r="323" spans="1:36" ht="15">
      <c r="A323" s="109"/>
      <c r="B323" s="1663" t="s">
        <v>276</v>
      </c>
      <c r="C323" s="22" t="s">
        <v>499</v>
      </c>
      <c r="D323" s="67">
        <v>279.3</v>
      </c>
      <c r="E323" s="68">
        <v>178</v>
      </c>
      <c r="F323" s="100">
        <v>282.11</v>
      </c>
      <c r="G323" s="102">
        <v>500</v>
      </c>
      <c r="H323" s="71">
        <v>44393</v>
      </c>
      <c r="I323" s="16">
        <v>49715</v>
      </c>
      <c r="J323" s="29" t="s">
        <v>278</v>
      </c>
      <c r="K323" s="93"/>
      <c r="L323" s="93"/>
      <c r="O323" s="9" t="s">
        <v>143</v>
      </c>
      <c r="P323" s="16">
        <f>G585+G607+G612+G622+G625</f>
        <v>7128</v>
      </c>
      <c r="Q323" s="13"/>
      <c r="R323" s="16">
        <f>G579+G580+G581+G583+G584+G586+G587+G589+G591+G593+G595+G597+G599+G600+G601+G602+G603+G605+G608+G610+G614+G615+G616+G618+G619+G620+G621+G623+G626</f>
        <v>22147.700000000004</v>
      </c>
      <c r="S323" s="11"/>
      <c r="T323" s="98"/>
      <c r="U323" s="101"/>
      <c r="V323" s="26"/>
      <c r="W323" s="98"/>
      <c r="X323" s="32"/>
      <c r="Z323" s="35"/>
      <c r="AA323" s="152"/>
      <c r="AB323" s="98"/>
      <c r="AC323" s="9"/>
      <c r="AD323" s="9"/>
      <c r="AE323" s="9"/>
      <c r="AF323" s="9"/>
      <c r="AG323" s="9"/>
      <c r="AH323" s="9"/>
    </row>
    <row r="324" spans="1:36" ht="15">
      <c r="A324" s="109"/>
      <c r="B324" s="1663" t="s">
        <v>500</v>
      </c>
      <c r="C324" s="22" t="s">
        <v>501</v>
      </c>
      <c r="D324" s="67">
        <v>180.98</v>
      </c>
      <c r="E324" s="68">
        <v>276</v>
      </c>
      <c r="F324" s="100">
        <v>182.79</v>
      </c>
      <c r="G324" s="102">
        <v>500</v>
      </c>
      <c r="H324" s="71">
        <v>44393</v>
      </c>
      <c r="I324" s="16">
        <v>49950</v>
      </c>
      <c r="J324" s="29" t="s">
        <v>266</v>
      </c>
      <c r="K324" s="93"/>
      <c r="L324" s="93"/>
      <c r="O324" s="9" t="s">
        <v>86</v>
      </c>
      <c r="P324" s="16">
        <f>G656+G655+G654+G653+G652+G651+G650+G647+G644+G643+G642+G639+G640+G638+G637+G633+G632+G630</f>
        <v>39430.37999999999</v>
      </c>
      <c r="Q324" s="13"/>
      <c r="R324" s="16">
        <f>G634+G635+G636+G646+G645+G649</f>
        <v>6071.9099999999962</v>
      </c>
      <c r="S324" s="11"/>
      <c r="T324" s="98"/>
      <c r="U324" s="101"/>
      <c r="V324" s="26"/>
      <c r="W324" s="98"/>
      <c r="X324" s="32"/>
      <c r="Z324" s="35"/>
      <c r="AA324" s="152"/>
      <c r="AB324" s="98"/>
      <c r="AC324" s="9"/>
      <c r="AD324" s="9"/>
      <c r="AE324" s="9"/>
      <c r="AF324" s="9"/>
      <c r="AG324" s="9"/>
      <c r="AH324" s="9"/>
    </row>
    <row r="325" spans="1:36" ht="15">
      <c r="A325" s="109"/>
      <c r="B325" s="1663" t="s">
        <v>502</v>
      </c>
      <c r="C325" s="22" t="s">
        <v>503</v>
      </c>
      <c r="D325" s="67">
        <v>42.17</v>
      </c>
      <c r="E325" s="68">
        <v>1185</v>
      </c>
      <c r="F325" s="100">
        <v>35.770000000000003</v>
      </c>
      <c r="G325" s="102">
        <v>-7164</v>
      </c>
      <c r="H325" s="71">
        <v>44393</v>
      </c>
      <c r="I325" s="16">
        <v>49966</v>
      </c>
      <c r="J325" s="29" t="s">
        <v>266</v>
      </c>
      <c r="K325" s="93"/>
      <c r="L325" s="93"/>
      <c r="Q325" s="13"/>
      <c r="S325" s="11"/>
      <c r="T325" s="98"/>
      <c r="U325" s="101"/>
      <c r="V325" s="26"/>
      <c r="W325" s="98"/>
      <c r="X325" s="32"/>
      <c r="Z325" s="35"/>
      <c r="AA325" s="152"/>
      <c r="AB325" s="98"/>
    </row>
    <row r="326" spans="1:36" ht="15">
      <c r="A326" s="109"/>
      <c r="B326" s="1663" t="s">
        <v>300</v>
      </c>
      <c r="C326" s="22" t="s">
        <v>301</v>
      </c>
      <c r="D326" s="67">
        <v>40.22</v>
      </c>
      <c r="E326" s="68">
        <v>1243</v>
      </c>
      <c r="F326" s="100">
        <v>39.42</v>
      </c>
      <c r="G326" s="102">
        <v>-721</v>
      </c>
      <c r="H326" s="71">
        <v>44392</v>
      </c>
      <c r="I326" s="16">
        <v>49993</v>
      </c>
      <c r="J326" s="29" t="s">
        <v>266</v>
      </c>
      <c r="K326" s="93"/>
      <c r="L326" s="93"/>
      <c r="O326" s="9" t="s">
        <v>186</v>
      </c>
      <c r="P326" s="16">
        <f>AVERAGE(P317:P324)</f>
        <v>17057.422500000001</v>
      </c>
      <c r="Q326" s="13"/>
      <c r="R326" s="16">
        <f>AVERAGE(R317:R324)</f>
        <v>12905.84375</v>
      </c>
      <c r="S326" s="11"/>
      <c r="T326" s="98"/>
      <c r="U326" s="101"/>
      <c r="V326" s="26"/>
      <c r="W326" s="98"/>
      <c r="X326" s="32"/>
      <c r="Z326" s="35"/>
      <c r="AA326" s="152"/>
      <c r="AB326" s="98"/>
    </row>
    <row r="327" spans="1:36" ht="15">
      <c r="A327" s="109"/>
      <c r="B327" s="1663" t="s">
        <v>504</v>
      </c>
      <c r="C327" s="22" t="s">
        <v>505</v>
      </c>
      <c r="D327" s="67">
        <v>220.68</v>
      </c>
      <c r="E327" s="68">
        <v>452</v>
      </c>
      <c r="F327" s="100">
        <v>221.9</v>
      </c>
      <c r="G327" s="102">
        <v>551</v>
      </c>
      <c r="H327" s="71">
        <v>44392</v>
      </c>
      <c r="I327" s="16">
        <v>99747</v>
      </c>
      <c r="J327" s="29" t="s">
        <v>278</v>
      </c>
      <c r="K327" s="93"/>
      <c r="L327" s="93"/>
      <c r="Q327" s="13"/>
      <c r="S327" s="11"/>
      <c r="T327" s="98"/>
      <c r="U327" s="101"/>
      <c r="V327" s="26"/>
      <c r="W327" s="98"/>
      <c r="X327" s="32"/>
      <c r="Z327" s="35"/>
      <c r="AA327" s="154"/>
      <c r="AB327" s="102"/>
      <c r="AC327" s="43"/>
      <c r="AD327" s="43"/>
      <c r="AE327" s="43"/>
      <c r="AF327" s="43"/>
      <c r="AG327" s="43"/>
      <c r="AH327" s="43"/>
      <c r="AI327" s="43"/>
      <c r="AJ327" s="43"/>
    </row>
    <row r="328" spans="1:36" ht="15">
      <c r="A328" s="109"/>
      <c r="B328" s="1663" t="s">
        <v>506</v>
      </c>
      <c r="C328" s="22" t="s">
        <v>507</v>
      </c>
      <c r="D328" s="67">
        <v>22.61</v>
      </c>
      <c r="E328" s="68">
        <v>195</v>
      </c>
      <c r="F328" s="100">
        <v>22.99</v>
      </c>
      <c r="G328" s="102">
        <v>74</v>
      </c>
      <c r="H328" s="71">
        <v>44392</v>
      </c>
      <c r="I328" s="16">
        <v>4409</v>
      </c>
      <c r="J328" s="29" t="s">
        <v>90</v>
      </c>
      <c r="K328" s="93"/>
      <c r="L328" s="93"/>
      <c r="O328" s="9" t="s">
        <v>61</v>
      </c>
      <c r="P328" s="16">
        <f>SUM(P315:P324)</f>
        <v>138062.38</v>
      </c>
      <c r="Q328" s="16">
        <f>SUM(Q315:Q324)</f>
        <v>7391</v>
      </c>
      <c r="R328" s="16">
        <f>SUM(R315:R324)</f>
        <v>79957.75</v>
      </c>
      <c r="S328" s="11"/>
      <c r="T328" s="98"/>
      <c r="U328" s="101"/>
      <c r="V328" s="26"/>
      <c r="W328" s="98"/>
      <c r="X328" s="32"/>
      <c r="Z328" s="35"/>
      <c r="AA328" s="154"/>
      <c r="AB328" s="110"/>
      <c r="AC328" s="83"/>
      <c r="AD328" s="83"/>
      <c r="AE328" s="83"/>
      <c r="AF328" s="83"/>
      <c r="AG328" s="83"/>
      <c r="AH328" s="83"/>
      <c r="AJ328" s="83"/>
    </row>
    <row r="329" spans="1:36" ht="15">
      <c r="A329" s="109"/>
      <c r="B329" s="1663" t="s">
        <v>508</v>
      </c>
      <c r="C329" s="22" t="s">
        <v>509</v>
      </c>
      <c r="D329" s="67">
        <v>44.57</v>
      </c>
      <c r="E329" s="68">
        <v>1121</v>
      </c>
      <c r="F329" s="100">
        <v>44.99</v>
      </c>
      <c r="G329" s="102">
        <v>471</v>
      </c>
      <c r="H329" s="71">
        <v>44392</v>
      </c>
      <c r="I329" s="16">
        <v>49963</v>
      </c>
      <c r="J329" s="29" t="s">
        <v>266</v>
      </c>
      <c r="K329" s="93"/>
      <c r="L329" s="93"/>
      <c r="S329" s="11"/>
      <c r="T329" s="98"/>
      <c r="U329" s="101"/>
      <c r="V329" s="26"/>
      <c r="W329" s="98"/>
      <c r="X329" s="32"/>
      <c r="Z329" s="35"/>
      <c r="AA329" s="154"/>
      <c r="AB329" s="110"/>
      <c r="AC329" s="83"/>
      <c r="AD329" s="83"/>
      <c r="AE329" s="83"/>
      <c r="AF329" s="83"/>
      <c r="AG329" s="83"/>
      <c r="AH329" s="83"/>
      <c r="AJ329" s="83"/>
    </row>
    <row r="330" spans="1:36" ht="15">
      <c r="A330" s="109"/>
      <c r="B330" s="1663" t="s">
        <v>510</v>
      </c>
      <c r="C330" s="22" t="s">
        <v>511</v>
      </c>
      <c r="D330" s="67">
        <v>20.399999999999999</v>
      </c>
      <c r="E330" s="68">
        <v>1960</v>
      </c>
      <c r="F330" s="100">
        <v>20.170000000000002</v>
      </c>
      <c r="G330" s="102">
        <f>254-196</f>
        <v>58</v>
      </c>
      <c r="H330" s="71">
        <v>44391</v>
      </c>
      <c r="I330" s="16">
        <v>39984</v>
      </c>
      <c r="J330" s="29" t="s">
        <v>266</v>
      </c>
      <c r="K330" s="93"/>
      <c r="L330" s="93"/>
      <c r="S330" s="11"/>
      <c r="T330" s="98"/>
      <c r="U330" s="101"/>
      <c r="V330" s="26"/>
      <c r="W330" s="98"/>
      <c r="X330" s="32"/>
      <c r="Z330" s="35"/>
      <c r="AA330" s="152"/>
      <c r="AB330" s="98"/>
      <c r="AC330" s="9"/>
      <c r="AD330" s="9"/>
      <c r="AE330" s="9"/>
      <c r="AF330" s="9"/>
      <c r="AG330" s="9"/>
      <c r="AH330" s="9"/>
      <c r="AJ330" s="3"/>
    </row>
    <row r="331" spans="1:36" ht="26.25">
      <c r="A331" s="109"/>
      <c r="B331" s="1663" t="s">
        <v>512</v>
      </c>
      <c r="C331" s="9" t="s">
        <v>513</v>
      </c>
      <c r="D331" s="67">
        <v>384.07</v>
      </c>
      <c r="E331" s="68">
        <v>260</v>
      </c>
      <c r="F331" s="100">
        <v>386.56</v>
      </c>
      <c r="G331" s="102">
        <v>647</v>
      </c>
      <c r="H331" s="71">
        <v>44391</v>
      </c>
      <c r="I331" s="16">
        <v>99858</v>
      </c>
      <c r="J331" s="29" t="s">
        <v>278</v>
      </c>
      <c r="K331" s="93"/>
      <c r="L331" s="93"/>
      <c r="S331" s="11"/>
      <c r="T331" s="98"/>
      <c r="U331" s="101"/>
      <c r="V331" s="26"/>
      <c r="W331" s="98"/>
      <c r="X331" s="32"/>
      <c r="Z331" s="35"/>
      <c r="AA331" s="152"/>
      <c r="AB331" s="98"/>
    </row>
    <row r="332" spans="1:36" ht="15">
      <c r="A332" s="109"/>
      <c r="B332" s="1663" t="s">
        <v>370</v>
      </c>
      <c r="C332" s="22" t="s">
        <v>514</v>
      </c>
      <c r="D332" s="67">
        <v>1513</v>
      </c>
      <c r="E332" s="68">
        <v>20</v>
      </c>
      <c r="F332" s="100">
        <v>1522</v>
      </c>
      <c r="G332" s="102">
        <v>184</v>
      </c>
      <c r="H332" s="71">
        <v>44390</v>
      </c>
      <c r="I332" s="16">
        <f>D332*E332</f>
        <v>30260</v>
      </c>
      <c r="J332" s="29" t="s">
        <v>278</v>
      </c>
      <c r="K332" s="93"/>
      <c r="L332" s="93"/>
      <c r="S332" s="11"/>
      <c r="T332" s="98"/>
      <c r="U332" s="101"/>
      <c r="V332" s="26"/>
      <c r="W332" s="98"/>
      <c r="X332" s="32"/>
      <c r="Y332" s="9"/>
      <c r="Z332" s="35"/>
      <c r="AA332" s="152"/>
      <c r="AB332" s="98"/>
      <c r="AC332" s="9"/>
      <c r="AD332" s="9"/>
      <c r="AE332" s="9"/>
      <c r="AF332" s="9"/>
      <c r="AG332" s="9"/>
      <c r="AH332" s="9"/>
    </row>
    <row r="333" spans="1:36" ht="15">
      <c r="A333" s="109"/>
      <c r="B333" s="1663" t="s">
        <v>515</v>
      </c>
      <c r="C333" s="22" t="s">
        <v>516</v>
      </c>
      <c r="D333" s="67">
        <v>64.45</v>
      </c>
      <c r="E333" s="68">
        <f>310+623</f>
        <v>933</v>
      </c>
      <c r="F333" s="100">
        <v>65</v>
      </c>
      <c r="G333" s="102">
        <v>242</v>
      </c>
      <c r="H333" s="71">
        <v>44390</v>
      </c>
      <c r="I333" s="16">
        <v>60132</v>
      </c>
      <c r="J333" s="29" t="s">
        <v>278</v>
      </c>
      <c r="K333" s="93"/>
      <c r="L333" s="93"/>
      <c r="S333" s="11"/>
      <c r="T333" s="98"/>
      <c r="U333" s="101"/>
      <c r="V333" s="26"/>
      <c r="W333" s="98"/>
      <c r="X333" s="32"/>
      <c r="Y333" s="9"/>
      <c r="Z333" s="35"/>
      <c r="AA333" s="152"/>
      <c r="AB333" s="98"/>
      <c r="AC333" s="9"/>
      <c r="AD333" s="9"/>
      <c r="AE333" s="9"/>
      <c r="AF333" s="9"/>
      <c r="AG333" s="9"/>
      <c r="AH333" s="9"/>
    </row>
    <row r="334" spans="1:36" ht="15">
      <c r="A334" s="109"/>
      <c r="B334" s="1663" t="s">
        <v>517</v>
      </c>
      <c r="C334" s="22" t="s">
        <v>518</v>
      </c>
      <c r="D334" s="67">
        <v>96.66</v>
      </c>
      <c r="E334" s="68">
        <v>268</v>
      </c>
      <c r="F334" s="100">
        <v>99.48</v>
      </c>
      <c r="G334" s="102">
        <f>311+444</f>
        <v>755</v>
      </c>
      <c r="H334" s="71">
        <v>44390</v>
      </c>
      <c r="I334" s="16">
        <f>D334*E334</f>
        <v>25904.879999999997</v>
      </c>
      <c r="J334" s="29" t="s">
        <v>278</v>
      </c>
      <c r="K334" s="93"/>
      <c r="L334" s="93"/>
      <c r="S334" s="11"/>
      <c r="T334" s="98"/>
      <c r="U334" s="101"/>
      <c r="V334" s="26"/>
      <c r="W334" s="98"/>
      <c r="X334" s="32"/>
      <c r="Y334" s="9"/>
      <c r="Z334" s="35"/>
      <c r="AA334" s="152"/>
      <c r="AB334" s="98"/>
      <c r="AC334" s="9"/>
      <c r="AD334" s="9"/>
      <c r="AE334" s="9"/>
      <c r="AF334" s="9"/>
      <c r="AG334" s="9"/>
      <c r="AH334" s="9"/>
    </row>
    <row r="335" spans="1:36" ht="15">
      <c r="A335" s="109"/>
      <c r="B335" s="1663" t="s">
        <v>519</v>
      </c>
      <c r="C335" s="22" t="s">
        <v>520</v>
      </c>
      <c r="D335" s="67">
        <v>24.93</v>
      </c>
      <c r="E335" s="68">
        <v>2005</v>
      </c>
      <c r="F335" s="100">
        <v>25.18</v>
      </c>
      <c r="G335" s="102">
        <v>848</v>
      </c>
      <c r="H335" s="71">
        <v>44389</v>
      </c>
      <c r="I335" s="16">
        <v>49985</v>
      </c>
      <c r="J335" s="29" t="s">
        <v>266</v>
      </c>
      <c r="K335" s="93"/>
      <c r="L335" s="93"/>
      <c r="T335" s="98"/>
      <c r="U335" s="101"/>
      <c r="V335" s="26"/>
      <c r="W335" s="98"/>
      <c r="X335" s="32"/>
      <c r="Y335" s="9"/>
      <c r="Z335" s="35"/>
      <c r="AA335" s="152"/>
      <c r="AB335" s="98"/>
      <c r="AC335" s="9"/>
      <c r="AD335" s="9"/>
      <c r="AE335" s="9"/>
      <c r="AF335" s="9"/>
      <c r="AG335" s="9"/>
      <c r="AH335" s="9"/>
    </row>
    <row r="336" spans="1:36" ht="15">
      <c r="A336" s="109"/>
      <c r="B336" s="1663" t="s">
        <v>521</v>
      </c>
      <c r="C336" s="22" t="s">
        <v>522</v>
      </c>
      <c r="D336" s="67">
        <v>119.49</v>
      </c>
      <c r="E336" s="68">
        <v>418</v>
      </c>
      <c r="F336" s="100">
        <v>121.4</v>
      </c>
      <c r="G336" s="102">
        <v>805</v>
      </c>
      <c r="H336" s="71">
        <v>44389</v>
      </c>
      <c r="I336" s="16">
        <v>49947</v>
      </c>
      <c r="J336" s="29" t="s">
        <v>278</v>
      </c>
      <c r="K336" s="93"/>
      <c r="L336" s="93"/>
      <c r="T336" s="98"/>
      <c r="U336" s="101"/>
      <c r="V336" s="26"/>
      <c r="W336" s="98"/>
      <c r="X336" s="32"/>
      <c r="Z336" s="35"/>
      <c r="AA336" s="152"/>
      <c r="AB336" s="98"/>
      <c r="AF336" s="9"/>
      <c r="AG336" s="9"/>
      <c r="AH336" s="9"/>
    </row>
    <row r="337" spans="1:34" ht="15">
      <c r="A337" s="109"/>
      <c r="B337" s="1663" t="s">
        <v>523</v>
      </c>
      <c r="C337" s="22" t="s">
        <v>524</v>
      </c>
      <c r="D337" s="67">
        <v>17.600000000000001</v>
      </c>
      <c r="E337" s="68">
        <v>7485</v>
      </c>
      <c r="F337" s="100">
        <v>18.12</v>
      </c>
      <c r="G337" s="102">
        <v>3892</v>
      </c>
      <c r="H337" s="71">
        <v>44389</v>
      </c>
      <c r="I337" s="16">
        <v>131736</v>
      </c>
      <c r="J337" s="29" t="s">
        <v>90</v>
      </c>
      <c r="K337" s="93"/>
      <c r="L337" s="93"/>
      <c r="Q337" s="13"/>
      <c r="T337" s="25"/>
      <c r="U337" s="101"/>
      <c r="V337" s="26"/>
      <c r="W337" s="98"/>
      <c r="X337" s="32"/>
      <c r="Z337" s="35"/>
      <c r="AA337" s="152"/>
      <c r="AB337" s="98"/>
      <c r="AF337" s="9"/>
      <c r="AG337" s="9"/>
      <c r="AH337" s="9"/>
    </row>
    <row r="338" spans="1:34" ht="15">
      <c r="A338" s="109"/>
      <c r="B338" s="1663" t="s">
        <v>525</v>
      </c>
      <c r="C338" s="22" t="s">
        <v>526</v>
      </c>
      <c r="D338" s="67">
        <v>40.69</v>
      </c>
      <c r="E338" s="68">
        <v>1237</v>
      </c>
      <c r="F338" s="100">
        <v>40.229999999999997</v>
      </c>
      <c r="G338" s="102">
        <v>-335</v>
      </c>
      <c r="H338" s="71">
        <v>44389</v>
      </c>
      <c r="I338" s="16">
        <v>50334</v>
      </c>
      <c r="J338" s="29" t="s">
        <v>266</v>
      </c>
      <c r="K338" s="93"/>
      <c r="L338" s="93"/>
      <c r="Q338" s="13"/>
      <c r="S338" s="11"/>
      <c r="T338" s="98"/>
      <c r="U338" s="101"/>
      <c r="V338" s="26"/>
      <c r="W338" s="98"/>
      <c r="X338" s="32"/>
      <c r="Z338" s="35"/>
      <c r="AA338" s="152"/>
      <c r="AB338" s="98"/>
      <c r="AF338" s="9"/>
      <c r="AG338" s="9"/>
      <c r="AH338" s="9"/>
    </row>
    <row r="339" spans="1:34" ht="15">
      <c r="A339" s="109"/>
      <c r="B339" s="1663" t="s">
        <v>527</v>
      </c>
      <c r="C339" s="22" t="s">
        <v>528</v>
      </c>
      <c r="D339" s="67">
        <v>57.35</v>
      </c>
      <c r="E339" s="68">
        <v>1465</v>
      </c>
      <c r="F339" s="100">
        <v>58.92</v>
      </c>
      <c r="G339" s="102">
        <v>2306</v>
      </c>
      <c r="H339" s="71">
        <v>44389</v>
      </c>
      <c r="I339" s="16">
        <v>84011</v>
      </c>
      <c r="J339" s="29" t="s">
        <v>90</v>
      </c>
      <c r="K339" s="93"/>
      <c r="L339" s="93"/>
      <c r="Q339" s="13"/>
      <c r="S339" s="11"/>
      <c r="T339" s="98"/>
      <c r="U339" s="101"/>
      <c r="V339" s="26"/>
      <c r="W339" s="98"/>
      <c r="X339" s="32"/>
      <c r="Z339" s="35"/>
      <c r="AA339" s="152"/>
      <c r="AB339" s="98"/>
      <c r="AF339" s="9"/>
      <c r="AG339" s="9"/>
      <c r="AH339" s="9"/>
    </row>
    <row r="340" spans="1:34" ht="15">
      <c r="A340" s="109"/>
      <c r="B340" s="1663" t="s">
        <v>529</v>
      </c>
      <c r="C340" s="22" t="s">
        <v>530</v>
      </c>
      <c r="D340" s="67">
        <v>189.49</v>
      </c>
      <c r="E340" s="68">
        <v>319</v>
      </c>
      <c r="F340" s="100">
        <v>192.62</v>
      </c>
      <c r="G340" s="102">
        <v>998</v>
      </c>
      <c r="H340" s="71">
        <v>44389</v>
      </c>
      <c r="I340" s="16">
        <v>60447</v>
      </c>
      <c r="J340" s="29" t="s">
        <v>278</v>
      </c>
      <c r="K340" s="93"/>
      <c r="L340" s="93"/>
      <c r="Q340" s="13"/>
      <c r="S340" s="11"/>
      <c r="T340" s="98"/>
      <c r="U340" s="101"/>
      <c r="V340" s="26"/>
      <c r="W340" s="98"/>
      <c r="X340" s="32"/>
      <c r="Z340" s="35"/>
      <c r="AA340" s="152"/>
      <c r="AB340" s="98"/>
      <c r="AF340" s="9"/>
      <c r="AG340" s="9"/>
      <c r="AH340" s="9"/>
    </row>
    <row r="341" spans="1:34" ht="15">
      <c r="A341" s="109"/>
      <c r="B341" s="1663" t="s">
        <v>531</v>
      </c>
      <c r="C341" s="22" t="s">
        <v>532</v>
      </c>
      <c r="D341" s="67">
        <v>105.09</v>
      </c>
      <c r="E341" s="68">
        <v>476</v>
      </c>
      <c r="F341" s="100">
        <v>105.9</v>
      </c>
      <c r="G341" s="102">
        <v>733</v>
      </c>
      <c r="H341" s="71">
        <v>44389</v>
      </c>
      <c r="I341" s="16">
        <v>50023</v>
      </c>
      <c r="J341" s="29" t="s">
        <v>266</v>
      </c>
      <c r="K341" s="93"/>
      <c r="L341" s="93"/>
      <c r="Q341" s="13"/>
      <c r="S341" s="11"/>
      <c r="T341" s="98"/>
      <c r="U341" s="101"/>
      <c r="V341" s="26"/>
      <c r="W341" s="98"/>
      <c r="X341" s="32"/>
      <c r="Z341" s="35"/>
      <c r="AA341" s="152"/>
      <c r="AB341" s="98"/>
      <c r="AF341" s="9"/>
      <c r="AG341" s="9"/>
      <c r="AH341" s="9"/>
    </row>
    <row r="342" spans="1:34" ht="15">
      <c r="A342" s="109"/>
      <c r="B342" s="1663" t="s">
        <v>196</v>
      </c>
      <c r="C342" s="22" t="s">
        <v>533</v>
      </c>
      <c r="D342" s="67">
        <v>14.3497</v>
      </c>
      <c r="E342" s="68">
        <v>3484</v>
      </c>
      <c r="F342" s="100">
        <v>14.49</v>
      </c>
      <c r="G342" s="102">
        <v>489</v>
      </c>
      <c r="H342" s="71">
        <v>44386</v>
      </c>
      <c r="I342" s="16">
        <v>49994</v>
      </c>
      <c r="J342" s="29" t="s">
        <v>278</v>
      </c>
      <c r="K342" s="93"/>
      <c r="L342" s="93"/>
      <c r="Q342" s="13"/>
      <c r="S342" s="11"/>
      <c r="T342" s="98"/>
      <c r="U342" s="101"/>
      <c r="V342" s="26"/>
      <c r="W342" s="98"/>
      <c r="X342" s="32"/>
      <c r="Z342" s="35"/>
      <c r="AA342" s="152"/>
      <c r="AB342" s="98"/>
      <c r="AF342" s="9"/>
      <c r="AG342" s="9"/>
      <c r="AH342" s="9"/>
    </row>
    <row r="343" spans="1:34" ht="15">
      <c r="A343" s="109"/>
      <c r="B343" s="1663" t="s">
        <v>534</v>
      </c>
      <c r="C343" s="22" t="s">
        <v>535</v>
      </c>
      <c r="D343" s="67">
        <v>621.55999999999995</v>
      </c>
      <c r="E343" s="68">
        <v>81</v>
      </c>
      <c r="F343" s="100">
        <v>633.91</v>
      </c>
      <c r="G343" s="102">
        <v>1000</v>
      </c>
      <c r="H343" s="71">
        <v>44386</v>
      </c>
      <c r="I343" s="16">
        <v>50346</v>
      </c>
      <c r="J343" s="29" t="s">
        <v>278</v>
      </c>
      <c r="K343" s="93"/>
      <c r="L343" s="93"/>
      <c r="Q343" s="13"/>
      <c r="S343" s="11"/>
      <c r="T343" s="98"/>
      <c r="U343" s="101"/>
      <c r="V343" s="26"/>
      <c r="W343" s="98"/>
      <c r="X343" s="32"/>
      <c r="Z343" s="35"/>
      <c r="AA343" s="152"/>
      <c r="AB343" s="98"/>
      <c r="AF343" s="9"/>
      <c r="AG343" s="9"/>
      <c r="AH343" s="9"/>
    </row>
    <row r="344" spans="1:34" ht="15">
      <c r="A344" s="109"/>
      <c r="B344" s="1663" t="s">
        <v>536</v>
      </c>
      <c r="C344" s="22" t="s">
        <v>537</v>
      </c>
      <c r="D344" s="67">
        <v>16.440000000000001</v>
      </c>
      <c r="E344" s="68">
        <v>3041</v>
      </c>
      <c r="F344" s="100">
        <v>16.63</v>
      </c>
      <c r="G344" s="102">
        <v>779</v>
      </c>
      <c r="H344" s="71">
        <v>44386</v>
      </c>
      <c r="I344" s="16">
        <v>49994</v>
      </c>
      <c r="J344" s="29" t="s">
        <v>266</v>
      </c>
      <c r="K344" s="93"/>
      <c r="L344" s="93"/>
      <c r="Q344" s="13"/>
      <c r="T344" s="25"/>
      <c r="U344" s="101"/>
      <c r="V344" s="26"/>
      <c r="W344" s="98"/>
      <c r="X344" s="32"/>
      <c r="Z344" s="35"/>
      <c r="AA344" s="152"/>
      <c r="AB344" s="98"/>
      <c r="AF344" s="9"/>
      <c r="AG344" s="9"/>
      <c r="AH344" s="9"/>
    </row>
    <row r="345" spans="1:34" ht="15">
      <c r="A345" s="109"/>
      <c r="B345" s="1663" t="s">
        <v>538</v>
      </c>
      <c r="C345" s="22" t="s">
        <v>539</v>
      </c>
      <c r="D345" s="67">
        <v>28.59</v>
      </c>
      <c r="E345" s="68">
        <v>1724</v>
      </c>
      <c r="F345" s="100">
        <v>29.76</v>
      </c>
      <c r="G345" s="102">
        <v>2017</v>
      </c>
      <c r="H345" s="71">
        <v>44386</v>
      </c>
      <c r="I345" s="16">
        <v>49289</v>
      </c>
      <c r="J345" s="29" t="s">
        <v>278</v>
      </c>
      <c r="K345" s="93"/>
      <c r="L345" s="93"/>
      <c r="Q345" s="13"/>
      <c r="T345" s="25"/>
      <c r="U345" s="101"/>
      <c r="V345" s="26"/>
      <c r="W345" s="98"/>
      <c r="X345" s="32"/>
      <c r="Z345" s="35"/>
      <c r="AA345" s="152"/>
      <c r="AB345" s="98"/>
      <c r="AF345" s="9"/>
      <c r="AG345" s="9"/>
      <c r="AH345" s="9"/>
    </row>
    <row r="346" spans="1:34" ht="15">
      <c r="A346" s="109"/>
      <c r="B346" s="1663" t="s">
        <v>540</v>
      </c>
      <c r="C346" s="22" t="s">
        <v>541</v>
      </c>
      <c r="D346" s="67">
        <v>95.29</v>
      </c>
      <c r="E346" s="68">
        <v>960</v>
      </c>
      <c r="F346" s="100">
        <v>101.59</v>
      </c>
      <c r="G346" s="102">
        <v>6048</v>
      </c>
      <c r="H346" s="71">
        <v>44384</v>
      </c>
      <c r="I346" s="16">
        <v>91747</v>
      </c>
      <c r="J346" s="29" t="s">
        <v>90</v>
      </c>
      <c r="K346" s="93"/>
      <c r="L346" s="93"/>
      <c r="S346" s="9"/>
      <c r="T346" s="25"/>
      <c r="U346" s="101"/>
      <c r="V346" s="26"/>
      <c r="W346" s="98"/>
      <c r="X346" s="32"/>
      <c r="Z346" s="35"/>
      <c r="AA346" s="152"/>
      <c r="AB346" s="98"/>
      <c r="AF346" s="9"/>
      <c r="AG346" s="9"/>
      <c r="AH346" s="9"/>
    </row>
    <row r="347" spans="1:34" ht="15">
      <c r="A347" s="109"/>
      <c r="B347" s="1663" t="s">
        <v>542</v>
      </c>
      <c r="C347" s="22" t="s">
        <v>543</v>
      </c>
      <c r="D347" s="67">
        <v>81.709999999999994</v>
      </c>
      <c r="E347" s="68">
        <v>735</v>
      </c>
      <c r="F347" s="100">
        <v>82.39</v>
      </c>
      <c r="G347" s="102">
        <v>619</v>
      </c>
      <c r="H347" s="71">
        <v>44384</v>
      </c>
      <c r="I347" s="16">
        <v>60057</v>
      </c>
      <c r="J347" s="29" t="s">
        <v>266</v>
      </c>
      <c r="K347" s="93"/>
      <c r="L347" s="93"/>
      <c r="S347" s="9"/>
      <c r="T347" s="25"/>
      <c r="U347" s="101"/>
      <c r="V347" s="26"/>
      <c r="W347" s="98"/>
      <c r="X347" s="32"/>
      <c r="Z347" s="35"/>
      <c r="AA347" s="152"/>
      <c r="AB347" s="98"/>
      <c r="AF347" s="9"/>
      <c r="AG347" s="9"/>
      <c r="AH347" s="9"/>
    </row>
    <row r="348" spans="1:34" ht="15">
      <c r="A348" s="109"/>
      <c r="B348" s="1663" t="s">
        <v>370</v>
      </c>
      <c r="C348" s="22" t="s">
        <v>514</v>
      </c>
      <c r="D348" s="67">
        <v>1512.6</v>
      </c>
      <c r="E348" s="68">
        <v>19</v>
      </c>
      <c r="F348" s="100">
        <v>1551.12</v>
      </c>
      <c r="G348" s="102">
        <v>732</v>
      </c>
      <c r="H348" s="71">
        <v>44384</v>
      </c>
      <c r="I348" s="16">
        <f>D348*E348</f>
        <v>28739.399999999998</v>
      </c>
      <c r="J348" s="29" t="s">
        <v>278</v>
      </c>
      <c r="K348" s="93"/>
      <c r="L348" s="93"/>
      <c r="S348" s="9"/>
      <c r="T348" s="25"/>
      <c r="U348" s="101"/>
      <c r="V348" s="26"/>
      <c r="W348" s="98"/>
      <c r="X348" s="32"/>
      <c r="Z348" s="35"/>
      <c r="AA348" s="152"/>
      <c r="AB348" s="98"/>
      <c r="AF348" s="9"/>
      <c r="AG348" s="9"/>
      <c r="AH348" s="9"/>
    </row>
    <row r="349" spans="1:34" ht="15">
      <c r="A349" s="109"/>
      <c r="B349" s="1663" t="s">
        <v>544</v>
      </c>
      <c r="C349" s="22" t="s">
        <v>545</v>
      </c>
      <c r="D349" s="67">
        <v>8.73</v>
      </c>
      <c r="E349" s="68">
        <v>3450</v>
      </c>
      <c r="F349" s="100">
        <v>12.72</v>
      </c>
      <c r="G349" s="102">
        <v>13766</v>
      </c>
      <c r="H349" s="71">
        <v>44383</v>
      </c>
      <c r="I349" s="16">
        <v>28809</v>
      </c>
      <c r="J349" s="29" t="s">
        <v>90</v>
      </c>
      <c r="K349" s="93"/>
      <c r="L349" s="93"/>
      <c r="T349" s="25"/>
      <c r="U349" s="101"/>
      <c r="V349" s="26"/>
      <c r="W349" s="98"/>
      <c r="X349" s="32"/>
      <c r="Z349" s="35"/>
      <c r="AA349" s="152"/>
      <c r="AB349" s="98"/>
      <c r="AF349" s="9"/>
      <c r="AG349" s="9"/>
      <c r="AH349" s="9"/>
    </row>
    <row r="350" spans="1:34" ht="15">
      <c r="A350" s="109"/>
      <c r="B350" s="1663" t="s">
        <v>196</v>
      </c>
      <c r="C350" s="22" t="s">
        <v>533</v>
      </c>
      <c r="D350" s="67">
        <v>15</v>
      </c>
      <c r="E350" s="68">
        <v>3333</v>
      </c>
      <c r="F350" s="100">
        <v>14.44</v>
      </c>
      <c r="G350" s="102">
        <v>-1866</v>
      </c>
      <c r="H350" s="71">
        <v>44383</v>
      </c>
      <c r="I350" s="16">
        <v>49995</v>
      </c>
      <c r="J350" s="29" t="s">
        <v>278</v>
      </c>
      <c r="K350" s="93"/>
      <c r="L350" s="93"/>
      <c r="S350" s="155"/>
      <c r="T350" s="98"/>
      <c r="U350" s="64"/>
      <c r="V350" s="26"/>
      <c r="W350" s="98"/>
      <c r="X350" s="32"/>
      <c r="Y350" s="20"/>
      <c r="Z350" s="35"/>
      <c r="AA350" s="152"/>
      <c r="AB350" s="98"/>
      <c r="AF350" s="9"/>
      <c r="AG350" s="9"/>
      <c r="AH350" s="9"/>
    </row>
    <row r="351" spans="1:34" ht="15">
      <c r="A351" s="109"/>
      <c r="B351" s="1663" t="s">
        <v>515</v>
      </c>
      <c r="C351" s="22" t="s">
        <v>516</v>
      </c>
      <c r="D351" s="67">
        <v>64.45</v>
      </c>
      <c r="E351" s="68">
        <v>310</v>
      </c>
      <c r="F351" s="100">
        <v>65.23</v>
      </c>
      <c r="G351" s="102">
        <v>242</v>
      </c>
      <c r="H351" s="71">
        <v>44383</v>
      </c>
      <c r="I351" s="16">
        <f>D351*E351</f>
        <v>19979.5</v>
      </c>
      <c r="J351" s="29" t="s">
        <v>278</v>
      </c>
      <c r="K351" s="93"/>
      <c r="L351" s="93"/>
      <c r="T351" s="98"/>
      <c r="U351" s="101"/>
      <c r="V351" s="26"/>
      <c r="W351" s="98"/>
      <c r="X351" s="32"/>
      <c r="Y351" s="20"/>
      <c r="Z351" s="35"/>
      <c r="AA351" s="152"/>
      <c r="AB351" s="98"/>
      <c r="AF351" s="9"/>
      <c r="AG351" s="9"/>
      <c r="AH351" s="9"/>
    </row>
    <row r="352" spans="1:34" ht="15">
      <c r="A352" s="109"/>
      <c r="B352" s="1663" t="s">
        <v>56</v>
      </c>
      <c r="C352" s="22" t="s">
        <v>546</v>
      </c>
      <c r="D352" s="67">
        <v>22.51</v>
      </c>
      <c r="E352" s="68">
        <v>2228</v>
      </c>
      <c r="F352" s="100">
        <v>22.53</v>
      </c>
      <c r="G352" s="102">
        <v>45</v>
      </c>
      <c r="H352" s="71">
        <v>44383</v>
      </c>
      <c r="I352" s="16">
        <v>50152</v>
      </c>
      <c r="J352" s="29" t="s">
        <v>266</v>
      </c>
      <c r="K352" s="93"/>
      <c r="L352" s="93"/>
      <c r="S352" s="155"/>
      <c r="T352" s="98"/>
      <c r="U352" s="64"/>
      <c r="V352" s="26"/>
      <c r="W352" s="98"/>
      <c r="X352" s="32"/>
      <c r="Y352" s="20"/>
      <c r="Z352" s="35"/>
      <c r="AA352" s="152"/>
      <c r="AB352" s="98"/>
      <c r="AF352" s="9"/>
      <c r="AG352" s="9"/>
      <c r="AH352" s="9"/>
    </row>
    <row r="353" spans="1:34" ht="15">
      <c r="A353" s="109"/>
      <c r="B353" s="1663" t="s">
        <v>547</v>
      </c>
      <c r="C353" s="22" t="s">
        <v>548</v>
      </c>
      <c r="D353" s="67">
        <v>6.93</v>
      </c>
      <c r="E353" s="68">
        <v>7215</v>
      </c>
      <c r="F353" s="100">
        <v>6.94</v>
      </c>
      <c r="G353" s="102">
        <v>72</v>
      </c>
      <c r="H353" s="71">
        <v>44379</v>
      </c>
      <c r="I353" s="16">
        <v>49995</v>
      </c>
      <c r="J353" s="29" t="s">
        <v>266</v>
      </c>
      <c r="K353" s="93"/>
      <c r="L353" s="93"/>
      <c r="S353" s="155"/>
      <c r="T353" s="98"/>
      <c r="U353" s="64"/>
      <c r="V353" s="26"/>
      <c r="W353" s="98"/>
      <c r="X353" s="32"/>
      <c r="Y353" s="20"/>
      <c r="Z353" s="35"/>
      <c r="AA353" s="152"/>
      <c r="AB353" s="98"/>
      <c r="AF353" s="9"/>
      <c r="AG353" s="9"/>
      <c r="AH353" s="9"/>
    </row>
    <row r="354" spans="1:34" ht="15">
      <c r="A354" s="109"/>
      <c r="B354" s="1663"/>
      <c r="C354" s="1655"/>
      <c r="D354" s="67"/>
      <c r="E354" s="68"/>
      <c r="F354" s="156" t="s">
        <v>22</v>
      </c>
      <c r="G354" s="124">
        <f>SUM(G355:G392)</f>
        <v>27647</v>
      </c>
      <c r="H354" s="69" t="s">
        <v>549</v>
      </c>
      <c r="I354" s="16">
        <f>139-101</f>
        <v>38</v>
      </c>
      <c r="J354" s="29"/>
      <c r="K354" s="93"/>
      <c r="S354" s="155"/>
      <c r="T354" s="98"/>
      <c r="U354" s="64"/>
      <c r="V354" s="26"/>
      <c r="W354" s="98"/>
      <c r="X354" s="32"/>
      <c r="Y354" s="20"/>
      <c r="Z354" s="35"/>
      <c r="AA354" s="152"/>
      <c r="AB354" s="98"/>
      <c r="AF354" s="9"/>
      <c r="AG354" s="9"/>
      <c r="AH354" s="9"/>
    </row>
    <row r="355" spans="1:34" ht="15">
      <c r="A355" s="109"/>
      <c r="B355" s="1663" t="s">
        <v>340</v>
      </c>
      <c r="C355" s="22" t="s">
        <v>341</v>
      </c>
      <c r="D355" s="67">
        <v>11.29</v>
      </c>
      <c r="E355" s="68">
        <v>4428</v>
      </c>
      <c r="F355" s="100">
        <v>11.35</v>
      </c>
      <c r="G355" s="102">
        <v>288</v>
      </c>
      <c r="H355" s="71">
        <v>44377</v>
      </c>
      <c r="I355" s="16">
        <v>49989</v>
      </c>
      <c r="J355" s="29" t="s">
        <v>266</v>
      </c>
      <c r="K355" s="93"/>
      <c r="L355" s="93" t="s">
        <v>278</v>
      </c>
      <c r="M355" s="16">
        <f>G356+G358</f>
        <v>844</v>
      </c>
      <c r="Q355" s="13"/>
      <c r="S355" s="155"/>
      <c r="T355" s="98"/>
      <c r="U355" s="64"/>
      <c r="V355" s="26"/>
      <c r="W355" s="98"/>
      <c r="X355" s="32"/>
      <c r="Y355" s="20"/>
      <c r="Z355" s="35"/>
      <c r="AA355" s="152"/>
      <c r="AB355" s="98"/>
      <c r="AF355" s="9"/>
      <c r="AG355" s="9"/>
      <c r="AH355" s="9" t="s">
        <v>262</v>
      </c>
    </row>
    <row r="356" spans="1:34" ht="15">
      <c r="A356" s="109"/>
      <c r="B356" s="1663" t="s">
        <v>445</v>
      </c>
      <c r="C356" s="22" t="s">
        <v>446</v>
      </c>
      <c r="D356" s="67">
        <v>66.8</v>
      </c>
      <c r="E356" s="68">
        <v>246</v>
      </c>
      <c r="F356" s="100">
        <v>68.41</v>
      </c>
      <c r="G356" s="102">
        <v>396</v>
      </c>
      <c r="H356" s="71">
        <v>44377</v>
      </c>
      <c r="I356" s="16">
        <v>16432</v>
      </c>
      <c r="J356" s="29" t="s">
        <v>278</v>
      </c>
      <c r="K356" s="93" t="s">
        <v>550</v>
      </c>
      <c r="L356" s="93"/>
      <c r="Q356" s="13"/>
      <c r="S356" s="11"/>
      <c r="T356" s="98"/>
      <c r="U356" s="101"/>
      <c r="V356" s="26"/>
      <c r="W356" s="98"/>
      <c r="X356" s="32"/>
      <c r="Z356" s="20"/>
      <c r="AA356" s="68"/>
      <c r="AB356" s="98"/>
      <c r="AC356" s="98"/>
      <c r="AD356" s="98"/>
      <c r="AE356" s="98"/>
      <c r="AF356" s="98"/>
      <c r="AG356" s="98"/>
      <c r="AH356" s="98">
        <f>AB356*12</f>
        <v>0</v>
      </c>
    </row>
    <row r="357" spans="1:34">
      <c r="A357" s="109"/>
      <c r="B357" s="1663" t="s">
        <v>264</v>
      </c>
      <c r="C357" s="22" t="s">
        <v>265</v>
      </c>
      <c r="D357" s="67">
        <v>11.04</v>
      </c>
      <c r="E357" s="68">
        <f>3387+1141</f>
        <v>4528</v>
      </c>
      <c r="F357" s="100">
        <v>11.07</v>
      </c>
      <c r="G357" s="102">
        <f>102+23</f>
        <v>125</v>
      </c>
      <c r="H357" s="71">
        <v>44377</v>
      </c>
      <c r="I357" s="16">
        <f>D357*E357</f>
        <v>49989.119999999995</v>
      </c>
      <c r="J357" s="29" t="s">
        <v>266</v>
      </c>
      <c r="K357" s="93"/>
      <c r="L357" s="93"/>
      <c r="Q357" s="13"/>
      <c r="Z357" s="20"/>
      <c r="AA357" s="68"/>
      <c r="AB357" s="68"/>
    </row>
    <row r="358" spans="1:34" ht="15">
      <c r="A358" s="109"/>
      <c r="B358" s="1663" t="s">
        <v>551</v>
      </c>
      <c r="C358" s="1676" t="s">
        <v>552</v>
      </c>
      <c r="D358" s="67">
        <v>49.57</v>
      </c>
      <c r="E358" s="68">
        <f>199+406</f>
        <v>605</v>
      </c>
      <c r="F358" s="100">
        <v>52.720100000000002</v>
      </c>
      <c r="G358" s="102">
        <f>627-179</f>
        <v>448</v>
      </c>
      <c r="H358" s="71">
        <v>44377</v>
      </c>
      <c r="I358" s="16">
        <f>D358*E358</f>
        <v>29989.85</v>
      </c>
      <c r="J358" s="29" t="s">
        <v>278</v>
      </c>
      <c r="K358" s="93"/>
      <c r="L358" s="93"/>
      <c r="N358" s="13"/>
      <c r="Q358" s="13"/>
      <c r="T358" s="98"/>
      <c r="U358" s="101"/>
      <c r="V358" s="26"/>
      <c r="W358" s="98"/>
      <c r="X358" s="32"/>
      <c r="Y358" s="109"/>
      <c r="Z358" s="20"/>
      <c r="AA358" s="68"/>
      <c r="AB358" s="68"/>
    </row>
    <row r="359" spans="1:34">
      <c r="A359" s="109"/>
      <c r="B359" s="1663" t="s">
        <v>553</v>
      </c>
      <c r="C359" s="22" t="s">
        <v>554</v>
      </c>
      <c r="D359" s="67">
        <v>339.49</v>
      </c>
      <c r="E359" s="68">
        <v>148</v>
      </c>
      <c r="F359" s="100">
        <v>339.49</v>
      </c>
      <c r="G359" s="102">
        <v>121</v>
      </c>
      <c r="H359" s="71">
        <v>44376</v>
      </c>
      <c r="I359" s="16">
        <v>50245</v>
      </c>
      <c r="J359" s="29" t="s">
        <v>266</v>
      </c>
      <c r="K359" s="93"/>
      <c r="L359" s="93"/>
      <c r="Q359" s="13"/>
    </row>
    <row r="360" spans="1:34" ht="15">
      <c r="A360" s="109"/>
      <c r="B360" s="1663" t="s">
        <v>555</v>
      </c>
      <c r="C360" s="22" t="s">
        <v>556</v>
      </c>
      <c r="D360" s="67">
        <v>60.39</v>
      </c>
      <c r="E360" s="68">
        <v>828</v>
      </c>
      <c r="F360" s="100">
        <v>60.42</v>
      </c>
      <c r="G360" s="102">
        <v>25</v>
      </c>
      <c r="H360" s="71">
        <v>44376</v>
      </c>
      <c r="I360" s="16">
        <v>50003</v>
      </c>
      <c r="J360" s="29" t="s">
        <v>266</v>
      </c>
      <c r="K360" s="93"/>
      <c r="L360" s="93"/>
      <c r="Q360" s="13"/>
      <c r="S360" s="11"/>
      <c r="T360" s="98"/>
      <c r="U360" s="101"/>
      <c r="V360" s="26"/>
      <c r="W360" s="98"/>
      <c r="X360" s="32"/>
      <c r="Y360" s="20"/>
      <c r="Z360" s="20"/>
    </row>
    <row r="361" spans="1:34" ht="15">
      <c r="A361" s="109"/>
      <c r="B361" s="1663" t="s">
        <v>557</v>
      </c>
      <c r="C361" s="22" t="s">
        <v>558</v>
      </c>
      <c r="D361" s="67">
        <v>194.91</v>
      </c>
      <c r="E361" s="68">
        <v>384</v>
      </c>
      <c r="F361" s="100">
        <v>191.53</v>
      </c>
      <c r="G361" s="102">
        <v>-906</v>
      </c>
      <c r="H361" s="71">
        <v>44376</v>
      </c>
      <c r="I361" s="16">
        <v>74846</v>
      </c>
      <c r="J361" s="29" t="s">
        <v>266</v>
      </c>
      <c r="K361" s="93"/>
      <c r="L361" s="93"/>
      <c r="Q361" s="13"/>
      <c r="S361" s="11"/>
      <c r="T361" s="98"/>
      <c r="U361" s="101"/>
      <c r="V361" s="26"/>
      <c r="W361" s="98"/>
      <c r="X361" s="32"/>
      <c r="Y361" s="20"/>
      <c r="Z361" s="20"/>
    </row>
    <row r="362" spans="1:34" ht="15">
      <c r="A362" s="109"/>
      <c r="B362" s="1663" t="s">
        <v>559</v>
      </c>
      <c r="C362" s="22" t="s">
        <v>560</v>
      </c>
      <c r="D362" s="67">
        <v>169.39</v>
      </c>
      <c r="E362" s="68">
        <v>295</v>
      </c>
      <c r="F362" s="100">
        <v>169.98</v>
      </c>
      <c r="G362" s="102">
        <v>174</v>
      </c>
      <c r="H362" s="71">
        <v>44372</v>
      </c>
      <c r="I362" s="16">
        <v>49970</v>
      </c>
      <c r="J362" s="29" t="s">
        <v>266</v>
      </c>
      <c r="K362" s="93"/>
      <c r="L362" s="93"/>
      <c r="Q362" s="13"/>
      <c r="S362" s="11"/>
      <c r="U362" s="101"/>
      <c r="V362" s="26"/>
      <c r="W362" s="98"/>
      <c r="X362" s="32"/>
      <c r="Y362" s="20"/>
      <c r="Z362" s="20"/>
    </row>
    <row r="363" spans="1:34">
      <c r="A363" s="109"/>
      <c r="B363" s="1663" t="s">
        <v>326</v>
      </c>
      <c r="C363" s="22" t="s">
        <v>327</v>
      </c>
      <c r="D363" s="67">
        <v>28.81</v>
      </c>
      <c r="E363" s="68">
        <v>1735</v>
      </c>
      <c r="F363" s="100">
        <v>28.89</v>
      </c>
      <c r="G363" s="102">
        <v>139</v>
      </c>
      <c r="H363" s="71">
        <v>44372</v>
      </c>
      <c r="I363" s="16">
        <v>49985</v>
      </c>
      <c r="J363" s="29" t="s">
        <v>266</v>
      </c>
      <c r="K363" s="93"/>
      <c r="L363" s="93"/>
      <c r="Y363" s="20"/>
      <c r="Z363" s="20"/>
    </row>
    <row r="364" spans="1:34" ht="15">
      <c r="A364" s="109"/>
      <c r="B364" s="1663" t="s">
        <v>561</v>
      </c>
      <c r="C364" s="22" t="s">
        <v>562</v>
      </c>
      <c r="D364" s="67">
        <v>13.91</v>
      </c>
      <c r="E364" s="98">
        <v>5952</v>
      </c>
      <c r="F364" s="100">
        <v>12.39</v>
      </c>
      <c r="G364" s="102">
        <v>-456</v>
      </c>
      <c r="H364" s="71">
        <v>44371</v>
      </c>
      <c r="I364" s="16">
        <v>82792</v>
      </c>
      <c r="J364" s="29" t="s">
        <v>90</v>
      </c>
      <c r="K364" s="2100"/>
      <c r="L364" s="2087"/>
      <c r="T364" s="98"/>
      <c r="U364" s="82"/>
      <c r="V364" s="82"/>
      <c r="W364" s="31"/>
      <c r="X364" s="157"/>
      <c r="Y364" s="20"/>
      <c r="Z364" s="20"/>
    </row>
    <row r="365" spans="1:34" ht="15">
      <c r="A365" s="109"/>
      <c r="B365" s="1663" t="s">
        <v>544</v>
      </c>
      <c r="C365" s="22" t="s">
        <v>545</v>
      </c>
      <c r="D365" s="67">
        <v>8.73</v>
      </c>
      <c r="E365" s="68">
        <v>3300</v>
      </c>
      <c r="F365" s="100">
        <v>11.07</v>
      </c>
      <c r="G365" s="102">
        <v>7722</v>
      </c>
      <c r="H365" s="71">
        <v>44371</v>
      </c>
      <c r="I365" s="16">
        <v>28809</v>
      </c>
      <c r="J365" s="29" t="s">
        <v>90</v>
      </c>
      <c r="K365" s="2100" t="s">
        <v>563</v>
      </c>
      <c r="L365" s="2087"/>
      <c r="T365" s="98"/>
      <c r="U365" s="82"/>
      <c r="V365" s="82"/>
      <c r="W365" s="31"/>
      <c r="X365" s="157"/>
      <c r="Y365" s="20"/>
      <c r="Z365" s="20"/>
    </row>
    <row r="366" spans="1:34" ht="15">
      <c r="A366" s="109"/>
      <c r="B366" s="1663" t="s">
        <v>564</v>
      </c>
      <c r="C366" s="22" t="s">
        <v>565</v>
      </c>
      <c r="D366" s="67">
        <v>16.62</v>
      </c>
      <c r="E366" s="68">
        <f>3481+9174</f>
        <v>12655</v>
      </c>
      <c r="F366" s="100">
        <v>17.11</v>
      </c>
      <c r="G366" s="102">
        <v>1798</v>
      </c>
      <c r="H366" s="71">
        <v>44370</v>
      </c>
      <c r="I366" s="16">
        <f>57854+152023</f>
        <v>209877</v>
      </c>
      <c r="J366" s="29" t="s">
        <v>90</v>
      </c>
      <c r="K366" s="93"/>
      <c r="L366" s="93"/>
      <c r="S366" s="98"/>
      <c r="T366" s="98"/>
      <c r="U366" s="82"/>
      <c r="V366" s="82"/>
      <c r="W366" s="31"/>
      <c r="X366" s="157"/>
      <c r="Y366" s="20"/>
      <c r="Z366" s="20"/>
    </row>
    <row r="367" spans="1:34" ht="15">
      <c r="A367" s="109"/>
      <c r="B367" s="1663" t="s">
        <v>566</v>
      </c>
      <c r="C367" s="22" t="s">
        <v>567</v>
      </c>
      <c r="D367" s="67">
        <v>193.45</v>
      </c>
      <c r="E367" s="68">
        <v>519</v>
      </c>
      <c r="F367" s="100">
        <v>196.7</v>
      </c>
      <c r="G367" s="102">
        <v>1687</v>
      </c>
      <c r="H367" s="71">
        <v>44370</v>
      </c>
      <c r="I367" s="16">
        <v>100401</v>
      </c>
      <c r="J367" s="29" t="s">
        <v>90</v>
      </c>
      <c r="K367" s="93"/>
      <c r="L367" s="93"/>
      <c r="S367" s="98"/>
      <c r="T367" s="98"/>
      <c r="U367" s="82"/>
      <c r="V367" s="82"/>
      <c r="W367" s="31"/>
      <c r="X367" s="157"/>
      <c r="Y367" s="20"/>
      <c r="Z367" s="20"/>
    </row>
    <row r="368" spans="1:34" ht="15">
      <c r="A368" s="109"/>
      <c r="B368" s="1663" t="s">
        <v>326</v>
      </c>
      <c r="C368" s="22" t="s">
        <v>327</v>
      </c>
      <c r="D368" s="67">
        <v>28.7</v>
      </c>
      <c r="E368" s="68">
        <v>2055</v>
      </c>
      <c r="F368" s="100">
        <v>28.95</v>
      </c>
      <c r="G368" s="102">
        <v>514</v>
      </c>
      <c r="H368" s="71">
        <v>44368</v>
      </c>
      <c r="I368" s="16">
        <v>58979</v>
      </c>
      <c r="J368" s="29" t="s">
        <v>266</v>
      </c>
      <c r="K368" s="93"/>
      <c r="L368" s="93"/>
      <c r="T368" s="98"/>
      <c r="U368" s="82"/>
      <c r="V368" s="82"/>
      <c r="W368" s="31"/>
      <c r="X368" s="157"/>
      <c r="Y368" s="20"/>
      <c r="Z368" s="20"/>
    </row>
    <row r="369" spans="1:39" ht="15">
      <c r="A369" s="109"/>
      <c r="B369" s="1663" t="s">
        <v>568</v>
      </c>
      <c r="C369" s="22" t="s">
        <v>569</v>
      </c>
      <c r="D369" s="67">
        <v>60.36</v>
      </c>
      <c r="E369" s="68">
        <v>831</v>
      </c>
      <c r="F369" s="100">
        <v>60.48</v>
      </c>
      <c r="G369" s="102">
        <v>100</v>
      </c>
      <c r="H369" s="71">
        <v>44365</v>
      </c>
      <c r="I369" s="16">
        <v>50159</v>
      </c>
      <c r="J369" s="29" t="s">
        <v>266</v>
      </c>
      <c r="K369" s="93"/>
      <c r="L369" s="93"/>
      <c r="T369" s="98"/>
      <c r="U369" s="82"/>
      <c r="V369" s="82"/>
      <c r="W369" s="31"/>
      <c r="X369" s="157"/>
      <c r="Y369" s="20"/>
      <c r="Z369" s="20"/>
    </row>
    <row r="370" spans="1:39" ht="15">
      <c r="A370" s="109"/>
      <c r="B370" s="1663" t="s">
        <v>312</v>
      </c>
      <c r="C370" s="22" t="s">
        <v>313</v>
      </c>
      <c r="D370" s="67">
        <v>4.72</v>
      </c>
      <c r="E370" s="68">
        <v>10593</v>
      </c>
      <c r="F370" s="100">
        <v>4.7699999999999996</v>
      </c>
      <c r="G370" s="102">
        <v>530</v>
      </c>
      <c r="H370" s="71">
        <v>44364</v>
      </c>
      <c r="I370" s="16">
        <v>49999</v>
      </c>
      <c r="J370" s="29" t="s">
        <v>266</v>
      </c>
      <c r="K370" s="93"/>
      <c r="L370" s="93"/>
      <c r="S370" s="9" t="s">
        <v>135</v>
      </c>
      <c r="T370" s="98"/>
      <c r="U370" s="82"/>
      <c r="V370" s="82"/>
      <c r="W370" s="31"/>
      <c r="X370" s="157"/>
      <c r="Y370" s="20"/>
      <c r="Z370" s="20"/>
      <c r="AA370" s="68"/>
      <c r="AB370" s="68"/>
    </row>
    <row r="371" spans="1:39" ht="15">
      <c r="A371" s="109"/>
      <c r="B371" s="1663" t="s">
        <v>570</v>
      </c>
      <c r="C371" s="22" t="s">
        <v>571</v>
      </c>
      <c r="D371" s="67">
        <v>75.23</v>
      </c>
      <c r="E371" s="68">
        <v>664</v>
      </c>
      <c r="F371" s="100">
        <v>75.38</v>
      </c>
      <c r="G371" s="102">
        <v>90</v>
      </c>
      <c r="H371" s="71">
        <v>44362</v>
      </c>
      <c r="I371" s="16">
        <v>49953</v>
      </c>
      <c r="J371" s="29" t="s">
        <v>266</v>
      </c>
      <c r="K371" s="93"/>
      <c r="L371" s="93"/>
      <c r="T371" s="98"/>
      <c r="U371" s="82"/>
      <c r="V371" s="82"/>
      <c r="W371" s="31"/>
      <c r="X371" s="157"/>
      <c r="Y371" s="20"/>
      <c r="Z371" s="20"/>
      <c r="AA371" s="68"/>
      <c r="AB371" s="68"/>
    </row>
    <row r="372" spans="1:39" ht="26.25">
      <c r="A372" s="109"/>
      <c r="B372" s="1663" t="s">
        <v>572</v>
      </c>
      <c r="C372" s="22" t="s">
        <v>573</v>
      </c>
      <c r="D372" s="67">
        <v>52.67</v>
      </c>
      <c r="E372" s="68">
        <v>1010</v>
      </c>
      <c r="F372" s="100">
        <v>53.17</v>
      </c>
      <c r="G372" s="102">
        <v>505</v>
      </c>
      <c r="H372" s="71">
        <v>44358</v>
      </c>
      <c r="I372" s="16">
        <v>53197</v>
      </c>
      <c r="J372" s="29" t="s">
        <v>266</v>
      </c>
      <c r="K372" s="93"/>
      <c r="L372" s="93"/>
      <c r="R372" s="112"/>
      <c r="T372" s="98"/>
      <c r="U372" s="82"/>
      <c r="V372" s="26"/>
      <c r="W372" s="31"/>
      <c r="X372" s="157"/>
      <c r="Y372" s="98"/>
      <c r="Z372" s="20"/>
      <c r="AA372" s="68"/>
      <c r="AB372" s="68"/>
      <c r="AC372" s="9"/>
      <c r="AD372" s="9"/>
      <c r="AE372" s="9"/>
      <c r="AF372" s="9"/>
      <c r="AG372" s="9"/>
      <c r="AH372" s="9" t="s">
        <v>116</v>
      </c>
      <c r="AI372" s="9" t="s">
        <v>257</v>
      </c>
      <c r="AJ372" s="9" t="s">
        <v>29</v>
      </c>
      <c r="AK372" s="9" t="s">
        <v>574</v>
      </c>
      <c r="AL372" s="9" t="s">
        <v>575</v>
      </c>
      <c r="AM372" s="9" t="s">
        <v>576</v>
      </c>
    </row>
    <row r="373" spans="1:39" ht="15">
      <c r="A373" s="109"/>
      <c r="B373" s="1663" t="s">
        <v>577</v>
      </c>
      <c r="C373" s="22" t="s">
        <v>578</v>
      </c>
      <c r="D373" s="67">
        <v>39.69</v>
      </c>
      <c r="E373" s="68">
        <v>1302</v>
      </c>
      <c r="F373" s="100">
        <v>40.08</v>
      </c>
      <c r="G373" s="102">
        <v>508</v>
      </c>
      <c r="H373" s="71">
        <v>44358</v>
      </c>
      <c r="I373" s="16">
        <v>51676</v>
      </c>
      <c r="J373" s="29" t="s">
        <v>266</v>
      </c>
      <c r="K373" s="93"/>
      <c r="L373" s="93"/>
      <c r="R373" s="112"/>
      <c r="S373" s="72"/>
      <c r="T373" s="98"/>
      <c r="U373" s="101"/>
      <c r="V373" s="26"/>
      <c r="W373" s="98"/>
      <c r="X373" s="158"/>
      <c r="Y373" s="98"/>
      <c r="Z373" s="60"/>
      <c r="AA373" s="60"/>
      <c r="AB373" s="60"/>
      <c r="AC373" s="60"/>
      <c r="AD373" s="60"/>
      <c r="AE373" s="60"/>
      <c r="AF373" s="60"/>
      <c r="AG373" s="60"/>
      <c r="AH373" s="60">
        <f>AB373/12</f>
        <v>0</v>
      </c>
      <c r="AI373" s="60">
        <v>5500</v>
      </c>
      <c r="AJ373" s="60">
        <v>928</v>
      </c>
      <c r="AK373" s="60">
        <v>1500</v>
      </c>
      <c r="AL373" s="60">
        <f>AH373+AI373+AJ373+AK373</f>
        <v>7928</v>
      </c>
      <c r="AM373" s="60">
        <f>AL373*12</f>
        <v>95136</v>
      </c>
    </row>
    <row r="374" spans="1:39" ht="15">
      <c r="A374" s="109"/>
      <c r="B374" s="1663" t="s">
        <v>579</v>
      </c>
      <c r="C374" s="22" t="s">
        <v>580</v>
      </c>
      <c r="D374" s="67">
        <v>31.9</v>
      </c>
      <c r="E374" s="68">
        <v>3164</v>
      </c>
      <c r="F374" s="100">
        <v>32.049999999999997</v>
      </c>
      <c r="G374" s="102">
        <v>475</v>
      </c>
      <c r="H374" s="71">
        <v>44357</v>
      </c>
      <c r="I374" s="16">
        <v>100932</v>
      </c>
      <c r="J374" s="29" t="s">
        <v>266</v>
      </c>
      <c r="K374" s="93"/>
      <c r="L374" s="93"/>
      <c r="T374" s="98"/>
      <c r="U374" s="82"/>
      <c r="V374" s="26"/>
      <c r="W374" s="31"/>
      <c r="X374" s="157"/>
      <c r="Y374" s="98"/>
      <c r="Z374" s="60"/>
      <c r="AA374" s="60"/>
      <c r="AB374" s="60"/>
      <c r="AC374" s="60"/>
      <c r="AD374" s="60"/>
      <c r="AE374" s="60"/>
      <c r="AF374" s="60"/>
      <c r="AG374" s="60"/>
      <c r="AH374" s="60">
        <f>AB374/12</f>
        <v>0</v>
      </c>
      <c r="AI374" s="60">
        <v>0</v>
      </c>
      <c r="AJ374" s="60">
        <v>928</v>
      </c>
      <c r="AK374" s="60">
        <v>1500</v>
      </c>
      <c r="AL374" s="60">
        <f>AH374+AI374+AJ374+AK374</f>
        <v>2428</v>
      </c>
      <c r="AM374" s="60">
        <f>AL374*12</f>
        <v>29136</v>
      </c>
    </row>
    <row r="375" spans="1:39" ht="15">
      <c r="A375" s="109"/>
      <c r="B375" s="1663" t="s">
        <v>581</v>
      </c>
      <c r="C375" s="22" t="s">
        <v>582</v>
      </c>
      <c r="D375" s="67">
        <v>12.17</v>
      </c>
      <c r="E375" s="68">
        <v>4108</v>
      </c>
      <c r="F375" s="100">
        <v>12.29</v>
      </c>
      <c r="G375" s="102">
        <v>494</v>
      </c>
      <c r="H375" s="71">
        <v>44357</v>
      </c>
      <c r="I375" s="16">
        <v>49994</v>
      </c>
      <c r="J375" s="29" t="s">
        <v>250</v>
      </c>
      <c r="K375" s="93"/>
      <c r="L375" s="93"/>
      <c r="T375" s="98"/>
      <c r="U375" s="82"/>
      <c r="V375" s="82"/>
      <c r="W375" s="31"/>
      <c r="X375" s="157"/>
      <c r="Y375" s="102"/>
      <c r="Z375" s="60"/>
      <c r="AA375" s="60"/>
      <c r="AB375" s="60"/>
      <c r="AC375" s="60"/>
      <c r="AD375" s="60"/>
      <c r="AE375" s="60"/>
      <c r="AF375" s="60"/>
      <c r="AG375" s="60"/>
      <c r="AH375" s="60">
        <f>AB375/12</f>
        <v>0</v>
      </c>
      <c r="AI375" s="60"/>
      <c r="AJ375" s="60"/>
      <c r="AK375" s="60"/>
      <c r="AL375" s="60">
        <f>AH375+AI375+AJ375+AK375</f>
        <v>0</v>
      </c>
      <c r="AM375" s="60">
        <f>AL375*12</f>
        <v>0</v>
      </c>
    </row>
    <row r="376" spans="1:39" ht="15">
      <c r="A376" s="109"/>
      <c r="B376" s="1663" t="s">
        <v>264</v>
      </c>
      <c r="C376" s="22" t="s">
        <v>265</v>
      </c>
      <c r="D376" s="67">
        <v>11.15</v>
      </c>
      <c r="E376" s="68">
        <v>4041</v>
      </c>
      <c r="F376" s="100">
        <v>11.16</v>
      </c>
      <c r="G376" s="102">
        <v>45</v>
      </c>
      <c r="H376" s="71">
        <v>44356</v>
      </c>
      <c r="I376" s="16">
        <v>45057</v>
      </c>
      <c r="J376" s="29" t="s">
        <v>266</v>
      </c>
      <c r="K376" s="93"/>
      <c r="L376" s="93"/>
      <c r="T376" s="98"/>
      <c r="U376" s="82"/>
      <c r="V376" s="82"/>
      <c r="W376" s="31"/>
      <c r="X376" s="157"/>
      <c r="Y376" s="20"/>
      <c r="Z376" s="60"/>
      <c r="AA376" s="60"/>
      <c r="AB376" s="60"/>
      <c r="AC376" s="60"/>
      <c r="AD376" s="60"/>
      <c r="AE376" s="60"/>
      <c r="AF376" s="60"/>
      <c r="AG376" s="60"/>
      <c r="AH376" s="60">
        <f>AB376/12</f>
        <v>0</v>
      </c>
      <c r="AI376" s="60"/>
      <c r="AJ376" s="60"/>
      <c r="AK376" s="60"/>
      <c r="AL376" s="60">
        <f>AH376+AI376+AJ376+AK376</f>
        <v>0</v>
      </c>
      <c r="AM376" s="60">
        <f>AL376*12</f>
        <v>0</v>
      </c>
    </row>
    <row r="377" spans="1:39" ht="15">
      <c r="A377" s="109"/>
      <c r="B377" s="1663" t="s">
        <v>68</v>
      </c>
      <c r="C377" s="22" t="s">
        <v>583</v>
      </c>
      <c r="D377" s="67">
        <v>4.34</v>
      </c>
      <c r="E377" s="68">
        <v>11520</v>
      </c>
      <c r="F377" s="100">
        <v>4.38</v>
      </c>
      <c r="G377" s="102">
        <v>461</v>
      </c>
      <c r="H377" s="71">
        <v>44356</v>
      </c>
      <c r="I377" s="16">
        <v>49996</v>
      </c>
      <c r="J377" s="29" t="s">
        <v>250</v>
      </c>
      <c r="K377" s="93"/>
      <c r="L377" s="93"/>
      <c r="T377" s="98"/>
      <c r="U377" s="82"/>
      <c r="V377" s="82"/>
      <c r="W377" s="31"/>
      <c r="X377" s="157"/>
      <c r="Y377" s="20"/>
      <c r="Z377" s="60"/>
      <c r="AA377" s="60"/>
      <c r="AB377" s="60"/>
      <c r="AC377" s="60"/>
      <c r="AD377" s="60"/>
      <c r="AE377" s="60"/>
      <c r="AF377" s="60"/>
      <c r="AG377" s="60"/>
      <c r="AH377" s="60">
        <f>AB377/12</f>
        <v>0</v>
      </c>
      <c r="AI377" s="60">
        <v>5500</v>
      </c>
      <c r="AJ377" s="60">
        <v>928</v>
      </c>
      <c r="AK377" s="60">
        <v>1500</v>
      </c>
      <c r="AL377" s="60">
        <f>AH377+AI377+AJ377+AK377</f>
        <v>7928</v>
      </c>
      <c r="AM377" s="60">
        <f>AL377*12</f>
        <v>95136</v>
      </c>
    </row>
    <row r="378" spans="1:39" ht="15">
      <c r="A378" s="109"/>
      <c r="B378" s="1663" t="s">
        <v>172</v>
      </c>
      <c r="C378" s="22" t="s">
        <v>584</v>
      </c>
      <c r="D378" s="67">
        <v>54.6</v>
      </c>
      <c r="E378" s="68">
        <v>915</v>
      </c>
      <c r="F378" s="100">
        <v>55.18</v>
      </c>
      <c r="G378" s="102">
        <v>531</v>
      </c>
      <c r="H378" s="71">
        <v>44354</v>
      </c>
      <c r="I378" s="16">
        <v>49959</v>
      </c>
      <c r="J378" s="29" t="s">
        <v>250</v>
      </c>
      <c r="K378" s="93"/>
      <c r="L378" s="93"/>
      <c r="T378" s="98"/>
      <c r="U378" s="82"/>
      <c r="V378" s="82"/>
      <c r="W378" s="31"/>
      <c r="X378" s="157"/>
      <c r="Y378" s="20"/>
      <c r="Z378" s="60"/>
      <c r="AA378" s="60"/>
      <c r="AB378" s="60"/>
      <c r="AC378" s="60"/>
      <c r="AD378" s="60"/>
      <c r="AE378" s="60"/>
      <c r="AF378" s="60"/>
      <c r="AG378" s="60"/>
      <c r="AH378" s="60"/>
    </row>
    <row r="379" spans="1:39" ht="15">
      <c r="A379" s="109"/>
      <c r="B379" s="1663" t="s">
        <v>585</v>
      </c>
      <c r="C379" s="22" t="s">
        <v>586</v>
      </c>
      <c r="D379" s="67">
        <v>14.48</v>
      </c>
      <c r="E379" s="68">
        <v>6906</v>
      </c>
      <c r="F379" s="100">
        <v>14.55</v>
      </c>
      <c r="G379" s="102">
        <v>483</v>
      </c>
      <c r="H379" s="71">
        <v>44354</v>
      </c>
      <c r="I379" s="16">
        <v>99999</v>
      </c>
      <c r="J379" s="29" t="s">
        <v>266</v>
      </c>
      <c r="K379" s="93"/>
      <c r="L379" s="93"/>
      <c r="R379" s="112"/>
      <c r="T379" s="98"/>
      <c r="U379" s="82"/>
      <c r="V379" s="26"/>
      <c r="W379" s="31"/>
      <c r="X379" s="157"/>
      <c r="Y379" s="98"/>
      <c r="Z379" s="60"/>
      <c r="AA379" s="60"/>
      <c r="AB379" s="60"/>
      <c r="AC379" s="60"/>
      <c r="AD379" s="60"/>
      <c r="AE379" s="60"/>
      <c r="AF379" s="60"/>
      <c r="AG379" s="60"/>
      <c r="AH379" s="60"/>
    </row>
    <row r="380" spans="1:39" ht="15">
      <c r="A380" s="109"/>
      <c r="B380" s="1663" t="s">
        <v>340</v>
      </c>
      <c r="C380" s="22" t="s">
        <v>341</v>
      </c>
      <c r="D380" s="67">
        <v>11.21</v>
      </c>
      <c r="E380" s="68">
        <v>4464</v>
      </c>
      <c r="F380" s="100">
        <v>11.33</v>
      </c>
      <c r="G380" s="102">
        <v>526</v>
      </c>
      <c r="H380" s="71">
        <v>44354</v>
      </c>
      <c r="I380" s="16">
        <v>50051</v>
      </c>
      <c r="J380" s="29" t="s">
        <v>266</v>
      </c>
      <c r="K380" s="93"/>
      <c r="L380" s="93"/>
      <c r="R380" s="112"/>
      <c r="T380" s="98"/>
      <c r="U380" s="101"/>
      <c r="V380" s="26"/>
      <c r="W380" s="98"/>
      <c r="X380" s="158"/>
      <c r="Y380" s="98"/>
      <c r="Z380" s="60"/>
      <c r="AA380" s="60"/>
      <c r="AB380" s="60"/>
      <c r="AC380" s="60"/>
      <c r="AD380" s="60"/>
      <c r="AE380" s="60"/>
      <c r="AF380" s="60"/>
      <c r="AG380" s="60"/>
      <c r="AH380" s="60"/>
    </row>
    <row r="381" spans="1:39" ht="15">
      <c r="A381" s="109"/>
      <c r="B381" s="1663" t="s">
        <v>338</v>
      </c>
      <c r="C381" s="22" t="s">
        <v>339</v>
      </c>
      <c r="D381" s="67">
        <v>11.6</v>
      </c>
      <c r="E381" s="68">
        <v>5172</v>
      </c>
      <c r="F381" s="100">
        <v>11.64</v>
      </c>
      <c r="G381" s="102">
        <v>207</v>
      </c>
      <c r="H381" s="71">
        <v>44354</v>
      </c>
      <c r="I381" s="16">
        <v>59995</v>
      </c>
      <c r="J381" s="29" t="s">
        <v>266</v>
      </c>
      <c r="K381" s="93"/>
      <c r="L381" s="93"/>
      <c r="T381" s="98"/>
      <c r="U381" s="82"/>
      <c r="V381" s="26"/>
      <c r="W381" s="31"/>
      <c r="X381" s="157"/>
      <c r="Y381" s="98"/>
      <c r="Z381" s="60"/>
      <c r="AA381" s="60"/>
      <c r="AB381" s="60"/>
      <c r="AC381" s="60"/>
      <c r="AD381" s="60"/>
      <c r="AE381" s="60"/>
      <c r="AF381" s="60"/>
      <c r="AG381" s="60"/>
      <c r="AH381" s="60"/>
    </row>
    <row r="382" spans="1:39" ht="15">
      <c r="A382" s="109"/>
      <c r="B382" s="1663" t="s">
        <v>587</v>
      </c>
      <c r="C382" s="22" t="s">
        <v>588</v>
      </c>
      <c r="D382" s="67">
        <v>20.22</v>
      </c>
      <c r="E382" s="68">
        <v>2472</v>
      </c>
      <c r="F382" s="100">
        <v>20.420000000000002</v>
      </c>
      <c r="G382" s="102">
        <v>494</v>
      </c>
      <c r="H382" s="71">
        <v>44351</v>
      </c>
      <c r="I382" s="16">
        <v>49984</v>
      </c>
      <c r="J382" s="29" t="s">
        <v>90</v>
      </c>
      <c r="K382" s="93"/>
      <c r="L382" s="93"/>
      <c r="T382" s="98"/>
      <c r="U382" s="82"/>
      <c r="V382" s="82"/>
      <c r="W382" s="31"/>
      <c r="X382" s="157"/>
      <c r="Y382" s="102"/>
      <c r="Z382" s="20"/>
      <c r="AA382" s="68"/>
      <c r="AB382" s="68"/>
    </row>
    <row r="383" spans="1:39" ht="15">
      <c r="A383" s="109"/>
      <c r="B383" s="1663" t="s">
        <v>589</v>
      </c>
      <c r="C383" s="22" t="s">
        <v>590</v>
      </c>
      <c r="D383" s="67">
        <v>32.17</v>
      </c>
      <c r="E383" s="68">
        <v>1554</v>
      </c>
      <c r="F383" s="100">
        <v>32.46</v>
      </c>
      <c r="G383" s="102">
        <v>428</v>
      </c>
      <c r="H383" s="71">
        <v>44351</v>
      </c>
      <c r="I383" s="16">
        <v>49995</v>
      </c>
      <c r="J383" s="29" t="s">
        <v>266</v>
      </c>
      <c r="K383" s="93"/>
      <c r="L383" s="93"/>
      <c r="T383" s="98"/>
      <c r="U383" s="82"/>
      <c r="V383" s="82"/>
      <c r="W383" s="31"/>
      <c r="X383" s="157"/>
      <c r="Y383" s="20"/>
      <c r="Z383" s="20"/>
      <c r="AA383" s="68"/>
      <c r="AB383" s="68"/>
    </row>
    <row r="384" spans="1:39" ht="15">
      <c r="A384" s="109"/>
      <c r="B384" s="1663" t="s">
        <v>160</v>
      </c>
      <c r="C384" s="22" t="s">
        <v>591</v>
      </c>
      <c r="D384" s="67">
        <v>135.44</v>
      </c>
      <c r="E384" s="68">
        <v>1480</v>
      </c>
      <c r="F384" s="100">
        <v>138.38999999999999</v>
      </c>
      <c r="G384" s="102">
        <v>4366</v>
      </c>
      <c r="H384" s="71">
        <v>44351</v>
      </c>
      <c r="I384" s="16">
        <v>200451</v>
      </c>
      <c r="J384" s="29" t="s">
        <v>90</v>
      </c>
      <c r="K384" s="93"/>
      <c r="L384" s="93"/>
      <c r="T384" s="98"/>
      <c r="U384" s="82"/>
      <c r="V384" s="82"/>
      <c r="W384" s="31"/>
      <c r="X384" s="157"/>
      <c r="Y384" s="20"/>
      <c r="Z384" s="20"/>
      <c r="AA384" s="68"/>
      <c r="AB384" s="68"/>
    </row>
    <row r="385" spans="1:28" ht="15">
      <c r="A385" s="109"/>
      <c r="B385" s="1663" t="s">
        <v>381</v>
      </c>
      <c r="C385" s="22" t="s">
        <v>592</v>
      </c>
      <c r="D385" s="67">
        <v>7.18</v>
      </c>
      <c r="E385" s="68">
        <v>6983</v>
      </c>
      <c r="F385" s="100">
        <v>7.27</v>
      </c>
      <c r="G385" s="102">
        <v>628</v>
      </c>
      <c r="H385" s="71">
        <v>44351</v>
      </c>
      <c r="I385" s="16">
        <v>50137</v>
      </c>
      <c r="J385" s="29" t="s">
        <v>266</v>
      </c>
      <c r="K385" s="93"/>
      <c r="L385" s="93"/>
      <c r="R385" s="112"/>
      <c r="T385" s="98"/>
      <c r="U385" s="82"/>
      <c r="V385" s="26"/>
      <c r="W385" s="31"/>
      <c r="X385" s="157"/>
      <c r="Y385" s="98"/>
      <c r="Z385" s="20"/>
      <c r="AA385" s="68"/>
      <c r="AB385" s="68"/>
    </row>
    <row r="386" spans="1:28" ht="15">
      <c r="A386" s="109"/>
      <c r="B386" s="1663" t="s">
        <v>352</v>
      </c>
      <c r="C386" s="22" t="s">
        <v>259</v>
      </c>
      <c r="D386" s="67">
        <v>465.6</v>
      </c>
      <c r="E386" s="68">
        <v>107</v>
      </c>
      <c r="F386" s="100">
        <v>471.21</v>
      </c>
      <c r="G386" s="102">
        <v>600</v>
      </c>
      <c r="H386" s="71">
        <v>44350</v>
      </c>
      <c r="I386" s="16">
        <v>49820</v>
      </c>
      <c r="J386" s="29" t="s">
        <v>266</v>
      </c>
      <c r="K386" s="93"/>
      <c r="L386" s="93"/>
      <c r="R386" s="112"/>
      <c r="S386" s="72"/>
      <c r="T386" s="98"/>
      <c r="U386" s="101"/>
      <c r="V386" s="26"/>
      <c r="W386" s="98"/>
      <c r="X386" s="158"/>
      <c r="Y386" s="98"/>
      <c r="Z386" s="20"/>
      <c r="AA386" s="68"/>
      <c r="AB386" s="68"/>
    </row>
    <row r="387" spans="1:28" ht="15">
      <c r="A387" s="109"/>
      <c r="B387" s="1663" t="s">
        <v>536</v>
      </c>
      <c r="C387" s="22" t="s">
        <v>537</v>
      </c>
      <c r="D387" s="67">
        <v>15.72</v>
      </c>
      <c r="E387" s="68">
        <v>312</v>
      </c>
      <c r="F387" s="100">
        <v>16.04</v>
      </c>
      <c r="G387" s="102">
        <v>100</v>
      </c>
      <c r="H387" s="71">
        <v>44349</v>
      </c>
      <c r="I387" s="16">
        <v>4905</v>
      </c>
      <c r="J387" s="29" t="s">
        <v>250</v>
      </c>
      <c r="K387" s="93"/>
      <c r="L387" s="93"/>
      <c r="T387" s="98"/>
      <c r="U387" s="82"/>
      <c r="V387" s="26"/>
      <c r="W387" s="31"/>
      <c r="X387" s="157"/>
      <c r="Y387" s="98"/>
      <c r="Z387" s="20"/>
      <c r="AA387" s="68"/>
      <c r="AB387" s="68"/>
    </row>
    <row r="388" spans="1:28" ht="15">
      <c r="A388" s="109"/>
      <c r="B388" s="1663" t="s">
        <v>350</v>
      </c>
      <c r="C388" s="22" t="s">
        <v>593</v>
      </c>
      <c r="D388" s="67">
        <v>26.42</v>
      </c>
      <c r="E388" s="68">
        <v>1900</v>
      </c>
      <c r="F388" s="100">
        <v>26.68</v>
      </c>
      <c r="G388" s="102">
        <v>494</v>
      </c>
      <c r="H388" s="71">
        <v>44349</v>
      </c>
      <c r="I388" s="16">
        <v>50198</v>
      </c>
      <c r="J388" s="29" t="s">
        <v>266</v>
      </c>
      <c r="K388" s="93"/>
      <c r="L388" s="93"/>
      <c r="T388" s="98"/>
      <c r="U388" s="82"/>
      <c r="V388" s="82"/>
      <c r="W388" s="31"/>
      <c r="X388" s="157"/>
      <c r="Y388" s="20"/>
      <c r="Z388" s="20"/>
      <c r="AA388" s="68"/>
      <c r="AB388" s="68"/>
    </row>
    <row r="389" spans="1:28" ht="15">
      <c r="A389" s="109"/>
      <c r="B389" s="1663" t="s">
        <v>47</v>
      </c>
      <c r="C389" s="22" t="s">
        <v>594</v>
      </c>
      <c r="D389" s="67">
        <v>10.35</v>
      </c>
      <c r="E389" s="68">
        <v>18000</v>
      </c>
      <c r="F389" s="100">
        <v>10.42</v>
      </c>
      <c r="G389" s="102">
        <v>1260</v>
      </c>
      <c r="H389" s="71">
        <v>44348</v>
      </c>
      <c r="I389" s="16">
        <v>186300</v>
      </c>
      <c r="J389" s="29" t="s">
        <v>250</v>
      </c>
      <c r="K389" s="93"/>
      <c r="L389" s="93"/>
      <c r="R389" s="112"/>
      <c r="T389" s="98"/>
      <c r="U389" s="82"/>
      <c r="V389" s="26"/>
      <c r="W389" s="31"/>
      <c r="X389" s="157"/>
      <c r="Y389" s="98"/>
      <c r="Z389" s="20"/>
      <c r="AA389" s="68"/>
      <c r="AB389" s="68"/>
    </row>
    <row r="390" spans="1:28" ht="15">
      <c r="A390" s="109"/>
      <c r="B390" s="1663" t="s">
        <v>595</v>
      </c>
      <c r="C390" s="22" t="s">
        <v>596</v>
      </c>
      <c r="D390" s="67">
        <v>67.58</v>
      </c>
      <c r="E390" s="68">
        <v>745</v>
      </c>
      <c r="F390" s="100">
        <v>68.12</v>
      </c>
      <c r="G390" s="102">
        <v>399</v>
      </c>
      <c r="H390" s="71">
        <v>44348</v>
      </c>
      <c r="I390" s="16">
        <v>50351</v>
      </c>
      <c r="J390" s="29" t="s">
        <v>266</v>
      </c>
      <c r="K390" s="93"/>
      <c r="L390" s="93"/>
      <c r="T390" s="98"/>
      <c r="U390" s="82"/>
      <c r="V390" s="82"/>
      <c r="W390" s="31"/>
      <c r="X390" s="157"/>
      <c r="Y390" s="20"/>
      <c r="Z390" s="35"/>
      <c r="AA390" s="94"/>
      <c r="AB390" s="68"/>
    </row>
    <row r="391" spans="1:28" ht="15">
      <c r="A391" s="109"/>
      <c r="B391" s="1663" t="s">
        <v>312</v>
      </c>
      <c r="C391" s="22" t="s">
        <v>597</v>
      </c>
      <c r="D391" s="67">
        <v>4.5</v>
      </c>
      <c r="E391" s="68">
        <v>22172</v>
      </c>
      <c r="F391" s="100">
        <v>4.5709999999999997</v>
      </c>
      <c r="G391" s="102">
        <v>1463</v>
      </c>
      <c r="H391" s="71">
        <v>44348</v>
      </c>
      <c r="I391" s="16">
        <v>99885</v>
      </c>
      <c r="J391" s="29" t="s">
        <v>250</v>
      </c>
      <c r="K391" s="93"/>
      <c r="L391" s="93"/>
      <c r="T391" s="98"/>
      <c r="U391" s="82"/>
      <c r="V391" s="82"/>
      <c r="W391" s="31"/>
      <c r="X391" s="157"/>
      <c r="Y391" s="20"/>
      <c r="Z391" s="20"/>
      <c r="AA391" s="68"/>
      <c r="AB391" s="68"/>
    </row>
    <row r="392" spans="1:28" ht="15">
      <c r="A392" s="109"/>
      <c r="B392" s="1663" t="s">
        <v>598</v>
      </c>
      <c r="C392" s="22" t="s">
        <v>599</v>
      </c>
      <c r="D392" s="67">
        <v>56.44</v>
      </c>
      <c r="E392" s="68">
        <v>4283</v>
      </c>
      <c r="F392" s="100">
        <v>53.98</v>
      </c>
      <c r="G392" s="102">
        <v>385</v>
      </c>
      <c r="H392" s="71">
        <v>44348</v>
      </c>
      <c r="I392" s="16">
        <f>D392*E392</f>
        <v>241732.52</v>
      </c>
      <c r="J392" s="29" t="s">
        <v>90</v>
      </c>
      <c r="K392" s="93"/>
      <c r="L392" s="93"/>
      <c r="T392" s="98"/>
      <c r="U392" s="82"/>
      <c r="V392" s="82"/>
      <c r="W392" s="31"/>
      <c r="X392" s="157"/>
      <c r="Y392" s="20"/>
      <c r="Z392" s="20"/>
      <c r="AA392" s="68"/>
      <c r="AB392" s="68"/>
    </row>
    <row r="393" spans="1:28" ht="15">
      <c r="A393" s="109"/>
      <c r="B393" s="1663"/>
      <c r="C393" s="1655"/>
      <c r="D393" s="67"/>
      <c r="E393" s="68"/>
      <c r="F393" s="70" t="s">
        <v>23</v>
      </c>
      <c r="G393" s="61">
        <f>SUM(G394:G441)</f>
        <v>30017.17</v>
      </c>
      <c r="H393" s="69" t="s">
        <v>549</v>
      </c>
      <c r="I393" s="16">
        <f>80-33</f>
        <v>47</v>
      </c>
      <c r="J393" s="29"/>
      <c r="K393" s="93"/>
      <c r="L393" s="93"/>
      <c r="R393" s="112"/>
      <c r="T393" s="98"/>
      <c r="U393" s="82"/>
      <c r="V393" s="26"/>
      <c r="W393" s="31"/>
      <c r="X393" s="157"/>
      <c r="Y393" s="98"/>
      <c r="Z393" s="20"/>
      <c r="AA393" s="68"/>
      <c r="AB393" s="68"/>
    </row>
    <row r="394" spans="1:28" ht="15">
      <c r="A394" s="109"/>
      <c r="B394" s="1663" t="s">
        <v>352</v>
      </c>
      <c r="C394" s="1655" t="s">
        <v>259</v>
      </c>
      <c r="D394" s="67">
        <v>472.85</v>
      </c>
      <c r="E394" s="68">
        <v>126</v>
      </c>
      <c r="F394" s="100">
        <v>472.85</v>
      </c>
      <c r="G394" s="102">
        <v>0</v>
      </c>
      <c r="H394" s="71">
        <v>44344</v>
      </c>
      <c r="I394" s="16">
        <v>59579</v>
      </c>
      <c r="J394" s="29" t="s">
        <v>600</v>
      </c>
      <c r="K394" s="93"/>
      <c r="L394" s="93"/>
      <c r="T394" s="98"/>
      <c r="U394" s="82"/>
      <c r="V394" s="82"/>
      <c r="W394" s="31"/>
      <c r="X394" s="157"/>
      <c r="Y394" s="20"/>
      <c r="AA394" s="82"/>
      <c r="AB394" s="68"/>
    </row>
    <row r="395" spans="1:28" ht="15">
      <c r="A395" s="109"/>
      <c r="B395" s="1663" t="s">
        <v>598</v>
      </c>
      <c r="C395" s="22" t="s">
        <v>599</v>
      </c>
      <c r="D395" s="67">
        <v>56.44</v>
      </c>
      <c r="E395" s="68">
        <v>217</v>
      </c>
      <c r="F395" s="100">
        <v>53.98</v>
      </c>
      <c r="G395" s="102">
        <v>19</v>
      </c>
      <c r="H395" s="71">
        <v>44344</v>
      </c>
      <c r="I395" s="16">
        <f>D395*E395</f>
        <v>12247.48</v>
      </c>
      <c r="J395" s="29" t="s">
        <v>90</v>
      </c>
      <c r="K395" s="93"/>
      <c r="L395" s="93"/>
      <c r="T395" s="98"/>
      <c r="U395" s="82"/>
      <c r="V395" s="82"/>
      <c r="W395" s="31"/>
      <c r="X395" s="157"/>
      <c r="Y395" s="20"/>
      <c r="Z395" s="20"/>
      <c r="AA395" s="68"/>
      <c r="AB395" s="68"/>
    </row>
    <row r="396" spans="1:28" ht="15">
      <c r="A396" s="109"/>
      <c r="B396" s="1663" t="s">
        <v>547</v>
      </c>
      <c r="C396" s="22" t="s">
        <v>548</v>
      </c>
      <c r="D396" s="67">
        <v>6.79</v>
      </c>
      <c r="E396" s="68">
        <v>7002</v>
      </c>
      <c r="F396" s="100">
        <v>6.82</v>
      </c>
      <c r="G396" s="102">
        <v>140</v>
      </c>
      <c r="H396" s="71">
        <v>44344</v>
      </c>
      <c r="I396" s="16">
        <v>47544</v>
      </c>
      <c r="J396" s="29" t="s">
        <v>266</v>
      </c>
      <c r="K396" s="93"/>
      <c r="L396" s="93" t="s">
        <v>266</v>
      </c>
      <c r="M396" s="16">
        <f>G396+G398+G400+G401+G402+G404+G405+G408+G410+G413+G414+G416+G417+G423+G426+G427+G428+G429+G431+G439+G440+G435</f>
        <v>9104.36</v>
      </c>
      <c r="T396" s="98"/>
      <c r="U396" s="101"/>
      <c r="V396" s="26"/>
      <c r="W396" s="67"/>
      <c r="X396" s="157"/>
      <c r="Y396" s="20"/>
      <c r="Z396" s="20"/>
      <c r="AA396" s="68"/>
      <c r="AB396" s="68"/>
    </row>
    <row r="397" spans="1:28" ht="15">
      <c r="A397" s="109"/>
      <c r="B397" s="1663" t="s">
        <v>601</v>
      </c>
      <c r="C397" s="22" t="s">
        <v>602</v>
      </c>
      <c r="D397" s="67">
        <v>21.82</v>
      </c>
      <c r="E397" s="68">
        <v>2291</v>
      </c>
      <c r="F397" s="100">
        <v>21.97</v>
      </c>
      <c r="G397" s="102">
        <v>344</v>
      </c>
      <c r="H397" s="71">
        <v>44343</v>
      </c>
      <c r="I397" s="16">
        <v>49989</v>
      </c>
      <c r="J397" s="29" t="s">
        <v>250</v>
      </c>
      <c r="K397" s="93"/>
      <c r="L397" s="93" t="s">
        <v>90</v>
      </c>
      <c r="M397" s="16">
        <f>G395+G406+G407+G409+G412+G420+G421+G430+G434+G418</f>
        <v>28023</v>
      </c>
      <c r="T397" s="98"/>
      <c r="U397" s="101"/>
      <c r="V397" s="26"/>
      <c r="W397" s="67"/>
      <c r="X397" s="157"/>
      <c r="Y397" s="20"/>
      <c r="Z397" s="20"/>
      <c r="AA397" s="68"/>
      <c r="AB397" s="68"/>
    </row>
    <row r="398" spans="1:28" ht="15">
      <c r="A398" s="109"/>
      <c r="B398" s="1663" t="s">
        <v>603</v>
      </c>
      <c r="C398" s="22" t="s">
        <v>604</v>
      </c>
      <c r="D398" s="67">
        <v>11.74</v>
      </c>
      <c r="E398" s="68">
        <v>4332</v>
      </c>
      <c r="F398" s="100">
        <v>11.83</v>
      </c>
      <c r="G398" s="102">
        <v>390</v>
      </c>
      <c r="H398" s="71">
        <v>44343</v>
      </c>
      <c r="I398" s="16">
        <v>50857</v>
      </c>
      <c r="J398" s="29" t="s">
        <v>266</v>
      </c>
      <c r="K398" s="93"/>
      <c r="L398" s="93" t="s">
        <v>605</v>
      </c>
      <c r="M398" s="16">
        <f>G403+G415+G419+G422+G432+G433+G436+G437+G438+G441+G424</f>
        <v>-11378.19</v>
      </c>
      <c r="T398" s="98"/>
      <c r="U398" s="82"/>
      <c r="V398" s="82"/>
      <c r="W398" s="20"/>
      <c r="X398" s="157"/>
      <c r="Y398" s="20"/>
      <c r="Z398" s="20"/>
      <c r="AA398" s="68"/>
      <c r="AB398" s="68"/>
    </row>
    <row r="399" spans="1:28" ht="15">
      <c r="A399" s="109"/>
      <c r="B399" s="1663" t="s">
        <v>606</v>
      </c>
      <c r="C399" s="22" t="s">
        <v>607</v>
      </c>
      <c r="D399" s="67">
        <v>137.83000000000001</v>
      </c>
      <c r="E399" s="68">
        <v>362</v>
      </c>
      <c r="F399" s="100">
        <v>137.83000000000001</v>
      </c>
      <c r="G399" s="102">
        <v>0</v>
      </c>
      <c r="H399" s="71">
        <v>44342</v>
      </c>
      <c r="I399" s="16">
        <v>49894</v>
      </c>
      <c r="J399" s="29" t="s">
        <v>266</v>
      </c>
      <c r="K399" s="93"/>
      <c r="L399" s="93" t="s">
        <v>250</v>
      </c>
      <c r="M399" s="16">
        <f>G397+G411+G425</f>
        <v>4268</v>
      </c>
      <c r="T399" s="98"/>
      <c r="U399" s="82"/>
      <c r="V399" s="82"/>
      <c r="W399" s="20"/>
      <c r="X399" s="157"/>
      <c r="Y399" s="20"/>
      <c r="Z399" s="20"/>
      <c r="AA399" s="68"/>
      <c r="AB399" s="68"/>
    </row>
    <row r="400" spans="1:28" ht="15">
      <c r="A400" s="109"/>
      <c r="B400" s="1663" t="s">
        <v>56</v>
      </c>
      <c r="C400" s="22" t="s">
        <v>546</v>
      </c>
      <c r="D400" s="67">
        <v>22.34</v>
      </c>
      <c r="E400" s="68">
        <v>2238</v>
      </c>
      <c r="F400" s="100">
        <v>22.56</v>
      </c>
      <c r="G400" s="102">
        <v>497</v>
      </c>
      <c r="H400" s="71">
        <v>44342</v>
      </c>
      <c r="I400" s="16">
        <v>49992</v>
      </c>
      <c r="J400" s="29" t="s">
        <v>266</v>
      </c>
      <c r="K400" s="93"/>
      <c r="L400" s="93"/>
      <c r="M400" s="34">
        <f>M396+M397+M398+M399</f>
        <v>30017.17</v>
      </c>
      <c r="T400" s="98"/>
      <c r="U400" s="101"/>
      <c r="V400" s="26"/>
      <c r="W400" s="68"/>
      <c r="X400" s="157"/>
      <c r="Y400" s="20"/>
      <c r="Z400" s="20"/>
      <c r="AA400" s="68"/>
      <c r="AB400" s="68"/>
    </row>
    <row r="401" spans="1:28">
      <c r="A401" s="109"/>
      <c r="B401" s="1663" t="s">
        <v>406</v>
      </c>
      <c r="C401" s="22" t="s">
        <v>407</v>
      </c>
      <c r="D401" s="67">
        <v>84.67</v>
      </c>
      <c r="E401" s="68">
        <v>1180</v>
      </c>
      <c r="F401" s="100">
        <v>85.18</v>
      </c>
      <c r="G401" s="102">
        <v>602</v>
      </c>
      <c r="H401" s="71">
        <v>44341</v>
      </c>
      <c r="I401" s="16">
        <v>99911</v>
      </c>
      <c r="J401" s="29" t="s">
        <v>266</v>
      </c>
      <c r="K401" s="93"/>
      <c r="L401" s="93"/>
      <c r="T401" s="98"/>
      <c r="U401" s="82"/>
      <c r="V401" s="82"/>
      <c r="W401" s="20"/>
      <c r="X401" s="20"/>
      <c r="Y401" s="20"/>
      <c r="Z401" s="20"/>
      <c r="AA401" s="68"/>
      <c r="AB401" s="68"/>
    </row>
    <row r="402" spans="1:28">
      <c r="A402" s="109"/>
      <c r="B402" s="1663" t="s">
        <v>381</v>
      </c>
      <c r="C402" s="22" t="s">
        <v>592</v>
      </c>
      <c r="D402" s="67">
        <v>7.29</v>
      </c>
      <c r="E402" s="68">
        <v>6721</v>
      </c>
      <c r="F402" s="100">
        <v>7.36</v>
      </c>
      <c r="G402" s="102">
        <v>471</v>
      </c>
      <c r="H402" s="71">
        <v>44340</v>
      </c>
      <c r="I402" s="16">
        <v>48996</v>
      </c>
      <c r="J402" s="29" t="s">
        <v>266</v>
      </c>
      <c r="K402" s="93"/>
      <c r="L402" s="93"/>
      <c r="T402" s="98"/>
      <c r="U402" s="82"/>
      <c r="V402" s="82"/>
      <c r="W402" s="20"/>
      <c r="X402" s="20"/>
      <c r="Y402" s="20"/>
      <c r="Z402" s="20"/>
      <c r="AA402" s="68"/>
      <c r="AB402" s="68"/>
    </row>
    <row r="403" spans="1:28" ht="15">
      <c r="A403" s="109"/>
      <c r="B403" s="1663" t="s">
        <v>608</v>
      </c>
      <c r="C403" s="22" t="s">
        <v>609</v>
      </c>
      <c r="D403" s="67">
        <v>156</v>
      </c>
      <c r="E403" s="68">
        <v>641</v>
      </c>
      <c r="F403" s="100">
        <v>156.4</v>
      </c>
      <c r="G403" s="102">
        <v>255</v>
      </c>
      <c r="H403" s="71">
        <v>44340</v>
      </c>
      <c r="I403" s="16">
        <v>99997</v>
      </c>
      <c r="J403" s="29" t="s">
        <v>600</v>
      </c>
      <c r="K403" s="93"/>
      <c r="L403" s="93"/>
      <c r="T403" s="98"/>
      <c r="U403" s="101"/>
      <c r="V403" s="26"/>
      <c r="W403" s="68"/>
      <c r="X403" s="157"/>
      <c r="Y403" s="20"/>
      <c r="Z403" s="20"/>
      <c r="AB403" s="68"/>
    </row>
    <row r="404" spans="1:28">
      <c r="A404" s="109"/>
      <c r="B404" s="1663" t="s">
        <v>610</v>
      </c>
      <c r="C404" s="22" t="s">
        <v>611</v>
      </c>
      <c r="D404" s="67">
        <v>214.35</v>
      </c>
      <c r="E404" s="68">
        <v>93</v>
      </c>
      <c r="F404" s="100">
        <v>217.83</v>
      </c>
      <c r="G404" s="102">
        <v>324</v>
      </c>
      <c r="H404" s="71">
        <v>44340</v>
      </c>
      <c r="I404" s="16">
        <v>19934</v>
      </c>
      <c r="J404" s="29" t="s">
        <v>266</v>
      </c>
      <c r="K404" s="93"/>
      <c r="L404" s="93"/>
      <c r="U404" s="82"/>
      <c r="V404" s="82"/>
      <c r="W404" s="20"/>
      <c r="X404" s="20"/>
      <c r="Y404" s="20"/>
      <c r="Z404" s="20"/>
      <c r="AA404" s="68"/>
      <c r="AB404" s="68"/>
    </row>
    <row r="405" spans="1:28">
      <c r="A405" s="109"/>
      <c r="B405" s="1663" t="s">
        <v>510</v>
      </c>
      <c r="C405" s="22" t="s">
        <v>511</v>
      </c>
      <c r="D405" s="67">
        <v>19.079999999999998</v>
      </c>
      <c r="E405" s="68">
        <v>1049</v>
      </c>
      <c r="F405" s="100">
        <v>19.46</v>
      </c>
      <c r="G405" s="102">
        <v>399</v>
      </c>
      <c r="H405" s="71">
        <v>44340</v>
      </c>
      <c r="I405" s="16">
        <v>20015</v>
      </c>
      <c r="J405" s="29" t="s">
        <v>266</v>
      </c>
      <c r="K405" s="93"/>
      <c r="L405" s="93"/>
      <c r="U405" s="82"/>
      <c r="V405" s="82"/>
      <c r="W405" s="20"/>
      <c r="X405" s="20"/>
      <c r="Y405" s="20"/>
      <c r="Z405" s="20"/>
      <c r="AA405" s="68"/>
      <c r="AB405" s="68"/>
    </row>
    <row r="406" spans="1:28">
      <c r="A406" s="109"/>
      <c r="B406" s="1663" t="s">
        <v>601</v>
      </c>
      <c r="C406" s="22" t="s">
        <v>602</v>
      </c>
      <c r="D406" s="67">
        <v>21.24</v>
      </c>
      <c r="E406" s="68">
        <v>2354</v>
      </c>
      <c r="F406" s="100">
        <v>21.41</v>
      </c>
      <c r="G406" s="102">
        <v>400</v>
      </c>
      <c r="H406" s="71">
        <v>44340</v>
      </c>
      <c r="I406" s="16">
        <v>49998</v>
      </c>
      <c r="J406" s="29" t="s">
        <v>90</v>
      </c>
      <c r="K406" s="93"/>
      <c r="L406" s="93"/>
      <c r="U406" s="82"/>
      <c r="V406" s="82"/>
      <c r="W406" s="20"/>
      <c r="X406" s="20"/>
      <c r="Y406" s="20"/>
      <c r="Z406" s="20"/>
      <c r="AA406" s="68"/>
      <c r="AB406" s="68"/>
    </row>
    <row r="407" spans="1:28">
      <c r="A407" s="109"/>
      <c r="B407" s="1663" t="s">
        <v>160</v>
      </c>
      <c r="C407" s="22" t="s">
        <v>202</v>
      </c>
      <c r="D407" s="67">
        <v>131.5</v>
      </c>
      <c r="E407" s="68">
        <v>1325</v>
      </c>
      <c r="F407" s="100">
        <v>131.82</v>
      </c>
      <c r="G407" s="102">
        <v>994</v>
      </c>
      <c r="H407" s="71">
        <v>44337</v>
      </c>
      <c r="I407" s="16">
        <v>173668</v>
      </c>
      <c r="J407" s="29" t="s">
        <v>90</v>
      </c>
      <c r="K407" s="93"/>
      <c r="L407" s="93"/>
      <c r="U407" s="82"/>
      <c r="V407" s="82"/>
      <c r="W407" s="20"/>
      <c r="X407" s="20"/>
      <c r="Y407" s="20"/>
      <c r="Z407" s="20"/>
      <c r="AA407" s="68"/>
      <c r="AB407" s="68"/>
    </row>
    <row r="408" spans="1:28">
      <c r="A408" s="109"/>
      <c r="B408" s="1663" t="s">
        <v>610</v>
      </c>
      <c r="C408" s="22" t="s">
        <v>611</v>
      </c>
      <c r="D408" s="67">
        <v>215.63</v>
      </c>
      <c r="E408" s="68">
        <v>231</v>
      </c>
      <c r="F408" s="100">
        <v>217.8</v>
      </c>
      <c r="G408" s="102">
        <v>500</v>
      </c>
      <c r="H408" s="71">
        <v>44337</v>
      </c>
      <c r="I408" s="16">
        <v>49812</v>
      </c>
      <c r="J408" s="29" t="s">
        <v>266</v>
      </c>
      <c r="K408" s="93"/>
      <c r="L408" s="93" t="s">
        <v>35</v>
      </c>
      <c r="M408" s="16">
        <f>G416+G419</f>
        <v>-17782</v>
      </c>
      <c r="U408" s="82"/>
      <c r="V408" s="82"/>
      <c r="W408" s="20"/>
      <c r="X408" s="20"/>
      <c r="Y408" s="20"/>
      <c r="Z408" s="20"/>
      <c r="AA408" s="68"/>
      <c r="AB408" s="68"/>
    </row>
    <row r="409" spans="1:28">
      <c r="A409" s="109"/>
      <c r="B409" s="1663" t="s">
        <v>160</v>
      </c>
      <c r="C409" s="22" t="s">
        <v>202</v>
      </c>
      <c r="D409" s="67">
        <v>131.5</v>
      </c>
      <c r="E409" s="68">
        <v>760</v>
      </c>
      <c r="F409" s="100">
        <v>132.83000000000001</v>
      </c>
      <c r="G409" s="102">
        <v>1011</v>
      </c>
      <c r="H409" s="71">
        <v>44336</v>
      </c>
      <c r="I409" s="16">
        <v>99940</v>
      </c>
      <c r="J409" s="29" t="s">
        <v>90</v>
      </c>
      <c r="K409" s="93"/>
      <c r="L409" s="93"/>
      <c r="U409" s="82"/>
      <c r="V409" s="82"/>
      <c r="W409" s="20"/>
      <c r="X409" s="20"/>
      <c r="Y409" s="20"/>
      <c r="Z409" s="20"/>
      <c r="AA409" s="68"/>
      <c r="AB409" s="68"/>
    </row>
    <row r="410" spans="1:28">
      <c r="A410" s="109"/>
      <c r="B410" s="1663" t="s">
        <v>510</v>
      </c>
      <c r="C410" s="22" t="s">
        <v>511</v>
      </c>
      <c r="D410" s="67">
        <v>19.079999999999998</v>
      </c>
      <c r="E410" s="68">
        <v>2636</v>
      </c>
      <c r="F410" s="100">
        <v>19.34</v>
      </c>
      <c r="G410" s="102">
        <v>694</v>
      </c>
      <c r="H410" s="71">
        <v>44336</v>
      </c>
      <c r="I410" s="16">
        <v>50286</v>
      </c>
      <c r="J410" s="29" t="s">
        <v>266</v>
      </c>
      <c r="K410" s="93"/>
      <c r="L410" s="93"/>
      <c r="U410" s="82"/>
      <c r="V410" s="82"/>
      <c r="W410" s="20"/>
      <c r="X410" s="20"/>
      <c r="Y410" s="20"/>
      <c r="Z410" s="20"/>
      <c r="AA410" s="68"/>
      <c r="AB410" s="68"/>
    </row>
    <row r="411" spans="1:28">
      <c r="A411" s="109"/>
      <c r="B411" s="1663" t="s">
        <v>47</v>
      </c>
      <c r="C411" s="22" t="s">
        <v>612</v>
      </c>
      <c r="D411" s="67">
        <v>10.130000000000001</v>
      </c>
      <c r="E411" s="68">
        <f>8430+16267</f>
        <v>24697</v>
      </c>
      <c r="F411" s="100">
        <v>10.24</v>
      </c>
      <c r="G411" s="102">
        <f>844+1952</f>
        <v>2796</v>
      </c>
      <c r="H411" s="71">
        <v>44335</v>
      </c>
      <c r="I411" s="16">
        <f>D411*E411</f>
        <v>250180.61000000002</v>
      </c>
      <c r="J411" s="29" t="s">
        <v>250</v>
      </c>
      <c r="K411" s="93"/>
      <c r="L411" s="2100" t="s">
        <v>613</v>
      </c>
      <c r="M411" s="2087"/>
      <c r="N411" s="2087"/>
      <c r="O411" s="2087"/>
      <c r="P411" s="93"/>
      <c r="Q411" s="93"/>
      <c r="R411" s="93"/>
      <c r="U411" s="82"/>
      <c r="V411" s="82"/>
      <c r="W411" s="20"/>
      <c r="X411" s="20"/>
      <c r="Y411" s="20"/>
      <c r="Z411" s="20"/>
      <c r="AA411" s="68"/>
      <c r="AB411" s="68"/>
    </row>
    <row r="412" spans="1:28">
      <c r="A412" s="109"/>
      <c r="B412" s="1663" t="s">
        <v>614</v>
      </c>
      <c r="C412" s="22" t="s">
        <v>615</v>
      </c>
      <c r="D412" s="67">
        <v>5.79</v>
      </c>
      <c r="E412" s="68">
        <v>21614</v>
      </c>
      <c r="F412" s="100">
        <v>5.87</v>
      </c>
      <c r="G412" s="102">
        <v>1621</v>
      </c>
      <c r="H412" s="71">
        <v>44334</v>
      </c>
      <c r="I412" s="16">
        <v>125253</v>
      </c>
      <c r="J412" s="29" t="s">
        <v>90</v>
      </c>
      <c r="K412" s="93"/>
      <c r="L412" s="93"/>
      <c r="T412" s="98"/>
      <c r="U412" s="82"/>
      <c r="V412" s="82"/>
      <c r="W412" s="20"/>
      <c r="X412" s="20"/>
      <c r="Y412" s="20"/>
      <c r="Z412" s="20"/>
      <c r="AA412" s="68"/>
      <c r="AB412" s="68"/>
    </row>
    <row r="413" spans="1:28">
      <c r="A413" s="109"/>
      <c r="B413" s="1663" t="s">
        <v>601</v>
      </c>
      <c r="C413" s="22" t="s">
        <v>602</v>
      </c>
      <c r="D413" s="67">
        <v>20.63</v>
      </c>
      <c r="E413" s="68">
        <v>3000</v>
      </c>
      <c r="F413" s="100">
        <v>20.8</v>
      </c>
      <c r="G413" s="102">
        <v>510</v>
      </c>
      <c r="H413" s="71">
        <v>44334</v>
      </c>
      <c r="I413" s="16">
        <v>61890</v>
      </c>
      <c r="J413" s="29" t="s">
        <v>266</v>
      </c>
      <c r="K413" s="93"/>
      <c r="L413" s="93"/>
      <c r="T413" s="98"/>
      <c r="U413" s="82"/>
      <c r="V413" s="82"/>
      <c r="W413" s="20"/>
      <c r="X413" s="20"/>
      <c r="Y413" s="20"/>
      <c r="Z413" s="20"/>
      <c r="AA413" s="68"/>
      <c r="AB413" s="68"/>
    </row>
    <row r="414" spans="1:28">
      <c r="A414" s="109"/>
      <c r="B414" s="1663" t="s">
        <v>547</v>
      </c>
      <c r="C414" s="22" t="s">
        <v>548</v>
      </c>
      <c r="D414" s="67">
        <v>6.69</v>
      </c>
      <c r="E414" s="68">
        <v>4484</v>
      </c>
      <c r="F414" s="100">
        <v>6.79</v>
      </c>
      <c r="G414" s="102">
        <v>448</v>
      </c>
      <c r="H414" s="71">
        <v>44333</v>
      </c>
      <c r="I414" s="16">
        <v>29998</v>
      </c>
      <c r="J414" s="29" t="s">
        <v>266</v>
      </c>
      <c r="K414" s="93"/>
      <c r="L414" s="93"/>
      <c r="T414" s="98"/>
      <c r="U414" s="82"/>
      <c r="V414" s="82"/>
      <c r="W414" s="20"/>
      <c r="X414" s="20"/>
      <c r="Y414" s="20"/>
      <c r="Z414" s="20"/>
      <c r="AA414" s="68"/>
      <c r="AB414" s="68"/>
    </row>
    <row r="415" spans="1:28">
      <c r="A415" s="109"/>
      <c r="B415" s="1663" t="s">
        <v>585</v>
      </c>
      <c r="C415" s="22" t="s">
        <v>616</v>
      </c>
      <c r="D415" s="67">
        <v>14.11</v>
      </c>
      <c r="E415" s="68">
        <v>7000</v>
      </c>
      <c r="F415" s="100">
        <v>14.18</v>
      </c>
      <c r="G415" s="102">
        <v>490</v>
      </c>
      <c r="H415" s="71">
        <v>44333</v>
      </c>
      <c r="I415" s="16">
        <v>98770</v>
      </c>
      <c r="J415" s="29" t="s">
        <v>600</v>
      </c>
      <c r="K415" s="93"/>
      <c r="L415" s="93"/>
      <c r="U415" s="82"/>
      <c r="V415" s="82"/>
      <c r="W415" s="20"/>
      <c r="X415" s="20"/>
      <c r="Y415" s="20"/>
      <c r="Z415" s="20"/>
      <c r="AA415" s="68"/>
      <c r="AB415" s="68"/>
    </row>
    <row r="416" spans="1:28">
      <c r="A416" s="109"/>
      <c r="B416" s="1663" t="s">
        <v>617</v>
      </c>
      <c r="C416" s="22" t="s">
        <v>618</v>
      </c>
      <c r="D416" s="67">
        <v>155.31</v>
      </c>
      <c r="E416" s="68">
        <v>326</v>
      </c>
      <c r="F416" s="100">
        <v>151.52000000000001</v>
      </c>
      <c r="G416" s="159">
        <v>-1236</v>
      </c>
      <c r="H416" s="71">
        <v>44330</v>
      </c>
      <c r="I416" s="16">
        <v>49396</v>
      </c>
      <c r="J416" s="29" t="s">
        <v>266</v>
      </c>
      <c r="K416" s="93"/>
      <c r="L416" s="93"/>
      <c r="U416" s="82"/>
      <c r="V416" s="82"/>
      <c r="W416" s="20"/>
      <c r="X416" s="20"/>
      <c r="Y416" s="20"/>
      <c r="Z416" s="20"/>
      <c r="AA416" s="68"/>
      <c r="AB416" s="68"/>
    </row>
    <row r="417" spans="1:28">
      <c r="A417" s="109"/>
      <c r="B417" s="1663" t="s">
        <v>403</v>
      </c>
      <c r="C417" s="22" t="s">
        <v>619</v>
      </c>
      <c r="D417" s="67">
        <v>44.2</v>
      </c>
      <c r="E417" s="68">
        <v>1131</v>
      </c>
      <c r="F417" s="100">
        <v>44.22</v>
      </c>
      <c r="G417" s="102">
        <v>23</v>
      </c>
      <c r="H417" s="71">
        <v>44330</v>
      </c>
      <c r="I417" s="16">
        <v>49990</v>
      </c>
      <c r="J417" s="29" t="s">
        <v>266</v>
      </c>
      <c r="K417" s="93"/>
      <c r="L417" s="93"/>
      <c r="U417" s="82"/>
      <c r="V417" s="82"/>
      <c r="W417" s="20"/>
      <c r="X417" s="20"/>
      <c r="Y417" s="20"/>
      <c r="Z417" s="20"/>
      <c r="AA417" s="68"/>
      <c r="AB417" s="68"/>
    </row>
    <row r="418" spans="1:28">
      <c r="A418" s="109"/>
      <c r="B418" s="1663" t="s">
        <v>614</v>
      </c>
      <c r="C418" s="22" t="s">
        <v>615</v>
      </c>
      <c r="D418" s="67">
        <v>5.89</v>
      </c>
      <c r="E418" s="68">
        <v>9200</v>
      </c>
      <c r="F418" s="100">
        <v>5.92</v>
      </c>
      <c r="G418" s="102">
        <f>276</f>
        <v>276</v>
      </c>
      <c r="H418" s="71">
        <v>44330</v>
      </c>
      <c r="I418" s="16">
        <v>54188</v>
      </c>
      <c r="J418" s="29" t="s">
        <v>90</v>
      </c>
      <c r="K418" s="93"/>
      <c r="L418" s="93"/>
      <c r="U418" s="82"/>
      <c r="V418" s="82"/>
      <c r="W418" s="20"/>
      <c r="X418" s="20"/>
      <c r="Y418" s="20"/>
      <c r="Z418" s="20"/>
      <c r="AA418" s="68"/>
      <c r="AB418" s="68"/>
    </row>
    <row r="419" spans="1:28">
      <c r="A419" s="109"/>
      <c r="B419" s="1663" t="s">
        <v>178</v>
      </c>
      <c r="C419" s="22" t="s">
        <v>620</v>
      </c>
      <c r="D419" s="67">
        <v>8.4600000000000009</v>
      </c>
      <c r="E419" s="68">
        <v>1500</v>
      </c>
      <c r="F419" s="100">
        <v>5.37</v>
      </c>
      <c r="G419" s="159">
        <f>-6217-840-2710-1345-1305-1290-2839</f>
        <v>-16546</v>
      </c>
      <c r="H419" s="71">
        <v>44330</v>
      </c>
      <c r="I419" s="16">
        <f>D419*E419</f>
        <v>12690.000000000002</v>
      </c>
      <c r="J419" s="29" t="s">
        <v>600</v>
      </c>
      <c r="K419" s="93"/>
      <c r="L419" s="93"/>
      <c r="U419" s="82"/>
      <c r="V419" s="82"/>
      <c r="W419" s="20"/>
      <c r="X419" s="20"/>
      <c r="Y419" s="20"/>
      <c r="Z419" s="20"/>
      <c r="AA419" s="68"/>
      <c r="AB419" s="68"/>
    </row>
    <row r="420" spans="1:28">
      <c r="A420" s="109"/>
      <c r="B420" s="1663" t="s">
        <v>621</v>
      </c>
      <c r="C420" s="22" t="s">
        <v>622</v>
      </c>
      <c r="D420" s="67">
        <v>22.59</v>
      </c>
      <c r="E420" s="68">
        <v>11000</v>
      </c>
      <c r="F420" s="100">
        <v>23.07</v>
      </c>
      <c r="G420" s="102">
        <v>5254</v>
      </c>
      <c r="H420" s="71">
        <v>44330</v>
      </c>
      <c r="I420" s="16">
        <v>248516</v>
      </c>
      <c r="J420" s="29" t="s">
        <v>90</v>
      </c>
      <c r="K420" s="93"/>
      <c r="L420" s="93"/>
      <c r="U420" s="82"/>
      <c r="V420" s="82"/>
      <c r="W420" s="20"/>
      <c r="X420" s="20"/>
      <c r="Y420" s="20"/>
      <c r="Z420" s="20"/>
      <c r="AA420" s="68"/>
      <c r="AB420" s="68"/>
    </row>
    <row r="421" spans="1:28">
      <c r="A421" s="109"/>
      <c r="B421" s="1663" t="s">
        <v>623</v>
      </c>
      <c r="C421" s="22" t="s">
        <v>624</v>
      </c>
      <c r="D421" s="67">
        <v>12.79</v>
      </c>
      <c r="E421" s="68">
        <v>17137</v>
      </c>
      <c r="F421" s="100">
        <v>13.2</v>
      </c>
      <c r="G421" s="102">
        <v>6998</v>
      </c>
      <c r="H421" s="71">
        <v>44327</v>
      </c>
      <c r="I421" s="16">
        <v>219210</v>
      </c>
      <c r="J421" s="29" t="s">
        <v>90</v>
      </c>
      <c r="K421" s="93"/>
      <c r="L421" s="93"/>
      <c r="U421" s="82"/>
      <c r="V421" s="82"/>
      <c r="W421" s="20"/>
      <c r="X421" s="20"/>
      <c r="Y421" s="20"/>
      <c r="Z421" s="20"/>
      <c r="AA421" s="68"/>
      <c r="AB421" s="68"/>
    </row>
    <row r="422" spans="1:28">
      <c r="A422" s="109"/>
      <c r="B422" s="1663" t="s">
        <v>519</v>
      </c>
      <c r="C422" s="22" t="s">
        <v>625</v>
      </c>
      <c r="D422" s="67">
        <v>26.13</v>
      </c>
      <c r="E422" s="68">
        <v>2856</v>
      </c>
      <c r="F422" s="100">
        <v>26.33</v>
      </c>
      <c r="G422" s="102">
        <v>560</v>
      </c>
      <c r="H422" s="71">
        <v>44326</v>
      </c>
      <c r="I422" s="16">
        <v>74639</v>
      </c>
      <c r="J422" s="29" t="s">
        <v>600</v>
      </c>
      <c r="K422" s="93"/>
      <c r="L422" s="93"/>
      <c r="U422" s="82"/>
      <c r="V422" s="82"/>
      <c r="W422" s="20"/>
      <c r="X422" s="20"/>
      <c r="Y422" s="20"/>
      <c r="Z422" s="20"/>
      <c r="AA422" s="68"/>
      <c r="AB422" s="68"/>
    </row>
    <row r="423" spans="1:28">
      <c r="A423" s="109"/>
      <c r="B423" s="1663" t="s">
        <v>626</v>
      </c>
      <c r="C423" s="22" t="s">
        <v>627</v>
      </c>
      <c r="D423" s="67">
        <v>156.13</v>
      </c>
      <c r="E423" s="68">
        <v>320</v>
      </c>
      <c r="F423" s="100">
        <v>157.69</v>
      </c>
      <c r="G423" s="102">
        <v>499.2</v>
      </c>
      <c r="H423" s="71">
        <v>44326</v>
      </c>
      <c r="I423" s="16">
        <v>49962</v>
      </c>
      <c r="J423" s="29" t="s">
        <v>266</v>
      </c>
      <c r="K423" s="93"/>
      <c r="L423" s="93"/>
      <c r="U423" s="82"/>
      <c r="V423" s="82"/>
      <c r="W423" s="20"/>
      <c r="X423" s="20"/>
      <c r="Y423" s="20"/>
      <c r="Z423" s="20"/>
      <c r="AA423" s="68"/>
      <c r="AB423" s="68"/>
    </row>
    <row r="424" spans="1:28">
      <c r="A424" s="109"/>
      <c r="B424" s="1663" t="s">
        <v>628</v>
      </c>
      <c r="C424" s="22" t="s">
        <v>629</v>
      </c>
      <c r="D424" s="67">
        <v>26.13</v>
      </c>
      <c r="E424" s="68">
        <v>2856</v>
      </c>
      <c r="F424" s="100">
        <v>86.95</v>
      </c>
      <c r="G424" s="102">
        <v>569</v>
      </c>
      <c r="H424" s="71">
        <v>44326</v>
      </c>
      <c r="I424" s="16">
        <v>49949</v>
      </c>
      <c r="J424" s="29" t="s">
        <v>600</v>
      </c>
      <c r="K424" s="93"/>
      <c r="L424" s="93"/>
      <c r="U424" s="82"/>
      <c r="V424" s="82"/>
      <c r="W424" s="20"/>
      <c r="X424" s="20"/>
      <c r="Y424" s="20"/>
      <c r="Z424" s="20"/>
      <c r="AA424" s="68"/>
      <c r="AB424" s="68"/>
    </row>
    <row r="425" spans="1:28" ht="17.25">
      <c r="A425" s="109"/>
      <c r="B425" s="1663" t="s">
        <v>47</v>
      </c>
      <c r="C425" s="1677" t="s">
        <v>594</v>
      </c>
      <c r="D425" s="67">
        <v>10.64</v>
      </c>
      <c r="E425" s="68">
        <v>9398</v>
      </c>
      <c r="F425" s="100">
        <v>10.76</v>
      </c>
      <c r="G425" s="102">
        <v>1128</v>
      </c>
      <c r="H425" s="71">
        <v>44326</v>
      </c>
      <c r="I425" s="16">
        <v>99995</v>
      </c>
      <c r="J425" s="29" t="s">
        <v>250</v>
      </c>
      <c r="K425" s="93"/>
      <c r="L425" s="93" t="s">
        <v>605</v>
      </c>
      <c r="M425" s="16">
        <f>G415+G422+G424+G432+G436+G437+G438+G441</f>
        <v>4450</v>
      </c>
      <c r="U425" s="82"/>
      <c r="V425" s="82"/>
      <c r="W425" s="20"/>
      <c r="X425" s="20"/>
      <c r="Y425" s="20"/>
      <c r="Z425" s="20"/>
      <c r="AA425" s="68"/>
      <c r="AB425" s="68"/>
    </row>
    <row r="426" spans="1:28">
      <c r="A426" s="109"/>
      <c r="B426" s="1663" t="s">
        <v>630</v>
      </c>
      <c r="C426" s="22" t="s">
        <v>631</v>
      </c>
      <c r="D426" s="67">
        <v>111.56</v>
      </c>
      <c r="E426" s="68">
        <v>448</v>
      </c>
      <c r="F426" s="100">
        <v>112.68</v>
      </c>
      <c r="G426" s="102">
        <v>501.76</v>
      </c>
      <c r="H426" s="71">
        <v>44326</v>
      </c>
      <c r="I426" s="16">
        <v>49979</v>
      </c>
      <c r="J426" s="29" t="s">
        <v>266</v>
      </c>
      <c r="K426" s="93"/>
      <c r="L426" s="93"/>
      <c r="U426" s="82"/>
      <c r="V426" s="82"/>
      <c r="W426" s="20"/>
      <c r="X426" s="20"/>
      <c r="Y426" s="20"/>
      <c r="Z426" s="20"/>
      <c r="AA426" s="68"/>
      <c r="AB426" s="68"/>
    </row>
    <row r="427" spans="1:28">
      <c r="A427" s="109"/>
      <c r="B427" s="1663" t="s">
        <v>632</v>
      </c>
      <c r="C427" s="22" t="s">
        <v>633</v>
      </c>
      <c r="D427" s="67">
        <v>390.34</v>
      </c>
      <c r="E427" s="68">
        <v>128</v>
      </c>
      <c r="F427" s="100">
        <v>395.14</v>
      </c>
      <c r="G427" s="102">
        <v>614.4</v>
      </c>
      <c r="H427" s="71">
        <v>44326</v>
      </c>
      <c r="I427" s="16">
        <v>49964</v>
      </c>
      <c r="J427" s="29" t="s">
        <v>266</v>
      </c>
      <c r="K427" s="93"/>
      <c r="L427" s="93"/>
      <c r="U427" s="82"/>
      <c r="V427" s="82"/>
      <c r="W427" s="20"/>
      <c r="X427" s="20"/>
      <c r="Y427" s="20"/>
      <c r="Z427" s="20"/>
      <c r="AA427" s="68"/>
      <c r="AB427" s="68"/>
    </row>
    <row r="428" spans="1:28">
      <c r="A428" s="109"/>
      <c r="B428" s="1663" t="s">
        <v>340</v>
      </c>
      <c r="C428" s="22" t="s">
        <v>341</v>
      </c>
      <c r="D428" s="67">
        <v>11.86</v>
      </c>
      <c r="E428" s="68">
        <v>8424</v>
      </c>
      <c r="F428" s="100">
        <v>11.95</v>
      </c>
      <c r="G428" s="102">
        <v>758</v>
      </c>
      <c r="H428" s="71">
        <v>44326</v>
      </c>
      <c r="I428" s="16">
        <v>99909</v>
      </c>
      <c r="J428" s="29" t="s">
        <v>266</v>
      </c>
      <c r="K428" s="93"/>
      <c r="L428" s="93"/>
      <c r="U428" s="82"/>
      <c r="V428" s="82"/>
      <c r="W428" s="20"/>
      <c r="X428" s="20"/>
      <c r="Y428" s="20"/>
      <c r="Z428" s="20"/>
      <c r="AA428" s="68"/>
      <c r="AB428" s="68"/>
    </row>
    <row r="429" spans="1:28">
      <c r="A429" s="109"/>
      <c r="B429" s="1663" t="s">
        <v>338</v>
      </c>
      <c r="C429" s="22" t="s">
        <v>339</v>
      </c>
      <c r="D429" s="67">
        <v>12.12</v>
      </c>
      <c r="E429" s="68">
        <v>8250</v>
      </c>
      <c r="F429" s="100">
        <v>12.2</v>
      </c>
      <c r="G429" s="102">
        <v>660</v>
      </c>
      <c r="H429" s="71">
        <v>44323</v>
      </c>
      <c r="I429" s="16">
        <v>99923</v>
      </c>
      <c r="J429" s="29" t="s">
        <v>266</v>
      </c>
      <c r="K429" s="93"/>
      <c r="L429" s="93"/>
      <c r="U429" s="82"/>
      <c r="V429" s="82"/>
      <c r="W429" s="20"/>
      <c r="X429" s="20"/>
      <c r="Y429" s="20"/>
      <c r="Z429" s="20"/>
      <c r="AA429" s="68"/>
      <c r="AB429" s="68"/>
    </row>
    <row r="430" spans="1:28">
      <c r="A430" s="109"/>
      <c r="B430" s="1663" t="s">
        <v>634</v>
      </c>
      <c r="C430" s="22" t="s">
        <v>635</v>
      </c>
      <c r="D430" s="67">
        <v>79.900000000000006</v>
      </c>
      <c r="E430" s="68">
        <v>1299</v>
      </c>
      <c r="F430" s="100">
        <v>80.67</v>
      </c>
      <c r="G430" s="102">
        <v>1000</v>
      </c>
      <c r="H430" s="71">
        <v>44323</v>
      </c>
      <c r="I430" s="16">
        <v>103790</v>
      </c>
      <c r="J430" s="29" t="s">
        <v>90</v>
      </c>
      <c r="K430" s="93"/>
      <c r="L430" s="93"/>
      <c r="U430" s="82"/>
      <c r="V430" s="82"/>
      <c r="W430" s="20"/>
      <c r="X430" s="20"/>
      <c r="Y430" s="20"/>
      <c r="Z430" s="20"/>
      <c r="AA430" s="68"/>
      <c r="AB430" s="68"/>
    </row>
    <row r="431" spans="1:28">
      <c r="A431" s="109"/>
      <c r="B431" s="1663" t="s">
        <v>460</v>
      </c>
      <c r="C431" s="22" t="s">
        <v>461</v>
      </c>
      <c r="D431" s="67">
        <v>46.44</v>
      </c>
      <c r="E431" s="68">
        <v>1076</v>
      </c>
      <c r="F431" s="100">
        <v>46.63</v>
      </c>
      <c r="G431" s="102">
        <v>204</v>
      </c>
      <c r="H431" s="71">
        <v>44322</v>
      </c>
      <c r="I431" s="16">
        <v>49969</v>
      </c>
      <c r="J431" s="29" t="s">
        <v>266</v>
      </c>
      <c r="K431" s="93"/>
      <c r="L431" s="93"/>
      <c r="U431" s="82"/>
      <c r="V431" s="82"/>
      <c r="W431" s="20"/>
      <c r="X431" s="20"/>
      <c r="Y431" s="20"/>
      <c r="Z431" s="20"/>
      <c r="AA431" s="68"/>
      <c r="AB431" s="68"/>
    </row>
    <row r="432" spans="1:28">
      <c r="A432" s="109"/>
      <c r="B432" s="1663" t="s">
        <v>579</v>
      </c>
      <c r="C432" s="22" t="s">
        <v>636</v>
      </c>
      <c r="D432" s="67">
        <v>31.65</v>
      </c>
      <c r="E432" s="68">
        <v>3160</v>
      </c>
      <c r="F432" s="100">
        <v>31.89</v>
      </c>
      <c r="G432" s="102">
        <v>758</v>
      </c>
      <c r="H432" s="71">
        <v>44322</v>
      </c>
      <c r="I432" s="16">
        <v>100014</v>
      </c>
      <c r="J432" s="29" t="s">
        <v>600</v>
      </c>
      <c r="K432" s="93"/>
      <c r="L432" s="93"/>
      <c r="U432" s="82"/>
      <c r="V432" s="82"/>
      <c r="W432" s="20"/>
      <c r="X432" s="20"/>
      <c r="Y432" s="20"/>
      <c r="Z432" s="20"/>
      <c r="AA432" s="68"/>
      <c r="AB432" s="68"/>
    </row>
    <row r="433" spans="1:28">
      <c r="A433" s="109"/>
      <c r="B433" s="1663" t="s">
        <v>547</v>
      </c>
      <c r="C433" s="22" t="s">
        <v>637</v>
      </c>
      <c r="D433" s="67">
        <v>6.9</v>
      </c>
      <c r="E433" s="68">
        <v>7246</v>
      </c>
      <c r="F433" s="100">
        <v>6.92</v>
      </c>
      <c r="G433" s="102">
        <f>115+347.81</f>
        <v>462.81</v>
      </c>
      <c r="H433" s="71">
        <v>44322</v>
      </c>
      <c r="I433" s="16">
        <v>50027</v>
      </c>
      <c r="J433" s="29" t="s">
        <v>600</v>
      </c>
      <c r="K433" s="93"/>
      <c r="L433" s="93"/>
      <c r="U433" s="82"/>
      <c r="V433" s="82"/>
      <c r="W433" s="20"/>
      <c r="X433" s="20"/>
      <c r="Y433" s="20"/>
      <c r="Z433" s="20"/>
      <c r="AA433" s="68"/>
      <c r="AB433" s="68"/>
    </row>
    <row r="434" spans="1:28">
      <c r="A434" s="109"/>
      <c r="B434" s="1663" t="s">
        <v>638</v>
      </c>
      <c r="C434" s="22" t="s">
        <v>639</v>
      </c>
      <c r="D434" s="67">
        <v>69.08</v>
      </c>
      <c r="E434" s="68">
        <v>1500</v>
      </c>
      <c r="F434" s="100">
        <v>73.5</v>
      </c>
      <c r="G434" s="102">
        <f>6630+2498+1322</f>
        <v>10450</v>
      </c>
      <c r="H434" s="71">
        <v>44321</v>
      </c>
      <c r="I434" s="16">
        <v>103617</v>
      </c>
      <c r="J434" s="29" t="s">
        <v>90</v>
      </c>
      <c r="K434" s="93"/>
      <c r="L434" s="93"/>
      <c r="U434" s="82"/>
      <c r="V434" s="82"/>
      <c r="W434" s="20"/>
      <c r="X434" s="20"/>
      <c r="Y434" s="20"/>
      <c r="Z434" s="20"/>
      <c r="AA434" s="68"/>
      <c r="AB434" s="68"/>
    </row>
    <row r="435" spans="1:28">
      <c r="A435" s="109"/>
      <c r="B435" s="1663" t="s">
        <v>56</v>
      </c>
      <c r="C435" s="22" t="s">
        <v>546</v>
      </c>
      <c r="D435" s="67">
        <v>23.08</v>
      </c>
      <c r="E435" s="68">
        <v>3250</v>
      </c>
      <c r="F435" s="100">
        <v>23.31</v>
      </c>
      <c r="G435" s="102">
        <v>423</v>
      </c>
      <c r="H435" s="71">
        <v>44321</v>
      </c>
      <c r="I435" s="16">
        <v>75010</v>
      </c>
      <c r="J435" s="29" t="s">
        <v>266</v>
      </c>
      <c r="K435" s="93"/>
      <c r="L435" s="93"/>
      <c r="U435" s="82"/>
      <c r="V435" s="82"/>
      <c r="W435" s="20"/>
      <c r="X435" s="20"/>
      <c r="Y435" s="20"/>
      <c r="Z435" s="20"/>
      <c r="AA435" s="68"/>
      <c r="AB435" s="68"/>
    </row>
    <row r="436" spans="1:28">
      <c r="A436" s="109"/>
      <c r="B436" s="1663" t="s">
        <v>519</v>
      </c>
      <c r="C436" s="22" t="s">
        <v>625</v>
      </c>
      <c r="D436" s="67">
        <v>26.13</v>
      </c>
      <c r="E436" s="68">
        <f>3056-2856</f>
        <v>200</v>
      </c>
      <c r="F436" s="100">
        <v>26.38</v>
      </c>
      <c r="G436" s="102">
        <v>49</v>
      </c>
      <c r="H436" s="71">
        <v>44320</v>
      </c>
      <c r="I436" s="16">
        <f>E436*D436</f>
        <v>5226</v>
      </c>
      <c r="J436" s="29" t="s">
        <v>600</v>
      </c>
      <c r="K436" s="93"/>
      <c r="L436" s="93"/>
      <c r="U436" s="82"/>
      <c r="V436" s="82"/>
      <c r="W436" s="20"/>
      <c r="X436" s="20"/>
      <c r="Y436" s="20"/>
      <c r="Z436" s="20"/>
      <c r="AA436" s="68"/>
      <c r="AB436" s="68"/>
    </row>
    <row r="437" spans="1:28">
      <c r="A437" s="109"/>
      <c r="B437" s="1663" t="s">
        <v>640</v>
      </c>
      <c r="C437" s="22" t="s">
        <v>641</v>
      </c>
      <c r="D437" s="67">
        <v>10.149800000000001</v>
      </c>
      <c r="E437" s="68">
        <v>9861</v>
      </c>
      <c r="F437" s="100">
        <v>10.23</v>
      </c>
      <c r="G437" s="102">
        <v>790</v>
      </c>
      <c r="H437" s="71">
        <v>44319</v>
      </c>
      <c r="I437" s="16">
        <v>100088</v>
      </c>
      <c r="J437" s="29" t="s">
        <v>600</v>
      </c>
      <c r="K437" s="93"/>
      <c r="L437" s="93"/>
      <c r="U437" s="82"/>
      <c r="V437" s="82"/>
      <c r="W437" s="20"/>
      <c r="X437" s="20"/>
      <c r="Y437" s="20"/>
      <c r="Z437" s="20"/>
      <c r="AA437" s="68"/>
      <c r="AB437" s="68"/>
    </row>
    <row r="438" spans="1:28">
      <c r="A438" s="109"/>
      <c r="B438" s="1663" t="s">
        <v>312</v>
      </c>
      <c r="C438" s="22" t="s">
        <v>642</v>
      </c>
      <c r="D438" s="67">
        <v>4.62</v>
      </c>
      <c r="E438" s="68">
        <v>21600</v>
      </c>
      <c r="F438" s="100">
        <v>4.6500000000000004</v>
      </c>
      <c r="G438" s="102">
        <v>648</v>
      </c>
      <c r="H438" s="71">
        <v>44319</v>
      </c>
      <c r="I438" s="16">
        <v>99792</v>
      </c>
      <c r="J438" s="29" t="s">
        <v>600</v>
      </c>
      <c r="K438" s="93"/>
      <c r="L438" s="93"/>
      <c r="U438" s="82"/>
      <c r="V438" s="82"/>
      <c r="W438" s="20"/>
      <c r="X438" s="20"/>
      <c r="Y438" s="20"/>
      <c r="Z438" s="20"/>
      <c r="AA438" s="68"/>
      <c r="AB438" s="68"/>
    </row>
    <row r="439" spans="1:28">
      <c r="A439" s="109"/>
      <c r="B439" s="1663" t="s">
        <v>553</v>
      </c>
      <c r="C439" s="22" t="s">
        <v>554</v>
      </c>
      <c r="D439" s="67">
        <v>336.25</v>
      </c>
      <c r="E439" s="68">
        <v>300</v>
      </c>
      <c r="F439" s="100">
        <v>339.34</v>
      </c>
      <c r="G439" s="102">
        <v>927</v>
      </c>
      <c r="H439" s="71">
        <v>44319</v>
      </c>
      <c r="I439" s="16">
        <v>100875</v>
      </c>
      <c r="J439" s="29" t="s">
        <v>266</v>
      </c>
      <c r="K439" s="93"/>
      <c r="L439" s="93"/>
      <c r="U439" s="82"/>
      <c r="V439" s="82"/>
      <c r="W439" s="20"/>
      <c r="X439" s="20"/>
      <c r="Y439" s="20"/>
      <c r="Z439" s="20"/>
      <c r="AA439" s="68"/>
    </row>
    <row r="440" spans="1:28">
      <c r="A440" s="109"/>
      <c r="B440" s="1663" t="s">
        <v>510</v>
      </c>
      <c r="C440" s="22" t="s">
        <v>511</v>
      </c>
      <c r="D440" s="67">
        <v>18.920000000000002</v>
      </c>
      <c r="E440" s="68">
        <v>3972</v>
      </c>
      <c r="F440" s="100">
        <v>19.11</v>
      </c>
      <c r="G440" s="102">
        <v>755</v>
      </c>
      <c r="H440" s="71">
        <v>44319</v>
      </c>
      <c r="I440" s="16">
        <v>75150</v>
      </c>
      <c r="J440" s="29" t="s">
        <v>266</v>
      </c>
      <c r="K440" s="93"/>
      <c r="L440" s="93"/>
      <c r="U440" s="82"/>
      <c r="V440" s="82"/>
      <c r="W440" s="20"/>
      <c r="X440" s="20"/>
      <c r="Y440" s="20"/>
      <c r="Z440" s="20"/>
      <c r="AA440" s="68"/>
    </row>
    <row r="441" spans="1:28">
      <c r="A441" s="109"/>
      <c r="B441" s="1663" t="s">
        <v>62</v>
      </c>
      <c r="C441" s="22" t="s">
        <v>643</v>
      </c>
      <c r="D441" s="67">
        <v>13.68</v>
      </c>
      <c r="E441" s="68">
        <v>7331</v>
      </c>
      <c r="F441" s="100">
        <v>13.76</v>
      </c>
      <c r="G441" s="102">
        <v>586</v>
      </c>
      <c r="H441" s="71">
        <v>44319</v>
      </c>
      <c r="I441" s="16">
        <v>100286</v>
      </c>
      <c r="J441" s="29" t="s">
        <v>600</v>
      </c>
      <c r="K441" s="93"/>
      <c r="L441" s="93"/>
      <c r="U441" s="82"/>
      <c r="V441" s="82"/>
      <c r="W441" s="20"/>
      <c r="X441" s="20"/>
      <c r="Y441" s="20"/>
      <c r="Z441" s="35"/>
      <c r="AA441" s="94"/>
      <c r="AB441" s="94"/>
    </row>
    <row r="442" spans="1:28">
      <c r="A442" s="109"/>
      <c r="B442" s="1663"/>
      <c r="C442" s="1655"/>
      <c r="D442" s="67"/>
      <c r="E442" s="68"/>
      <c r="F442" s="70" t="s">
        <v>24</v>
      </c>
      <c r="G442" s="61">
        <f>SUM(G443:G492)</f>
        <v>31925.63</v>
      </c>
      <c r="H442" s="69" t="s">
        <v>549</v>
      </c>
      <c r="I442" s="16">
        <f>126-77</f>
        <v>49</v>
      </c>
      <c r="J442" s="29"/>
      <c r="K442" s="93"/>
      <c r="L442" s="93"/>
      <c r="U442" s="82"/>
      <c r="V442" s="82"/>
      <c r="W442" s="20"/>
      <c r="X442" s="20"/>
      <c r="Y442" s="20"/>
    </row>
    <row r="443" spans="1:28">
      <c r="A443" s="109"/>
      <c r="B443" s="1663" t="s">
        <v>300</v>
      </c>
      <c r="C443" s="22" t="s">
        <v>644</v>
      </c>
      <c r="D443" s="67">
        <v>39.68</v>
      </c>
      <c r="E443" s="68">
        <v>1260</v>
      </c>
      <c r="F443" s="100">
        <v>40.08</v>
      </c>
      <c r="G443" s="102">
        <v>504</v>
      </c>
      <c r="H443" s="71">
        <v>44316</v>
      </c>
      <c r="I443" s="16">
        <v>49997</v>
      </c>
      <c r="J443" s="29" t="s">
        <v>600</v>
      </c>
      <c r="K443" s="93"/>
      <c r="L443" s="93" t="s">
        <v>266</v>
      </c>
      <c r="M443" s="16">
        <f>G444++G446+G449+G451+G454+G456+G457+G458+G459+G460+G464+G467+G468+G469+G470+G471+G472+G474+G475+G481+G483+G484+G485+G487+G490+G491</f>
        <v>20364.259999999998</v>
      </c>
      <c r="U443" s="82"/>
      <c r="V443" s="82"/>
      <c r="W443" s="20"/>
      <c r="X443" s="20"/>
      <c r="Y443" s="20"/>
    </row>
    <row r="444" spans="1:28">
      <c r="A444" s="109"/>
      <c r="B444" s="1663" t="s">
        <v>465</v>
      </c>
      <c r="C444" s="22" t="s">
        <v>466</v>
      </c>
      <c r="D444" s="67">
        <v>161.41</v>
      </c>
      <c r="E444" s="68">
        <v>526</v>
      </c>
      <c r="F444" s="100">
        <v>162.83000000000001</v>
      </c>
      <c r="G444" s="102">
        <v>747</v>
      </c>
      <c r="H444" s="71">
        <v>44315</v>
      </c>
      <c r="I444" s="16">
        <v>84901</v>
      </c>
      <c r="J444" s="29" t="s">
        <v>266</v>
      </c>
      <c r="K444" s="93"/>
      <c r="L444" s="93" t="s">
        <v>605</v>
      </c>
      <c r="M444" s="16">
        <f>G443+G445+G447+G448+G450+G452+G453+G461+G462+G463+G465+G466+G478+G479+G480+G482+G488+G489+G492</f>
        <v>10555.369999999999</v>
      </c>
      <c r="U444" s="82"/>
      <c r="V444" s="82"/>
      <c r="W444" s="20"/>
      <c r="X444" s="20"/>
      <c r="Y444" s="20"/>
    </row>
    <row r="445" spans="1:28">
      <c r="A445" s="109"/>
      <c r="B445" s="1663" t="s">
        <v>640</v>
      </c>
      <c r="C445" s="22" t="s">
        <v>641</v>
      </c>
      <c r="D445" s="67">
        <v>10.38</v>
      </c>
      <c r="E445" s="68">
        <v>7232</v>
      </c>
      <c r="F445" s="100">
        <v>10.58</v>
      </c>
      <c r="G445" s="102">
        <v>1446</v>
      </c>
      <c r="H445" s="71">
        <v>44315</v>
      </c>
      <c r="I445" s="16">
        <v>75078</v>
      </c>
      <c r="J445" s="29" t="s">
        <v>600</v>
      </c>
      <c r="K445" s="93"/>
      <c r="L445" s="93" t="s">
        <v>90</v>
      </c>
      <c r="M445" s="16">
        <f>G446+G455+G477</f>
        <v>3624</v>
      </c>
      <c r="U445" s="82"/>
      <c r="V445" s="82"/>
      <c r="W445" s="20"/>
      <c r="X445" s="20"/>
      <c r="Y445" s="20"/>
    </row>
    <row r="446" spans="1:28">
      <c r="A446" s="109"/>
      <c r="B446" s="1663" t="s">
        <v>645</v>
      </c>
      <c r="C446" s="22" t="s">
        <v>646</v>
      </c>
      <c r="D446" s="67">
        <v>29.81</v>
      </c>
      <c r="E446" s="68">
        <v>3418</v>
      </c>
      <c r="F446" s="100">
        <v>30.1</v>
      </c>
      <c r="G446" s="102">
        <v>1008</v>
      </c>
      <c r="H446" s="71">
        <v>44314</v>
      </c>
      <c r="I446" s="16">
        <v>101874</v>
      </c>
      <c r="J446" s="29" t="s">
        <v>90</v>
      </c>
      <c r="K446" s="93"/>
      <c r="L446" s="93"/>
      <c r="M446" s="16">
        <f>M443+M444+M445</f>
        <v>34543.629999999997</v>
      </c>
      <c r="U446" s="82"/>
      <c r="V446" s="82"/>
      <c r="W446" s="20"/>
      <c r="X446" s="20"/>
      <c r="Y446" s="20"/>
      <c r="Z446" s="20"/>
      <c r="AA446" s="68"/>
    </row>
    <row r="447" spans="1:28">
      <c r="A447" s="109"/>
      <c r="B447" s="1663" t="s">
        <v>264</v>
      </c>
      <c r="C447" s="22" t="s">
        <v>265</v>
      </c>
      <c r="D447" s="67">
        <v>11</v>
      </c>
      <c r="E447" s="68">
        <f>1117+233</f>
        <v>1350</v>
      </c>
      <c r="F447" s="100">
        <v>11.1</v>
      </c>
      <c r="G447" s="102">
        <f>112+23</f>
        <v>135</v>
      </c>
      <c r="H447" s="71">
        <v>44313</v>
      </c>
      <c r="I447" s="16">
        <v>12287</v>
      </c>
      <c r="J447" s="29" t="s">
        <v>600</v>
      </c>
      <c r="K447" s="93"/>
      <c r="L447" s="93" t="s">
        <v>35</v>
      </c>
      <c r="M447" s="16">
        <f>G485+G486</f>
        <v>-2872</v>
      </c>
      <c r="N447" s="9">
        <v>2</v>
      </c>
      <c r="U447" s="82"/>
      <c r="V447" s="82"/>
      <c r="W447" s="20"/>
      <c r="X447" s="20"/>
      <c r="Y447" s="20"/>
      <c r="Z447" s="20"/>
      <c r="AA447" s="20"/>
    </row>
    <row r="448" spans="1:28">
      <c r="A448" s="109"/>
      <c r="B448" s="1663" t="s">
        <v>647</v>
      </c>
      <c r="C448" s="22" t="s">
        <v>648</v>
      </c>
      <c r="D448" s="67">
        <v>49.57</v>
      </c>
      <c r="E448" s="68">
        <v>2017</v>
      </c>
      <c r="F448" s="100">
        <v>49.94</v>
      </c>
      <c r="G448" s="102">
        <v>746</v>
      </c>
      <c r="H448" s="71">
        <v>44313</v>
      </c>
      <c r="I448" s="16">
        <v>99983</v>
      </c>
      <c r="J448" s="29" t="s">
        <v>600</v>
      </c>
      <c r="K448" s="93"/>
      <c r="L448" s="93"/>
      <c r="M448" s="9"/>
      <c r="U448" s="82"/>
      <c r="V448" s="82"/>
      <c r="W448" s="20"/>
      <c r="X448" s="20"/>
      <c r="Y448" s="20"/>
      <c r="Z448" s="20"/>
      <c r="AA448" s="20"/>
    </row>
    <row r="449" spans="1:27">
      <c r="A449" s="109"/>
      <c r="B449" s="1663" t="s">
        <v>477</v>
      </c>
      <c r="C449" s="22" t="s">
        <v>649</v>
      </c>
      <c r="D449" s="67">
        <v>33.880000000000003</v>
      </c>
      <c r="E449" s="68">
        <v>2220</v>
      </c>
      <c r="F449" s="100">
        <v>34.22</v>
      </c>
      <c r="G449" s="102">
        <v>755</v>
      </c>
      <c r="H449" s="71">
        <v>44312</v>
      </c>
      <c r="I449" s="16">
        <v>75214</v>
      </c>
      <c r="J449" s="29" t="s">
        <v>266</v>
      </c>
      <c r="K449" s="93"/>
      <c r="L449" s="93"/>
      <c r="M449" s="9"/>
      <c r="U449" s="82"/>
      <c r="V449" s="82"/>
      <c r="W449" s="20"/>
      <c r="X449" s="20"/>
      <c r="Y449" s="20"/>
      <c r="Z449" s="20"/>
      <c r="AA449" s="20"/>
    </row>
    <row r="450" spans="1:27">
      <c r="A450" s="109"/>
      <c r="B450" s="1663" t="s">
        <v>650</v>
      </c>
      <c r="C450" s="22" t="s">
        <v>651</v>
      </c>
      <c r="D450" s="67">
        <v>38.08</v>
      </c>
      <c r="E450" s="68">
        <v>2000</v>
      </c>
      <c r="F450" s="100">
        <v>38.46</v>
      </c>
      <c r="G450" s="102">
        <v>760</v>
      </c>
      <c r="H450" s="71">
        <v>44312</v>
      </c>
      <c r="I450" s="16">
        <v>76160</v>
      </c>
      <c r="J450" s="29" t="s">
        <v>600</v>
      </c>
      <c r="K450" s="93"/>
      <c r="L450" s="93"/>
      <c r="M450" s="9"/>
      <c r="U450" s="82"/>
      <c r="V450" s="82"/>
      <c r="W450" s="20"/>
      <c r="X450" s="20"/>
      <c r="Y450" s="20"/>
      <c r="Z450" s="20"/>
      <c r="AA450" s="20"/>
    </row>
    <row r="451" spans="1:27">
      <c r="A451" s="109"/>
      <c r="B451" s="1663" t="s">
        <v>508</v>
      </c>
      <c r="C451" s="22" t="s">
        <v>509</v>
      </c>
      <c r="D451" s="67">
        <v>45.7</v>
      </c>
      <c r="E451" s="68">
        <v>1107</v>
      </c>
      <c r="F451" s="100">
        <v>45.93</v>
      </c>
      <c r="G451" s="102">
        <v>255</v>
      </c>
      <c r="H451" s="71">
        <v>44312</v>
      </c>
      <c r="I451" s="16">
        <v>50590</v>
      </c>
      <c r="J451" s="29" t="s">
        <v>266</v>
      </c>
      <c r="K451" s="93"/>
      <c r="L451" s="93"/>
      <c r="M451" s="9"/>
      <c r="U451" s="82"/>
      <c r="V451" s="82"/>
      <c r="W451" s="20"/>
      <c r="X451" s="20"/>
      <c r="Y451" s="20"/>
      <c r="Z451" s="20"/>
      <c r="AA451" s="20"/>
    </row>
    <row r="452" spans="1:27">
      <c r="A452" s="109"/>
      <c r="B452" s="1663" t="s">
        <v>167</v>
      </c>
      <c r="C452" s="22" t="s">
        <v>652</v>
      </c>
      <c r="D452" s="67">
        <v>18.100000000000001</v>
      </c>
      <c r="E452" s="68">
        <v>1385</v>
      </c>
      <c r="F452" s="100">
        <v>18.010000000000002</v>
      </c>
      <c r="G452" s="102">
        <v>27</v>
      </c>
      <c r="H452" s="71">
        <v>44312</v>
      </c>
      <c r="I452" s="16">
        <v>25069</v>
      </c>
      <c r="J452" s="29" t="s">
        <v>600</v>
      </c>
      <c r="K452" s="93"/>
      <c r="L452" s="93"/>
      <c r="M452" s="9"/>
      <c r="S452" s="30">
        <v>44398</v>
      </c>
      <c r="T452" s="16">
        <f>G288</f>
        <v>25961</v>
      </c>
      <c r="U452" s="82"/>
      <c r="V452" s="82"/>
      <c r="W452" s="20"/>
      <c r="X452" s="20"/>
      <c r="Y452" s="20"/>
      <c r="Z452" s="20"/>
      <c r="AA452" s="20"/>
    </row>
    <row r="453" spans="1:27">
      <c r="A453" s="109"/>
      <c r="B453" s="1663" t="s">
        <v>601</v>
      </c>
      <c r="C453" s="22" t="s">
        <v>653</v>
      </c>
      <c r="D453" s="67">
        <v>23.17</v>
      </c>
      <c r="E453" s="68">
        <v>4308</v>
      </c>
      <c r="F453" s="100">
        <v>23.35</v>
      </c>
      <c r="G453" s="102">
        <v>775</v>
      </c>
      <c r="H453" s="71">
        <v>44312</v>
      </c>
      <c r="I453" s="16">
        <v>99816</v>
      </c>
      <c r="J453" s="29" t="s">
        <v>600</v>
      </c>
      <c r="K453" s="93"/>
      <c r="L453" s="93"/>
      <c r="M453" s="9"/>
      <c r="S453" s="30">
        <v>44368</v>
      </c>
      <c r="T453" s="84">
        <f>G354</f>
        <v>27647</v>
      </c>
      <c r="U453" s="82"/>
      <c r="V453" s="82"/>
      <c r="W453" s="20"/>
      <c r="X453" s="20"/>
      <c r="Y453" s="20"/>
      <c r="Z453" s="20"/>
      <c r="AA453" s="20"/>
    </row>
    <row r="454" spans="1:27">
      <c r="A454" s="109"/>
      <c r="B454" s="1663" t="s">
        <v>481</v>
      </c>
      <c r="C454" s="22" t="s">
        <v>482</v>
      </c>
      <c r="D454" s="67">
        <v>74.819999999999993</v>
      </c>
      <c r="E454" s="68">
        <v>672</v>
      </c>
      <c r="F454" s="100">
        <v>76.290000000000006</v>
      </c>
      <c r="G454" s="102">
        <v>991</v>
      </c>
      <c r="H454" s="71">
        <v>44309</v>
      </c>
      <c r="I454" s="16">
        <v>50276</v>
      </c>
      <c r="J454" s="29" t="s">
        <v>266</v>
      </c>
      <c r="K454" s="93"/>
      <c r="L454" s="93"/>
      <c r="M454" s="9"/>
      <c r="S454" s="2">
        <v>44337</v>
      </c>
      <c r="T454" s="84">
        <f>G393</f>
        <v>30017.17</v>
      </c>
      <c r="U454" s="82"/>
      <c r="V454" s="82"/>
      <c r="W454" s="20"/>
      <c r="X454" s="20"/>
      <c r="Y454" s="20"/>
      <c r="Z454" s="20"/>
      <c r="AA454" s="20"/>
    </row>
    <row r="455" spans="1:27">
      <c r="A455" s="109"/>
      <c r="B455" s="1663" t="s">
        <v>654</v>
      </c>
      <c r="C455" s="22" t="s">
        <v>655</v>
      </c>
      <c r="D455" s="67">
        <v>19.53</v>
      </c>
      <c r="E455" s="68">
        <v>5146</v>
      </c>
      <c r="F455" s="100">
        <v>19.73</v>
      </c>
      <c r="G455" s="102">
        <v>1016</v>
      </c>
      <c r="H455" s="71">
        <v>44308</v>
      </c>
      <c r="I455" s="16">
        <v>100514</v>
      </c>
      <c r="J455" s="29" t="s">
        <v>90</v>
      </c>
      <c r="K455" s="93"/>
      <c r="L455" s="93"/>
      <c r="M455" s="9"/>
      <c r="S455" s="30">
        <v>44307</v>
      </c>
      <c r="T455" s="84">
        <f>G442</f>
        <v>31925.63</v>
      </c>
      <c r="U455" s="82"/>
      <c r="V455" s="82"/>
      <c r="W455" s="20"/>
      <c r="X455" s="20"/>
      <c r="Y455" s="20"/>
      <c r="Z455" s="20"/>
      <c r="AA455" s="20"/>
    </row>
    <row r="456" spans="1:27">
      <c r="A456" s="109"/>
      <c r="B456" s="1663" t="s">
        <v>500</v>
      </c>
      <c r="C456" s="22" t="s">
        <v>656</v>
      </c>
      <c r="D456" s="67">
        <v>193.83</v>
      </c>
      <c r="E456" s="68">
        <v>389</v>
      </c>
      <c r="F456" s="100">
        <v>196.41</v>
      </c>
      <c r="G456" s="102">
        <v>1004</v>
      </c>
      <c r="H456" s="71">
        <v>44307</v>
      </c>
      <c r="I456" s="16">
        <v>75400</v>
      </c>
      <c r="J456" s="29" t="s">
        <v>266</v>
      </c>
      <c r="K456" s="93"/>
      <c r="L456" s="93"/>
      <c r="M456" s="9"/>
      <c r="S456" s="30">
        <v>44276</v>
      </c>
      <c r="T456" s="84">
        <f>G493</f>
        <v>35797.520000000004</v>
      </c>
      <c r="U456" s="82"/>
      <c r="V456" s="82"/>
      <c r="W456" s="20"/>
      <c r="X456" s="20"/>
      <c r="Y456" s="20"/>
      <c r="Z456" s="20"/>
      <c r="AA456" s="20"/>
    </row>
    <row r="457" spans="1:27">
      <c r="A457" s="109"/>
      <c r="B457" s="1663" t="s">
        <v>383</v>
      </c>
      <c r="C457" s="22" t="s">
        <v>384</v>
      </c>
      <c r="D457" s="67">
        <v>32.39</v>
      </c>
      <c r="E457" s="68">
        <v>2475</v>
      </c>
      <c r="F457" s="100">
        <v>32.69</v>
      </c>
      <c r="G457" s="102">
        <v>743</v>
      </c>
      <c r="H457" s="71">
        <v>44307</v>
      </c>
      <c r="I457" s="16">
        <v>80165</v>
      </c>
      <c r="J457" s="29" t="s">
        <v>266</v>
      </c>
      <c r="K457" s="93"/>
      <c r="L457" s="93"/>
      <c r="M457" s="9"/>
      <c r="S457" s="30">
        <v>44248</v>
      </c>
      <c r="T457" s="84">
        <f>G540</f>
        <v>34940.19</v>
      </c>
      <c r="U457" s="82"/>
      <c r="V457" s="82"/>
      <c r="W457" s="20"/>
      <c r="X457" s="20"/>
      <c r="Y457" s="20"/>
      <c r="Z457" s="20"/>
      <c r="AA457" s="20"/>
    </row>
    <row r="458" spans="1:27">
      <c r="A458" s="109"/>
      <c r="B458" s="1663" t="s">
        <v>340</v>
      </c>
      <c r="C458" s="22" t="s">
        <v>509</v>
      </c>
      <c r="D458" s="67">
        <v>11.7</v>
      </c>
      <c r="E458" s="68">
        <v>6837</v>
      </c>
      <c r="F458" s="100">
        <v>38.81</v>
      </c>
      <c r="G458" s="102">
        <v>752</v>
      </c>
      <c r="H458" s="71">
        <v>44306</v>
      </c>
      <c r="I458" s="16">
        <v>79993</v>
      </c>
      <c r="J458" s="29" t="s">
        <v>266</v>
      </c>
      <c r="K458" s="93"/>
      <c r="L458" s="93"/>
      <c r="M458" s="9"/>
      <c r="S458" s="30">
        <v>44217</v>
      </c>
      <c r="T458" s="84">
        <f>G578</f>
        <v>37826.550000000003</v>
      </c>
      <c r="U458" s="82"/>
      <c r="V458" s="82"/>
      <c r="W458" s="20"/>
      <c r="X458" s="20"/>
      <c r="Y458" s="20"/>
      <c r="Z458" s="20"/>
      <c r="AA458" s="20"/>
    </row>
    <row r="459" spans="1:27">
      <c r="A459" s="109"/>
      <c r="B459" s="1663" t="s">
        <v>338</v>
      </c>
      <c r="C459" s="22" t="s">
        <v>339</v>
      </c>
      <c r="D459" s="67">
        <v>11.85</v>
      </c>
      <c r="E459" s="68">
        <v>6329</v>
      </c>
      <c r="F459" s="100">
        <v>11.97</v>
      </c>
      <c r="G459" s="102">
        <v>768</v>
      </c>
      <c r="H459" s="71">
        <v>44306</v>
      </c>
      <c r="I459" s="16">
        <v>74990</v>
      </c>
      <c r="J459" s="29" t="s">
        <v>266</v>
      </c>
      <c r="K459" s="93"/>
      <c r="L459" s="93"/>
      <c r="M459" s="9"/>
      <c r="S459" s="30">
        <v>44550</v>
      </c>
      <c r="T459" s="84">
        <f>G627</f>
        <v>42066.969999999987</v>
      </c>
      <c r="U459" s="82"/>
      <c r="V459" s="82"/>
      <c r="W459" s="20"/>
      <c r="X459" s="20"/>
      <c r="Y459" s="20"/>
      <c r="Z459" s="20"/>
      <c r="AA459" s="20"/>
    </row>
    <row r="460" spans="1:27">
      <c r="A460" s="109"/>
      <c r="B460" s="1663" t="s">
        <v>608</v>
      </c>
      <c r="C460" s="22" t="s">
        <v>657</v>
      </c>
      <c r="D460" s="67">
        <v>159.28</v>
      </c>
      <c r="E460" s="68">
        <v>500</v>
      </c>
      <c r="F460" s="100">
        <v>160.79</v>
      </c>
      <c r="G460" s="102">
        <v>755</v>
      </c>
      <c r="H460" s="71">
        <v>44306</v>
      </c>
      <c r="I460" s="16">
        <v>79640</v>
      </c>
      <c r="J460" s="29" t="s">
        <v>266</v>
      </c>
      <c r="K460" s="93"/>
      <c r="L460" s="93"/>
      <c r="M460" s="9"/>
      <c r="S460" s="30">
        <v>44520</v>
      </c>
      <c r="T460" s="84">
        <f>G657</f>
        <v>23608.429999999993</v>
      </c>
      <c r="U460" s="82"/>
      <c r="V460" s="82"/>
      <c r="W460" s="20"/>
      <c r="X460" s="20"/>
      <c r="Y460" s="20"/>
      <c r="Z460" s="20"/>
      <c r="AA460" s="20"/>
    </row>
    <row r="461" spans="1:27">
      <c r="A461" s="109"/>
      <c r="B461" s="1663" t="s">
        <v>577</v>
      </c>
      <c r="C461" s="1655" t="s">
        <v>578</v>
      </c>
      <c r="D461" s="67">
        <v>39.450000000000003</v>
      </c>
      <c r="E461" s="68">
        <v>2</v>
      </c>
      <c r="F461" s="100">
        <v>39.47</v>
      </c>
      <c r="G461" s="102">
        <v>1</v>
      </c>
      <c r="H461" s="71">
        <v>44305</v>
      </c>
      <c r="I461" s="16">
        <v>79</v>
      </c>
      <c r="J461" s="29" t="s">
        <v>600</v>
      </c>
      <c r="K461" s="93"/>
      <c r="L461" s="93"/>
      <c r="M461" s="9"/>
      <c r="U461" s="82"/>
      <c r="V461" s="82"/>
      <c r="W461" s="20"/>
      <c r="X461" s="20"/>
      <c r="Y461" s="20"/>
      <c r="Z461" s="20"/>
      <c r="AA461" s="20"/>
    </row>
    <row r="462" spans="1:27" ht="84">
      <c r="A462" s="109"/>
      <c r="B462" s="1663" t="s">
        <v>453</v>
      </c>
      <c r="C462" s="22" t="s">
        <v>658</v>
      </c>
      <c r="D462" s="67">
        <v>91.22</v>
      </c>
      <c r="E462" s="68">
        <v>274</v>
      </c>
      <c r="F462" s="100">
        <v>92.44</v>
      </c>
      <c r="G462" s="102">
        <v>499</v>
      </c>
      <c r="H462" s="71">
        <v>44302</v>
      </c>
      <c r="I462" s="16">
        <v>24994</v>
      </c>
      <c r="J462" s="29" t="s">
        <v>600</v>
      </c>
      <c r="K462" s="93"/>
      <c r="L462" s="93"/>
      <c r="M462" s="9"/>
      <c r="S462" s="112" t="s">
        <v>659</v>
      </c>
      <c r="T462" s="160">
        <f>AVERAGE(T453:T459)</f>
        <v>34317.289999999994</v>
      </c>
      <c r="U462" s="82"/>
      <c r="V462" s="82"/>
      <c r="W462" s="20"/>
      <c r="X462" s="20"/>
      <c r="Y462" s="20"/>
      <c r="Z462" s="20"/>
      <c r="AA462" s="20"/>
    </row>
    <row r="463" spans="1:27" ht="108">
      <c r="A463" s="109"/>
      <c r="B463" s="1663" t="s">
        <v>660</v>
      </c>
      <c r="C463" s="22" t="s">
        <v>661</v>
      </c>
      <c r="D463" s="67">
        <v>21.11</v>
      </c>
      <c r="E463" s="68">
        <v>1184</v>
      </c>
      <c r="F463" s="100">
        <v>21.53</v>
      </c>
      <c r="G463" s="102">
        <v>497</v>
      </c>
      <c r="H463" s="71">
        <v>44302</v>
      </c>
      <c r="I463" s="16">
        <v>24994</v>
      </c>
      <c r="J463" s="29" t="s">
        <v>600</v>
      </c>
      <c r="K463" s="93"/>
      <c r="L463" s="93"/>
      <c r="M463" s="9"/>
      <c r="S463" s="112" t="s">
        <v>280</v>
      </c>
      <c r="T463" s="161">
        <f>T462*12</f>
        <v>411807.47999999992</v>
      </c>
      <c r="U463" s="82"/>
      <c r="V463" s="82"/>
      <c r="W463" s="20"/>
      <c r="X463" s="20"/>
      <c r="Y463" s="20"/>
      <c r="Z463" s="20"/>
      <c r="AA463" s="20"/>
    </row>
    <row r="464" spans="1:27">
      <c r="A464" s="109"/>
      <c r="B464" s="1663" t="s">
        <v>559</v>
      </c>
      <c r="C464" s="22" t="s">
        <v>662</v>
      </c>
      <c r="D464" s="67">
        <v>148.34</v>
      </c>
      <c r="E464" s="68">
        <v>336</v>
      </c>
      <c r="F464" s="100">
        <v>150.41999999999999</v>
      </c>
      <c r="G464" s="102">
        <v>1033</v>
      </c>
      <c r="H464" s="71">
        <v>44302</v>
      </c>
      <c r="I464" s="16">
        <v>49872</v>
      </c>
      <c r="J464" s="29" t="s">
        <v>266</v>
      </c>
      <c r="K464" s="93"/>
      <c r="L464" s="93"/>
      <c r="M464" s="9"/>
      <c r="U464" s="82"/>
      <c r="V464" s="82"/>
      <c r="W464" s="20"/>
      <c r="X464" s="20"/>
      <c r="Y464" s="20"/>
      <c r="Z464" s="20"/>
      <c r="AA464" s="20"/>
    </row>
    <row r="465" spans="1:27" ht="17.25">
      <c r="A465" s="109"/>
      <c r="B465" s="1663" t="s">
        <v>47</v>
      </c>
      <c r="C465" s="1677" t="s">
        <v>594</v>
      </c>
      <c r="D465" s="67" t="s">
        <v>663</v>
      </c>
      <c r="E465" s="68">
        <v>4655</v>
      </c>
      <c r="F465" s="100">
        <v>10.79</v>
      </c>
      <c r="G465" s="102">
        <f>233+333.37</f>
        <v>566.37</v>
      </c>
      <c r="H465" s="71">
        <v>44302</v>
      </c>
      <c r="I465" s="16">
        <v>49995</v>
      </c>
      <c r="J465" s="29" t="s">
        <v>600</v>
      </c>
      <c r="K465" s="93"/>
      <c r="L465" s="93"/>
      <c r="M465" s="9"/>
      <c r="U465" s="82"/>
      <c r="V465" s="82"/>
      <c r="W465" s="20"/>
      <c r="X465" s="20"/>
      <c r="Y465" s="20"/>
      <c r="Z465" s="20"/>
      <c r="AA465" s="20"/>
    </row>
    <row r="466" spans="1:27">
      <c r="A466" s="109"/>
      <c r="B466" s="1663" t="s">
        <v>647</v>
      </c>
      <c r="C466" s="22" t="s">
        <v>648</v>
      </c>
      <c r="D466" s="67">
        <v>48.13</v>
      </c>
      <c r="E466" s="68">
        <v>1038</v>
      </c>
      <c r="F466" s="100">
        <v>48.89</v>
      </c>
      <c r="G466" s="102">
        <v>784</v>
      </c>
      <c r="H466" s="71">
        <v>44302</v>
      </c>
      <c r="I466" s="16">
        <v>49999</v>
      </c>
      <c r="J466" s="29" t="s">
        <v>600</v>
      </c>
      <c r="K466" s="93"/>
      <c r="L466" s="93"/>
      <c r="M466" s="9"/>
      <c r="U466" s="82"/>
      <c r="V466" s="82"/>
      <c r="W466" s="20"/>
      <c r="X466" s="20"/>
      <c r="Y466" s="20"/>
      <c r="Z466" s="20"/>
      <c r="AA466" s="20"/>
    </row>
    <row r="467" spans="1:27">
      <c r="A467" s="109"/>
      <c r="B467" s="1663" t="s">
        <v>469</v>
      </c>
      <c r="C467" s="22" t="s">
        <v>470</v>
      </c>
      <c r="D467" s="67">
        <v>75.12</v>
      </c>
      <c r="E467" s="68">
        <v>665</v>
      </c>
      <c r="F467" s="100">
        <v>76.33</v>
      </c>
      <c r="G467" s="102">
        <v>805</v>
      </c>
      <c r="H467" s="71">
        <v>44302</v>
      </c>
      <c r="I467" s="16">
        <v>49995</v>
      </c>
      <c r="J467" s="29" t="s">
        <v>266</v>
      </c>
      <c r="K467" s="93"/>
      <c r="L467" s="93"/>
      <c r="M467" s="9"/>
      <c r="U467" s="82"/>
      <c r="V467" s="82"/>
      <c r="W467" s="20"/>
      <c r="X467" s="20"/>
      <c r="Y467" s="20"/>
      <c r="Z467" s="20"/>
      <c r="AA467" s="20"/>
    </row>
    <row r="468" spans="1:27">
      <c r="A468" s="109"/>
      <c r="B468" s="1663" t="s">
        <v>477</v>
      </c>
      <c r="C468" s="22" t="s">
        <v>649</v>
      </c>
      <c r="D468" s="67">
        <v>32.950000000000003</v>
      </c>
      <c r="E468" s="68">
        <v>1214</v>
      </c>
      <c r="F468" s="100">
        <v>33.58</v>
      </c>
      <c r="G468" s="102">
        <v>765</v>
      </c>
      <c r="H468" s="71">
        <v>44301</v>
      </c>
      <c r="I468" s="16">
        <v>40001</v>
      </c>
      <c r="J468" s="29" t="s">
        <v>266</v>
      </c>
      <c r="K468" s="93"/>
      <c r="L468" s="93"/>
      <c r="M468" s="9"/>
      <c r="U468" s="82"/>
      <c r="V468" s="82"/>
      <c r="W468" s="20"/>
      <c r="X468" s="20"/>
      <c r="Y468" s="20"/>
      <c r="Z468" s="20"/>
      <c r="AA468" s="20"/>
    </row>
    <row r="469" spans="1:27">
      <c r="A469" s="109"/>
      <c r="B469" s="1663" t="s">
        <v>664</v>
      </c>
      <c r="C469" s="22" t="s">
        <v>665</v>
      </c>
      <c r="D469" s="67">
        <v>54.41</v>
      </c>
      <c r="E469" s="68">
        <v>931</v>
      </c>
      <c r="F469" s="100">
        <v>55.52</v>
      </c>
      <c r="G469" s="102">
        <v>1033</v>
      </c>
      <c r="H469" s="71">
        <v>44301</v>
      </c>
      <c r="I469" s="16">
        <v>50676</v>
      </c>
      <c r="J469" s="29" t="s">
        <v>266</v>
      </c>
      <c r="K469" s="93"/>
      <c r="L469" s="93"/>
      <c r="M469" s="9"/>
      <c r="U469" s="82"/>
      <c r="V469" s="82"/>
      <c r="W469" s="20"/>
      <c r="X469" s="20"/>
      <c r="Y469" s="20"/>
      <c r="Z469" s="20"/>
      <c r="AA469" s="20"/>
    </row>
    <row r="470" spans="1:27">
      <c r="A470" s="109"/>
      <c r="B470" s="1663" t="s">
        <v>536</v>
      </c>
      <c r="C470" s="22" t="s">
        <v>666</v>
      </c>
      <c r="D470" s="67">
        <v>15.36</v>
      </c>
      <c r="E470" s="68">
        <v>3270</v>
      </c>
      <c r="F470" s="100">
        <v>15.59</v>
      </c>
      <c r="G470" s="102">
        <v>752</v>
      </c>
      <c r="H470" s="71">
        <v>44300</v>
      </c>
      <c r="I470" s="16">
        <v>50227</v>
      </c>
      <c r="J470" s="29" t="s">
        <v>266</v>
      </c>
      <c r="K470" s="93"/>
      <c r="L470" s="93"/>
      <c r="M470" s="9"/>
      <c r="U470" s="82"/>
      <c r="V470" s="82"/>
      <c r="W470" s="20"/>
      <c r="X470" s="20"/>
      <c r="Y470" s="20"/>
      <c r="Z470" s="20"/>
      <c r="AA470" s="20"/>
    </row>
    <row r="471" spans="1:27">
      <c r="A471" s="109"/>
      <c r="B471" s="1663" t="s">
        <v>555</v>
      </c>
      <c r="C471" s="1655" t="s">
        <v>556</v>
      </c>
      <c r="D471" s="67">
        <v>59.54</v>
      </c>
      <c r="E471" s="68">
        <v>1260</v>
      </c>
      <c r="F471" s="100">
        <v>59.55</v>
      </c>
      <c r="G471" s="102">
        <v>72</v>
      </c>
      <c r="H471" s="71">
        <v>44299</v>
      </c>
      <c r="I471" s="16">
        <v>75000</v>
      </c>
      <c r="J471" s="29" t="s">
        <v>266</v>
      </c>
      <c r="K471" s="93"/>
      <c r="L471" s="93" t="s">
        <v>116</v>
      </c>
      <c r="M471" s="9">
        <v>5</v>
      </c>
      <c r="U471" s="82"/>
      <c r="V471" s="82"/>
      <c r="W471" s="20"/>
      <c r="X471" s="20"/>
      <c r="Y471" s="20"/>
      <c r="Z471" s="20"/>
      <c r="AA471" s="20"/>
    </row>
    <row r="472" spans="1:27">
      <c r="A472" s="109"/>
      <c r="B472" s="1663" t="s">
        <v>628</v>
      </c>
      <c r="C472" s="22" t="s">
        <v>667</v>
      </c>
      <c r="D472" s="67">
        <v>81.86</v>
      </c>
      <c r="E472" s="68">
        <v>610</v>
      </c>
      <c r="F472" s="100">
        <v>83.09</v>
      </c>
      <c r="G472" s="102">
        <v>750</v>
      </c>
      <c r="H472" s="71">
        <v>44299</v>
      </c>
      <c r="I472" s="16">
        <v>49935</v>
      </c>
      <c r="J472" s="29" t="s">
        <v>266</v>
      </c>
      <c r="K472" s="93"/>
      <c r="L472" s="93" t="s">
        <v>668</v>
      </c>
      <c r="M472" s="16">
        <f>C172/M471</f>
        <v>48425.347999999998</v>
      </c>
      <c r="U472" s="82"/>
      <c r="V472" s="82"/>
      <c r="W472" s="20"/>
      <c r="X472" s="20"/>
      <c r="Y472" s="20"/>
      <c r="Z472" s="20"/>
      <c r="AA472" s="20"/>
    </row>
    <row r="473" spans="1:27">
      <c r="A473" s="109"/>
      <c r="B473" s="1663" t="s">
        <v>669</v>
      </c>
      <c r="C473" s="22" t="s">
        <v>670</v>
      </c>
      <c r="D473" s="68">
        <v>3146</v>
      </c>
      <c r="E473" s="68">
        <v>29</v>
      </c>
      <c r="F473" s="100">
        <v>3416</v>
      </c>
      <c r="G473" s="102">
        <v>4</v>
      </c>
      <c r="H473" s="71">
        <v>44299</v>
      </c>
      <c r="I473" s="16">
        <v>99064</v>
      </c>
      <c r="J473" s="29" t="s">
        <v>671</v>
      </c>
      <c r="K473" s="93"/>
      <c r="L473" s="93"/>
      <c r="U473" s="82"/>
      <c r="V473" s="82"/>
      <c r="W473" s="20"/>
      <c r="X473" s="20"/>
      <c r="Y473" s="20"/>
      <c r="Z473" s="20"/>
      <c r="AA473" s="20"/>
    </row>
    <row r="474" spans="1:27">
      <c r="A474" s="109"/>
      <c r="B474" s="1663" t="s">
        <v>650</v>
      </c>
      <c r="C474" s="22" t="s">
        <v>672</v>
      </c>
      <c r="D474" s="67">
        <v>37.14</v>
      </c>
      <c r="E474" s="68">
        <v>1345</v>
      </c>
      <c r="F474" s="100">
        <v>37.81</v>
      </c>
      <c r="G474" s="102">
        <v>901</v>
      </c>
      <c r="H474" s="71">
        <v>44298</v>
      </c>
      <c r="I474" s="16">
        <v>49953</v>
      </c>
      <c r="J474" s="29" t="s">
        <v>266</v>
      </c>
      <c r="K474" s="93"/>
      <c r="L474" s="93"/>
      <c r="U474" s="82"/>
      <c r="V474" s="82"/>
      <c r="W474" s="20"/>
      <c r="X474" s="20"/>
      <c r="Y474" s="20"/>
      <c r="Z474" s="20"/>
      <c r="AA474" s="20"/>
    </row>
    <row r="475" spans="1:27">
      <c r="A475" s="109"/>
      <c r="B475" s="1663" t="s">
        <v>647</v>
      </c>
      <c r="C475" s="22" t="s">
        <v>673</v>
      </c>
      <c r="D475" s="67">
        <v>46.96</v>
      </c>
      <c r="E475" s="68">
        <v>1600</v>
      </c>
      <c r="F475" s="100">
        <v>47.59</v>
      </c>
      <c r="G475" s="102">
        <v>1008</v>
      </c>
      <c r="H475" s="71">
        <v>44298</v>
      </c>
      <c r="I475" s="16">
        <v>75135</v>
      </c>
      <c r="J475" s="29" t="s">
        <v>266</v>
      </c>
      <c r="K475" s="93"/>
      <c r="L475" s="93"/>
      <c r="U475" s="82"/>
      <c r="V475" s="82"/>
      <c r="W475" s="20"/>
      <c r="X475" s="20"/>
      <c r="Y475" s="20"/>
      <c r="Z475" s="20"/>
      <c r="AA475" s="20"/>
    </row>
    <row r="476" spans="1:27" ht="25.5">
      <c r="A476" s="109"/>
      <c r="B476" s="1663" t="s">
        <v>47</v>
      </c>
      <c r="C476" s="9" t="s">
        <v>195</v>
      </c>
      <c r="D476" s="67">
        <v>10.5</v>
      </c>
      <c r="E476" s="68">
        <v>4761</v>
      </c>
      <c r="F476" s="100">
        <v>10.71</v>
      </c>
      <c r="G476" s="102">
        <v>1005</v>
      </c>
      <c r="H476" s="71">
        <v>44298</v>
      </c>
      <c r="I476" s="16">
        <v>49990</v>
      </c>
      <c r="J476" s="29" t="s">
        <v>671</v>
      </c>
      <c r="K476" s="93"/>
      <c r="L476" s="93"/>
      <c r="U476" s="82"/>
      <c r="V476" s="82"/>
      <c r="W476" s="20"/>
      <c r="X476" s="20"/>
      <c r="Y476" s="20"/>
      <c r="Z476" s="20"/>
      <c r="AA476" s="20"/>
    </row>
    <row r="477" spans="1:27">
      <c r="A477" s="109"/>
      <c r="B477" s="1663" t="s">
        <v>674</v>
      </c>
      <c r="C477" s="22" t="s">
        <v>675</v>
      </c>
      <c r="D477" s="67">
        <v>16.3</v>
      </c>
      <c r="E477" s="68">
        <v>10000</v>
      </c>
      <c r="F477" s="100">
        <v>16.46</v>
      </c>
      <c r="G477" s="102">
        <v>1600</v>
      </c>
      <c r="H477" s="71">
        <v>44298</v>
      </c>
      <c r="I477" s="16">
        <v>163000</v>
      </c>
      <c r="J477" s="29" t="s">
        <v>90</v>
      </c>
      <c r="K477" s="93"/>
      <c r="L477" s="93"/>
      <c r="U477" s="82"/>
      <c r="V477" s="82"/>
      <c r="W477" s="20"/>
      <c r="X477" s="20"/>
      <c r="Y477" s="20"/>
      <c r="Z477" s="20"/>
      <c r="AA477" s="20"/>
    </row>
    <row r="478" spans="1:27">
      <c r="A478" s="109"/>
      <c r="B478" s="1663" t="s">
        <v>640</v>
      </c>
      <c r="C478" s="22" t="s">
        <v>641</v>
      </c>
      <c r="D478" s="67">
        <v>10.61</v>
      </c>
      <c r="E478" s="68">
        <v>4712</v>
      </c>
      <c r="F478" s="100">
        <v>10.78</v>
      </c>
      <c r="G478" s="102">
        <v>802</v>
      </c>
      <c r="H478" s="71">
        <v>44295</v>
      </c>
      <c r="I478" s="16">
        <v>49994</v>
      </c>
      <c r="J478" s="29" t="s">
        <v>600</v>
      </c>
      <c r="K478" s="93"/>
      <c r="L478" s="93"/>
      <c r="U478" s="82"/>
      <c r="V478" s="82"/>
      <c r="W478" s="20"/>
      <c r="X478" s="20"/>
      <c r="Y478" s="20"/>
      <c r="Z478" s="20"/>
      <c r="AA478" s="20"/>
    </row>
    <row r="479" spans="1:27">
      <c r="A479" s="109"/>
      <c r="B479" s="1663" t="s">
        <v>300</v>
      </c>
      <c r="C479" s="22" t="s">
        <v>644</v>
      </c>
      <c r="D479" s="67">
        <v>39.909999999999997</v>
      </c>
      <c r="E479" s="68">
        <v>642</v>
      </c>
      <c r="F479" s="100">
        <v>39.69</v>
      </c>
      <c r="G479" s="102">
        <v>501</v>
      </c>
      <c r="H479" s="71">
        <v>44293</v>
      </c>
      <c r="I479" s="16">
        <v>24980</v>
      </c>
      <c r="J479" s="29" t="s">
        <v>600</v>
      </c>
      <c r="K479" s="93"/>
      <c r="L479" s="93"/>
      <c r="U479" s="82"/>
      <c r="V479" s="82"/>
      <c r="W479" s="20"/>
      <c r="X479" s="20"/>
      <c r="Y479" s="20"/>
      <c r="Z479" s="20"/>
      <c r="AA479" s="20"/>
    </row>
    <row r="480" spans="1:27">
      <c r="A480" s="109"/>
      <c r="B480" s="1663" t="s">
        <v>519</v>
      </c>
      <c r="C480" s="22" t="s">
        <v>676</v>
      </c>
      <c r="D480" s="67">
        <v>24</v>
      </c>
      <c r="E480" s="68">
        <v>1046</v>
      </c>
      <c r="F480" s="100">
        <v>24.48</v>
      </c>
      <c r="G480" s="102">
        <v>502</v>
      </c>
      <c r="H480" s="71">
        <v>44292</v>
      </c>
      <c r="I480" s="16">
        <v>25104</v>
      </c>
      <c r="J480" s="29" t="s">
        <v>600</v>
      </c>
      <c r="K480" s="93"/>
      <c r="L480" s="93"/>
      <c r="U480" s="82"/>
      <c r="V480" s="82"/>
      <c r="W480" s="20"/>
      <c r="X480" s="20"/>
      <c r="Y480" s="20"/>
      <c r="Z480" s="20"/>
      <c r="AA480" s="20"/>
    </row>
    <row r="481" spans="1:27">
      <c r="A481" s="109"/>
      <c r="B481" s="1663" t="s">
        <v>338</v>
      </c>
      <c r="C481" s="1655" t="s">
        <v>339</v>
      </c>
      <c r="D481" s="67">
        <v>13.27</v>
      </c>
      <c r="E481" s="68">
        <v>3770</v>
      </c>
      <c r="F481" s="100">
        <v>13.54</v>
      </c>
      <c r="G481" s="102">
        <v>1018</v>
      </c>
      <c r="H481" s="71">
        <v>44292</v>
      </c>
      <c r="I481" s="16">
        <v>50028</v>
      </c>
      <c r="J481" s="29" t="s">
        <v>266</v>
      </c>
      <c r="K481" s="93"/>
      <c r="L481" s="93"/>
      <c r="U481" s="82"/>
      <c r="V481" s="82"/>
      <c r="W481" s="20"/>
      <c r="X481" s="20"/>
      <c r="Y481" s="20"/>
      <c r="Z481" s="20"/>
      <c r="AA481" s="20"/>
    </row>
    <row r="482" spans="1:27">
      <c r="A482" s="109"/>
      <c r="B482" s="1663" t="s">
        <v>381</v>
      </c>
      <c r="C482" s="22" t="s">
        <v>677</v>
      </c>
      <c r="D482" s="67">
        <v>6.82</v>
      </c>
      <c r="E482" s="68">
        <v>3675</v>
      </c>
      <c r="F482" s="100">
        <v>6.96</v>
      </c>
      <c r="G482" s="102">
        <v>508</v>
      </c>
      <c r="H482" s="71">
        <v>44292</v>
      </c>
      <c r="I482" s="16">
        <v>25070</v>
      </c>
      <c r="J482" s="29" t="s">
        <v>600</v>
      </c>
      <c r="K482" s="93"/>
      <c r="L482" s="93"/>
      <c r="U482" s="82"/>
      <c r="V482" s="82"/>
      <c r="W482" s="20"/>
      <c r="X482" s="20"/>
      <c r="Y482" s="20"/>
      <c r="Z482" s="20"/>
      <c r="AA482" s="20"/>
    </row>
    <row r="483" spans="1:27">
      <c r="A483" s="109"/>
      <c r="B483" s="1663" t="s">
        <v>536</v>
      </c>
      <c r="C483" s="22" t="s">
        <v>666</v>
      </c>
      <c r="D483" s="67">
        <v>14.19</v>
      </c>
      <c r="E483" s="68">
        <v>5200</v>
      </c>
      <c r="F483" s="100">
        <v>14.39</v>
      </c>
      <c r="G483" s="102">
        <v>1040</v>
      </c>
      <c r="H483" s="71">
        <v>44291</v>
      </c>
      <c r="I483" s="16">
        <v>7378</v>
      </c>
      <c r="J483" s="29" t="s">
        <v>266</v>
      </c>
      <c r="K483" s="93"/>
      <c r="L483" s="93"/>
      <c r="U483" s="82"/>
      <c r="V483" s="82"/>
      <c r="W483" s="20"/>
      <c r="X483" s="20"/>
      <c r="Y483" s="20"/>
      <c r="Z483" s="20"/>
      <c r="AA483" s="20"/>
    </row>
    <row r="484" spans="1:27">
      <c r="A484" s="109"/>
      <c r="B484" s="1663" t="s">
        <v>56</v>
      </c>
      <c r="C484" s="1655" t="s">
        <v>546</v>
      </c>
      <c r="D484" s="67">
        <v>22.56</v>
      </c>
      <c r="E484" s="68">
        <v>4428</v>
      </c>
      <c r="F484" s="100">
        <v>22.57</v>
      </c>
      <c r="G484" s="102">
        <v>44</v>
      </c>
      <c r="H484" s="71">
        <v>44291</v>
      </c>
      <c r="I484" s="16">
        <v>99896</v>
      </c>
      <c r="J484" s="29" t="s">
        <v>266</v>
      </c>
      <c r="K484" s="93"/>
      <c r="L484" s="93"/>
      <c r="U484" s="82"/>
      <c r="V484" s="82"/>
      <c r="W484" s="20"/>
      <c r="X484" s="20"/>
      <c r="Y484" s="20"/>
      <c r="Z484" s="20"/>
      <c r="AA484" s="20"/>
    </row>
    <row r="485" spans="1:27">
      <c r="A485" s="109"/>
      <c r="B485" s="1663" t="s">
        <v>352</v>
      </c>
      <c r="C485" s="1655" t="s">
        <v>259</v>
      </c>
      <c r="D485" s="67">
        <v>487.77</v>
      </c>
      <c r="E485" s="68">
        <v>158</v>
      </c>
      <c r="F485" s="100">
        <v>482.57</v>
      </c>
      <c r="G485" s="159">
        <v>-253</v>
      </c>
      <c r="H485" s="71">
        <v>44291</v>
      </c>
      <c r="I485" s="16">
        <v>99064</v>
      </c>
      <c r="J485" s="29" t="s">
        <v>266</v>
      </c>
      <c r="K485" s="93"/>
      <c r="L485" s="93"/>
      <c r="U485" s="82"/>
      <c r="V485" s="82"/>
      <c r="W485" s="20"/>
      <c r="X485" s="20"/>
      <c r="Y485" s="20"/>
      <c r="Z485" s="20"/>
      <c r="AA485" s="20"/>
    </row>
    <row r="486" spans="1:27">
      <c r="A486" s="109"/>
      <c r="B486" s="1663" t="s">
        <v>62</v>
      </c>
      <c r="C486" s="22" t="s">
        <v>643</v>
      </c>
      <c r="D486" s="67">
        <v>13.2</v>
      </c>
      <c r="E486" s="68">
        <v>7272</v>
      </c>
      <c r="F486" s="100">
        <v>13.46</v>
      </c>
      <c r="G486" s="159">
        <v>-2619</v>
      </c>
      <c r="H486" s="71">
        <v>44291</v>
      </c>
      <c r="I486" s="16">
        <v>95990</v>
      </c>
      <c r="J486" s="29" t="s">
        <v>678</v>
      </c>
      <c r="K486" s="93"/>
      <c r="L486" s="93"/>
      <c r="U486" s="82"/>
      <c r="V486" s="82"/>
      <c r="W486" s="20"/>
      <c r="X486" s="20"/>
      <c r="Y486" s="20"/>
      <c r="Z486" s="20"/>
      <c r="AA486" s="20"/>
    </row>
    <row r="487" spans="1:27">
      <c r="A487" s="109"/>
      <c r="B487" s="1663" t="s">
        <v>536</v>
      </c>
      <c r="C487" s="22" t="s">
        <v>679</v>
      </c>
      <c r="D487" s="67">
        <v>7.62</v>
      </c>
      <c r="E487" s="68">
        <v>65661</v>
      </c>
      <c r="F487" s="100">
        <v>7.77</v>
      </c>
      <c r="G487" s="102">
        <v>984</v>
      </c>
      <c r="H487" s="71">
        <v>44291</v>
      </c>
      <c r="I487" s="16">
        <v>49995</v>
      </c>
      <c r="J487" s="29" t="s">
        <v>266</v>
      </c>
      <c r="K487" s="93"/>
      <c r="L487" s="93"/>
      <c r="U487" s="82"/>
      <c r="V487" s="82"/>
      <c r="W487" s="20"/>
      <c r="X487" s="20"/>
      <c r="Y487" s="20"/>
      <c r="Z487" s="20"/>
      <c r="AA487" s="20"/>
    </row>
    <row r="488" spans="1:27">
      <c r="A488" s="109"/>
      <c r="B488" s="1663" t="s">
        <v>647</v>
      </c>
      <c r="C488" s="22" t="s">
        <v>648</v>
      </c>
      <c r="D488" s="67">
        <v>45.82</v>
      </c>
      <c r="E488" s="68">
        <v>546</v>
      </c>
      <c r="F488" s="100">
        <v>46.74</v>
      </c>
      <c r="G488" s="102">
        <v>502</v>
      </c>
      <c r="H488" s="71">
        <v>44287</v>
      </c>
      <c r="I488" s="16">
        <v>25018</v>
      </c>
      <c r="J488" s="29" t="s">
        <v>600</v>
      </c>
      <c r="K488" s="93"/>
      <c r="L488" s="93"/>
      <c r="U488" s="82"/>
      <c r="V488" s="82"/>
      <c r="W488" s="20"/>
      <c r="X488" s="20"/>
      <c r="Y488" s="20"/>
      <c r="Z488" s="20"/>
      <c r="AA488" s="20"/>
    </row>
    <row r="489" spans="1:27">
      <c r="A489" s="109"/>
      <c r="B489" s="1663" t="s">
        <v>680</v>
      </c>
      <c r="C489" s="22" t="s">
        <v>681</v>
      </c>
      <c r="D489" s="67">
        <v>31.46</v>
      </c>
      <c r="E489" s="68">
        <v>794</v>
      </c>
      <c r="F489" s="100">
        <v>32.090000000000003</v>
      </c>
      <c r="G489" s="102">
        <v>500</v>
      </c>
      <c r="H489" s="71">
        <v>44287</v>
      </c>
      <c r="I489" s="16">
        <v>24979</v>
      </c>
      <c r="J489" s="29" t="s">
        <v>600</v>
      </c>
      <c r="K489" s="93"/>
      <c r="L489" s="93"/>
      <c r="U489" s="82"/>
      <c r="V489" s="82"/>
      <c r="W489" s="20"/>
      <c r="X489" s="20"/>
      <c r="Y489" s="20"/>
      <c r="Z489" s="20"/>
      <c r="AA489" s="20"/>
    </row>
    <row r="490" spans="1:27">
      <c r="A490" s="109"/>
      <c r="B490" s="1663" t="s">
        <v>264</v>
      </c>
      <c r="C490" s="1655" t="s">
        <v>265</v>
      </c>
      <c r="D490" s="67">
        <v>10.67</v>
      </c>
      <c r="E490" s="68">
        <v>4694</v>
      </c>
      <c r="F490" s="100">
        <v>10.88</v>
      </c>
      <c r="G490" s="102">
        <f>987+660.26</f>
        <v>1647.26</v>
      </c>
      <c r="H490" s="71">
        <v>44287</v>
      </c>
      <c r="I490" s="16">
        <v>50085</v>
      </c>
      <c r="J490" s="29" t="s">
        <v>266</v>
      </c>
      <c r="K490" s="93"/>
      <c r="L490" s="93"/>
      <c r="U490" s="82"/>
      <c r="V490" s="82"/>
      <c r="W490" s="20"/>
      <c r="X490" s="20"/>
      <c r="Y490" s="20"/>
      <c r="Z490" s="20"/>
      <c r="AA490" s="20"/>
    </row>
    <row r="491" spans="1:27">
      <c r="A491" s="109"/>
      <c r="B491" s="1663" t="s">
        <v>536</v>
      </c>
      <c r="C491" s="22" t="s">
        <v>666</v>
      </c>
      <c r="D491" s="67">
        <v>15.2</v>
      </c>
      <c r="E491" s="68">
        <v>3289</v>
      </c>
      <c r="F491" s="100">
        <v>15.5</v>
      </c>
      <c r="G491" s="102">
        <v>987</v>
      </c>
      <c r="H491" s="71">
        <v>44287</v>
      </c>
      <c r="I491" s="16">
        <v>49993</v>
      </c>
      <c r="J491" s="29" t="s">
        <v>266</v>
      </c>
      <c r="K491" s="93"/>
      <c r="L491" s="93"/>
      <c r="U491" s="82"/>
      <c r="V491" s="82"/>
      <c r="W491" s="20"/>
      <c r="X491" s="20"/>
      <c r="Y491" s="20"/>
      <c r="Z491" s="20"/>
      <c r="AA491" s="20"/>
    </row>
    <row r="492" spans="1:27">
      <c r="A492" s="109"/>
      <c r="B492" s="1663" t="s">
        <v>608</v>
      </c>
      <c r="C492" s="22" t="s">
        <v>682</v>
      </c>
      <c r="D492" s="67">
        <v>147.91999999999999</v>
      </c>
      <c r="E492" s="68">
        <v>169</v>
      </c>
      <c r="F492" s="100">
        <v>150.88</v>
      </c>
      <c r="G492" s="102">
        <v>500</v>
      </c>
      <c r="H492" s="71">
        <v>44287</v>
      </c>
      <c r="I492" s="16">
        <v>24998</v>
      </c>
      <c r="J492" s="29" t="s">
        <v>600</v>
      </c>
      <c r="K492" s="93"/>
      <c r="L492" s="93"/>
      <c r="U492" s="82"/>
      <c r="V492" s="82"/>
      <c r="W492" s="20"/>
      <c r="X492" s="20"/>
      <c r="Y492" s="20"/>
      <c r="Z492" s="20"/>
      <c r="AA492" s="20"/>
    </row>
    <row r="493" spans="1:27">
      <c r="A493" s="109"/>
      <c r="B493" s="1663"/>
      <c r="C493" s="1655"/>
      <c r="D493" s="67"/>
      <c r="E493" s="68"/>
      <c r="F493" s="70" t="s">
        <v>25</v>
      </c>
      <c r="G493" s="61">
        <f>SUM(G494:G539)</f>
        <v>35797.520000000004</v>
      </c>
      <c r="H493" s="69" t="s">
        <v>549</v>
      </c>
      <c r="I493" s="16">
        <f>173-128</f>
        <v>45</v>
      </c>
      <c r="J493" s="29"/>
      <c r="K493" s="93"/>
      <c r="L493" s="93"/>
      <c r="S493" s="9"/>
      <c r="T493" s="9"/>
      <c r="U493" s="82"/>
      <c r="V493" s="82"/>
      <c r="W493" s="20"/>
      <c r="X493" s="20"/>
      <c r="Y493" s="20"/>
      <c r="Z493" s="20"/>
      <c r="AA493" s="20"/>
    </row>
    <row r="494" spans="1:27" ht="25.5">
      <c r="A494" s="109"/>
      <c r="B494" s="1663" t="s">
        <v>683</v>
      </c>
      <c r="C494" s="1655" t="s">
        <v>652</v>
      </c>
      <c r="D494" s="67">
        <v>19.600000000000001</v>
      </c>
      <c r="E494" s="68">
        <v>2556</v>
      </c>
      <c r="F494" s="100" t="s">
        <v>684</v>
      </c>
      <c r="G494" s="159">
        <v>-1004</v>
      </c>
      <c r="H494" s="71">
        <v>44286</v>
      </c>
      <c r="I494" s="16">
        <v>50098</v>
      </c>
      <c r="J494" s="29" t="s">
        <v>40</v>
      </c>
      <c r="K494" s="93"/>
      <c r="L494" s="93"/>
      <c r="S494" s="9"/>
      <c r="T494" s="9"/>
      <c r="U494" s="82"/>
      <c r="V494" s="82"/>
      <c r="W494" s="20"/>
      <c r="X494" s="20"/>
      <c r="Y494" s="20"/>
      <c r="Z494" s="20"/>
      <c r="AA494" s="20"/>
    </row>
    <row r="495" spans="1:27">
      <c r="A495" s="109"/>
      <c r="B495" s="1663" t="s">
        <v>438</v>
      </c>
      <c r="C495" s="1655" t="s">
        <v>439</v>
      </c>
      <c r="D495" s="67">
        <v>11.05</v>
      </c>
      <c r="E495" s="68">
        <v>4000</v>
      </c>
      <c r="F495" s="100">
        <v>11.3</v>
      </c>
      <c r="G495" s="102">
        <v>1000</v>
      </c>
      <c r="H495" s="71">
        <v>44285</v>
      </c>
      <c r="I495" s="16">
        <v>44200</v>
      </c>
      <c r="J495" s="29" t="s">
        <v>266</v>
      </c>
      <c r="K495" s="93"/>
      <c r="L495" s="93"/>
      <c r="S495" s="9"/>
      <c r="T495" s="9"/>
      <c r="U495" s="82"/>
      <c r="V495" s="82"/>
      <c r="W495" s="20"/>
      <c r="X495" s="20"/>
      <c r="Y495" s="20"/>
      <c r="Z495" s="20"/>
      <c r="AA495" s="20"/>
    </row>
    <row r="496" spans="1:27">
      <c r="A496" s="109"/>
      <c r="B496" s="1663" t="s">
        <v>685</v>
      </c>
      <c r="C496" s="22" t="s">
        <v>686</v>
      </c>
      <c r="D496" s="67">
        <v>3.99</v>
      </c>
      <c r="E496" s="68">
        <v>6265</v>
      </c>
      <c r="F496" s="100">
        <v>4.07</v>
      </c>
      <c r="G496" s="102">
        <v>501</v>
      </c>
      <c r="H496" s="71">
        <v>44285</v>
      </c>
      <c r="I496" s="16">
        <v>24997</v>
      </c>
      <c r="J496" s="29" t="s">
        <v>600</v>
      </c>
      <c r="K496" s="93"/>
      <c r="L496" s="93"/>
      <c r="S496" s="9"/>
      <c r="T496" s="9"/>
      <c r="U496" s="82"/>
      <c r="V496" s="82"/>
      <c r="W496" s="20"/>
      <c r="X496" s="20"/>
      <c r="Y496" s="20"/>
      <c r="Z496" s="20"/>
      <c r="AA496" s="20"/>
    </row>
    <row r="497" spans="1:27">
      <c r="A497" s="109"/>
      <c r="B497" s="1663" t="s">
        <v>465</v>
      </c>
      <c r="C497" s="22" t="s">
        <v>687</v>
      </c>
      <c r="D497" s="67">
        <v>157.30000000000001</v>
      </c>
      <c r="E497" s="68">
        <v>158</v>
      </c>
      <c r="F497" s="100">
        <v>160.46</v>
      </c>
      <c r="G497" s="102">
        <v>499</v>
      </c>
      <c r="H497" s="71">
        <v>44284</v>
      </c>
      <c r="I497" s="16">
        <v>24853</v>
      </c>
      <c r="J497" s="29" t="s">
        <v>600</v>
      </c>
      <c r="K497" s="93"/>
      <c r="L497" s="93"/>
      <c r="S497" s="9"/>
      <c r="T497" s="9"/>
      <c r="U497" s="82"/>
      <c r="V497" s="82"/>
      <c r="W497" s="20"/>
      <c r="X497" s="20"/>
      <c r="Y497" s="20"/>
      <c r="Z497" s="20"/>
      <c r="AA497" s="20"/>
    </row>
    <row r="498" spans="1:27">
      <c r="A498" s="109"/>
      <c r="B498" s="1663" t="s">
        <v>107</v>
      </c>
      <c r="C498" s="22" t="s">
        <v>688</v>
      </c>
      <c r="D498" s="67">
        <v>40.619999999999997</v>
      </c>
      <c r="E498" s="68">
        <v>620</v>
      </c>
      <c r="F498" s="100">
        <v>41.42</v>
      </c>
      <c r="G498" s="102">
        <v>496</v>
      </c>
      <c r="H498" s="71">
        <v>44284</v>
      </c>
      <c r="I498" s="16">
        <v>25181</v>
      </c>
      <c r="J498" s="29" t="s">
        <v>600</v>
      </c>
      <c r="K498" s="93"/>
      <c r="L498" s="93"/>
      <c r="S498" s="9"/>
      <c r="T498" s="9"/>
      <c r="U498" s="82"/>
      <c r="V498" s="82"/>
      <c r="W498" s="20"/>
      <c r="X498" s="20"/>
      <c r="Y498" s="20"/>
      <c r="Z498" s="20"/>
      <c r="AA498" s="20"/>
    </row>
    <row r="499" spans="1:27" ht="89.25">
      <c r="A499" s="109"/>
      <c r="B499" s="1663" t="s">
        <v>300</v>
      </c>
      <c r="C499" s="22" t="s">
        <v>689</v>
      </c>
      <c r="D499" s="67">
        <v>38</v>
      </c>
      <c r="E499" s="68">
        <v>668</v>
      </c>
      <c r="F499" s="100">
        <v>38.75</v>
      </c>
      <c r="G499" s="102">
        <v>501</v>
      </c>
      <c r="H499" s="71">
        <v>44281</v>
      </c>
      <c r="I499" s="16">
        <v>25384</v>
      </c>
      <c r="J499" s="29" t="s">
        <v>600</v>
      </c>
      <c r="K499" s="93"/>
      <c r="L499" s="93"/>
      <c r="S499" s="9" t="s">
        <v>690</v>
      </c>
      <c r="T499" s="9">
        <v>580</v>
      </c>
      <c r="U499" s="82"/>
      <c r="V499" s="82"/>
      <c r="W499" s="20"/>
      <c r="X499" s="20"/>
      <c r="Y499" s="20"/>
      <c r="Z499" s="20"/>
      <c r="AA499" s="20"/>
    </row>
    <row r="500" spans="1:27">
      <c r="A500" s="109"/>
      <c r="B500" s="1663" t="s">
        <v>553</v>
      </c>
      <c r="C500" s="1655" t="s">
        <v>554</v>
      </c>
      <c r="D500" s="67">
        <v>323.69</v>
      </c>
      <c r="E500" s="68">
        <v>232</v>
      </c>
      <c r="F500" s="100">
        <v>323</v>
      </c>
      <c r="G500" s="102">
        <v>19</v>
      </c>
      <c r="H500" s="69">
        <v>326</v>
      </c>
      <c r="I500" s="16">
        <v>75000</v>
      </c>
      <c r="J500" s="29" t="s">
        <v>266</v>
      </c>
      <c r="K500" s="93"/>
      <c r="L500" s="93"/>
      <c r="M500" s="3" t="s">
        <v>600</v>
      </c>
      <c r="N500" s="34">
        <f>G511+G506+G505+G504+G499+35</f>
        <v>2549</v>
      </c>
      <c r="U500" s="82"/>
      <c r="V500" s="82"/>
      <c r="W500" s="20"/>
      <c r="X500" s="20"/>
      <c r="Y500" s="20"/>
      <c r="Z500" s="20"/>
      <c r="AA500" s="20"/>
    </row>
    <row r="501" spans="1:27">
      <c r="A501" s="109"/>
      <c r="B501" s="1663" t="s">
        <v>581</v>
      </c>
      <c r="C501" s="1655" t="s">
        <v>691</v>
      </c>
      <c r="D501" s="67">
        <v>11.82</v>
      </c>
      <c r="E501" s="68">
        <v>6515</v>
      </c>
      <c r="F501" s="100">
        <v>11.82</v>
      </c>
      <c r="G501" s="102">
        <v>0</v>
      </c>
      <c r="H501" s="71">
        <v>44281</v>
      </c>
      <c r="I501" s="16">
        <v>7707</v>
      </c>
      <c r="J501" s="29" t="s">
        <v>678</v>
      </c>
      <c r="K501" s="93"/>
      <c r="L501" s="93"/>
      <c r="U501" s="82"/>
      <c r="V501" s="82"/>
      <c r="W501" s="20"/>
      <c r="X501" s="20"/>
      <c r="Y501" s="20"/>
      <c r="Z501" s="20"/>
      <c r="AA501" s="20"/>
    </row>
    <row r="502" spans="1:27">
      <c r="A502" s="109"/>
      <c r="B502" s="1663" t="s">
        <v>326</v>
      </c>
      <c r="C502" s="1655" t="s">
        <v>327</v>
      </c>
      <c r="D502" s="67">
        <v>29.8</v>
      </c>
      <c r="E502" s="68">
        <v>1677</v>
      </c>
      <c r="F502" s="100">
        <v>30.4</v>
      </c>
      <c r="G502" s="102">
        <v>1006</v>
      </c>
      <c r="H502" s="71">
        <v>44281</v>
      </c>
      <c r="I502" s="16">
        <v>49975</v>
      </c>
      <c r="J502" s="29" t="s">
        <v>266</v>
      </c>
      <c r="K502" s="93"/>
      <c r="L502" s="93"/>
      <c r="U502" s="82"/>
      <c r="V502" s="82"/>
      <c r="W502" s="20"/>
      <c r="X502" s="20"/>
      <c r="Y502" s="20"/>
      <c r="Z502" s="20"/>
      <c r="AA502" s="20"/>
    </row>
    <row r="503" spans="1:27" ht="63.75">
      <c r="A503" s="109"/>
      <c r="B503" s="1663" t="s">
        <v>692</v>
      </c>
      <c r="C503" s="1655" t="s">
        <v>511</v>
      </c>
      <c r="D503" s="67">
        <v>17.96</v>
      </c>
      <c r="E503" s="68">
        <v>5567</v>
      </c>
      <c r="F503" s="100">
        <v>18.03</v>
      </c>
      <c r="G503" s="102">
        <v>391</v>
      </c>
      <c r="H503" s="71">
        <v>44281</v>
      </c>
      <c r="I503" s="16">
        <v>99982</v>
      </c>
      <c r="J503" s="29" t="s">
        <v>266</v>
      </c>
      <c r="K503" s="93"/>
      <c r="L503" s="93"/>
      <c r="S503" s="9" t="s">
        <v>693</v>
      </c>
      <c r="T503" s="9" t="s">
        <v>694</v>
      </c>
      <c r="U503" s="82"/>
      <c r="V503" s="82"/>
      <c r="W503" s="20"/>
      <c r="X503" s="20"/>
      <c r="Y503" s="20"/>
      <c r="Z503" s="20"/>
      <c r="AA503" s="20"/>
    </row>
    <row r="504" spans="1:27" ht="102">
      <c r="A504" s="109"/>
      <c r="B504" s="1663" t="s">
        <v>695</v>
      </c>
      <c r="C504" s="22" t="s">
        <v>696</v>
      </c>
      <c r="D504" s="67">
        <v>94.61</v>
      </c>
      <c r="E504" s="68">
        <v>267</v>
      </c>
      <c r="F504" s="100">
        <v>96.48</v>
      </c>
      <c r="G504" s="102">
        <v>499</v>
      </c>
      <c r="H504" s="71">
        <v>44281</v>
      </c>
      <c r="I504" s="16">
        <v>25261</v>
      </c>
      <c r="J504" s="29" t="s">
        <v>600</v>
      </c>
      <c r="K504" s="93"/>
      <c r="L504" s="93"/>
      <c r="S504" s="9" t="s">
        <v>697</v>
      </c>
      <c r="T504" s="162">
        <v>55399</v>
      </c>
      <c r="U504" s="163">
        <f>T504*2</f>
        <v>110798</v>
      </c>
      <c r="V504" s="82"/>
      <c r="W504" s="20"/>
      <c r="X504" s="20"/>
      <c r="Y504" s="20"/>
      <c r="Z504" s="20"/>
      <c r="AA504" s="20"/>
    </row>
    <row r="505" spans="1:27" ht="76.5">
      <c r="A505" s="109"/>
      <c r="B505" s="1663" t="s">
        <v>350</v>
      </c>
      <c r="C505" s="1655" t="s">
        <v>698</v>
      </c>
      <c r="D505" s="67">
        <v>21.71</v>
      </c>
      <c r="E505" s="68">
        <v>1152</v>
      </c>
      <c r="F505" s="100">
        <v>22.14</v>
      </c>
      <c r="G505" s="102">
        <v>495</v>
      </c>
      <c r="H505" s="71">
        <v>44280</v>
      </c>
      <c r="I505" s="16">
        <v>25010</v>
      </c>
      <c r="J505" s="29" t="s">
        <v>600</v>
      </c>
      <c r="K505" s="93"/>
      <c r="L505" s="93" t="s">
        <v>699</v>
      </c>
      <c r="M505" s="16">
        <f>SUM(G499:G513)</f>
        <v>6239</v>
      </c>
      <c r="S505" s="9" t="s">
        <v>700</v>
      </c>
      <c r="T505" s="162">
        <v>113399</v>
      </c>
      <c r="U505" s="163">
        <f>T505*2</f>
        <v>226798</v>
      </c>
      <c r="V505" s="82"/>
      <c r="W505" s="20"/>
      <c r="X505" s="20"/>
      <c r="Y505" s="20"/>
      <c r="Z505" s="20"/>
      <c r="AA505" s="20"/>
    </row>
    <row r="506" spans="1:27" ht="89.25">
      <c r="A506" s="109"/>
      <c r="B506" s="1663" t="s">
        <v>701</v>
      </c>
      <c r="C506" s="22" t="s">
        <v>702</v>
      </c>
      <c r="D506" s="164">
        <v>1486.5</v>
      </c>
      <c r="E506" s="68">
        <v>16</v>
      </c>
      <c r="F506" s="100">
        <v>1517.7</v>
      </c>
      <c r="G506" s="102">
        <v>499</v>
      </c>
      <c r="H506" s="71">
        <v>44280</v>
      </c>
      <c r="I506" s="16">
        <v>23784</v>
      </c>
      <c r="J506" s="29" t="s">
        <v>600</v>
      </c>
      <c r="K506" s="93"/>
      <c r="L506" s="93"/>
      <c r="S506" s="9" t="s">
        <v>703</v>
      </c>
      <c r="T506" s="162">
        <v>84399</v>
      </c>
      <c r="U506" s="163">
        <f>T506*2</f>
        <v>168798</v>
      </c>
      <c r="V506" s="82"/>
      <c r="W506" s="20"/>
      <c r="X506" s="20"/>
      <c r="Y506" s="20"/>
      <c r="Z506" s="20"/>
      <c r="AA506" s="20"/>
    </row>
    <row r="507" spans="1:27">
      <c r="A507" s="109"/>
      <c r="B507" s="1663" t="s">
        <v>568</v>
      </c>
      <c r="C507" s="1655" t="s">
        <v>569</v>
      </c>
      <c r="D507" s="67">
        <v>58.95</v>
      </c>
      <c r="E507" s="68">
        <v>848</v>
      </c>
      <c r="F507" s="100">
        <v>59.02</v>
      </c>
      <c r="G507" s="102">
        <v>59</v>
      </c>
      <c r="H507" s="71">
        <v>44280</v>
      </c>
      <c r="I507" s="16">
        <v>49990</v>
      </c>
      <c r="J507" s="29" t="s">
        <v>266</v>
      </c>
      <c r="K507" s="93"/>
      <c r="L507" s="93"/>
      <c r="T507" s="162"/>
      <c r="U507" s="163">
        <f>U505-U506</f>
        <v>58000</v>
      </c>
      <c r="V507" s="82"/>
      <c r="W507" s="20"/>
      <c r="X507" s="20"/>
      <c r="Y507" s="20"/>
      <c r="Z507" s="20"/>
      <c r="AA507" s="20"/>
    </row>
    <row r="508" spans="1:27">
      <c r="A508" s="109"/>
      <c r="B508" s="1663" t="s">
        <v>340</v>
      </c>
      <c r="C508" s="1655" t="s">
        <v>341</v>
      </c>
      <c r="D508" s="67">
        <v>13.18</v>
      </c>
      <c r="E508" s="68">
        <v>7598</v>
      </c>
      <c r="F508" s="100">
        <v>13.25</v>
      </c>
      <c r="G508" s="102">
        <v>551</v>
      </c>
      <c r="H508" s="71">
        <v>44280</v>
      </c>
      <c r="I508" s="16">
        <v>100123</v>
      </c>
      <c r="J508" s="29" t="s">
        <v>266</v>
      </c>
      <c r="K508" s="93"/>
      <c r="L508" s="93"/>
      <c r="U508" s="82"/>
      <c r="V508" s="82"/>
      <c r="W508" s="20"/>
      <c r="X508" s="20"/>
      <c r="Y508" s="20"/>
      <c r="Z508" s="20"/>
      <c r="AA508" s="20"/>
    </row>
    <row r="509" spans="1:27">
      <c r="A509" s="109"/>
      <c r="B509" s="1663" t="s">
        <v>547</v>
      </c>
      <c r="C509" s="1655" t="s">
        <v>548</v>
      </c>
      <c r="D509" s="67">
        <v>6.52</v>
      </c>
      <c r="E509" s="68">
        <v>11503</v>
      </c>
      <c r="F509" s="100">
        <v>6.62</v>
      </c>
      <c r="G509" s="102">
        <v>1150</v>
      </c>
      <c r="H509" s="71">
        <v>44279</v>
      </c>
      <c r="I509" s="16">
        <v>75000</v>
      </c>
      <c r="J509" s="29" t="s">
        <v>266</v>
      </c>
      <c r="K509" s="93"/>
      <c r="L509" s="93"/>
      <c r="U509" s="82"/>
      <c r="V509" s="82"/>
      <c r="W509" s="20"/>
      <c r="X509" s="20"/>
      <c r="Y509" s="20"/>
      <c r="Z509" s="20"/>
      <c r="AA509" s="20"/>
    </row>
    <row r="510" spans="1:27">
      <c r="A510" s="109"/>
      <c r="B510" s="1663" t="s">
        <v>704</v>
      </c>
      <c r="C510" s="1655" t="s">
        <v>705</v>
      </c>
      <c r="D510" s="67">
        <v>65.739999999999995</v>
      </c>
      <c r="E510" s="68">
        <v>1520</v>
      </c>
      <c r="F510" s="100">
        <v>66.19</v>
      </c>
      <c r="G510" s="102">
        <v>684</v>
      </c>
      <c r="H510" s="71">
        <v>44279</v>
      </c>
      <c r="I510" s="16">
        <v>99917</v>
      </c>
      <c r="J510" s="29" t="s">
        <v>266</v>
      </c>
      <c r="K510" s="93"/>
      <c r="L510" s="93"/>
      <c r="U510" s="82"/>
      <c r="V510" s="82"/>
      <c r="W510" s="20"/>
      <c r="X510" s="20"/>
      <c r="Y510" s="20"/>
      <c r="Z510" s="20"/>
      <c r="AA510" s="20"/>
    </row>
    <row r="511" spans="1:27">
      <c r="A511" s="109"/>
      <c r="B511" s="1663" t="s">
        <v>701</v>
      </c>
      <c r="C511" s="1655" t="s">
        <v>706</v>
      </c>
      <c r="D511" s="164">
        <v>1446.4</v>
      </c>
      <c r="E511" s="68">
        <v>17</v>
      </c>
      <c r="F511" s="165">
        <v>1477</v>
      </c>
      <c r="G511" s="102">
        <v>520</v>
      </c>
      <c r="H511" s="71">
        <v>44279</v>
      </c>
      <c r="I511" s="16">
        <v>24589</v>
      </c>
      <c r="J511" s="29" t="s">
        <v>600</v>
      </c>
      <c r="K511" s="93"/>
      <c r="L511" s="93"/>
      <c r="U511" s="82"/>
      <c r="V511" s="82"/>
      <c r="W511" s="20"/>
      <c r="X511" s="20"/>
      <c r="Y511" s="20"/>
      <c r="Z511" s="20"/>
      <c r="AA511" s="20"/>
    </row>
    <row r="512" spans="1:27">
      <c r="A512" s="109"/>
      <c r="B512" s="1663" t="s">
        <v>471</v>
      </c>
      <c r="C512" s="1655" t="s">
        <v>707</v>
      </c>
      <c r="D512" s="67">
        <v>26.85</v>
      </c>
      <c r="E512" s="68">
        <v>320</v>
      </c>
      <c r="F512" s="100">
        <v>27.48</v>
      </c>
      <c r="G512" s="102">
        <v>202</v>
      </c>
      <c r="H512" s="71">
        <v>44278</v>
      </c>
      <c r="I512" s="16">
        <v>8592</v>
      </c>
      <c r="J512" s="29" t="s">
        <v>90</v>
      </c>
      <c r="K512" s="93"/>
      <c r="L512" s="93"/>
      <c r="U512" s="82"/>
      <c r="V512" s="82"/>
      <c r="W512" s="20"/>
      <c r="X512" s="20"/>
      <c r="Y512" s="20"/>
      <c r="Z512" s="20"/>
      <c r="AA512" s="20"/>
    </row>
    <row r="513" spans="1:27">
      <c r="A513" s="109"/>
      <c r="B513" s="1663" t="s">
        <v>436</v>
      </c>
      <c r="C513" s="1655" t="s">
        <v>437</v>
      </c>
      <c r="D513" s="67">
        <v>25.89</v>
      </c>
      <c r="E513" s="68">
        <v>3744</v>
      </c>
      <c r="F513" s="100">
        <v>25.8</v>
      </c>
      <c r="G513" s="159">
        <v>-337</v>
      </c>
      <c r="H513" s="71">
        <v>44277</v>
      </c>
      <c r="I513" s="16">
        <v>96919</v>
      </c>
      <c r="J513" s="29" t="s">
        <v>266</v>
      </c>
      <c r="K513" s="93"/>
      <c r="L513" s="93"/>
      <c r="U513" s="82"/>
      <c r="V513" s="82"/>
      <c r="W513" s="20"/>
      <c r="X513" s="20"/>
      <c r="Y513" s="20"/>
      <c r="Z513" s="20"/>
      <c r="AA513" s="20"/>
    </row>
    <row r="514" spans="1:27">
      <c r="A514" s="109"/>
      <c r="B514" s="1663" t="s">
        <v>300</v>
      </c>
      <c r="C514" s="1655" t="s">
        <v>301</v>
      </c>
      <c r="D514" s="67">
        <v>37.659999999999997</v>
      </c>
      <c r="E514" s="68">
        <v>55310</v>
      </c>
      <c r="F514" s="100">
        <v>38.03</v>
      </c>
      <c r="G514" s="102">
        <v>1979</v>
      </c>
      <c r="H514" s="71">
        <v>44273</v>
      </c>
      <c r="I514" s="16">
        <v>199960</v>
      </c>
      <c r="J514" s="29" t="s">
        <v>266</v>
      </c>
      <c r="K514" s="93"/>
      <c r="L514" s="93"/>
      <c r="U514" s="82"/>
      <c r="V514" s="82"/>
      <c r="W514" s="20"/>
      <c r="X514" s="20"/>
      <c r="Y514" s="20"/>
      <c r="Z514" s="20"/>
      <c r="AA514" s="20"/>
    </row>
    <row r="515" spans="1:27">
      <c r="A515" s="109"/>
      <c r="B515" s="1663" t="s">
        <v>312</v>
      </c>
      <c r="C515" s="1655" t="s">
        <v>313</v>
      </c>
      <c r="D515" s="67">
        <v>4.6500000000000004</v>
      </c>
      <c r="E515" s="68">
        <v>14683</v>
      </c>
      <c r="F515" s="100">
        <v>4.6500000000000004</v>
      </c>
      <c r="G515" s="102">
        <v>0</v>
      </c>
      <c r="H515" s="71">
        <v>44272</v>
      </c>
      <c r="I515" s="16">
        <v>68276</v>
      </c>
      <c r="J515" s="29" t="s">
        <v>266</v>
      </c>
      <c r="K515" s="93"/>
      <c r="L515" s="93"/>
      <c r="U515" s="82"/>
      <c r="V515" s="82"/>
      <c r="W515" s="20"/>
      <c r="X515" s="20"/>
      <c r="Y515" s="20"/>
      <c r="Z515" s="20"/>
      <c r="AA515" s="20"/>
    </row>
    <row r="516" spans="1:27">
      <c r="A516" s="109"/>
      <c r="B516" s="1663" t="s">
        <v>708</v>
      </c>
      <c r="C516" s="1655" t="s">
        <v>631</v>
      </c>
      <c r="D516" s="67">
        <v>90.44</v>
      </c>
      <c r="E516" s="68">
        <v>1105</v>
      </c>
      <c r="F516" s="100">
        <v>91</v>
      </c>
      <c r="G516" s="102">
        <v>622</v>
      </c>
      <c r="H516" s="71">
        <v>44272</v>
      </c>
      <c r="I516" s="16">
        <v>99936</v>
      </c>
      <c r="J516" s="29" t="s">
        <v>266</v>
      </c>
      <c r="K516" s="93"/>
      <c r="L516" s="93"/>
      <c r="U516" s="82"/>
      <c r="V516" s="82"/>
      <c r="W516" s="20"/>
      <c r="X516" s="20"/>
      <c r="Y516" s="20"/>
      <c r="Z516" s="20"/>
      <c r="AA516" s="20"/>
    </row>
    <row r="517" spans="1:27">
      <c r="A517" s="109"/>
      <c r="B517" s="1663" t="s">
        <v>570</v>
      </c>
      <c r="C517" s="1655" t="s">
        <v>571</v>
      </c>
      <c r="D517" s="67">
        <v>68.150000000000006</v>
      </c>
      <c r="E517" s="68">
        <v>744</v>
      </c>
      <c r="F517" s="100">
        <v>69.31</v>
      </c>
      <c r="G517" s="102">
        <v>863</v>
      </c>
      <c r="H517" s="71">
        <v>44272</v>
      </c>
      <c r="I517" s="16">
        <v>50704</v>
      </c>
      <c r="J517" s="29" t="s">
        <v>266</v>
      </c>
      <c r="K517" s="93"/>
      <c r="L517" s="93"/>
      <c r="U517" s="82"/>
      <c r="V517" s="82"/>
      <c r="W517" s="20"/>
      <c r="X517" s="20"/>
      <c r="Y517" s="20"/>
      <c r="Z517" s="20"/>
      <c r="AA517" s="20"/>
    </row>
    <row r="518" spans="1:27">
      <c r="A518" s="109"/>
      <c r="B518" s="1663" t="s">
        <v>312</v>
      </c>
      <c r="C518" s="1655" t="s">
        <v>313</v>
      </c>
      <c r="D518" s="67">
        <v>4.6500000000000004</v>
      </c>
      <c r="E518" s="68">
        <v>1411</v>
      </c>
      <c r="F518" s="100">
        <v>4.72</v>
      </c>
      <c r="G518" s="102">
        <v>99</v>
      </c>
      <c r="H518" s="71">
        <v>44271</v>
      </c>
      <c r="I518" s="16">
        <f>D518*E518</f>
        <v>6561.1500000000005</v>
      </c>
      <c r="J518" s="29" t="s">
        <v>266</v>
      </c>
      <c r="K518" s="93"/>
      <c r="L518" s="93"/>
      <c r="U518" s="82"/>
      <c r="V518" s="82"/>
      <c r="W518" s="20"/>
      <c r="X518" s="20"/>
      <c r="Y518" s="20"/>
      <c r="Z518" s="20"/>
      <c r="AA518" s="20"/>
    </row>
    <row r="519" spans="1:27">
      <c r="A519" s="109"/>
      <c r="B519" s="1663" t="s">
        <v>178</v>
      </c>
      <c r="C519" s="1655" t="s">
        <v>709</v>
      </c>
      <c r="D519" s="67">
        <v>10.16</v>
      </c>
      <c r="E519" s="68">
        <v>5906</v>
      </c>
      <c r="F519" s="100">
        <v>10.67</v>
      </c>
      <c r="G519" s="102">
        <v>3012</v>
      </c>
      <c r="H519" s="71">
        <v>44271</v>
      </c>
      <c r="I519" s="16">
        <v>60000</v>
      </c>
      <c r="J519" s="29" t="s">
        <v>90</v>
      </c>
      <c r="K519" s="93"/>
      <c r="L519" s="93"/>
      <c r="U519" s="82"/>
      <c r="V519" s="82"/>
      <c r="W519" s="20"/>
      <c r="X519" s="20"/>
      <c r="Y519" s="20"/>
      <c r="Z519" s="20"/>
      <c r="AA519" s="20"/>
    </row>
    <row r="520" spans="1:27">
      <c r="A520" s="109"/>
      <c r="B520" s="1663" t="s">
        <v>178</v>
      </c>
      <c r="C520" s="1655" t="s">
        <v>709</v>
      </c>
      <c r="D520" s="67">
        <v>10.43</v>
      </c>
      <c r="E520" s="68">
        <v>14705</v>
      </c>
      <c r="F520" s="100">
        <v>10.64</v>
      </c>
      <c r="G520" s="102">
        <v>3025</v>
      </c>
      <c r="H520" s="71">
        <v>44271</v>
      </c>
      <c r="I520" s="16">
        <v>153436</v>
      </c>
      <c r="J520" s="29" t="s">
        <v>90</v>
      </c>
      <c r="K520" s="93"/>
      <c r="L520" s="93"/>
      <c r="U520" s="82"/>
      <c r="V520" s="82"/>
      <c r="W520" s="20"/>
      <c r="X520" s="20"/>
      <c r="Y520" s="20"/>
      <c r="Z520" s="20"/>
      <c r="AA520" s="20"/>
    </row>
    <row r="521" spans="1:27">
      <c r="A521" s="109"/>
      <c r="B521" s="1663" t="s">
        <v>579</v>
      </c>
      <c r="C521" s="1655" t="s">
        <v>580</v>
      </c>
      <c r="D521" s="67">
        <v>28.65</v>
      </c>
      <c r="E521" s="68">
        <v>1748</v>
      </c>
      <c r="F521" s="100">
        <v>29.17</v>
      </c>
      <c r="G521" s="102">
        <v>909</v>
      </c>
      <c r="H521" s="71">
        <v>44270</v>
      </c>
      <c r="I521" s="16">
        <v>49988</v>
      </c>
      <c r="J521" s="29" t="s">
        <v>266</v>
      </c>
      <c r="K521" s="93"/>
      <c r="L521" s="93"/>
      <c r="U521" s="82"/>
      <c r="V521" s="82"/>
      <c r="W521" s="20"/>
      <c r="X521" s="20"/>
      <c r="Y521" s="20"/>
      <c r="Z521" s="20"/>
      <c r="AA521" s="20"/>
    </row>
    <row r="522" spans="1:27">
      <c r="A522" s="109"/>
      <c r="B522" s="1663" t="s">
        <v>577</v>
      </c>
      <c r="C522" s="1655" t="s">
        <v>578</v>
      </c>
      <c r="D522" s="67">
        <v>37.83</v>
      </c>
      <c r="E522" s="68">
        <v>2611</v>
      </c>
      <c r="F522" s="100">
        <v>38.06</v>
      </c>
      <c r="G522" s="102">
        <v>601</v>
      </c>
      <c r="H522" s="71">
        <v>44270</v>
      </c>
      <c r="I522" s="16">
        <v>98774</v>
      </c>
      <c r="J522" s="29" t="s">
        <v>266</v>
      </c>
      <c r="K522" s="93"/>
      <c r="L522" s="93"/>
      <c r="U522" s="82"/>
      <c r="V522" s="82"/>
      <c r="W522" s="20"/>
      <c r="X522" s="20"/>
      <c r="Y522" s="20"/>
      <c r="Z522" s="20"/>
      <c r="AA522" s="20"/>
    </row>
    <row r="523" spans="1:27">
      <c r="A523" s="109"/>
      <c r="B523" s="1663" t="s">
        <v>603</v>
      </c>
      <c r="C523" s="1655" t="s">
        <v>604</v>
      </c>
      <c r="D523" s="67">
        <v>11.82</v>
      </c>
      <c r="E523" s="68">
        <v>7191</v>
      </c>
      <c r="F523" s="100">
        <v>12.18</v>
      </c>
      <c r="G523" s="102">
        <v>2589</v>
      </c>
      <c r="H523" s="71">
        <v>44270</v>
      </c>
      <c r="I523" s="16">
        <v>84998</v>
      </c>
      <c r="J523" s="29" t="s">
        <v>671</v>
      </c>
      <c r="K523" s="93"/>
      <c r="L523" s="93"/>
      <c r="U523" s="82"/>
      <c r="V523" s="82"/>
      <c r="W523" s="20"/>
      <c r="X523" s="20"/>
      <c r="Y523" s="20"/>
      <c r="Z523" s="20"/>
      <c r="AA523" s="20"/>
    </row>
    <row r="524" spans="1:27">
      <c r="A524" s="109"/>
      <c r="B524" s="1663" t="s">
        <v>570</v>
      </c>
      <c r="C524" s="1655" t="s">
        <v>571</v>
      </c>
      <c r="D524" s="67">
        <v>67.959999999999994</v>
      </c>
      <c r="E524" s="68">
        <v>1309</v>
      </c>
      <c r="F524" s="100">
        <v>68.98</v>
      </c>
      <c r="G524" s="102">
        <v>11.52</v>
      </c>
      <c r="H524" s="71">
        <v>44270</v>
      </c>
      <c r="I524" s="16">
        <v>89000</v>
      </c>
      <c r="J524" s="29" t="s">
        <v>266</v>
      </c>
      <c r="K524" s="93"/>
      <c r="L524" s="93"/>
      <c r="U524" s="82"/>
      <c r="V524" s="82"/>
      <c r="W524" s="20"/>
      <c r="X524" s="20"/>
      <c r="Y524" s="20"/>
      <c r="Z524" s="20"/>
      <c r="AA524" s="20"/>
    </row>
    <row r="525" spans="1:27">
      <c r="A525" s="109"/>
      <c r="B525" s="1663" t="s">
        <v>264</v>
      </c>
      <c r="C525" s="1655" t="s">
        <v>265</v>
      </c>
      <c r="D525" s="67">
        <v>10.45</v>
      </c>
      <c r="E525" s="68">
        <f>2348+7221</f>
        <v>9569</v>
      </c>
      <c r="F525" s="100">
        <v>10.601000000000001</v>
      </c>
      <c r="G525" s="102">
        <f>352+600+794</f>
        <v>1746</v>
      </c>
      <c r="H525" s="71">
        <v>44266</v>
      </c>
      <c r="I525" s="16">
        <v>99996</v>
      </c>
      <c r="J525" s="29" t="s">
        <v>266</v>
      </c>
      <c r="K525" s="93"/>
      <c r="L525" s="93"/>
      <c r="U525" s="82"/>
      <c r="V525" s="82"/>
      <c r="W525" s="20"/>
      <c r="X525" s="20"/>
      <c r="Y525" s="20"/>
      <c r="Z525" s="20"/>
      <c r="AA525" s="20"/>
    </row>
    <row r="526" spans="1:27">
      <c r="A526" s="109"/>
      <c r="B526" s="1663" t="s">
        <v>47</v>
      </c>
      <c r="C526" s="1655" t="s">
        <v>594</v>
      </c>
      <c r="D526" s="67">
        <v>9.93</v>
      </c>
      <c r="E526" s="68">
        <v>1307</v>
      </c>
      <c r="F526" s="100">
        <v>10.63</v>
      </c>
      <c r="G526" s="102">
        <v>915</v>
      </c>
      <c r="H526" s="71">
        <v>44270</v>
      </c>
      <c r="I526" s="16">
        <v>12979</v>
      </c>
      <c r="J526" s="29" t="s">
        <v>671</v>
      </c>
      <c r="K526" s="93"/>
      <c r="L526" s="93"/>
      <c r="U526" s="82"/>
      <c r="V526" s="82"/>
      <c r="W526" s="20"/>
      <c r="X526" s="20"/>
      <c r="Y526" s="20"/>
      <c r="Z526" s="20"/>
      <c r="AA526" s="20"/>
    </row>
    <row r="527" spans="1:27">
      <c r="A527" s="109"/>
      <c r="B527" s="1663" t="s">
        <v>47</v>
      </c>
      <c r="C527" s="1655" t="s">
        <v>594</v>
      </c>
      <c r="D527" s="67">
        <v>9.93</v>
      </c>
      <c r="E527" s="68">
        <v>705</v>
      </c>
      <c r="F527" s="100">
        <v>10.35</v>
      </c>
      <c r="G527" s="102">
        <v>296</v>
      </c>
      <c r="H527" s="71">
        <v>44264</v>
      </c>
      <c r="I527" s="16">
        <v>7001</v>
      </c>
      <c r="J527" s="29" t="s">
        <v>671</v>
      </c>
      <c r="K527" s="93"/>
      <c r="L527" s="93"/>
      <c r="U527" s="82"/>
      <c r="V527" s="82"/>
      <c r="W527" s="20"/>
      <c r="X527" s="20"/>
      <c r="Y527" s="20"/>
      <c r="Z527" s="20"/>
      <c r="AA527" s="20"/>
    </row>
    <row r="528" spans="1:27">
      <c r="A528" s="109"/>
      <c r="B528" s="1663" t="s">
        <v>47</v>
      </c>
      <c r="C528" s="1655" t="s">
        <v>594</v>
      </c>
      <c r="D528" s="67">
        <v>10.33</v>
      </c>
      <c r="E528" s="68">
        <v>9680</v>
      </c>
      <c r="F528" s="100">
        <v>10.32</v>
      </c>
      <c r="G528" s="159">
        <v>-97</v>
      </c>
      <c r="H528" s="71">
        <v>44264</v>
      </c>
      <c r="I528" s="16">
        <v>99317</v>
      </c>
      <c r="J528" s="29" t="s">
        <v>671</v>
      </c>
      <c r="K528" s="93"/>
      <c r="L528" s="93"/>
      <c r="U528" s="82"/>
      <c r="V528" s="82"/>
      <c r="W528" s="20"/>
      <c r="X528" s="20"/>
      <c r="Y528" s="20"/>
      <c r="Z528" s="20"/>
      <c r="AA528" s="20"/>
    </row>
    <row r="529" spans="1:27">
      <c r="A529" s="109"/>
      <c r="B529" s="1663" t="s">
        <v>572</v>
      </c>
      <c r="C529" s="1655" t="s">
        <v>573</v>
      </c>
      <c r="D529" s="67">
        <v>55.15</v>
      </c>
      <c r="E529" s="68">
        <v>906</v>
      </c>
      <c r="F529" s="100">
        <v>56.25</v>
      </c>
      <c r="G529" s="102">
        <v>997</v>
      </c>
      <c r="H529" s="71">
        <v>44264</v>
      </c>
      <c r="I529" s="16">
        <v>49966</v>
      </c>
      <c r="J529" s="29" t="s">
        <v>266</v>
      </c>
      <c r="K529" s="93"/>
      <c r="L529" s="93"/>
      <c r="U529" s="82"/>
      <c r="V529" s="82"/>
      <c r="W529" s="20"/>
      <c r="X529" s="20"/>
      <c r="Y529" s="20"/>
      <c r="Z529" s="20"/>
      <c r="AA529" s="20"/>
    </row>
    <row r="530" spans="1:27">
      <c r="A530" s="109"/>
      <c r="B530" s="1663" t="s">
        <v>585</v>
      </c>
      <c r="C530" s="1655" t="s">
        <v>586</v>
      </c>
      <c r="D530" s="67">
        <v>14.22</v>
      </c>
      <c r="E530" s="68">
        <v>5979</v>
      </c>
      <c r="F530" s="100">
        <v>14.56</v>
      </c>
      <c r="G530" s="102">
        <v>2033</v>
      </c>
      <c r="H530" s="71">
        <v>44264</v>
      </c>
      <c r="I530" s="16">
        <v>85000</v>
      </c>
      <c r="J530" s="29" t="s">
        <v>266</v>
      </c>
      <c r="K530" s="93"/>
      <c r="L530" s="93"/>
      <c r="U530" s="82"/>
      <c r="V530" s="82"/>
      <c r="W530" s="20"/>
      <c r="X530" s="20"/>
      <c r="Y530" s="20"/>
      <c r="Z530" s="20"/>
      <c r="AA530" s="20"/>
    </row>
    <row r="531" spans="1:27">
      <c r="A531" s="109"/>
      <c r="B531" s="1663" t="s">
        <v>510</v>
      </c>
      <c r="C531" s="1655" t="s">
        <v>511</v>
      </c>
      <c r="D531" s="67">
        <v>17.98</v>
      </c>
      <c r="E531" s="68">
        <v>2780</v>
      </c>
      <c r="F531" s="100">
        <v>17.98</v>
      </c>
      <c r="G531" s="102">
        <v>0</v>
      </c>
      <c r="H531" s="71">
        <v>44264</v>
      </c>
      <c r="I531" s="16">
        <v>49984</v>
      </c>
      <c r="J531" s="29" t="s">
        <v>266</v>
      </c>
      <c r="K531" s="93"/>
      <c r="L531" s="93"/>
      <c r="U531" s="82"/>
      <c r="V531" s="82"/>
      <c r="W531" s="20"/>
      <c r="X531" s="20"/>
      <c r="Y531" s="20"/>
      <c r="Z531" s="20"/>
      <c r="AA531" s="20"/>
    </row>
    <row r="532" spans="1:27">
      <c r="A532" s="109"/>
      <c r="B532" s="1663" t="s">
        <v>664</v>
      </c>
      <c r="C532" s="1655" t="s">
        <v>665</v>
      </c>
      <c r="D532" s="67">
        <v>48.81</v>
      </c>
      <c r="E532" s="68">
        <v>1024</v>
      </c>
      <c r="F532" s="100">
        <v>49.51</v>
      </c>
      <c r="G532" s="102">
        <v>717</v>
      </c>
      <c r="H532" s="71">
        <v>44263</v>
      </c>
      <c r="I532" s="16">
        <v>49889</v>
      </c>
      <c r="J532" s="29" t="s">
        <v>266</v>
      </c>
      <c r="K532" s="93"/>
      <c r="L532" s="93"/>
      <c r="U532" s="82"/>
      <c r="V532" s="82"/>
      <c r="W532" s="20"/>
      <c r="X532" s="20"/>
      <c r="Y532" s="20"/>
      <c r="Z532" s="20"/>
      <c r="AA532" s="20"/>
    </row>
    <row r="533" spans="1:27">
      <c r="A533" s="109"/>
      <c r="B533" s="1663" t="s">
        <v>338</v>
      </c>
      <c r="C533" s="1655" t="s">
        <v>339</v>
      </c>
      <c r="D533" s="67">
        <v>13.14</v>
      </c>
      <c r="E533" s="68">
        <v>3805</v>
      </c>
      <c r="F533" s="100">
        <v>13.27</v>
      </c>
      <c r="G533" s="102">
        <v>495</v>
      </c>
      <c r="H533" s="71">
        <v>44263</v>
      </c>
      <c r="I533" s="16">
        <v>49998</v>
      </c>
      <c r="J533" s="29" t="s">
        <v>266</v>
      </c>
      <c r="K533" s="93"/>
      <c r="L533" s="93"/>
      <c r="U533" s="82"/>
      <c r="V533" s="82"/>
      <c r="W533" s="20"/>
      <c r="X533" s="20"/>
      <c r="Y533" s="20"/>
      <c r="Z533" s="20"/>
      <c r="AA533" s="20"/>
    </row>
    <row r="534" spans="1:27">
      <c r="A534" s="109"/>
      <c r="B534" s="1663" t="s">
        <v>381</v>
      </c>
      <c r="C534" s="1655" t="s">
        <v>592</v>
      </c>
      <c r="D534" s="67">
        <v>6.73</v>
      </c>
      <c r="E534" s="68">
        <v>11380</v>
      </c>
      <c r="F534" s="100">
        <v>6.88</v>
      </c>
      <c r="G534" s="102">
        <v>1730</v>
      </c>
      <c r="H534" s="71">
        <v>44263</v>
      </c>
      <c r="I534" s="16">
        <v>77005</v>
      </c>
      <c r="J534" s="29" t="s">
        <v>266</v>
      </c>
      <c r="K534" s="93"/>
      <c r="L534" s="93"/>
      <c r="U534" s="82"/>
      <c r="V534" s="82"/>
      <c r="W534" s="20"/>
      <c r="X534" s="20"/>
      <c r="Y534" s="20"/>
      <c r="Z534" s="20"/>
      <c r="AA534" s="20"/>
    </row>
    <row r="535" spans="1:27">
      <c r="A535" s="109"/>
      <c r="B535" s="1663" t="s">
        <v>47</v>
      </c>
      <c r="C535" s="1655" t="s">
        <v>594</v>
      </c>
      <c r="D535" s="67">
        <v>9.91</v>
      </c>
      <c r="E535" s="68">
        <v>7545</v>
      </c>
      <c r="F535" s="100">
        <v>10.11</v>
      </c>
      <c r="G535" s="102">
        <v>1509</v>
      </c>
      <c r="H535" s="71">
        <v>44263</v>
      </c>
      <c r="I535" s="16">
        <v>74711</v>
      </c>
      <c r="J535" s="29" t="s">
        <v>671</v>
      </c>
      <c r="K535" s="93"/>
      <c r="L535" s="93"/>
      <c r="U535" s="82"/>
      <c r="V535" s="82"/>
      <c r="W535" s="20"/>
      <c r="X535" s="20"/>
      <c r="Y535" s="20"/>
      <c r="Z535" s="20"/>
      <c r="AA535" s="20"/>
    </row>
    <row r="536" spans="1:27">
      <c r="A536" s="109"/>
      <c r="B536" s="1663" t="s">
        <v>47</v>
      </c>
      <c r="C536" s="1655" t="s">
        <v>594</v>
      </c>
      <c r="D536" s="67">
        <v>9.91</v>
      </c>
      <c r="E536" s="68">
        <v>10095</v>
      </c>
      <c r="F536" s="100">
        <v>10.06</v>
      </c>
      <c r="G536" s="102">
        <v>1519</v>
      </c>
      <c r="H536" s="71">
        <v>44259</v>
      </c>
      <c r="I536" s="16">
        <v>100036</v>
      </c>
      <c r="J536" s="29" t="s">
        <v>671</v>
      </c>
      <c r="K536" s="93"/>
      <c r="L536" s="93"/>
      <c r="U536" s="82"/>
      <c r="V536" s="82"/>
      <c r="W536" s="20"/>
      <c r="X536" s="20"/>
      <c r="Y536" s="20"/>
      <c r="Z536" s="20"/>
      <c r="AA536" s="20"/>
    </row>
    <row r="537" spans="1:27" ht="25.5">
      <c r="A537" s="109"/>
      <c r="B537" s="1663" t="s">
        <v>581</v>
      </c>
      <c r="C537" s="1655" t="s">
        <v>691</v>
      </c>
      <c r="D537" s="67">
        <v>11.82</v>
      </c>
      <c r="E537" s="68">
        <v>1945</v>
      </c>
      <c r="F537" s="100">
        <v>11.94</v>
      </c>
      <c r="G537" s="102">
        <v>233</v>
      </c>
      <c r="H537" s="71">
        <v>44258</v>
      </c>
      <c r="I537" s="16">
        <v>22990</v>
      </c>
      <c r="J537" s="29" t="s">
        <v>40</v>
      </c>
      <c r="K537" s="93"/>
      <c r="L537" s="93"/>
      <c r="U537" s="82"/>
      <c r="V537" s="82"/>
      <c r="W537" s="20"/>
      <c r="X537" s="20"/>
      <c r="Y537" s="20"/>
      <c r="Z537" s="20"/>
      <c r="AA537" s="20"/>
    </row>
    <row r="538" spans="1:27">
      <c r="A538" s="109"/>
      <c r="B538" s="1663" t="s">
        <v>340</v>
      </c>
      <c r="C538" s="1655" t="s">
        <v>341</v>
      </c>
      <c r="D538" s="67">
        <v>12.72</v>
      </c>
      <c r="E538" s="68">
        <v>3930</v>
      </c>
      <c r="F538" s="100">
        <v>12.99</v>
      </c>
      <c r="G538" s="102">
        <v>1061</v>
      </c>
      <c r="H538" s="71">
        <v>44258</v>
      </c>
      <c r="I538" s="16">
        <v>99733</v>
      </c>
      <c r="J538" s="29" t="s">
        <v>266</v>
      </c>
      <c r="K538" s="93"/>
      <c r="L538" s="93"/>
      <c r="U538" s="82"/>
      <c r="V538" s="82"/>
      <c r="W538" s="20"/>
      <c r="X538" s="20"/>
      <c r="Y538" s="20"/>
      <c r="Z538" s="20"/>
      <c r="AA538" s="20"/>
    </row>
    <row r="539" spans="1:27">
      <c r="A539" s="109"/>
      <c r="B539" s="1663" t="s">
        <v>547</v>
      </c>
      <c r="C539" s="1655" t="s">
        <v>548</v>
      </c>
      <c r="D539" s="67">
        <v>6.23</v>
      </c>
      <c r="E539" s="68">
        <v>8012</v>
      </c>
      <c r="F539" s="100">
        <v>6.38</v>
      </c>
      <c r="G539" s="102">
        <v>1202</v>
      </c>
      <c r="H539" s="71">
        <v>44257</v>
      </c>
      <c r="I539" s="16">
        <v>50080</v>
      </c>
      <c r="J539" s="29" t="s">
        <v>266</v>
      </c>
      <c r="K539" s="93"/>
      <c r="L539" s="93"/>
      <c r="U539" s="82"/>
      <c r="V539" s="82"/>
      <c r="W539" s="20"/>
      <c r="X539" s="20"/>
      <c r="Y539" s="20"/>
      <c r="Z539" s="20"/>
      <c r="AA539" s="20"/>
    </row>
    <row r="540" spans="1:27">
      <c r="A540" s="109"/>
      <c r="B540" s="1663"/>
      <c r="C540" s="1655"/>
      <c r="D540" s="67"/>
      <c r="E540" s="68"/>
      <c r="F540" s="156" t="s">
        <v>26</v>
      </c>
      <c r="G540" s="124">
        <f>SUM(G541:G577)</f>
        <v>34940.19</v>
      </c>
      <c r="H540" s="69" t="s">
        <v>549</v>
      </c>
      <c r="I540" s="16">
        <f>211-175</f>
        <v>36</v>
      </c>
      <c r="J540" s="29"/>
      <c r="K540" s="93"/>
      <c r="L540" s="93"/>
      <c r="U540" s="82"/>
      <c r="V540" s="82"/>
      <c r="W540" s="20"/>
      <c r="X540" s="20"/>
      <c r="Y540" s="20"/>
      <c r="Z540" s="20"/>
      <c r="AA540" s="20"/>
    </row>
    <row r="541" spans="1:27">
      <c r="A541" s="109"/>
      <c r="B541" s="1663" t="s">
        <v>585</v>
      </c>
      <c r="C541" s="1655" t="s">
        <v>586</v>
      </c>
      <c r="D541" s="67">
        <v>13.94</v>
      </c>
      <c r="E541" s="68">
        <v>7173</v>
      </c>
      <c r="F541" s="166">
        <v>14.09</v>
      </c>
      <c r="G541" s="94">
        <v>1076</v>
      </c>
      <c r="H541" s="71">
        <v>44253</v>
      </c>
      <c r="I541" s="16">
        <v>100000</v>
      </c>
      <c r="J541" s="29" t="s">
        <v>266</v>
      </c>
      <c r="K541" s="93"/>
      <c r="L541" s="93"/>
      <c r="M541" s="16">
        <f>G541+G545+G546+G547+G548+G549+G550+G558+G559+G560+G561+G562+G563+G565+G568+G569+G570+G572+G575+G576+G577</f>
        <v>24148</v>
      </c>
      <c r="N541" s="2088" t="s">
        <v>710</v>
      </c>
      <c r="O541" s="2087"/>
      <c r="T541" s="9"/>
      <c r="U541" s="82"/>
      <c r="V541" s="82"/>
      <c r="W541" s="20"/>
      <c r="X541" s="20"/>
      <c r="Y541" s="20"/>
      <c r="Z541" s="20"/>
      <c r="AA541" s="20"/>
    </row>
    <row r="542" spans="1:27">
      <c r="A542" s="109"/>
      <c r="B542" s="1663" t="s">
        <v>711</v>
      </c>
      <c r="C542" s="1655" t="s">
        <v>712</v>
      </c>
      <c r="D542" s="67">
        <v>21.75</v>
      </c>
      <c r="E542" s="68">
        <v>4600</v>
      </c>
      <c r="F542" s="166">
        <v>22.2</v>
      </c>
      <c r="G542" s="94">
        <v>2070</v>
      </c>
      <c r="H542" s="71">
        <v>44253</v>
      </c>
      <c r="I542" s="16">
        <v>100071</v>
      </c>
      <c r="J542" s="29" t="s">
        <v>90</v>
      </c>
      <c r="K542" s="93"/>
      <c r="L542" s="93"/>
      <c r="T542" s="9"/>
      <c r="U542" s="82"/>
      <c r="V542" s="82"/>
      <c r="W542" s="20"/>
      <c r="X542" s="20"/>
      <c r="Y542" s="20"/>
      <c r="Z542" s="20"/>
      <c r="AA542" s="20"/>
    </row>
    <row r="543" spans="1:27">
      <c r="A543" s="109"/>
      <c r="B543" s="1663" t="s">
        <v>638</v>
      </c>
      <c r="C543" s="1655" t="s">
        <v>713</v>
      </c>
      <c r="D543" s="67">
        <v>62.88</v>
      </c>
      <c r="E543" s="68">
        <v>1590</v>
      </c>
      <c r="F543" s="166">
        <v>64.16</v>
      </c>
      <c r="G543" s="94">
        <v>2035</v>
      </c>
      <c r="H543" s="71">
        <v>44253</v>
      </c>
      <c r="I543" s="16">
        <v>99979</v>
      </c>
      <c r="J543" s="29" t="s">
        <v>90</v>
      </c>
      <c r="K543" s="93"/>
      <c r="L543" s="93"/>
      <c r="T543" s="9"/>
      <c r="U543" s="82"/>
      <c r="V543" s="82"/>
      <c r="W543" s="20"/>
      <c r="X543" s="20"/>
      <c r="Y543" s="20"/>
      <c r="Z543" s="20"/>
      <c r="AA543" s="20"/>
    </row>
    <row r="544" spans="1:27" ht="25.5">
      <c r="A544" s="109"/>
      <c r="B544" s="1663" t="s">
        <v>62</v>
      </c>
      <c r="C544" s="1655" t="s">
        <v>643</v>
      </c>
      <c r="D544" s="67">
        <v>13.75</v>
      </c>
      <c r="E544" s="68">
        <v>7272</v>
      </c>
      <c r="F544" s="166">
        <v>13.04</v>
      </c>
      <c r="G544" s="167">
        <f>-5164+654.48</f>
        <v>-4509.5200000000004</v>
      </c>
      <c r="H544" s="71">
        <v>44252</v>
      </c>
      <c r="I544" s="16">
        <v>99990</v>
      </c>
      <c r="J544" s="29" t="s">
        <v>40</v>
      </c>
      <c r="K544" s="93"/>
      <c r="L544" s="93"/>
      <c r="T544" s="9"/>
      <c r="U544" s="82"/>
      <c r="V544" s="82"/>
      <c r="W544" s="20"/>
      <c r="X544" s="20"/>
      <c r="Y544" s="20"/>
      <c r="Z544" s="20"/>
      <c r="AA544" s="20"/>
    </row>
    <row r="545" spans="1:27">
      <c r="A545" s="109"/>
      <c r="B545" s="1663" t="s">
        <v>56</v>
      </c>
      <c r="C545" s="1655" t="s">
        <v>546</v>
      </c>
      <c r="D545" s="67">
        <v>21.31</v>
      </c>
      <c r="E545" s="68">
        <v>2346</v>
      </c>
      <c r="F545" s="166">
        <v>21.72</v>
      </c>
      <c r="G545" s="94">
        <v>962</v>
      </c>
      <c r="H545" s="71">
        <v>44252</v>
      </c>
      <c r="I545" s="16">
        <v>49984</v>
      </c>
      <c r="J545" s="29" t="s">
        <v>266</v>
      </c>
      <c r="K545" s="93"/>
      <c r="L545" s="93"/>
      <c r="T545" s="9"/>
      <c r="U545" s="82"/>
      <c r="V545" s="82"/>
      <c r="W545" s="20"/>
      <c r="X545" s="20"/>
      <c r="Y545" s="20"/>
      <c r="Z545" s="20"/>
      <c r="AA545" s="20"/>
    </row>
    <row r="546" spans="1:27">
      <c r="A546" s="109"/>
      <c r="B546" s="1663" t="s">
        <v>381</v>
      </c>
      <c r="C546" s="1655" t="s">
        <v>592</v>
      </c>
      <c r="D546" s="67">
        <v>6.47</v>
      </c>
      <c r="E546" s="68">
        <v>8809</v>
      </c>
      <c r="F546" s="166">
        <v>6.6</v>
      </c>
      <c r="G546" s="94">
        <v>1145</v>
      </c>
      <c r="H546" s="71">
        <v>44251</v>
      </c>
      <c r="I546" s="16">
        <v>57000</v>
      </c>
      <c r="J546" s="29" t="s">
        <v>266</v>
      </c>
      <c r="K546" s="93"/>
      <c r="L546" s="93"/>
      <c r="T546" s="9"/>
      <c r="U546" s="82"/>
      <c r="V546" s="82"/>
      <c r="W546" s="20"/>
      <c r="X546" s="20"/>
      <c r="Y546" s="20"/>
      <c r="Z546" s="20"/>
      <c r="AA546" s="20"/>
    </row>
    <row r="547" spans="1:27">
      <c r="A547" s="109"/>
      <c r="B547" s="1663" t="s">
        <v>603</v>
      </c>
      <c r="C547" s="1655" t="s">
        <v>604</v>
      </c>
      <c r="D547" s="67">
        <v>10.9</v>
      </c>
      <c r="E547" s="68">
        <v>9174</v>
      </c>
      <c r="F547" s="166">
        <v>11.13</v>
      </c>
      <c r="G547" s="94">
        <v>2110</v>
      </c>
      <c r="H547" s="71">
        <v>44251</v>
      </c>
      <c r="I547" s="16">
        <v>99998</v>
      </c>
      <c r="J547" s="29" t="s">
        <v>266</v>
      </c>
      <c r="K547" s="93"/>
      <c r="L547" s="93"/>
      <c r="T547" s="9"/>
      <c r="U547" s="82"/>
      <c r="V547" s="82"/>
      <c r="W547" s="20"/>
      <c r="X547" s="20"/>
      <c r="Y547" s="20"/>
      <c r="Z547" s="20"/>
      <c r="AA547" s="20"/>
    </row>
    <row r="548" spans="1:27">
      <c r="A548" s="109"/>
      <c r="B548" s="1663" t="s">
        <v>350</v>
      </c>
      <c r="C548" s="1655" t="s">
        <v>593</v>
      </c>
      <c r="D548" s="67">
        <v>19.97</v>
      </c>
      <c r="E548" s="68">
        <v>5042</v>
      </c>
      <c r="F548" s="166">
        <v>20.16</v>
      </c>
      <c r="G548" s="94">
        <v>958</v>
      </c>
      <c r="H548" s="71">
        <v>44250</v>
      </c>
      <c r="I548" s="16">
        <v>100689</v>
      </c>
      <c r="J548" s="29" t="s">
        <v>266</v>
      </c>
      <c r="K548" s="93"/>
      <c r="L548" s="93"/>
      <c r="T548" s="9"/>
      <c r="U548" s="82"/>
      <c r="V548" s="82"/>
      <c r="W548" s="20"/>
      <c r="X548" s="20"/>
      <c r="Y548" s="20"/>
      <c r="Z548" s="20"/>
      <c r="AA548" s="20"/>
    </row>
    <row r="549" spans="1:27">
      <c r="A549" s="109"/>
      <c r="B549" s="1663" t="s">
        <v>601</v>
      </c>
      <c r="C549" s="1655" t="s">
        <v>602</v>
      </c>
      <c r="D549" s="67">
        <v>19.13</v>
      </c>
      <c r="E549" s="68">
        <v>2613</v>
      </c>
      <c r="F549" s="166">
        <v>19.62</v>
      </c>
      <c r="G549" s="94">
        <v>1280</v>
      </c>
      <c r="H549" s="71">
        <v>44250</v>
      </c>
      <c r="I549" s="16">
        <v>49987</v>
      </c>
      <c r="J549" s="29" t="s">
        <v>266</v>
      </c>
      <c r="K549" s="93"/>
      <c r="L549" s="93"/>
      <c r="T549" s="9"/>
      <c r="U549" s="82"/>
      <c r="V549" s="82"/>
      <c r="W549" s="20"/>
      <c r="X549" s="20"/>
      <c r="Y549" s="20"/>
      <c r="Z549" s="20"/>
      <c r="AA549" s="20"/>
    </row>
    <row r="550" spans="1:27">
      <c r="A550" s="109"/>
      <c r="B550" s="1663" t="s">
        <v>660</v>
      </c>
      <c r="C550" s="1655" t="s">
        <v>714</v>
      </c>
      <c r="D550" s="67">
        <v>21.7</v>
      </c>
      <c r="E550" s="68">
        <v>2304</v>
      </c>
      <c r="F550" s="166">
        <v>22.18</v>
      </c>
      <c r="G550" s="94">
        <v>1106</v>
      </c>
      <c r="H550" s="71">
        <v>44250</v>
      </c>
      <c r="I550" s="16">
        <v>50043</v>
      </c>
      <c r="J550" s="29" t="s">
        <v>266</v>
      </c>
      <c r="K550" s="93"/>
      <c r="L550" s="93"/>
      <c r="T550" s="9"/>
      <c r="U550" s="82"/>
      <c r="V550" s="82"/>
      <c r="W550" s="20"/>
      <c r="X550" s="20"/>
      <c r="Y550" s="20"/>
      <c r="Z550" s="20"/>
      <c r="AA550" s="20"/>
    </row>
    <row r="551" spans="1:27">
      <c r="A551" s="109"/>
      <c r="B551" s="1663" t="s">
        <v>715</v>
      </c>
      <c r="C551" s="1655" t="s">
        <v>716</v>
      </c>
      <c r="D551" s="67">
        <v>351.67</v>
      </c>
      <c r="E551" s="68">
        <v>1</v>
      </c>
      <c r="F551" s="166">
        <v>355.86</v>
      </c>
      <c r="G551" s="94">
        <v>4</v>
      </c>
      <c r="H551" s="71">
        <v>44249</v>
      </c>
      <c r="I551" s="16">
        <v>351.67</v>
      </c>
      <c r="J551" s="29" t="s">
        <v>671</v>
      </c>
      <c r="K551" s="93"/>
      <c r="L551" s="93"/>
      <c r="T551" s="9"/>
      <c r="U551" s="82"/>
      <c r="V551" s="82"/>
      <c r="W551" s="20"/>
      <c r="X551" s="20"/>
      <c r="Y551" s="20"/>
      <c r="Z551" s="20"/>
      <c r="AA551" s="20"/>
    </row>
    <row r="552" spans="1:27">
      <c r="A552" s="109"/>
      <c r="B552" s="1663" t="s">
        <v>717</v>
      </c>
      <c r="C552" s="1655" t="s">
        <v>718</v>
      </c>
      <c r="D552" s="67">
        <v>24.85</v>
      </c>
      <c r="E552" s="68">
        <v>4025</v>
      </c>
      <c r="F552" s="166">
        <v>25.49</v>
      </c>
      <c r="G552" s="94">
        <v>2575</v>
      </c>
      <c r="H552" s="71">
        <v>44249</v>
      </c>
      <c r="I552" s="16">
        <v>100000</v>
      </c>
      <c r="J552" s="29" t="s">
        <v>90</v>
      </c>
      <c r="K552" s="93"/>
      <c r="L552" s="93"/>
      <c r="T552" s="9"/>
      <c r="U552" s="82"/>
      <c r="V552" s="82"/>
      <c r="W552" s="20"/>
      <c r="X552" s="20"/>
      <c r="Y552" s="20"/>
      <c r="Z552" s="20"/>
      <c r="AA552" s="20"/>
    </row>
    <row r="553" spans="1:27">
      <c r="A553" s="109"/>
      <c r="B553" s="1663" t="s">
        <v>196</v>
      </c>
      <c r="C553" s="1655" t="s">
        <v>719</v>
      </c>
      <c r="D553" s="68">
        <v>0</v>
      </c>
      <c r="E553" s="68">
        <v>42</v>
      </c>
      <c r="F553" s="166">
        <v>11.55</v>
      </c>
      <c r="G553" s="94">
        <v>485</v>
      </c>
      <c r="H553" s="71">
        <v>44249</v>
      </c>
      <c r="I553" s="16">
        <v>0</v>
      </c>
      <c r="J553" s="29" t="s">
        <v>720</v>
      </c>
      <c r="K553" s="93"/>
      <c r="L553" s="93"/>
      <c r="T553" s="9"/>
      <c r="U553" s="82"/>
      <c r="V553" s="82"/>
      <c r="W553" s="20"/>
      <c r="X553" s="20"/>
      <c r="Y553" s="20"/>
      <c r="Z553" s="20"/>
      <c r="AA553" s="20"/>
    </row>
    <row r="554" spans="1:27">
      <c r="A554" s="109"/>
      <c r="B554" s="1663" t="s">
        <v>721</v>
      </c>
      <c r="C554" s="1655" t="s">
        <v>722</v>
      </c>
      <c r="D554" s="68">
        <v>0</v>
      </c>
      <c r="E554" s="68">
        <f>G554/F554</f>
        <v>4.9988200589970502</v>
      </c>
      <c r="F554" s="166">
        <v>16.95</v>
      </c>
      <c r="G554" s="94">
        <v>84.73</v>
      </c>
      <c r="H554" s="71">
        <v>44246</v>
      </c>
      <c r="I554" s="16">
        <v>0</v>
      </c>
      <c r="J554" s="29" t="s">
        <v>720</v>
      </c>
      <c r="K554" s="93"/>
      <c r="L554" s="93"/>
      <c r="T554" s="9"/>
      <c r="U554" s="82"/>
      <c r="V554" s="82"/>
      <c r="W554" s="20"/>
      <c r="X554" s="20"/>
      <c r="Y554" s="20"/>
      <c r="Z554" s="20"/>
      <c r="AA554" s="20"/>
    </row>
    <row r="555" spans="1:27">
      <c r="A555" s="109"/>
      <c r="B555" s="1663" t="s">
        <v>723</v>
      </c>
      <c r="C555" s="1655" t="s">
        <v>724</v>
      </c>
      <c r="D555" s="68">
        <v>0</v>
      </c>
      <c r="E555" s="68">
        <v>13</v>
      </c>
      <c r="F555" s="166">
        <v>12.28</v>
      </c>
      <c r="G555" s="94">
        <v>159.49</v>
      </c>
      <c r="H555" s="71">
        <v>44246</v>
      </c>
      <c r="I555" s="16">
        <v>0</v>
      </c>
      <c r="J555" s="29" t="s">
        <v>720</v>
      </c>
      <c r="K555" s="93"/>
      <c r="L555" s="93"/>
      <c r="T555" s="9"/>
      <c r="U555" s="82"/>
      <c r="V555" s="82"/>
      <c r="W555" s="20"/>
      <c r="X555" s="20"/>
      <c r="Y555" s="20"/>
      <c r="Z555" s="20"/>
      <c r="AA555" s="20"/>
    </row>
    <row r="556" spans="1:27">
      <c r="A556" s="109"/>
      <c r="B556" s="1663" t="s">
        <v>669</v>
      </c>
      <c r="C556" s="1655" t="s">
        <v>725</v>
      </c>
      <c r="D556" s="68">
        <v>3330</v>
      </c>
      <c r="E556" s="68">
        <v>15</v>
      </c>
      <c r="F556" s="68">
        <v>3330</v>
      </c>
      <c r="G556" s="94">
        <v>6</v>
      </c>
      <c r="H556" s="71">
        <v>44246</v>
      </c>
      <c r="I556" s="16">
        <v>49950</v>
      </c>
      <c r="J556" s="29" t="s">
        <v>671</v>
      </c>
      <c r="K556" s="93"/>
      <c r="L556" s="93"/>
      <c r="T556" s="9"/>
      <c r="U556" s="82"/>
      <c r="V556" s="82"/>
      <c r="W556" s="20"/>
      <c r="X556" s="20"/>
      <c r="Y556" s="20"/>
      <c r="Z556" s="20"/>
      <c r="AA556" s="20"/>
    </row>
    <row r="557" spans="1:27" ht="25.5">
      <c r="A557" s="109"/>
      <c r="B557" s="1663" t="s">
        <v>167</v>
      </c>
      <c r="C557" s="1655" t="s">
        <v>652</v>
      </c>
      <c r="D557" s="67">
        <v>17.28</v>
      </c>
      <c r="E557" s="68">
        <v>5797</v>
      </c>
      <c r="F557" s="166">
        <v>17.47</v>
      </c>
      <c r="G557" s="94">
        <v>1101</v>
      </c>
      <c r="H557" s="71">
        <v>44245</v>
      </c>
      <c r="I557" s="16">
        <v>100172</v>
      </c>
      <c r="J557" s="29" t="s">
        <v>40</v>
      </c>
      <c r="K557" s="93"/>
      <c r="L557" s="93"/>
      <c r="T557" s="9"/>
      <c r="U557" s="82"/>
      <c r="V557" s="82"/>
      <c r="W557" s="20"/>
      <c r="X557" s="20"/>
      <c r="Y557" s="20"/>
      <c r="Z557" s="20"/>
      <c r="AA557" s="20"/>
    </row>
    <row r="558" spans="1:27">
      <c r="A558" s="109"/>
      <c r="B558" s="1663" t="s">
        <v>403</v>
      </c>
      <c r="C558" s="1655" t="s">
        <v>619</v>
      </c>
      <c r="D558" s="67">
        <v>43.1</v>
      </c>
      <c r="E558" s="68">
        <v>1160</v>
      </c>
      <c r="F558" s="166">
        <v>43.79</v>
      </c>
      <c r="G558" s="94">
        <v>800</v>
      </c>
      <c r="H558" s="71">
        <v>44244</v>
      </c>
      <c r="I558" s="16">
        <v>49996</v>
      </c>
      <c r="J558" s="29" t="s">
        <v>266</v>
      </c>
      <c r="K558" s="93"/>
      <c r="L558" s="93"/>
      <c r="T558" s="9"/>
      <c r="U558" s="82"/>
      <c r="V558" s="82"/>
      <c r="W558" s="20"/>
      <c r="X558" s="20"/>
      <c r="Y558" s="20"/>
      <c r="Z558" s="168" t="s">
        <v>726</v>
      </c>
      <c r="AA558" s="20"/>
    </row>
    <row r="559" spans="1:27" ht="38.25">
      <c r="A559" s="109"/>
      <c r="B559" s="1663" t="s">
        <v>601</v>
      </c>
      <c r="C559" s="1655" t="s">
        <v>602</v>
      </c>
      <c r="D559" s="67">
        <v>17.57</v>
      </c>
      <c r="E559" s="68">
        <v>2855</v>
      </c>
      <c r="F559" s="166">
        <v>17.989999999999998</v>
      </c>
      <c r="G559" s="94">
        <v>1199</v>
      </c>
      <c r="H559" s="71">
        <v>44243</v>
      </c>
      <c r="I559" s="16">
        <v>50162</v>
      </c>
      <c r="J559" s="29" t="s">
        <v>266</v>
      </c>
      <c r="K559" s="93"/>
      <c r="L559" s="93"/>
      <c r="T559" s="9"/>
      <c r="U559" s="82"/>
      <c r="V559" s="82"/>
      <c r="W559" s="20"/>
      <c r="X559" s="20"/>
      <c r="Y559" s="20"/>
      <c r="Z559" s="20" t="s">
        <v>727</v>
      </c>
      <c r="AA559" s="20"/>
    </row>
    <row r="560" spans="1:27">
      <c r="A560" s="109"/>
      <c r="B560" s="1663" t="s">
        <v>610</v>
      </c>
      <c r="C560" s="1655" t="s">
        <v>611</v>
      </c>
      <c r="D560" s="67">
        <v>184.01</v>
      </c>
      <c r="E560" s="68">
        <v>542</v>
      </c>
      <c r="F560" s="166">
        <v>189.9</v>
      </c>
      <c r="G560" s="94">
        <v>1566</v>
      </c>
      <c r="H560" s="71">
        <v>44243</v>
      </c>
      <c r="I560" s="16">
        <v>99733</v>
      </c>
      <c r="J560" s="29" t="s">
        <v>266</v>
      </c>
      <c r="K560" s="93"/>
      <c r="L560" s="93"/>
      <c r="T560" s="9"/>
      <c r="U560" s="82"/>
      <c r="V560" s="82"/>
      <c r="W560" s="20"/>
      <c r="X560" s="20"/>
      <c r="Y560" s="20"/>
      <c r="Z560" s="20"/>
      <c r="AA560" s="20"/>
    </row>
    <row r="561" spans="1:27">
      <c r="A561" s="109"/>
      <c r="B561" s="1663" t="s">
        <v>728</v>
      </c>
      <c r="C561" s="1655" t="s">
        <v>729</v>
      </c>
      <c r="D561" s="67">
        <v>92.11</v>
      </c>
      <c r="E561" s="68">
        <v>542</v>
      </c>
      <c r="F561" s="166">
        <v>94.24</v>
      </c>
      <c r="G561" s="94">
        <v>1154</v>
      </c>
      <c r="H561" s="71">
        <v>44243</v>
      </c>
      <c r="I561" s="16">
        <v>49924</v>
      </c>
      <c r="J561" s="29" t="s">
        <v>266</v>
      </c>
      <c r="K561" s="93"/>
      <c r="L561" s="93"/>
      <c r="T561" s="9"/>
      <c r="U561" s="82"/>
      <c r="V561" s="82"/>
      <c r="W561" s="20"/>
      <c r="X561" s="20"/>
      <c r="Y561" s="20"/>
      <c r="Z561" s="20"/>
      <c r="AA561" s="20"/>
    </row>
    <row r="562" spans="1:27">
      <c r="A562" s="109"/>
      <c r="B562" s="1663" t="s">
        <v>617</v>
      </c>
      <c r="C562" s="1655" t="s">
        <v>618</v>
      </c>
      <c r="D562" s="67">
        <v>120.35</v>
      </c>
      <c r="E562" s="68">
        <v>415</v>
      </c>
      <c r="F562" s="166">
        <v>122.35</v>
      </c>
      <c r="G562" s="94">
        <v>830</v>
      </c>
      <c r="H562" s="71">
        <v>44237</v>
      </c>
      <c r="I562" s="16">
        <v>49945</v>
      </c>
      <c r="J562" s="29" t="s">
        <v>266</v>
      </c>
      <c r="K562" s="93"/>
      <c r="L562" s="93"/>
      <c r="T562" s="9"/>
      <c r="U562" s="82"/>
      <c r="V562" s="82"/>
      <c r="W562" s="20"/>
      <c r="X562" s="20"/>
      <c r="Y562" s="20"/>
      <c r="Z562" s="20"/>
      <c r="AA562" s="20"/>
    </row>
    <row r="563" spans="1:27">
      <c r="A563" s="109"/>
      <c r="B563" s="1663" t="s">
        <v>730</v>
      </c>
      <c r="C563" s="1655" t="s">
        <v>731</v>
      </c>
      <c r="D563" s="67">
        <v>42.31</v>
      </c>
      <c r="E563" s="68">
        <v>1175</v>
      </c>
      <c r="F563" s="166">
        <v>42.31</v>
      </c>
      <c r="G563" s="94">
        <v>0</v>
      </c>
      <c r="H563" s="71">
        <v>44236</v>
      </c>
      <c r="I563" s="16">
        <v>49714</v>
      </c>
      <c r="J563" s="29" t="s">
        <v>266</v>
      </c>
      <c r="K563" s="93"/>
      <c r="L563" s="93"/>
      <c r="T563" s="9"/>
      <c r="U563" s="82"/>
      <c r="V563" s="82"/>
      <c r="W563" s="20"/>
      <c r="X563" s="20"/>
      <c r="Y563" s="20"/>
      <c r="Z563" s="20"/>
      <c r="AA563" s="20"/>
    </row>
    <row r="564" spans="1:27">
      <c r="A564" s="109"/>
      <c r="B564" s="1663" t="s">
        <v>453</v>
      </c>
      <c r="C564" s="1655" t="s">
        <v>732</v>
      </c>
      <c r="D564" s="67">
        <v>86.12</v>
      </c>
      <c r="E564" s="68">
        <v>1250</v>
      </c>
      <c r="F564" s="166">
        <v>89.86</v>
      </c>
      <c r="G564" s="94">
        <v>4670</v>
      </c>
      <c r="H564" s="71">
        <v>44236</v>
      </c>
      <c r="I564" s="16">
        <v>107655</v>
      </c>
      <c r="J564" s="29" t="s">
        <v>90</v>
      </c>
      <c r="K564" s="93"/>
      <c r="L564" s="93"/>
      <c r="T564" s="9"/>
      <c r="U564" s="82"/>
      <c r="V564" s="82"/>
      <c r="W564" s="20"/>
      <c r="X564" s="20"/>
      <c r="Y564" s="20"/>
      <c r="Z564" s="20"/>
      <c r="AA564" s="20"/>
    </row>
    <row r="565" spans="1:27">
      <c r="A565" s="109"/>
      <c r="B565" s="1663" t="s">
        <v>465</v>
      </c>
      <c r="C565" s="1655" t="s">
        <v>466</v>
      </c>
      <c r="D565" s="67">
        <v>148.66</v>
      </c>
      <c r="E565" s="68">
        <v>679</v>
      </c>
      <c r="F565" s="166">
        <v>150.72999999999999</v>
      </c>
      <c r="G565" s="94">
        <v>1406</v>
      </c>
      <c r="H565" s="71">
        <v>44236</v>
      </c>
      <c r="I565" s="16">
        <v>100940</v>
      </c>
      <c r="J565" s="29" t="s">
        <v>266</v>
      </c>
      <c r="K565" s="93"/>
      <c r="L565" s="93"/>
      <c r="T565" s="9"/>
      <c r="U565" s="82"/>
      <c r="V565" s="82"/>
      <c r="W565" s="20"/>
      <c r="X565" s="20"/>
      <c r="Y565" s="20"/>
      <c r="Z565" s="20"/>
      <c r="AA565" s="20"/>
    </row>
    <row r="566" spans="1:27">
      <c r="A566" s="109"/>
      <c r="B566" s="1663" t="s">
        <v>172</v>
      </c>
      <c r="C566" s="1655" t="s">
        <v>733</v>
      </c>
      <c r="D566" s="67">
        <v>44.28</v>
      </c>
      <c r="E566" s="68">
        <v>2258</v>
      </c>
      <c r="F566" s="166">
        <v>43.49</v>
      </c>
      <c r="G566" s="94">
        <v>327</v>
      </c>
      <c r="H566" s="71">
        <v>44232</v>
      </c>
      <c r="I566" s="16">
        <v>99984</v>
      </c>
      <c r="J566" s="29" t="s">
        <v>671</v>
      </c>
      <c r="K566" s="93"/>
      <c r="L566" s="93"/>
      <c r="T566" s="9"/>
      <c r="U566" s="82"/>
      <c r="V566" s="82"/>
      <c r="W566" s="20"/>
      <c r="X566" s="20"/>
      <c r="Y566" s="20"/>
      <c r="Z566" s="20"/>
      <c r="AA566" s="20"/>
    </row>
    <row r="567" spans="1:27">
      <c r="A567" s="109"/>
      <c r="B567" s="1663" t="s">
        <v>734</v>
      </c>
      <c r="C567" s="1655" t="s">
        <v>735</v>
      </c>
      <c r="D567" s="67">
        <v>28.72</v>
      </c>
      <c r="E567" s="68">
        <v>880</v>
      </c>
      <c r="F567" s="166">
        <v>28.1</v>
      </c>
      <c r="G567" s="94">
        <v>3</v>
      </c>
      <c r="H567" s="71">
        <v>44232</v>
      </c>
      <c r="I567" s="16">
        <v>25270</v>
      </c>
      <c r="J567" s="29" t="s">
        <v>671</v>
      </c>
      <c r="K567" s="93"/>
      <c r="L567" s="93"/>
      <c r="T567" s="9"/>
      <c r="U567" s="82"/>
      <c r="V567" s="82"/>
      <c r="W567" s="20"/>
      <c r="X567" s="20"/>
      <c r="Y567" s="20"/>
      <c r="Z567" s="20"/>
      <c r="AA567" s="20"/>
    </row>
    <row r="568" spans="1:27">
      <c r="A568" s="109"/>
      <c r="B568" s="1663" t="s">
        <v>460</v>
      </c>
      <c r="C568" s="1655" t="s">
        <v>461</v>
      </c>
      <c r="D568" s="67">
        <v>43.2</v>
      </c>
      <c r="E568" s="68">
        <v>2322</v>
      </c>
      <c r="F568" s="166">
        <v>43.98</v>
      </c>
      <c r="G568" s="94">
        <v>1811</v>
      </c>
      <c r="H568" s="71">
        <v>44232</v>
      </c>
      <c r="I568" s="16">
        <v>100310</v>
      </c>
      <c r="J568" s="29" t="s">
        <v>266</v>
      </c>
      <c r="K568" s="93"/>
      <c r="L568" s="93"/>
      <c r="T568" s="9"/>
      <c r="U568" s="82"/>
      <c r="V568" s="82"/>
      <c r="W568" s="20"/>
      <c r="X568" s="20"/>
      <c r="Y568" s="20"/>
      <c r="Z568" s="20"/>
      <c r="AA568" s="20"/>
    </row>
    <row r="569" spans="1:27" ht="76.5">
      <c r="A569" s="109"/>
      <c r="B569" s="1663" t="s">
        <v>519</v>
      </c>
      <c r="C569" s="1655" t="s">
        <v>520</v>
      </c>
      <c r="D569" s="67">
        <v>22.66</v>
      </c>
      <c r="E569" s="68">
        <v>8814</v>
      </c>
      <c r="F569" s="166">
        <v>22.85</v>
      </c>
      <c r="G569" s="94">
        <v>1675</v>
      </c>
      <c r="H569" s="71">
        <v>44232</v>
      </c>
      <c r="I569" s="16">
        <v>199793</v>
      </c>
      <c r="J569" s="29" t="s">
        <v>266</v>
      </c>
      <c r="K569" s="93"/>
      <c r="L569" s="93"/>
      <c r="S569" s="3" t="s">
        <v>736</v>
      </c>
      <c r="T569" s="3"/>
      <c r="U569" s="169" t="s">
        <v>737</v>
      </c>
      <c r="V569" s="82"/>
      <c r="W569" s="20"/>
      <c r="X569" s="20"/>
      <c r="Y569" s="20"/>
      <c r="Z569" s="20"/>
      <c r="AA569" s="20"/>
    </row>
    <row r="570" spans="1:27">
      <c r="A570" s="109"/>
      <c r="B570" s="1663" t="s">
        <v>647</v>
      </c>
      <c r="C570" s="1655" t="s">
        <v>673</v>
      </c>
      <c r="D570" s="67">
        <v>41.51</v>
      </c>
      <c r="E570" s="68">
        <v>1200</v>
      </c>
      <c r="F570" s="166">
        <v>42.08</v>
      </c>
      <c r="G570" s="94">
        <f>684+228</f>
        <v>912</v>
      </c>
      <c r="H570" s="71">
        <v>44232</v>
      </c>
      <c r="I570" s="16">
        <v>49812</v>
      </c>
      <c r="J570" s="29" t="s">
        <v>266</v>
      </c>
      <c r="K570" s="93"/>
      <c r="L570" s="93"/>
      <c r="S570" s="9">
        <v>6</v>
      </c>
      <c r="T570" s="9"/>
      <c r="U570" s="82">
        <v>32</v>
      </c>
      <c r="V570" s="82"/>
      <c r="W570" s="20"/>
      <c r="X570" s="20"/>
      <c r="Y570" s="20"/>
      <c r="Z570" s="20"/>
      <c r="AA570" s="20"/>
    </row>
    <row r="571" spans="1:27">
      <c r="A571" s="109"/>
      <c r="B571" s="1663" t="s">
        <v>33</v>
      </c>
      <c r="C571" s="1655" t="s">
        <v>738</v>
      </c>
      <c r="D571" s="67">
        <v>383.12</v>
      </c>
      <c r="E571" s="68">
        <v>7</v>
      </c>
      <c r="F571" s="166">
        <v>385.2</v>
      </c>
      <c r="G571" s="94">
        <v>15</v>
      </c>
      <c r="H571" s="71">
        <v>44231</v>
      </c>
      <c r="I571" s="16">
        <v>2682</v>
      </c>
      <c r="J571" s="29" t="s">
        <v>671</v>
      </c>
      <c r="K571" s="93"/>
      <c r="L571" s="93"/>
      <c r="S571" s="13">
        <f>S570/U574</f>
        <v>0.06</v>
      </c>
      <c r="T571" s="9"/>
      <c r="U571" s="82">
        <v>135</v>
      </c>
      <c r="V571" s="82"/>
      <c r="W571" s="20"/>
      <c r="X571" s="20"/>
      <c r="Y571" s="20"/>
      <c r="Z571" s="20"/>
      <c r="AA571" s="20"/>
    </row>
    <row r="572" spans="1:27">
      <c r="A572" s="109"/>
      <c r="B572" s="1663" t="s">
        <v>547</v>
      </c>
      <c r="C572" s="1655" t="s">
        <v>548</v>
      </c>
      <c r="D572" s="67">
        <v>6.11</v>
      </c>
      <c r="E572" s="68">
        <v>8183</v>
      </c>
      <c r="F572" s="166">
        <v>6.23</v>
      </c>
      <c r="G572" s="94">
        <v>982</v>
      </c>
      <c r="H572" s="71">
        <v>44231</v>
      </c>
      <c r="I572" s="16">
        <v>49998</v>
      </c>
      <c r="J572" s="29" t="s">
        <v>266</v>
      </c>
      <c r="K572" s="93"/>
      <c r="L572" s="93"/>
      <c r="S572" s="13">
        <f>100-6.52</f>
        <v>93.48</v>
      </c>
      <c r="T572" s="9"/>
      <c r="U572" s="82">
        <f>U571-U570</f>
        <v>103</v>
      </c>
      <c r="V572" s="82"/>
      <c r="W572" s="20"/>
      <c r="X572" s="20"/>
      <c r="Y572" s="20"/>
      <c r="Z572" s="20"/>
      <c r="AA572" s="20"/>
    </row>
    <row r="573" spans="1:27">
      <c r="A573" s="109"/>
      <c r="B573" s="1663" t="s">
        <v>47</v>
      </c>
      <c r="C573" s="1655" t="s">
        <v>594</v>
      </c>
      <c r="D573" s="67">
        <v>10.6</v>
      </c>
      <c r="E573" s="68">
        <v>6364</v>
      </c>
      <c r="F573" s="166">
        <v>10.68</v>
      </c>
      <c r="G573" s="94">
        <f>509+445.49</f>
        <v>954.49</v>
      </c>
      <c r="H573" s="71">
        <v>44231</v>
      </c>
      <c r="I573" s="16">
        <v>67462</v>
      </c>
      <c r="J573" s="29" t="s">
        <v>671</v>
      </c>
      <c r="K573" s="93"/>
      <c r="L573" s="93"/>
      <c r="S573" s="12"/>
      <c r="T573" s="9"/>
      <c r="U573" s="82">
        <v>3</v>
      </c>
      <c r="V573" s="82"/>
      <c r="W573" s="20"/>
      <c r="X573" s="20"/>
      <c r="Y573" s="20"/>
      <c r="Z573" s="20"/>
      <c r="AA573" s="20"/>
    </row>
    <row r="574" spans="1:27">
      <c r="A574" s="109"/>
      <c r="B574" s="1663" t="s">
        <v>438</v>
      </c>
      <c r="C574" s="1655" t="s">
        <v>739</v>
      </c>
      <c r="D574" s="67">
        <v>9.83</v>
      </c>
      <c r="E574" s="68">
        <v>5076</v>
      </c>
      <c r="F574" s="166">
        <v>9.99</v>
      </c>
      <c r="G574" s="94">
        <v>812</v>
      </c>
      <c r="H574" s="71">
        <v>44231</v>
      </c>
      <c r="I574" s="16">
        <v>49897</v>
      </c>
      <c r="J574" s="29" t="s">
        <v>671</v>
      </c>
      <c r="K574" s="93"/>
      <c r="L574" s="93"/>
      <c r="T574" s="9"/>
      <c r="U574" s="151">
        <f>U572-U573</f>
        <v>100</v>
      </c>
      <c r="V574" s="82"/>
      <c r="W574" s="20"/>
      <c r="X574" s="20"/>
      <c r="Y574" s="20"/>
      <c r="Z574" s="20"/>
      <c r="AA574" s="20"/>
    </row>
    <row r="575" spans="1:27">
      <c r="A575" s="109"/>
      <c r="B575" s="1663" t="s">
        <v>340</v>
      </c>
      <c r="C575" s="1655" t="s">
        <v>341</v>
      </c>
      <c r="D575" s="67">
        <v>12.98</v>
      </c>
      <c r="E575" s="68">
        <v>3852</v>
      </c>
      <c r="F575" s="166">
        <v>13.2</v>
      </c>
      <c r="G575" s="94">
        <v>848</v>
      </c>
      <c r="H575" s="71">
        <v>44230</v>
      </c>
      <c r="I575" s="16">
        <v>49999</v>
      </c>
      <c r="J575" s="29" t="s">
        <v>266</v>
      </c>
      <c r="K575" s="93"/>
      <c r="L575" s="93"/>
      <c r="T575" s="9"/>
      <c r="U575" s="82"/>
      <c r="V575" s="82"/>
      <c r="W575" s="20"/>
      <c r="X575" s="20"/>
      <c r="Y575" s="20"/>
      <c r="Z575" s="20"/>
      <c r="AA575" s="20"/>
    </row>
    <row r="576" spans="1:27">
      <c r="A576" s="109"/>
      <c r="B576" s="1663" t="s">
        <v>471</v>
      </c>
      <c r="C576" s="1655" t="s">
        <v>472</v>
      </c>
      <c r="D576" s="67">
        <v>23.1</v>
      </c>
      <c r="E576" s="68">
        <v>2165</v>
      </c>
      <c r="F576" s="166">
        <v>23.5</v>
      </c>
      <c r="G576" s="94">
        <v>866</v>
      </c>
      <c r="H576" s="71">
        <v>44229</v>
      </c>
      <c r="I576" s="16">
        <v>50012</v>
      </c>
      <c r="J576" s="29" t="s">
        <v>266</v>
      </c>
      <c r="K576" s="93"/>
      <c r="L576" s="93"/>
      <c r="T576" s="9"/>
      <c r="U576" s="82"/>
      <c r="V576" s="82"/>
      <c r="W576" s="20"/>
      <c r="X576" s="20"/>
      <c r="Y576" s="20"/>
      <c r="Z576" s="20"/>
      <c r="AA576" s="20"/>
    </row>
    <row r="577" spans="1:27">
      <c r="A577" s="109"/>
      <c r="B577" s="1663" t="s">
        <v>338</v>
      </c>
      <c r="C577" s="1655" t="s">
        <v>339</v>
      </c>
      <c r="D577" s="67">
        <v>12.86</v>
      </c>
      <c r="E577" s="68">
        <v>3950</v>
      </c>
      <c r="F577" s="166">
        <v>13.23</v>
      </c>
      <c r="G577" s="94">
        <v>1462</v>
      </c>
      <c r="H577" s="71">
        <v>44229</v>
      </c>
      <c r="I577" s="16">
        <v>50797</v>
      </c>
      <c r="J577" s="29" t="s">
        <v>266</v>
      </c>
      <c r="K577" s="93"/>
      <c r="L577" s="93"/>
      <c r="T577" s="9"/>
      <c r="U577" s="82"/>
      <c r="V577" s="82"/>
      <c r="W577" s="20"/>
      <c r="X577" s="20"/>
      <c r="Y577" s="20"/>
      <c r="Z577" s="20"/>
      <c r="AA577" s="20"/>
    </row>
    <row r="578" spans="1:27" ht="15">
      <c r="A578" s="170"/>
      <c r="B578" s="1678" t="s">
        <v>740</v>
      </c>
      <c r="C578" s="1679"/>
      <c r="D578" s="67"/>
      <c r="E578" s="68"/>
      <c r="F578" s="156" t="s">
        <v>143</v>
      </c>
      <c r="G578" s="124">
        <f>SUM(G579:G626)</f>
        <v>37826.550000000003</v>
      </c>
      <c r="H578" s="69" t="s">
        <v>549</v>
      </c>
      <c r="I578" s="16">
        <f>260-216</f>
        <v>44</v>
      </c>
      <c r="J578" s="29"/>
      <c r="K578" s="106"/>
      <c r="L578" s="93"/>
      <c r="M578" s="3"/>
      <c r="N578" s="3"/>
      <c r="O578" s="3"/>
      <c r="P578" s="3"/>
      <c r="Q578" s="3"/>
      <c r="T578" s="16"/>
      <c r="U578" s="82"/>
      <c r="V578" s="82"/>
      <c r="W578" s="82"/>
      <c r="X578" s="82"/>
      <c r="Y578" s="82"/>
      <c r="Z578" s="20"/>
      <c r="AA578" s="20"/>
    </row>
    <row r="579" spans="1:27" ht="14.25">
      <c r="A579" s="109"/>
      <c r="B579" s="1663" t="s">
        <v>555</v>
      </c>
      <c r="C579" s="1655" t="s">
        <v>556</v>
      </c>
      <c r="D579" s="67">
        <v>61.36</v>
      </c>
      <c r="E579" s="68">
        <v>1630</v>
      </c>
      <c r="F579" s="166">
        <v>61.360100000000003</v>
      </c>
      <c r="G579" s="94">
        <v>74</v>
      </c>
      <c r="H579" s="71">
        <v>44225</v>
      </c>
      <c r="I579" s="16">
        <v>99943</v>
      </c>
      <c r="J579" s="29" t="s">
        <v>266</v>
      </c>
      <c r="K579" s="106"/>
      <c r="L579" s="93"/>
      <c r="M579" s="3"/>
      <c r="N579" s="3"/>
      <c r="O579" s="3"/>
      <c r="P579" s="3"/>
      <c r="Q579" s="3"/>
      <c r="T579" s="16"/>
      <c r="U579" s="82"/>
      <c r="V579" s="82"/>
      <c r="W579" s="20"/>
      <c r="X579" s="20"/>
      <c r="Y579" s="20"/>
      <c r="Z579" s="20"/>
      <c r="AA579" s="20"/>
    </row>
    <row r="580" spans="1:27" ht="14.25">
      <c r="A580" s="109"/>
      <c r="B580" s="1663" t="s">
        <v>568</v>
      </c>
      <c r="C580" s="1655" t="s">
        <v>569</v>
      </c>
      <c r="D580" s="67">
        <v>61.38</v>
      </c>
      <c r="E580" s="68">
        <f>1629+813</f>
        <v>2442</v>
      </c>
      <c r="F580" s="166">
        <v>61.3</v>
      </c>
      <c r="G580" s="167">
        <v>-358</v>
      </c>
      <c r="H580" s="71">
        <v>44225</v>
      </c>
      <c r="I580" s="16">
        <v>99988</v>
      </c>
      <c r="J580" s="29" t="s">
        <v>266</v>
      </c>
      <c r="K580" s="106"/>
      <c r="L580" s="93"/>
      <c r="M580" s="3"/>
      <c r="N580" s="3"/>
      <c r="O580" s="3"/>
      <c r="P580" s="3"/>
      <c r="Q580" s="3"/>
      <c r="T580" s="16"/>
      <c r="U580" s="82"/>
      <c r="V580" s="82"/>
      <c r="W580" s="20"/>
      <c r="X580" s="20"/>
      <c r="Y580" s="20"/>
      <c r="Z580" s="20"/>
      <c r="AA580" s="20"/>
    </row>
    <row r="581" spans="1:27" ht="14.25">
      <c r="A581" s="109"/>
      <c r="B581" s="1663" t="s">
        <v>340</v>
      </c>
      <c r="C581" s="1655" t="s">
        <v>341</v>
      </c>
      <c r="D581" s="67">
        <v>12.33</v>
      </c>
      <c r="E581" s="68">
        <v>4055</v>
      </c>
      <c r="F581" s="166">
        <v>12.47</v>
      </c>
      <c r="G581" s="94">
        <f>(E581*F581)-I581</f>
        <v>567.70000000000437</v>
      </c>
      <c r="H581" s="71">
        <v>44225</v>
      </c>
      <c r="I581" s="16">
        <f>D581*E581</f>
        <v>49998.15</v>
      </c>
      <c r="J581" s="29" t="s">
        <v>266</v>
      </c>
      <c r="K581" s="106"/>
      <c r="L581" s="93"/>
      <c r="M581" s="3"/>
      <c r="N581" s="3"/>
      <c r="O581" s="3"/>
      <c r="P581" s="3"/>
      <c r="Q581" s="3"/>
      <c r="T581" s="16"/>
      <c r="U581" s="82"/>
      <c r="V581" s="82"/>
      <c r="W581" s="20"/>
      <c r="X581" s="20"/>
      <c r="Y581" s="20"/>
      <c r="Z581" s="20"/>
      <c r="AA581" s="20"/>
    </row>
    <row r="582" spans="1:27" ht="14.25">
      <c r="A582" s="109"/>
      <c r="B582" s="1663" t="s">
        <v>47</v>
      </c>
      <c r="C582" s="1655" t="s">
        <v>594</v>
      </c>
      <c r="D582" s="67">
        <v>10.6</v>
      </c>
      <c r="E582" s="68">
        <v>16088</v>
      </c>
      <c r="F582" s="166">
        <v>10.68</v>
      </c>
      <c r="G582" s="94">
        <v>1287</v>
      </c>
      <c r="H582" s="71">
        <v>44222</v>
      </c>
      <c r="I582" s="16">
        <f>E582*D582</f>
        <v>170532.8</v>
      </c>
      <c r="J582" s="29" t="s">
        <v>671</v>
      </c>
      <c r="K582" s="106"/>
      <c r="L582" s="93"/>
      <c r="M582" s="3" t="s">
        <v>741</v>
      </c>
      <c r="N582" s="3"/>
      <c r="O582" s="3"/>
      <c r="P582" s="34">
        <f>G582</f>
        <v>1287</v>
      </c>
      <c r="Q582" s="3"/>
      <c r="T582" s="16"/>
      <c r="U582" s="82"/>
      <c r="V582" s="82"/>
      <c r="W582" s="20"/>
      <c r="X582" s="20"/>
      <c r="Y582" s="20"/>
      <c r="Z582" s="20"/>
      <c r="AA582" s="20"/>
    </row>
    <row r="583" spans="1:27" ht="14.25">
      <c r="A583" s="109"/>
      <c r="B583" s="1663" t="s">
        <v>477</v>
      </c>
      <c r="C583" s="1655" t="s">
        <v>649</v>
      </c>
      <c r="D583" s="67">
        <v>30.7</v>
      </c>
      <c r="E583" s="68">
        <v>3257</v>
      </c>
      <c r="F583" s="166">
        <v>31.27</v>
      </c>
      <c r="G583" s="94">
        <v>1856</v>
      </c>
      <c r="H583" s="71">
        <v>44221</v>
      </c>
      <c r="I583" s="16">
        <v>99990</v>
      </c>
      <c r="J583" s="29" t="s">
        <v>266</v>
      </c>
      <c r="K583" s="106"/>
      <c r="L583" s="93"/>
      <c r="M583" s="3" t="s">
        <v>742</v>
      </c>
      <c r="N583" s="3"/>
      <c r="O583" s="3"/>
      <c r="P583" s="34">
        <f>SUM(G583:G584)</f>
        <v>4019</v>
      </c>
      <c r="Q583" s="3"/>
      <c r="T583" s="16"/>
      <c r="U583" s="82"/>
      <c r="V583" s="82"/>
      <c r="W583" s="20"/>
      <c r="X583" s="20"/>
      <c r="Y583" s="20"/>
      <c r="Z583" s="20"/>
      <c r="AA583" s="20"/>
    </row>
    <row r="584" spans="1:27" ht="14.25">
      <c r="A584" s="109"/>
      <c r="B584" s="1663" t="s">
        <v>340</v>
      </c>
      <c r="C584" s="1655" t="s">
        <v>341</v>
      </c>
      <c r="D584" s="67">
        <v>11.81</v>
      </c>
      <c r="E584" s="68">
        <v>6361</v>
      </c>
      <c r="F584" s="166">
        <v>12.15</v>
      </c>
      <c r="G584" s="94">
        <v>2163</v>
      </c>
      <c r="H584" s="71">
        <v>44221</v>
      </c>
      <c r="I584" s="16">
        <v>75123</v>
      </c>
      <c r="J584" s="29" t="s">
        <v>266</v>
      </c>
      <c r="K584" s="106"/>
      <c r="L584" s="93"/>
      <c r="M584" s="3"/>
      <c r="N584" s="3"/>
      <c r="O584" s="3"/>
      <c r="P584" s="3"/>
      <c r="Q584" s="3"/>
      <c r="T584" s="16"/>
      <c r="U584" s="82"/>
      <c r="V584" s="82"/>
      <c r="W584" s="20"/>
      <c r="X584" s="20"/>
      <c r="Y584" s="20"/>
      <c r="Z584" s="20"/>
      <c r="AA584" s="20"/>
    </row>
    <row r="585" spans="1:27" ht="14.25">
      <c r="A585" s="109"/>
      <c r="B585" s="1663" t="s">
        <v>743</v>
      </c>
      <c r="C585" s="1655" t="s">
        <v>744</v>
      </c>
      <c r="D585" s="67">
        <v>14.98</v>
      </c>
      <c r="E585" s="68">
        <v>8000</v>
      </c>
      <c r="F585" s="166">
        <v>15.3</v>
      </c>
      <c r="G585" s="94">
        <v>2431</v>
      </c>
      <c r="H585" s="71">
        <v>44218</v>
      </c>
      <c r="I585" s="16">
        <v>119839</v>
      </c>
      <c r="J585" s="29" t="s">
        <v>90</v>
      </c>
      <c r="K585" s="106" t="s">
        <v>745</v>
      </c>
      <c r="L585" s="153">
        <f>SUM(G585:G589)</f>
        <v>6551</v>
      </c>
      <c r="M585" s="3" t="s">
        <v>746</v>
      </c>
      <c r="N585" s="3"/>
      <c r="O585" s="3"/>
      <c r="P585" s="34">
        <f>G585</f>
        <v>2431</v>
      </c>
      <c r="Q585" s="3"/>
      <c r="U585" s="82"/>
      <c r="V585" s="82"/>
      <c r="W585" s="20"/>
      <c r="X585" s="20"/>
      <c r="Y585" s="20"/>
      <c r="Z585" s="20"/>
      <c r="AA585" s="20"/>
    </row>
    <row r="586" spans="1:27" ht="14.25">
      <c r="A586" s="109"/>
      <c r="B586" s="1663" t="s">
        <v>747</v>
      </c>
      <c r="C586" s="1655" t="s">
        <v>748</v>
      </c>
      <c r="D586" s="67">
        <v>58.12</v>
      </c>
      <c r="E586" s="68">
        <v>1732</v>
      </c>
      <c r="F586" s="166">
        <v>57.91</v>
      </c>
      <c r="G586" s="94">
        <v>604</v>
      </c>
      <c r="H586" s="71">
        <v>44217</v>
      </c>
      <c r="I586" s="16">
        <v>100661</v>
      </c>
      <c r="J586" s="29" t="s">
        <v>266</v>
      </c>
      <c r="K586" s="106"/>
      <c r="L586" s="93"/>
      <c r="M586" s="3" t="s">
        <v>78</v>
      </c>
      <c r="N586" s="3"/>
      <c r="O586" s="3"/>
      <c r="P586" s="34">
        <f>G586</f>
        <v>604</v>
      </c>
      <c r="Q586" s="3"/>
      <c r="U586" s="82"/>
      <c r="V586" s="82"/>
      <c r="W586" s="20"/>
      <c r="X586" s="20"/>
      <c r="Y586" s="20"/>
      <c r="Z586" s="20"/>
      <c r="AA586" s="20"/>
    </row>
    <row r="587" spans="1:27" ht="14.25">
      <c r="A587" s="109"/>
      <c r="B587" s="1663" t="s">
        <v>608</v>
      </c>
      <c r="C587" s="1655" t="s">
        <v>657</v>
      </c>
      <c r="D587" s="67">
        <v>159.5</v>
      </c>
      <c r="E587" s="68">
        <v>625</v>
      </c>
      <c r="F587" s="166">
        <v>161.17500000000001</v>
      </c>
      <c r="G587" s="94">
        <v>1047</v>
      </c>
      <c r="H587" s="71">
        <v>44216</v>
      </c>
      <c r="I587" s="16">
        <v>99688</v>
      </c>
      <c r="J587" s="29" t="s">
        <v>266</v>
      </c>
      <c r="K587" s="106"/>
      <c r="L587" s="93"/>
      <c r="M587" s="3" t="s">
        <v>83</v>
      </c>
      <c r="N587" s="3"/>
      <c r="O587" s="3"/>
      <c r="P587" s="34">
        <f>SUM(G587)</f>
        <v>1047</v>
      </c>
      <c r="Q587" s="3"/>
      <c r="U587" s="82"/>
      <c r="V587" s="82"/>
      <c r="W587" s="20"/>
      <c r="X587" s="20"/>
      <c r="Y587" s="20"/>
      <c r="Z587" s="20"/>
      <c r="AA587" s="20"/>
    </row>
    <row r="588" spans="1:27" ht="14.25">
      <c r="A588" s="109"/>
      <c r="B588" s="1663" t="s">
        <v>172</v>
      </c>
      <c r="C588" s="1655" t="s">
        <v>749</v>
      </c>
      <c r="D588" s="67">
        <v>44.18</v>
      </c>
      <c r="E588" s="68">
        <v>7500</v>
      </c>
      <c r="F588" s="166">
        <v>44.35</v>
      </c>
      <c r="G588" s="94">
        <v>1440</v>
      </c>
      <c r="H588" s="71">
        <v>44215</v>
      </c>
      <c r="I588" s="16">
        <v>331350</v>
      </c>
      <c r="J588" s="29" t="s">
        <v>671</v>
      </c>
      <c r="K588" s="106"/>
      <c r="L588" s="93"/>
      <c r="M588" s="3" t="s">
        <v>750</v>
      </c>
      <c r="N588" s="3"/>
      <c r="O588" s="3"/>
      <c r="P588" s="34">
        <f>SUM(G588:G589)</f>
        <v>2469</v>
      </c>
      <c r="Q588" s="3"/>
      <c r="U588" s="82"/>
      <c r="V588" s="82"/>
      <c r="W588" s="20"/>
      <c r="X588" s="20"/>
      <c r="Y588" s="20"/>
      <c r="Z588" s="20"/>
      <c r="AA588" s="20"/>
    </row>
    <row r="589" spans="1:27" ht="14.25">
      <c r="A589" s="109"/>
      <c r="B589" s="1663" t="s">
        <v>751</v>
      </c>
      <c r="C589" s="1655" t="s">
        <v>752</v>
      </c>
      <c r="D589" s="67">
        <v>78.36</v>
      </c>
      <c r="E589" s="68">
        <v>637</v>
      </c>
      <c r="F589" s="166">
        <v>79.975700000000003</v>
      </c>
      <c r="G589" s="94">
        <v>1029</v>
      </c>
      <c r="H589" s="71">
        <v>44215</v>
      </c>
      <c r="I589" s="16">
        <v>49915</v>
      </c>
      <c r="J589" s="29" t="s">
        <v>266</v>
      </c>
      <c r="K589" s="106"/>
      <c r="L589" s="93"/>
      <c r="M589" s="3"/>
      <c r="N589" s="3"/>
      <c r="O589" s="3"/>
      <c r="P589" s="3"/>
      <c r="Q589" s="3"/>
      <c r="U589" s="82"/>
      <c r="V589" s="82"/>
      <c r="W589" s="20"/>
      <c r="X589" s="20"/>
      <c r="Y589" s="20"/>
      <c r="Z589" s="20"/>
      <c r="AA589" s="20"/>
    </row>
    <row r="590" spans="1:27" ht="14.25">
      <c r="A590" s="109"/>
      <c r="B590" s="1663" t="s">
        <v>753</v>
      </c>
      <c r="C590" s="1655" t="s">
        <v>754</v>
      </c>
      <c r="D590" s="67">
        <v>8.01</v>
      </c>
      <c r="E590" s="68">
        <f>2346+775</f>
        <v>3121</v>
      </c>
      <c r="F590" s="166">
        <v>7.8</v>
      </c>
      <c r="G590" s="94">
        <v>8</v>
      </c>
      <c r="H590" s="71">
        <v>44211</v>
      </c>
      <c r="I590" s="16">
        <f>D590*E590</f>
        <v>24999.21</v>
      </c>
      <c r="J590" s="29" t="s">
        <v>671</v>
      </c>
      <c r="K590" s="106" t="s">
        <v>755</v>
      </c>
      <c r="L590" s="153">
        <f>SUM(G590:G598)</f>
        <v>2645</v>
      </c>
      <c r="M590" s="3" t="s">
        <v>28</v>
      </c>
      <c r="N590" s="3"/>
      <c r="O590" s="3"/>
      <c r="P590" s="34">
        <f>SUM(G590:G594)</f>
        <v>731</v>
      </c>
      <c r="Q590" s="3"/>
      <c r="U590" s="82"/>
      <c r="V590" s="82"/>
      <c r="W590" s="20"/>
      <c r="X590" s="20"/>
      <c r="Y590" s="20">
        <v>50000</v>
      </c>
      <c r="Z590" s="20">
        <v>100000</v>
      </c>
      <c r="AA590" s="20">
        <v>800</v>
      </c>
    </row>
    <row r="591" spans="1:27" ht="15">
      <c r="A591" s="109"/>
      <c r="B591" s="1663" t="s">
        <v>647</v>
      </c>
      <c r="C591" s="1655" t="s">
        <v>756</v>
      </c>
      <c r="D591" s="67">
        <v>40.71</v>
      </c>
      <c r="E591" s="68">
        <v>2443</v>
      </c>
      <c r="F591" s="166">
        <v>41.01</v>
      </c>
      <c r="G591" s="94">
        <v>733</v>
      </c>
      <c r="H591" s="71">
        <v>44211</v>
      </c>
      <c r="I591" s="16">
        <v>99455</v>
      </c>
      <c r="J591" s="29" t="s">
        <v>266</v>
      </c>
      <c r="K591" s="106"/>
      <c r="L591" s="93"/>
      <c r="M591" s="3"/>
      <c r="N591" s="3"/>
      <c r="O591" s="3"/>
      <c r="P591" s="3"/>
      <c r="Q591" s="3"/>
      <c r="S591" s="171"/>
      <c r="T591" s="171"/>
      <c r="U591" s="171"/>
      <c r="V591" s="171"/>
      <c r="W591" s="20"/>
      <c r="X591" s="172">
        <v>0.05</v>
      </c>
      <c r="Y591" s="20">
        <f>Y590*X591</f>
        <v>2500</v>
      </c>
      <c r="Z591" s="20">
        <f>Z590*X591</f>
        <v>5000</v>
      </c>
      <c r="AA591" s="20">
        <f>AA590*X591</f>
        <v>40</v>
      </c>
    </row>
    <row r="592" spans="1:27" ht="14.25">
      <c r="A592" s="109"/>
      <c r="B592" s="1663" t="s">
        <v>757</v>
      </c>
      <c r="C592" s="1655" t="s">
        <v>758</v>
      </c>
      <c r="D592" s="67">
        <v>22.75</v>
      </c>
      <c r="E592" s="68">
        <v>160</v>
      </c>
      <c r="F592" s="166">
        <v>22.8901</v>
      </c>
      <c r="G592" s="94">
        <v>22</v>
      </c>
      <c r="H592" s="71">
        <v>44211</v>
      </c>
      <c r="I592" s="16">
        <v>3640</v>
      </c>
      <c r="J592" s="29" t="s">
        <v>671</v>
      </c>
      <c r="K592" s="106"/>
      <c r="L592" s="93"/>
      <c r="M592" s="3"/>
      <c r="N592" s="3"/>
      <c r="O592" s="3"/>
      <c r="P592" s="3"/>
      <c r="Q592" s="3"/>
      <c r="S592" s="3"/>
      <c r="T592" s="3"/>
      <c r="U592" s="43"/>
      <c r="V592" s="43"/>
      <c r="W592" s="20"/>
      <c r="X592" s="172">
        <v>0.1</v>
      </c>
      <c r="Y592" s="20">
        <f>Y590*X592</f>
        <v>5000</v>
      </c>
      <c r="Z592" s="20">
        <f>Z590*X592</f>
        <v>10000</v>
      </c>
      <c r="AA592" s="20">
        <f>AA590*X592</f>
        <v>80</v>
      </c>
    </row>
    <row r="593" spans="1:27" ht="14.25">
      <c r="A593" s="109"/>
      <c r="B593" s="1663" t="s">
        <v>747</v>
      </c>
      <c r="C593" s="1655" t="s">
        <v>748</v>
      </c>
      <c r="D593" s="67">
        <v>57.7</v>
      </c>
      <c r="E593" s="68">
        <v>866</v>
      </c>
      <c r="F593" s="166">
        <v>57.536700000000003</v>
      </c>
      <c r="G593" s="94">
        <v>725</v>
      </c>
      <c r="H593" s="71">
        <v>44211</v>
      </c>
      <c r="I593" s="16">
        <v>49968</v>
      </c>
      <c r="J593" s="29" t="s">
        <v>266</v>
      </c>
      <c r="K593" s="106"/>
      <c r="L593" s="93"/>
      <c r="M593" s="3"/>
      <c r="N593" s="3"/>
      <c r="O593" s="3"/>
      <c r="P593" s="3"/>
      <c r="Q593" s="3"/>
      <c r="S593" s="9"/>
      <c r="V593" s="9"/>
      <c r="W593" s="20"/>
      <c r="X593" s="172">
        <v>0.02</v>
      </c>
      <c r="Y593" s="20">
        <f>Y590*X593</f>
        <v>1000</v>
      </c>
      <c r="Z593" s="20">
        <f>Z590*X593</f>
        <v>2000</v>
      </c>
      <c r="AA593" s="20">
        <f>AA590*X593</f>
        <v>16</v>
      </c>
    </row>
    <row r="594" spans="1:27" ht="14.25">
      <c r="A594" s="109"/>
      <c r="B594" s="1663" t="s">
        <v>759</v>
      </c>
      <c r="C594" s="1655" t="s">
        <v>760</v>
      </c>
      <c r="D594" s="67">
        <v>32.369999999999997</v>
      </c>
      <c r="E594" s="68">
        <v>1544</v>
      </c>
      <c r="F594" s="166">
        <v>31.35</v>
      </c>
      <c r="G594" s="167">
        <f>-1575+818</f>
        <v>-757</v>
      </c>
      <c r="H594" s="71">
        <v>44211</v>
      </c>
      <c r="I594" s="16">
        <v>49979</v>
      </c>
      <c r="J594" s="29" t="s">
        <v>671</v>
      </c>
      <c r="K594" s="106"/>
      <c r="L594" s="93"/>
      <c r="M594" s="3"/>
      <c r="N594" s="3"/>
      <c r="O594" s="3"/>
      <c r="P594" s="3"/>
      <c r="Q594" s="3"/>
      <c r="S594" s="9"/>
      <c r="V594" s="9"/>
      <c r="W594" s="20"/>
      <c r="X594" s="172">
        <v>0.2</v>
      </c>
      <c r="Y594" s="20"/>
      <c r="Z594" s="20"/>
      <c r="AA594" s="20">
        <f>AA590*X594</f>
        <v>160</v>
      </c>
    </row>
    <row r="595" spans="1:27" ht="14.25">
      <c r="A595" s="109"/>
      <c r="B595" s="1663" t="s">
        <v>647</v>
      </c>
      <c r="C595" s="1655" t="s">
        <v>756</v>
      </c>
      <c r="D595" s="67">
        <v>40.14</v>
      </c>
      <c r="E595" s="68">
        <v>1243</v>
      </c>
      <c r="F595" s="166">
        <v>40.875</v>
      </c>
      <c r="G595" s="94">
        <v>901</v>
      </c>
      <c r="H595" s="71">
        <v>44210</v>
      </c>
      <c r="I595" s="16">
        <v>49894</v>
      </c>
      <c r="J595" s="29" t="s">
        <v>266</v>
      </c>
      <c r="K595" s="106"/>
      <c r="L595" s="93"/>
      <c r="M595" s="3" t="s">
        <v>761</v>
      </c>
      <c r="N595" s="3"/>
      <c r="O595" s="3"/>
      <c r="P595" s="34">
        <f>SUM(G595:G598)</f>
        <v>1914</v>
      </c>
      <c r="Q595" s="3"/>
      <c r="S595" s="9"/>
      <c r="V595" s="9"/>
      <c r="W595" s="20"/>
      <c r="X595" s="20"/>
      <c r="Y595" s="20"/>
      <c r="Z595" s="20"/>
      <c r="AA595" s="20"/>
    </row>
    <row r="596" spans="1:27" ht="14.25">
      <c r="A596" s="109"/>
      <c r="B596" s="1663" t="s">
        <v>757</v>
      </c>
      <c r="C596" s="1655" t="s">
        <v>758</v>
      </c>
      <c r="D596" s="67">
        <v>22.75</v>
      </c>
      <c r="E596" s="68">
        <v>2067</v>
      </c>
      <c r="F596" s="166">
        <v>22.84</v>
      </c>
      <c r="G596" s="94">
        <v>178</v>
      </c>
      <c r="H596" s="71">
        <v>44210</v>
      </c>
      <c r="I596" s="16">
        <v>47022</v>
      </c>
      <c r="J596" s="29" t="s">
        <v>671</v>
      </c>
      <c r="K596" s="106"/>
      <c r="L596" s="93"/>
      <c r="M596" s="3"/>
      <c r="N596" s="3"/>
      <c r="O596" s="3"/>
      <c r="P596" s="3"/>
      <c r="Q596" s="3"/>
      <c r="S596" s="9"/>
      <c r="U596" s="8"/>
      <c r="V596" s="9"/>
      <c r="W596" s="20"/>
      <c r="X596" s="20"/>
      <c r="Y596" s="20"/>
      <c r="Z596" s="20"/>
      <c r="AA596" s="20"/>
    </row>
    <row r="597" spans="1:27" ht="14.25">
      <c r="A597" s="109"/>
      <c r="B597" s="1663" t="s">
        <v>508</v>
      </c>
      <c r="C597" s="1655" t="s">
        <v>762</v>
      </c>
      <c r="D597" s="67">
        <v>40.200000000000003</v>
      </c>
      <c r="E597" s="68">
        <v>1240</v>
      </c>
      <c r="F597" s="166">
        <v>40.869599999999998</v>
      </c>
      <c r="G597" s="94">
        <v>830</v>
      </c>
      <c r="H597" s="71">
        <v>44210</v>
      </c>
      <c r="I597" s="16">
        <v>49848</v>
      </c>
      <c r="J597" s="29" t="s">
        <v>266</v>
      </c>
      <c r="K597" s="106"/>
      <c r="L597" s="93"/>
      <c r="M597" s="3"/>
      <c r="N597" s="3"/>
      <c r="O597" s="3"/>
      <c r="P597" s="3"/>
      <c r="Q597" s="3"/>
      <c r="S597" s="9"/>
      <c r="U597" s="10"/>
      <c r="V597" s="9"/>
      <c r="W597" s="20">
        <f>3.74/4</f>
        <v>0.93500000000000005</v>
      </c>
      <c r="X597" s="20">
        <f>7500*W597</f>
        <v>7012.5</v>
      </c>
      <c r="Y597" s="20"/>
      <c r="Z597" s="20"/>
      <c r="AA597" s="20"/>
    </row>
    <row r="598" spans="1:27" ht="14.25">
      <c r="A598" s="109"/>
      <c r="B598" s="1663" t="s">
        <v>763</v>
      </c>
      <c r="C598" s="1655" t="s">
        <v>764</v>
      </c>
      <c r="D598" s="67">
        <v>5.83</v>
      </c>
      <c r="E598" s="68">
        <v>16</v>
      </c>
      <c r="F598" s="166">
        <v>6.13</v>
      </c>
      <c r="G598" s="94">
        <v>5</v>
      </c>
      <c r="H598" s="71">
        <v>44210</v>
      </c>
      <c r="I598" s="16">
        <v>93</v>
      </c>
      <c r="J598" s="29" t="s">
        <v>671</v>
      </c>
      <c r="K598" s="106"/>
      <c r="L598" s="93"/>
      <c r="M598" s="3"/>
      <c r="N598" s="3"/>
      <c r="O598" s="3"/>
      <c r="P598" s="3"/>
      <c r="Q598" s="3"/>
      <c r="S598" s="9"/>
      <c r="U598" s="8"/>
      <c r="V598" s="9"/>
      <c r="W598" s="20"/>
      <c r="X598" s="20"/>
      <c r="Y598" s="20"/>
      <c r="Z598" s="20"/>
      <c r="AA598" s="20"/>
    </row>
    <row r="599" spans="1:27" ht="14.25">
      <c r="A599" s="109"/>
      <c r="B599" s="1663" t="s">
        <v>647</v>
      </c>
      <c r="C599" s="1655" t="s">
        <v>765</v>
      </c>
      <c r="D599" s="67">
        <v>40.200000000000003</v>
      </c>
      <c r="E599" s="68">
        <v>1233</v>
      </c>
      <c r="F599" s="166">
        <v>40.39</v>
      </c>
      <c r="G599" s="94">
        <v>236</v>
      </c>
      <c r="H599" s="71">
        <v>44209</v>
      </c>
      <c r="I599" s="16">
        <v>49565</v>
      </c>
      <c r="J599" s="29" t="s">
        <v>266</v>
      </c>
      <c r="K599" s="106" t="s">
        <v>766</v>
      </c>
      <c r="L599" s="153">
        <f>SUM(G599:G610)</f>
        <v>13476.85</v>
      </c>
      <c r="M599" s="3" t="s">
        <v>767</v>
      </c>
      <c r="N599" s="3"/>
      <c r="O599" s="3"/>
      <c r="P599" s="34">
        <f>SUM(G599:G602)</f>
        <v>1496</v>
      </c>
      <c r="Q599" s="3"/>
      <c r="S599" s="9"/>
      <c r="V599" s="9"/>
      <c r="W599" s="20"/>
      <c r="X599" s="20"/>
      <c r="Y599" s="20"/>
      <c r="Z599" s="20"/>
      <c r="AA599" s="20"/>
    </row>
    <row r="600" spans="1:27" ht="14.25">
      <c r="A600" s="109"/>
      <c r="B600" s="1663" t="s">
        <v>747</v>
      </c>
      <c r="C600" s="1655" t="s">
        <v>768</v>
      </c>
      <c r="D600" s="67">
        <v>57.13</v>
      </c>
      <c r="E600" s="68">
        <v>875</v>
      </c>
      <c r="F600" s="166">
        <v>57.77</v>
      </c>
      <c r="G600" s="94">
        <v>560</v>
      </c>
      <c r="H600" s="71">
        <v>44209</v>
      </c>
      <c r="I600" s="16">
        <v>49989</v>
      </c>
      <c r="J600" s="29" t="s">
        <v>266</v>
      </c>
      <c r="K600" s="106"/>
      <c r="L600" s="173"/>
      <c r="M600" s="6"/>
      <c r="N600" s="6"/>
      <c r="O600" s="6"/>
      <c r="P600" s="6"/>
      <c r="Q600" s="6"/>
      <c r="R600" s="6"/>
      <c r="W600" s="20"/>
      <c r="X600" s="20"/>
      <c r="Y600" s="20"/>
      <c r="Z600" s="20"/>
      <c r="AA600" s="20"/>
    </row>
    <row r="601" spans="1:27" ht="14.25">
      <c r="A601" s="109"/>
      <c r="B601" s="1663" t="s">
        <v>628</v>
      </c>
      <c r="C601" s="1655" t="s">
        <v>769</v>
      </c>
      <c r="D601" s="67">
        <v>76.69</v>
      </c>
      <c r="E601" s="68">
        <v>651</v>
      </c>
      <c r="F601" s="166">
        <v>77.284999999999997</v>
      </c>
      <c r="G601" s="94">
        <v>387</v>
      </c>
      <c r="H601" s="71">
        <v>44209</v>
      </c>
      <c r="I601" s="16">
        <v>49925</v>
      </c>
      <c r="J601" s="29" t="s">
        <v>266</v>
      </c>
      <c r="K601" s="106"/>
      <c r="L601" s="173"/>
      <c r="M601" s="6"/>
      <c r="N601" s="6"/>
      <c r="O601" s="6"/>
      <c r="P601" s="6"/>
      <c r="Q601" s="6"/>
      <c r="R601" s="6"/>
      <c r="W601" s="20"/>
      <c r="X601" s="20"/>
      <c r="Y601" s="20"/>
      <c r="Z601" s="20"/>
      <c r="AA601" s="20"/>
    </row>
    <row r="602" spans="1:27" ht="14.25">
      <c r="A602" s="109"/>
      <c r="B602" s="1663" t="s">
        <v>664</v>
      </c>
      <c r="C602" s="1655" t="s">
        <v>770</v>
      </c>
      <c r="D602" s="67">
        <v>48.03</v>
      </c>
      <c r="E602" s="68">
        <v>1041</v>
      </c>
      <c r="F602" s="166">
        <v>48.33</v>
      </c>
      <c r="G602" s="94">
        <v>313</v>
      </c>
      <c r="H602" s="71">
        <v>44209</v>
      </c>
      <c r="I602" s="16">
        <v>49999</v>
      </c>
      <c r="J602" s="29" t="s">
        <v>266</v>
      </c>
      <c r="K602" s="106"/>
      <c r="L602" s="173"/>
      <c r="M602" s="6"/>
      <c r="N602" s="6"/>
      <c r="O602" s="6"/>
      <c r="P602" s="6"/>
      <c r="Q602" s="6"/>
      <c r="R602" s="6"/>
      <c r="W602" s="20"/>
      <c r="X602" s="20"/>
      <c r="Y602" s="20"/>
      <c r="Z602" s="20"/>
      <c r="AA602" s="20"/>
    </row>
    <row r="603" spans="1:27" ht="14.25">
      <c r="A603" s="109"/>
      <c r="B603" s="1663" t="s">
        <v>650</v>
      </c>
      <c r="C603" s="1655" t="s">
        <v>672</v>
      </c>
      <c r="D603" s="67">
        <v>35.200000000000003</v>
      </c>
      <c r="E603" s="68">
        <v>1416</v>
      </c>
      <c r="F603" s="166">
        <v>35.43</v>
      </c>
      <c r="G603" s="94">
        <v>326</v>
      </c>
      <c r="H603" s="71">
        <v>44208</v>
      </c>
      <c r="I603" s="16">
        <v>49843</v>
      </c>
      <c r="J603" s="29" t="s">
        <v>266</v>
      </c>
      <c r="K603" s="106"/>
      <c r="L603" s="173"/>
      <c r="M603" s="6"/>
      <c r="N603" s="6"/>
      <c r="O603" s="6"/>
      <c r="P603" s="6"/>
      <c r="Q603" s="6"/>
      <c r="R603" s="6"/>
      <c r="W603" s="20"/>
      <c r="X603" s="20"/>
      <c r="Y603" s="20"/>
      <c r="Z603" s="20"/>
      <c r="AA603" s="20"/>
    </row>
    <row r="604" spans="1:27" ht="14.25">
      <c r="A604" s="109"/>
      <c r="B604" s="1663" t="s">
        <v>47</v>
      </c>
      <c r="C604" s="1655" t="s">
        <v>771</v>
      </c>
      <c r="D604" s="67">
        <v>10.31</v>
      </c>
      <c r="E604" s="68">
        <v>16</v>
      </c>
      <c r="F604" s="166">
        <v>10.31</v>
      </c>
      <c r="G604" s="94">
        <v>18</v>
      </c>
      <c r="H604" s="71">
        <v>44208</v>
      </c>
      <c r="I604" s="16">
        <v>3113</v>
      </c>
      <c r="J604" s="29" t="s">
        <v>671</v>
      </c>
      <c r="K604" s="106"/>
      <c r="L604" s="173"/>
      <c r="M604" s="6" t="s">
        <v>772</v>
      </c>
      <c r="N604" s="6"/>
      <c r="O604" s="6"/>
      <c r="P604" s="17">
        <f>SUM(G603:G606)</f>
        <v>1858</v>
      </c>
      <c r="Q604" s="6"/>
      <c r="R604" s="6"/>
      <c r="S604" s="6"/>
      <c r="T604" s="6"/>
      <c r="U604" s="82"/>
      <c r="V604" s="82"/>
      <c r="W604" s="20"/>
      <c r="X604" s="20"/>
      <c r="Y604" s="20"/>
      <c r="Z604" s="20"/>
      <c r="AA604" s="20"/>
    </row>
    <row r="605" spans="1:27" ht="14.25">
      <c r="A605" s="109"/>
      <c r="B605" s="1663" t="s">
        <v>477</v>
      </c>
      <c r="C605" s="1655" t="s">
        <v>649</v>
      </c>
      <c r="D605" s="67">
        <v>29.52</v>
      </c>
      <c r="E605" s="68">
        <v>1712</v>
      </c>
      <c r="F605" s="166">
        <v>30.05</v>
      </c>
      <c r="G605" s="94">
        <v>907</v>
      </c>
      <c r="H605" s="71">
        <v>44208</v>
      </c>
      <c r="I605" s="16">
        <v>50538</v>
      </c>
      <c r="J605" s="29" t="s">
        <v>266</v>
      </c>
      <c r="K605" s="106"/>
      <c r="L605" s="173"/>
      <c r="M605" s="6"/>
      <c r="N605" s="6"/>
      <c r="O605" s="6"/>
      <c r="P605" s="6"/>
      <c r="Q605" s="6"/>
      <c r="R605" s="6"/>
      <c r="S605" s="6"/>
      <c r="T605" s="6">
        <v>33</v>
      </c>
      <c r="U605" s="82"/>
      <c r="V605" s="82"/>
      <c r="W605" s="20"/>
      <c r="X605" s="20"/>
      <c r="Y605" s="20"/>
      <c r="Z605" s="20"/>
      <c r="AA605" s="20"/>
    </row>
    <row r="606" spans="1:27" ht="14.25">
      <c r="A606" s="109"/>
      <c r="B606" s="1663" t="s">
        <v>773</v>
      </c>
      <c r="C606" s="1655" t="s">
        <v>774</v>
      </c>
      <c r="D606" s="67">
        <v>20.71</v>
      </c>
      <c r="E606" s="68">
        <v>1214</v>
      </c>
      <c r="F606" s="166">
        <v>21.21</v>
      </c>
      <c r="G606" s="94">
        <v>607</v>
      </c>
      <c r="H606" s="71">
        <v>44208</v>
      </c>
      <c r="I606" s="16">
        <v>25142</v>
      </c>
      <c r="J606" s="29" t="s">
        <v>671</v>
      </c>
      <c r="K606" s="106"/>
      <c r="L606" s="173"/>
      <c r="M606" s="6"/>
      <c r="N606" s="6"/>
      <c r="O606" s="6"/>
      <c r="P606" s="6"/>
      <c r="Q606" s="6"/>
      <c r="R606" s="6"/>
      <c r="S606" s="6"/>
      <c r="T606" s="6">
        <v>102</v>
      </c>
      <c r="U606" s="82"/>
      <c r="V606" s="82"/>
      <c r="W606" s="20"/>
      <c r="X606" s="20"/>
      <c r="Y606" s="20"/>
      <c r="Z606" s="20"/>
      <c r="AA606" s="20"/>
    </row>
    <row r="607" spans="1:27" ht="14.25">
      <c r="A607" s="109"/>
      <c r="B607" s="1663" t="s">
        <v>680</v>
      </c>
      <c r="C607" s="1655" t="s">
        <v>775</v>
      </c>
      <c r="D607" s="67">
        <v>37.6</v>
      </c>
      <c r="E607" s="68">
        <v>2635</v>
      </c>
      <c r="F607" s="166">
        <v>29.7</v>
      </c>
      <c r="G607" s="94">
        <v>8173</v>
      </c>
      <c r="H607" s="71">
        <v>44207</v>
      </c>
      <c r="I607" s="16">
        <v>99076</v>
      </c>
      <c r="J607" s="29" t="s">
        <v>90</v>
      </c>
      <c r="K607" s="106"/>
      <c r="L607" s="173"/>
      <c r="M607" s="6" t="s">
        <v>776</v>
      </c>
      <c r="N607" s="6"/>
      <c r="O607" s="6"/>
      <c r="P607" s="17">
        <f>SUM(G607:G610)</f>
        <v>10122.85</v>
      </c>
      <c r="Q607" s="6"/>
      <c r="R607" s="6"/>
      <c r="S607" s="6"/>
      <c r="T607" s="6">
        <f>T606-T605</f>
        <v>69</v>
      </c>
      <c r="U607" s="82" t="s">
        <v>61</v>
      </c>
      <c r="V607" s="82" t="s">
        <v>549</v>
      </c>
      <c r="W607" s="20"/>
      <c r="X607" s="20"/>
      <c r="Y607" s="20"/>
      <c r="Z607" s="20"/>
      <c r="AA607" s="20"/>
    </row>
    <row r="608" spans="1:27" ht="14.25">
      <c r="A608" s="109"/>
      <c r="B608" s="1663" t="s">
        <v>264</v>
      </c>
      <c r="C608" s="1655" t="s">
        <v>777</v>
      </c>
      <c r="D608" s="67">
        <v>10.08</v>
      </c>
      <c r="E608" s="68">
        <v>2500</v>
      </c>
      <c r="F608" s="166">
        <v>10.275</v>
      </c>
      <c r="G608" s="94">
        <v>488</v>
      </c>
      <c r="H608" s="71">
        <v>44207</v>
      </c>
      <c r="I608" s="16">
        <v>25200</v>
      </c>
      <c r="J608" s="29" t="s">
        <v>266</v>
      </c>
      <c r="K608" s="106"/>
      <c r="L608" s="173"/>
      <c r="M608" s="6"/>
      <c r="N608" s="6"/>
      <c r="O608" s="6"/>
      <c r="P608" s="6"/>
      <c r="Q608" s="6"/>
      <c r="R608" s="6"/>
      <c r="S608" s="6"/>
      <c r="T608" s="6"/>
      <c r="U608" s="82"/>
      <c r="V608" s="82"/>
      <c r="W608" s="20"/>
      <c r="X608" s="20"/>
      <c r="Y608" s="20"/>
      <c r="Z608" s="20"/>
      <c r="AA608" s="20"/>
    </row>
    <row r="609" spans="1:27" ht="14.25">
      <c r="A609" s="109"/>
      <c r="B609" s="1663" t="s">
        <v>778</v>
      </c>
      <c r="C609" s="1655" t="s">
        <v>779</v>
      </c>
      <c r="D609" s="67">
        <v>3.48</v>
      </c>
      <c r="E609" s="68">
        <v>13157</v>
      </c>
      <c r="F609" s="166">
        <v>3.51</v>
      </c>
      <c r="G609" s="94">
        <f>395+657.85</f>
        <v>1052.8499999999999</v>
      </c>
      <c r="H609" s="71">
        <v>44207</v>
      </c>
      <c r="I609" s="16">
        <v>49979</v>
      </c>
      <c r="J609" s="29" t="s">
        <v>671</v>
      </c>
      <c r="K609" s="106"/>
      <c r="L609" s="173"/>
      <c r="M609" s="6"/>
      <c r="N609" s="6"/>
      <c r="O609" s="6"/>
      <c r="P609" s="6"/>
      <c r="Q609" s="6"/>
      <c r="R609" s="6"/>
      <c r="S609" s="6"/>
      <c r="T609" s="6"/>
      <c r="U609" s="82"/>
      <c r="V609" s="82"/>
      <c r="W609" s="20"/>
      <c r="X609" s="20"/>
      <c r="Y609" s="20"/>
      <c r="Z609" s="20"/>
      <c r="AA609" s="20"/>
    </row>
    <row r="610" spans="1:27" ht="14.25">
      <c r="A610" s="109"/>
      <c r="B610" s="1663" t="s">
        <v>542</v>
      </c>
      <c r="C610" s="1655" t="s">
        <v>780</v>
      </c>
      <c r="D610" s="67">
        <v>82.12</v>
      </c>
      <c r="E610" s="68">
        <v>611</v>
      </c>
      <c r="F610" s="166">
        <v>82.79</v>
      </c>
      <c r="G610" s="94">
        <v>409</v>
      </c>
      <c r="H610" s="71">
        <v>44207</v>
      </c>
      <c r="I610" s="16">
        <v>50175</v>
      </c>
      <c r="J610" s="29" t="s">
        <v>266</v>
      </c>
      <c r="K610" s="106"/>
      <c r="L610" s="173"/>
      <c r="M610" s="6"/>
      <c r="N610" s="6"/>
      <c r="O610" s="6"/>
      <c r="P610" s="6"/>
      <c r="Q610" s="6"/>
      <c r="R610" s="6"/>
      <c r="S610" s="6"/>
      <c r="T610" s="6"/>
      <c r="U610" s="82"/>
      <c r="V610" s="82"/>
      <c r="W610" s="20"/>
      <c r="X610" s="20"/>
      <c r="Y610" s="20"/>
      <c r="Z610" s="20"/>
      <c r="AA610" s="20"/>
    </row>
    <row r="611" spans="1:27" ht="14.25">
      <c r="A611" s="109"/>
      <c r="B611" s="1663" t="s">
        <v>781</v>
      </c>
      <c r="C611" s="1655" t="s">
        <v>782</v>
      </c>
      <c r="D611" s="67">
        <v>8.94</v>
      </c>
      <c r="E611" s="68">
        <v>5600</v>
      </c>
      <c r="F611" s="166">
        <v>8.89</v>
      </c>
      <c r="G611" s="94">
        <v>924</v>
      </c>
      <c r="H611" s="71">
        <v>44204</v>
      </c>
      <c r="I611" s="16">
        <v>50064</v>
      </c>
      <c r="J611" s="29" t="s">
        <v>671</v>
      </c>
      <c r="K611" s="106" t="s">
        <v>783</v>
      </c>
      <c r="L611" s="174">
        <f>SUM(G611:G624)</f>
        <v>1022</v>
      </c>
      <c r="M611" s="6"/>
      <c r="N611" s="6"/>
      <c r="O611" s="6"/>
      <c r="P611" s="6"/>
      <c r="Q611" s="6"/>
      <c r="R611" s="6"/>
      <c r="S611" s="6"/>
      <c r="T611" s="6"/>
      <c r="U611" s="82"/>
      <c r="V611" s="82"/>
      <c r="W611" s="20"/>
      <c r="X611" s="20"/>
      <c r="Y611" s="20"/>
      <c r="Z611" s="20"/>
      <c r="AA611" s="20"/>
    </row>
    <row r="612" spans="1:27" ht="14.25">
      <c r="A612" s="109"/>
      <c r="B612" s="1663" t="s">
        <v>784</v>
      </c>
      <c r="C612" s="1655" t="s">
        <v>785</v>
      </c>
      <c r="D612" s="67">
        <v>7.83</v>
      </c>
      <c r="E612" s="68">
        <v>7263</v>
      </c>
      <c r="F612" s="166">
        <v>6.04</v>
      </c>
      <c r="G612" s="167">
        <v>-9343</v>
      </c>
      <c r="H612" s="71">
        <v>44204</v>
      </c>
      <c r="I612" s="16">
        <v>56843</v>
      </c>
      <c r="J612" s="29" t="s">
        <v>786</v>
      </c>
      <c r="K612" s="175">
        <f ca="1">IFERROR(__xludf.DUMMYFUNCTION("GOOGLEFINANCE(""Nasdaq:ISSC"",""price"")"),6.64)</f>
        <v>6.64</v>
      </c>
      <c r="L612" s="176"/>
      <c r="M612" s="6"/>
      <c r="N612" s="6"/>
      <c r="O612" s="6"/>
      <c r="P612" s="6"/>
      <c r="Q612" s="6"/>
      <c r="R612" s="6"/>
      <c r="S612" s="6"/>
      <c r="T612" s="6"/>
      <c r="U612" s="82"/>
      <c r="V612" s="82"/>
      <c r="W612" s="20"/>
      <c r="X612" s="20"/>
      <c r="Y612" s="20"/>
      <c r="Z612" s="20"/>
      <c r="AA612" s="20"/>
    </row>
    <row r="613" spans="1:27" ht="17.25">
      <c r="A613" s="109"/>
      <c r="B613" s="1663" t="s">
        <v>781</v>
      </c>
      <c r="C613" s="1655" t="s">
        <v>782</v>
      </c>
      <c r="D613" s="67">
        <v>8.91</v>
      </c>
      <c r="E613" s="68">
        <v>2805</v>
      </c>
      <c r="F613" s="166">
        <v>8.91</v>
      </c>
      <c r="G613" s="94">
        <v>603</v>
      </c>
      <c r="H613" s="71">
        <v>44204</v>
      </c>
      <c r="I613" s="16">
        <v>25020</v>
      </c>
      <c r="J613" s="29" t="s">
        <v>671</v>
      </c>
      <c r="K613" s="48"/>
      <c r="L613" s="6"/>
      <c r="M613" s="6"/>
      <c r="N613" s="6"/>
      <c r="O613" s="6"/>
      <c r="P613" s="6"/>
      <c r="Q613" s="6"/>
      <c r="R613" s="6"/>
      <c r="S613" s="6"/>
      <c r="T613" s="6"/>
      <c r="U613" s="82"/>
      <c r="V613" s="82"/>
      <c r="W613" s="20"/>
      <c r="X613" s="20"/>
      <c r="Y613" s="20"/>
      <c r="Z613" s="20"/>
      <c r="AA613" s="20"/>
    </row>
    <row r="614" spans="1:27" ht="17.25">
      <c r="A614" s="109"/>
      <c r="B614" s="1663" t="s">
        <v>340</v>
      </c>
      <c r="C614" s="1655" t="s">
        <v>787</v>
      </c>
      <c r="D614" s="67">
        <v>11.27</v>
      </c>
      <c r="E614" s="68">
        <v>2212</v>
      </c>
      <c r="F614" s="166">
        <v>11.64</v>
      </c>
      <c r="G614" s="94">
        <v>819</v>
      </c>
      <c r="H614" s="71">
        <v>44203</v>
      </c>
      <c r="I614" s="16">
        <v>24929</v>
      </c>
      <c r="J614" s="29" t="s">
        <v>266</v>
      </c>
      <c r="K614" s="48"/>
      <c r="L614" s="2101" t="s">
        <v>788</v>
      </c>
      <c r="M614" s="2102"/>
      <c r="N614" s="2102"/>
      <c r="O614" s="2102"/>
      <c r="P614" s="2102"/>
      <c r="Q614" s="2102"/>
      <c r="R614" s="2102"/>
      <c r="S614" s="2102"/>
      <c r="T614" s="2103"/>
      <c r="U614" s="82"/>
      <c r="V614" s="82"/>
      <c r="W614" s="20"/>
      <c r="X614" s="20"/>
      <c r="Y614" s="20"/>
      <c r="Z614" s="20"/>
      <c r="AA614" s="20"/>
    </row>
    <row r="615" spans="1:27" ht="79.5">
      <c r="A615" s="109"/>
      <c r="B615" s="1663" t="s">
        <v>383</v>
      </c>
      <c r="C615" s="1655" t="s">
        <v>789</v>
      </c>
      <c r="D615" s="67">
        <v>31.29</v>
      </c>
      <c r="E615" s="68">
        <v>1498</v>
      </c>
      <c r="F615" s="166">
        <v>31.15</v>
      </c>
      <c r="G615" s="94">
        <v>127</v>
      </c>
      <c r="H615" s="71">
        <v>44202</v>
      </c>
      <c r="I615" s="16">
        <v>46874</v>
      </c>
      <c r="J615" s="29" t="s">
        <v>266</v>
      </c>
      <c r="K615" s="48"/>
      <c r="L615" s="47" t="s">
        <v>1</v>
      </c>
      <c r="M615" s="3" t="s">
        <v>36</v>
      </c>
      <c r="N615" s="3"/>
      <c r="O615" s="3"/>
      <c r="P615" s="3" t="s">
        <v>790</v>
      </c>
      <c r="Q615" s="3"/>
      <c r="R615" s="34">
        <v>25000</v>
      </c>
      <c r="S615" s="43" t="s">
        <v>11</v>
      </c>
      <c r="T615" s="177" t="s">
        <v>791</v>
      </c>
      <c r="U615" s="82" t="s">
        <v>792</v>
      </c>
      <c r="V615" s="82"/>
      <c r="W615" s="20"/>
      <c r="X615" s="20"/>
      <c r="Y615" s="20"/>
      <c r="Z615" s="20"/>
      <c r="AA615" s="20"/>
    </row>
    <row r="616" spans="1:27" ht="17.25">
      <c r="A616" s="109"/>
      <c r="B616" s="1663" t="s">
        <v>793</v>
      </c>
      <c r="C616" s="1655" t="s">
        <v>679</v>
      </c>
      <c r="D616" s="67">
        <v>6.76</v>
      </c>
      <c r="E616" s="68">
        <v>2684</v>
      </c>
      <c r="F616" s="166">
        <v>6.91</v>
      </c>
      <c r="G616" s="94">
        <v>403</v>
      </c>
      <c r="H616" s="71">
        <v>44202</v>
      </c>
      <c r="I616" s="16">
        <v>18143</v>
      </c>
      <c r="J616" s="29" t="s">
        <v>266</v>
      </c>
      <c r="K616" s="48"/>
      <c r="L616" s="178" t="s">
        <v>794</v>
      </c>
      <c r="M616" s="179">
        <v>4.3999999999999997E-2</v>
      </c>
      <c r="N616" s="179"/>
      <c r="O616" s="179"/>
      <c r="P616" s="179">
        <v>5.83</v>
      </c>
      <c r="Q616" s="179"/>
      <c r="R616" s="134">
        <v>100000</v>
      </c>
      <c r="S616" s="180">
        <f>R616/P616</f>
        <v>17152.658662092625</v>
      </c>
      <c r="T616" s="181">
        <f>S616*M616</f>
        <v>754.71698113207549</v>
      </c>
      <c r="U616" s="182">
        <f>M616/P616*12</f>
        <v>9.056603773584905E-2</v>
      </c>
      <c r="V616" s="82"/>
      <c r="W616" s="20"/>
      <c r="X616" s="20"/>
      <c r="Y616" s="20"/>
      <c r="Z616" s="20"/>
      <c r="AA616" s="20"/>
    </row>
    <row r="617" spans="1:27" ht="17.25">
      <c r="A617" s="109"/>
      <c r="B617" s="1663" t="s">
        <v>603</v>
      </c>
      <c r="C617" s="1655" t="s">
        <v>795</v>
      </c>
      <c r="D617" s="67">
        <v>9.85</v>
      </c>
      <c r="E617" s="68">
        <v>5108</v>
      </c>
      <c r="F617" s="166">
        <v>9.85</v>
      </c>
      <c r="G617" s="94">
        <f>0+1022</f>
        <v>1022</v>
      </c>
      <c r="H617" s="71">
        <v>44202</v>
      </c>
      <c r="I617" s="16">
        <v>50314</v>
      </c>
      <c r="J617" s="29" t="s">
        <v>671</v>
      </c>
      <c r="K617" s="48"/>
      <c r="R617" s="9"/>
      <c r="S617" s="82"/>
      <c r="T617" s="183"/>
      <c r="U617" s="82"/>
      <c r="V617" s="82"/>
      <c r="W617" s="20"/>
      <c r="X617" s="20"/>
      <c r="Y617" s="20"/>
      <c r="Z617" s="20"/>
      <c r="AA617" s="20"/>
    </row>
    <row r="618" spans="1:27" ht="17.25">
      <c r="A618" s="109"/>
      <c r="B618" s="1663" t="s">
        <v>338</v>
      </c>
      <c r="C618" s="1655" t="s">
        <v>796</v>
      </c>
      <c r="D618" s="67">
        <v>11.54</v>
      </c>
      <c r="E618" s="68">
        <v>2158</v>
      </c>
      <c r="F618" s="166">
        <v>11.97</v>
      </c>
      <c r="G618" s="94">
        <v>929</v>
      </c>
      <c r="H618" s="71">
        <v>44202</v>
      </c>
      <c r="I618" s="16">
        <v>24902</v>
      </c>
      <c r="J618" s="29" t="s">
        <v>266</v>
      </c>
      <c r="K618" s="48"/>
      <c r="R618" s="9"/>
      <c r="S618" s="82"/>
      <c r="T618" s="183"/>
      <c r="U618" s="82"/>
      <c r="V618" s="82"/>
      <c r="W618" s="20"/>
      <c r="X618" s="20"/>
      <c r="Y618" s="20"/>
      <c r="Z618" s="20"/>
      <c r="AA618" s="20"/>
    </row>
    <row r="619" spans="1:27" ht="17.25">
      <c r="A619" s="109"/>
      <c r="B619" s="1663" t="s">
        <v>326</v>
      </c>
      <c r="C619" s="1655" t="s">
        <v>797</v>
      </c>
      <c r="D619" s="67">
        <v>29.07</v>
      </c>
      <c r="E619" s="68">
        <v>1705</v>
      </c>
      <c r="F619" s="166">
        <v>29.76</v>
      </c>
      <c r="G619" s="94">
        <v>1142</v>
      </c>
      <c r="H619" s="71">
        <v>44202</v>
      </c>
      <c r="I619" s="16">
        <v>49598</v>
      </c>
      <c r="J619" s="29" t="s">
        <v>266</v>
      </c>
      <c r="K619" s="48"/>
      <c r="L619" s="9" t="s">
        <v>266</v>
      </c>
      <c r="M619" s="162">
        <f>G608+G610+G614+G615+G616+G618+G619+G620+G621+G623+G626+G605+G603+G602+G601+G600+G599+G597+G595+G593+G589+G587+G591+G586+G584+G583+G581+G580+G579</f>
        <v>22147.700000000004</v>
      </c>
      <c r="N619" s="112"/>
      <c r="O619" s="36"/>
      <c r="P619" s="36">
        <f>M619/M622</f>
        <v>0.58550674063587616</v>
      </c>
      <c r="Q619" s="36"/>
      <c r="R619" s="9"/>
      <c r="S619" s="82"/>
      <c r="T619" s="183"/>
      <c r="U619" s="82"/>
      <c r="V619" s="82"/>
      <c r="W619" s="20"/>
      <c r="X619" s="20"/>
      <c r="Y619" s="20"/>
      <c r="Z619" s="20"/>
      <c r="AA619" s="20"/>
    </row>
    <row r="620" spans="1:27" ht="17.25">
      <c r="A620" s="109"/>
      <c r="B620" s="1663" t="s">
        <v>547</v>
      </c>
      <c r="C620" s="1655" t="s">
        <v>798</v>
      </c>
      <c r="D620" s="67">
        <v>6.08</v>
      </c>
      <c r="E620" s="68">
        <v>8229</v>
      </c>
      <c r="F620" s="166">
        <v>6.15</v>
      </c>
      <c r="G620" s="94">
        <v>608</v>
      </c>
      <c r="H620" s="71">
        <v>44202</v>
      </c>
      <c r="I620" s="16">
        <v>50000</v>
      </c>
      <c r="J620" s="29" t="s">
        <v>266</v>
      </c>
      <c r="K620" s="48"/>
      <c r="L620" s="9" t="s">
        <v>90</v>
      </c>
      <c r="M620" s="162">
        <f>G622+G625+G612+G607+G585</f>
        <v>7128</v>
      </c>
      <c r="N620" s="112"/>
      <c r="O620" s="36"/>
      <c r="P620" s="36">
        <f>M620/M622</f>
        <v>0.18843907255618075</v>
      </c>
      <c r="Q620" s="36"/>
      <c r="R620" s="9"/>
      <c r="S620" s="82"/>
      <c r="T620" s="183"/>
      <c r="U620" s="82"/>
      <c r="V620" s="82"/>
      <c r="W620" s="20"/>
      <c r="X620" s="20"/>
      <c r="Y620" s="20"/>
      <c r="Z620" s="20"/>
      <c r="AA620" s="20"/>
    </row>
    <row r="621" spans="1:27" ht="17.25">
      <c r="A621" s="109"/>
      <c r="B621" s="1663" t="s">
        <v>647</v>
      </c>
      <c r="C621" s="1655" t="s">
        <v>799</v>
      </c>
      <c r="D621" s="67">
        <v>35.6</v>
      </c>
      <c r="E621" s="68">
        <v>700</v>
      </c>
      <c r="F621" s="166">
        <v>36.950000000000003</v>
      </c>
      <c r="G621" s="94">
        <v>945</v>
      </c>
      <c r="H621" s="71">
        <v>44202</v>
      </c>
      <c r="I621" s="16">
        <v>24920</v>
      </c>
      <c r="J621" s="29" t="s">
        <v>266</v>
      </c>
      <c r="K621" s="48"/>
      <c r="L621" s="9" t="s">
        <v>671</v>
      </c>
      <c r="M621" s="162">
        <f>G617+G624+G613+G611+G609+G606+G604+G598+G596+G594+G588+G590+G592+G582</f>
        <v>8550.85</v>
      </c>
      <c r="N621" s="112"/>
      <c r="O621" s="36"/>
      <c r="P621" s="36">
        <f>M621/M622</f>
        <v>0.22605418680794309</v>
      </c>
      <c r="Q621" s="36"/>
      <c r="R621" s="9"/>
      <c r="S621" s="82"/>
      <c r="T621" s="183"/>
      <c r="U621" s="82"/>
      <c r="V621" s="82"/>
      <c r="W621" s="184" t="s">
        <v>800</v>
      </c>
      <c r="X621" s="185"/>
      <c r="Y621" s="20"/>
      <c r="Z621" s="20"/>
      <c r="AA621" s="20"/>
    </row>
    <row r="622" spans="1:27" ht="17.25">
      <c r="A622" s="109"/>
      <c r="B622" s="1663" t="s">
        <v>104</v>
      </c>
      <c r="C622" s="1655" t="s">
        <v>206</v>
      </c>
      <c r="D622" s="67">
        <v>136.9</v>
      </c>
      <c r="E622" s="68">
        <v>727</v>
      </c>
      <c r="F622" s="166">
        <v>136.9</v>
      </c>
      <c r="G622" s="94">
        <v>2</v>
      </c>
      <c r="H622" s="71">
        <v>44202</v>
      </c>
      <c r="I622" s="16">
        <v>99524</v>
      </c>
      <c r="J622" s="29" t="s">
        <v>90</v>
      </c>
      <c r="K622" s="48"/>
      <c r="M622" s="186">
        <f>M619+M620+M621</f>
        <v>37826.550000000003</v>
      </c>
      <c r="N622" s="126"/>
      <c r="R622" s="9"/>
      <c r="S622" s="82"/>
      <c r="T622" s="183"/>
      <c r="U622" s="82"/>
      <c r="V622" s="82"/>
      <c r="W622" s="187" t="s">
        <v>801</v>
      </c>
      <c r="X622" s="188">
        <v>46628</v>
      </c>
      <c r="Y622" s="20"/>
      <c r="Z622" s="20"/>
      <c r="AA622" s="20"/>
    </row>
    <row r="623" spans="1:27" ht="20.25">
      <c r="A623" s="109"/>
      <c r="B623" s="1663" t="s">
        <v>508</v>
      </c>
      <c r="C623" s="1655" t="s">
        <v>762</v>
      </c>
      <c r="D623" s="67">
        <v>35.6</v>
      </c>
      <c r="E623" s="68">
        <v>700</v>
      </c>
      <c r="F623" s="166">
        <v>36.6</v>
      </c>
      <c r="G623" s="94">
        <v>700</v>
      </c>
      <c r="H623" s="71">
        <v>44201</v>
      </c>
      <c r="I623" s="16">
        <v>24920</v>
      </c>
      <c r="J623" s="29" t="s">
        <v>266</v>
      </c>
      <c r="K623" s="48"/>
      <c r="R623" s="9"/>
      <c r="S623" s="82"/>
      <c r="T623" s="183"/>
      <c r="U623" s="82"/>
      <c r="V623" s="82"/>
      <c r="W623" s="187" t="s">
        <v>802</v>
      </c>
      <c r="X623" s="188">
        <f>196000*32/100</f>
        <v>62720</v>
      </c>
      <c r="Y623" s="20"/>
      <c r="Z623" s="20"/>
      <c r="AA623" s="20"/>
    </row>
    <row r="624" spans="1:27" ht="28.5">
      <c r="A624" s="109"/>
      <c r="B624" s="1663" t="s">
        <v>685</v>
      </c>
      <c r="C624" s="1655" t="s">
        <v>803</v>
      </c>
      <c r="D624" s="67">
        <v>3.26</v>
      </c>
      <c r="E624" s="68">
        <v>15290</v>
      </c>
      <c r="F624" s="166">
        <v>3.4</v>
      </c>
      <c r="G624" s="94">
        <v>2141</v>
      </c>
      <c r="H624" s="71">
        <v>44201</v>
      </c>
      <c r="I624" s="16">
        <v>49845</v>
      </c>
      <c r="J624" s="29" t="s">
        <v>804</v>
      </c>
      <c r="K624" s="48"/>
      <c r="R624" s="9"/>
      <c r="S624" s="82"/>
      <c r="T624" s="183"/>
      <c r="U624" s="82"/>
      <c r="V624" s="82"/>
      <c r="W624" s="189" t="s">
        <v>805</v>
      </c>
      <c r="X624" s="188">
        <f>X622+X623</f>
        <v>109348</v>
      </c>
      <c r="Y624" s="20"/>
      <c r="Z624" s="20"/>
      <c r="AA624" s="20"/>
    </row>
    <row r="625" spans="1:27" ht="17.25">
      <c r="A625" s="109"/>
      <c r="B625" s="1663" t="s">
        <v>640</v>
      </c>
      <c r="C625" s="1655" t="s">
        <v>806</v>
      </c>
      <c r="D625" s="67">
        <v>6.48</v>
      </c>
      <c r="E625" s="68">
        <v>11500</v>
      </c>
      <c r="F625" s="166">
        <v>6.99</v>
      </c>
      <c r="G625" s="94">
        <v>5865</v>
      </c>
      <c r="H625" s="71">
        <v>44200</v>
      </c>
      <c r="I625" s="16">
        <v>74520</v>
      </c>
      <c r="J625" s="29" t="s">
        <v>90</v>
      </c>
      <c r="K625" s="48" t="s">
        <v>807</v>
      </c>
      <c r="L625" s="16">
        <f>G625+G626+G628+G629+G630</f>
        <v>11544</v>
      </c>
      <c r="R625" s="9"/>
      <c r="S625" s="82"/>
      <c r="T625" s="183"/>
      <c r="U625" s="82"/>
      <c r="V625" s="82"/>
      <c r="W625" s="190" t="s">
        <v>808</v>
      </c>
      <c r="X625" s="191">
        <f>400000-X624</f>
        <v>290652</v>
      </c>
      <c r="Y625" s="20"/>
      <c r="Z625" s="20"/>
      <c r="AA625" s="20"/>
    </row>
    <row r="626" spans="1:27" ht="17.25">
      <c r="A626" s="109"/>
      <c r="B626" s="1663" t="s">
        <v>536</v>
      </c>
      <c r="C626" s="1655" t="s">
        <v>809</v>
      </c>
      <c r="D626" s="67">
        <v>12.71</v>
      </c>
      <c r="E626" s="68">
        <v>3979</v>
      </c>
      <c r="F626" s="166">
        <v>13.38</v>
      </c>
      <c r="G626" s="94">
        <v>2677</v>
      </c>
      <c r="H626" s="71">
        <v>44200</v>
      </c>
      <c r="I626" s="16">
        <v>50562</v>
      </c>
      <c r="J626" s="29" t="s">
        <v>266</v>
      </c>
      <c r="K626" s="48"/>
      <c r="P626" s="9">
        <v>1204</v>
      </c>
      <c r="R626" s="9"/>
      <c r="S626" s="82"/>
      <c r="T626" s="183"/>
      <c r="U626" s="82"/>
      <c r="V626" s="82"/>
      <c r="W626" s="20"/>
      <c r="X626" s="20"/>
      <c r="Y626" s="20"/>
      <c r="Z626" s="20"/>
      <c r="AA626" s="20"/>
    </row>
    <row r="627" spans="1:27" ht="17.25">
      <c r="A627" s="192"/>
      <c r="B627" s="1674" t="s">
        <v>810</v>
      </c>
      <c r="C627" s="1680"/>
      <c r="D627" s="193" t="s">
        <v>811</v>
      </c>
      <c r="E627" s="194">
        <f>26/29</f>
        <v>0.89655172413793105</v>
      </c>
      <c r="F627" s="156" t="s">
        <v>86</v>
      </c>
      <c r="G627" s="124">
        <f>SUM(G628:G656)</f>
        <v>42066.969999999987</v>
      </c>
      <c r="H627" s="69" t="s">
        <v>549</v>
      </c>
      <c r="I627" s="16">
        <f>290-262</f>
        <v>28</v>
      </c>
      <c r="J627" s="29"/>
      <c r="K627" s="48"/>
      <c r="P627" s="9">
        <v>603</v>
      </c>
      <c r="R627" s="9"/>
      <c r="S627" s="82"/>
      <c r="T627" s="183"/>
      <c r="U627" s="82"/>
      <c r="V627" s="82"/>
      <c r="W627" s="20" t="s">
        <v>812</v>
      </c>
      <c r="X627" s="20">
        <v>360000</v>
      </c>
      <c r="Y627" s="20"/>
      <c r="Z627" s="20"/>
      <c r="AA627" s="20"/>
    </row>
    <row r="628" spans="1:27" ht="28.5">
      <c r="A628" s="109"/>
      <c r="B628" s="1663" t="s">
        <v>603</v>
      </c>
      <c r="C628" s="1655" t="s">
        <v>795</v>
      </c>
      <c r="D628" s="67">
        <v>9.73</v>
      </c>
      <c r="E628" s="68">
        <v>5000</v>
      </c>
      <c r="F628" s="166">
        <v>9.73</v>
      </c>
      <c r="G628" s="94">
        <f>5000*0.2</f>
        <v>1000</v>
      </c>
      <c r="H628" s="71">
        <v>44195</v>
      </c>
      <c r="I628" s="16">
        <f>D628*E628</f>
        <v>48650</v>
      </c>
      <c r="J628" s="29" t="s">
        <v>813</v>
      </c>
      <c r="K628" s="48"/>
      <c r="P628" s="9">
        <f>P626-P627</f>
        <v>601</v>
      </c>
    </row>
    <row r="629" spans="1:27" ht="28.5">
      <c r="A629" s="109"/>
      <c r="B629" s="1663" t="s">
        <v>734</v>
      </c>
      <c r="C629" s="1655" t="s">
        <v>735</v>
      </c>
      <c r="D629" s="67">
        <v>28.73</v>
      </c>
      <c r="E629" s="68">
        <v>1600</v>
      </c>
      <c r="F629" s="166">
        <v>27.5</v>
      </c>
      <c r="G629" s="167">
        <v>-1423</v>
      </c>
      <c r="H629" s="71">
        <v>44194</v>
      </c>
      <c r="I629" s="16">
        <v>45968</v>
      </c>
      <c r="J629" s="29" t="s">
        <v>813</v>
      </c>
      <c r="K629" s="48"/>
      <c r="R629" s="9"/>
      <c r="S629" s="82"/>
      <c r="T629" s="183"/>
      <c r="U629" s="82"/>
      <c r="V629" s="82"/>
      <c r="W629" s="20"/>
      <c r="X629" s="20"/>
      <c r="Y629" s="20"/>
      <c r="Z629" s="20"/>
      <c r="AA629" s="20"/>
    </row>
    <row r="630" spans="1:27" ht="17.25">
      <c r="A630" s="109"/>
      <c r="B630" s="1663" t="s">
        <v>814</v>
      </c>
      <c r="C630" s="1655" t="s">
        <v>815</v>
      </c>
      <c r="D630" s="67">
        <v>102.95</v>
      </c>
      <c r="E630" s="68">
        <v>752</v>
      </c>
      <c r="F630" s="166">
        <v>107.5</v>
      </c>
      <c r="G630" s="94">
        <v>3425</v>
      </c>
      <c r="H630" s="71">
        <v>44194</v>
      </c>
      <c r="I630" s="16">
        <v>77461</v>
      </c>
      <c r="J630" s="29" t="s">
        <v>90</v>
      </c>
      <c r="K630" s="48"/>
      <c r="R630" s="9"/>
      <c r="S630" s="82"/>
      <c r="T630" s="183"/>
      <c r="U630" s="82"/>
      <c r="V630" s="82"/>
      <c r="W630" s="20"/>
      <c r="X630" s="20"/>
      <c r="Y630" s="20"/>
      <c r="Z630" s="20"/>
      <c r="AA630" s="20"/>
    </row>
    <row r="631" spans="1:27" ht="28.5">
      <c r="A631" s="109"/>
      <c r="B631" s="1663" t="s">
        <v>816</v>
      </c>
      <c r="C631" s="1655" t="s">
        <v>817</v>
      </c>
      <c r="D631" s="67">
        <v>19.835000000000001</v>
      </c>
      <c r="E631" s="68">
        <v>1258</v>
      </c>
      <c r="F631" s="166">
        <v>19.860099999999999</v>
      </c>
      <c r="G631" s="94">
        <v>32</v>
      </c>
      <c r="H631" s="71">
        <v>44193</v>
      </c>
      <c r="I631" s="16">
        <v>24652</v>
      </c>
      <c r="J631" s="29" t="s">
        <v>813</v>
      </c>
      <c r="K631" s="48" t="s">
        <v>818</v>
      </c>
      <c r="L631" s="16">
        <f>SUM(G631:G635)</f>
        <v>4531.1999999999971</v>
      </c>
      <c r="R631" s="9"/>
      <c r="S631" s="82"/>
      <c r="T631" s="183"/>
      <c r="U631" s="82"/>
      <c r="V631" s="82"/>
      <c r="W631" s="20"/>
      <c r="X631" s="20"/>
      <c r="Y631" s="20"/>
      <c r="Z631" s="20"/>
      <c r="AA631" s="20"/>
    </row>
    <row r="632" spans="1:27" ht="17.25">
      <c r="A632" s="109"/>
      <c r="B632" s="1663" t="s">
        <v>819</v>
      </c>
      <c r="C632" s="1655" t="s">
        <v>820</v>
      </c>
      <c r="D632" s="67">
        <v>44.81</v>
      </c>
      <c r="E632" s="68">
        <v>2230</v>
      </c>
      <c r="F632" s="166">
        <v>45.05</v>
      </c>
      <c r="G632" s="94">
        <v>539</v>
      </c>
      <c r="H632" s="71">
        <v>44193</v>
      </c>
      <c r="I632" s="16">
        <v>99922</v>
      </c>
      <c r="J632" s="29" t="s">
        <v>90</v>
      </c>
      <c r="K632" s="48"/>
      <c r="R632" s="9"/>
      <c r="S632" s="82"/>
      <c r="T632" s="183"/>
      <c r="U632" s="82"/>
      <c r="V632" s="82"/>
      <c r="W632" s="20">
        <f>560*2</f>
        <v>1120</v>
      </c>
      <c r="X632" s="20"/>
      <c r="Y632" s="20"/>
      <c r="Z632" s="20"/>
      <c r="AA632" s="20"/>
    </row>
    <row r="633" spans="1:27" ht="17.25">
      <c r="A633" s="109"/>
      <c r="B633" s="1663" t="s">
        <v>160</v>
      </c>
      <c r="C633" s="1655" t="s">
        <v>202</v>
      </c>
      <c r="D633" s="67">
        <v>88.25</v>
      </c>
      <c r="E633" s="68">
        <v>560</v>
      </c>
      <c r="F633" s="166">
        <v>86.47</v>
      </c>
      <c r="G633" s="94">
        <f>(F633*E633)-(D633*E633)+1120</f>
        <v>123.19999999999709</v>
      </c>
      <c r="H633" s="71">
        <v>44188</v>
      </c>
      <c r="I633" s="16">
        <v>49423</v>
      </c>
      <c r="J633" s="29" t="s">
        <v>90</v>
      </c>
      <c r="K633" s="48"/>
      <c r="R633" s="9"/>
      <c r="S633" s="82"/>
      <c r="T633" s="183"/>
      <c r="U633" s="82"/>
      <c r="V633" s="82"/>
      <c r="W633" s="20">
        <f>999-1120</f>
        <v>-121</v>
      </c>
      <c r="X633" s="20"/>
      <c r="Y633" s="20"/>
      <c r="Z633" s="20"/>
      <c r="AA633" s="20"/>
    </row>
    <row r="634" spans="1:27" ht="79.5">
      <c r="A634" s="109"/>
      <c r="B634" s="1663" t="s">
        <v>314</v>
      </c>
      <c r="C634" s="1655" t="s">
        <v>821</v>
      </c>
      <c r="D634" s="67">
        <v>3.37</v>
      </c>
      <c r="E634" s="68">
        <v>45000</v>
      </c>
      <c r="F634" s="166">
        <v>3.5</v>
      </c>
      <c r="G634" s="94">
        <f>829+2903</f>
        <v>3732</v>
      </c>
      <c r="H634" s="71">
        <v>44193</v>
      </c>
      <c r="I634" s="16">
        <v>150000</v>
      </c>
      <c r="J634" s="29" t="s">
        <v>266</v>
      </c>
      <c r="K634" s="48"/>
      <c r="R634" s="9" t="s">
        <v>822</v>
      </c>
      <c r="S634" s="82" t="s">
        <v>823</v>
      </c>
      <c r="T634" s="183" t="s">
        <v>824</v>
      </c>
      <c r="U634" s="82" t="s">
        <v>825</v>
      </c>
      <c r="V634" s="82" t="s">
        <v>826</v>
      </c>
      <c r="W634" s="20"/>
      <c r="X634" s="20"/>
      <c r="Y634" s="20"/>
      <c r="Z634" s="20"/>
      <c r="AA634" s="20"/>
    </row>
    <row r="635" spans="1:27" ht="17.25">
      <c r="A635" s="109"/>
      <c r="B635" s="1663" t="s">
        <v>383</v>
      </c>
      <c r="C635" s="1655" t="s">
        <v>789</v>
      </c>
      <c r="D635" s="67">
        <v>31.29</v>
      </c>
      <c r="E635" s="68">
        <v>100</v>
      </c>
      <c r="F635" s="166">
        <v>32.340000000000003</v>
      </c>
      <c r="G635" s="94">
        <f>(F635*E635)-(D635*E635)</f>
        <v>105.00000000000045</v>
      </c>
      <c r="H635" s="71">
        <v>44187</v>
      </c>
      <c r="I635" s="16">
        <f>D635*E635</f>
        <v>3129</v>
      </c>
      <c r="J635" s="29" t="s">
        <v>266</v>
      </c>
      <c r="K635" s="48"/>
      <c r="R635" s="9" t="s">
        <v>814</v>
      </c>
      <c r="S635" s="46">
        <v>752</v>
      </c>
      <c r="T635" s="195">
        <v>77461</v>
      </c>
      <c r="U635" s="46">
        <v>3000</v>
      </c>
      <c r="V635" s="196">
        <f>(T635-U635)/S635</f>
        <v>99.017287234042556</v>
      </c>
      <c r="W635" s="31"/>
      <c r="X635" s="20"/>
      <c r="Y635" s="20"/>
      <c r="Z635" s="20"/>
      <c r="AA635" s="20"/>
    </row>
    <row r="636" spans="1:27" ht="17.25">
      <c r="A636" s="109"/>
      <c r="B636" s="1663" t="s">
        <v>300</v>
      </c>
      <c r="C636" s="1655" t="s">
        <v>644</v>
      </c>
      <c r="D636" s="67">
        <v>35.33</v>
      </c>
      <c r="E636" s="68">
        <v>1415</v>
      </c>
      <c r="F636" s="166">
        <v>36.159999999999997</v>
      </c>
      <c r="G636" s="94">
        <f>(F636*E636)-(D636*E636)</f>
        <v>1174.4499999999971</v>
      </c>
      <c r="H636" s="71">
        <v>44183</v>
      </c>
      <c r="I636" s="16">
        <v>50000</v>
      </c>
      <c r="J636" s="29" t="s">
        <v>266</v>
      </c>
      <c r="K636" s="48" t="s">
        <v>827</v>
      </c>
      <c r="L636" s="16">
        <f>SUM(G636:G642)</f>
        <v>3962.0599999999904</v>
      </c>
      <c r="T636" s="25"/>
      <c r="W636" s="20"/>
      <c r="X636" s="20"/>
      <c r="Y636" s="20"/>
      <c r="Z636" s="20"/>
      <c r="AA636" s="20"/>
    </row>
    <row r="637" spans="1:27" ht="17.25">
      <c r="A637" s="109"/>
      <c r="B637" s="1663" t="s">
        <v>784</v>
      </c>
      <c r="C637" s="1655" t="s">
        <v>785</v>
      </c>
      <c r="D637" s="67">
        <v>7.86</v>
      </c>
      <c r="E637" s="68">
        <v>5927</v>
      </c>
      <c r="F637" s="166">
        <v>7.87</v>
      </c>
      <c r="G637" s="94">
        <f>(F637*E637)-(D637*E637)</f>
        <v>59.269999999996799</v>
      </c>
      <c r="H637" s="71">
        <v>44182</v>
      </c>
      <c r="I637" s="16">
        <f>D637*E637</f>
        <v>46586.22</v>
      </c>
      <c r="J637" s="29" t="s">
        <v>90</v>
      </c>
      <c r="K637" s="48"/>
      <c r="T637" s="25"/>
      <c r="W637" s="20"/>
      <c r="X637" s="20"/>
      <c r="Y637" s="20"/>
      <c r="Z637" s="20"/>
      <c r="AA637" s="20"/>
    </row>
    <row r="638" spans="1:27" ht="17.25">
      <c r="A638" s="109"/>
      <c r="B638" s="1663" t="s">
        <v>828</v>
      </c>
      <c r="C638" s="1655" t="s">
        <v>829</v>
      </c>
      <c r="D638" s="67">
        <v>429.37</v>
      </c>
      <c r="E638" s="68">
        <v>178</v>
      </c>
      <c r="F638" s="166">
        <v>429.66</v>
      </c>
      <c r="G638" s="94">
        <f>(F638*E638)-(D638*E638)</f>
        <v>51.620000000009895</v>
      </c>
      <c r="H638" s="71">
        <v>44181</v>
      </c>
      <c r="I638" s="16">
        <v>76496</v>
      </c>
      <c r="J638" s="29" t="s">
        <v>90</v>
      </c>
      <c r="K638" s="48"/>
      <c r="T638" s="25"/>
      <c r="W638" s="20"/>
      <c r="X638" s="20"/>
      <c r="Y638" s="20"/>
      <c r="Z638" s="20"/>
      <c r="AA638" s="20"/>
    </row>
    <row r="639" spans="1:27" ht="17.25">
      <c r="A639" s="109"/>
      <c r="B639" s="1663" t="s">
        <v>830</v>
      </c>
      <c r="C639" s="1655" t="s">
        <v>831</v>
      </c>
      <c r="D639" s="67">
        <v>35.270000000000003</v>
      </c>
      <c r="E639" s="68">
        <v>1500</v>
      </c>
      <c r="F639" s="166">
        <v>37.345999999999997</v>
      </c>
      <c r="G639" s="94">
        <f>(F639*E639)-(D639*E639)</f>
        <v>3113.9999999999854</v>
      </c>
      <c r="H639" s="71">
        <v>44181</v>
      </c>
      <c r="I639" s="16">
        <v>52907</v>
      </c>
      <c r="J639" s="29" t="s">
        <v>90</v>
      </c>
      <c r="K639" s="48"/>
      <c r="T639" s="25"/>
      <c r="W639" s="20"/>
      <c r="X639" s="20"/>
      <c r="Y639" s="20"/>
      <c r="Z639" s="20"/>
      <c r="AA639" s="20"/>
    </row>
    <row r="640" spans="1:27" ht="17.25">
      <c r="A640" s="109"/>
      <c r="B640" s="1663" t="s">
        <v>544</v>
      </c>
      <c r="C640" s="1655" t="s">
        <v>832</v>
      </c>
      <c r="D640" s="67">
        <v>3.27</v>
      </c>
      <c r="E640" s="68">
        <v>11125</v>
      </c>
      <c r="F640" s="166">
        <v>3.5</v>
      </c>
      <c r="G640" s="94">
        <v>2624</v>
      </c>
      <c r="H640" s="71">
        <v>44180</v>
      </c>
      <c r="I640" s="16">
        <v>36370</v>
      </c>
      <c r="J640" s="29" t="s">
        <v>90</v>
      </c>
      <c r="K640" s="48"/>
      <c r="T640" s="25"/>
      <c r="W640" s="20"/>
      <c r="X640" s="20"/>
      <c r="Y640" s="20"/>
      <c r="Z640" s="20"/>
      <c r="AA640" s="20"/>
    </row>
    <row r="641" spans="1:27" ht="17.25">
      <c r="A641" s="109"/>
      <c r="B641" s="1663" t="s">
        <v>833</v>
      </c>
      <c r="C641" s="1655" t="s">
        <v>834</v>
      </c>
      <c r="D641" s="67">
        <v>30.77</v>
      </c>
      <c r="E641" s="68">
        <v>3000</v>
      </c>
      <c r="F641" s="166">
        <v>28.3</v>
      </c>
      <c r="G641" s="167">
        <f>(F641*E641)-(D641*E641)+270+2730</f>
        <v>-4410</v>
      </c>
      <c r="H641" s="71">
        <v>44180</v>
      </c>
      <c r="I641" s="16">
        <v>92310</v>
      </c>
      <c r="J641" s="29" t="s">
        <v>266</v>
      </c>
      <c r="K641" s="48">
        <f ca="1">IFERROR(__xludf.DUMMYFUNCTION("GOOGLEFINANCE(""NYSE:cwh"",""price"")"),23.44)</f>
        <v>23.44</v>
      </c>
      <c r="O641" s="9"/>
      <c r="P641" s="9"/>
      <c r="Q641" s="9"/>
      <c r="T641" s="25"/>
      <c r="W641" s="20"/>
      <c r="X641" s="20"/>
      <c r="Y641" s="20"/>
      <c r="Z641" s="20"/>
      <c r="AA641" s="20"/>
    </row>
    <row r="642" spans="1:27">
      <c r="A642" s="109"/>
      <c r="B642" s="1663" t="s">
        <v>598</v>
      </c>
      <c r="C642" s="1655" t="s">
        <v>835</v>
      </c>
      <c r="D642" s="67">
        <v>44.09</v>
      </c>
      <c r="E642" s="68">
        <v>1466</v>
      </c>
      <c r="F642" s="166">
        <v>45.01</v>
      </c>
      <c r="G642" s="94">
        <f>(F642*E642)-(D642*E642)</f>
        <v>1348.7200000000012</v>
      </c>
      <c r="H642" s="71">
        <v>44180</v>
      </c>
      <c r="I642" s="16">
        <v>64636</v>
      </c>
      <c r="J642" s="29" t="s">
        <v>90</v>
      </c>
      <c r="O642" s="9"/>
      <c r="P642" s="9"/>
      <c r="Q642" s="9"/>
      <c r="T642" s="25"/>
      <c r="W642" s="35"/>
      <c r="X642" s="20"/>
      <c r="Y642" s="20"/>
      <c r="Z642" s="20"/>
      <c r="AA642" s="20"/>
    </row>
    <row r="643" spans="1:27">
      <c r="A643" s="109"/>
      <c r="B643" s="1663" t="s">
        <v>695</v>
      </c>
      <c r="C643" s="1655" t="s">
        <v>836</v>
      </c>
      <c r="D643" s="67">
        <v>71.25</v>
      </c>
      <c r="E643" s="68">
        <v>1459</v>
      </c>
      <c r="F643" s="72">
        <v>73.44</v>
      </c>
      <c r="G643" s="94">
        <f>(F643*E643)-(D643*E643)</f>
        <v>3195.2099999999919</v>
      </c>
      <c r="H643" s="71">
        <v>44179</v>
      </c>
      <c r="I643" s="16">
        <v>103939</v>
      </c>
      <c r="J643" s="29" t="s">
        <v>90</v>
      </c>
      <c r="K643" s="9" t="s">
        <v>837</v>
      </c>
      <c r="L643" s="16">
        <f>SUM(G643:G648)</f>
        <v>8725.8899999999921</v>
      </c>
      <c r="O643" s="9"/>
      <c r="P643" s="9"/>
      <c r="Q643" s="9"/>
      <c r="T643" s="25"/>
      <c r="W643" s="20"/>
      <c r="X643" s="15"/>
      <c r="Y643" s="20"/>
      <c r="Z643" s="20"/>
      <c r="AA643" s="20"/>
    </row>
    <row r="644" spans="1:27">
      <c r="A644" s="109"/>
      <c r="B644" s="1663" t="s">
        <v>107</v>
      </c>
      <c r="C644" s="1655" t="s">
        <v>838</v>
      </c>
      <c r="D644" s="67">
        <v>30.032499999999999</v>
      </c>
      <c r="E644" s="68">
        <v>1600</v>
      </c>
      <c r="F644" s="72">
        <v>32.11</v>
      </c>
      <c r="G644" s="94">
        <f>(F644*E644)-(D644*E644)</f>
        <v>3324</v>
      </c>
      <c r="H644" s="71">
        <v>44176</v>
      </c>
      <c r="I644" s="16">
        <v>48041.47</v>
      </c>
      <c r="J644" s="29" t="s">
        <v>90</v>
      </c>
      <c r="T644" s="25"/>
      <c r="W644" s="20"/>
      <c r="X644" s="15"/>
      <c r="Y644" s="20"/>
      <c r="Z644" s="20"/>
      <c r="AA644" s="20"/>
    </row>
    <row r="645" spans="1:27">
      <c r="A645" s="109"/>
      <c r="B645" s="1663" t="s">
        <v>312</v>
      </c>
      <c r="C645" s="1655" t="s">
        <v>839</v>
      </c>
      <c r="D645" s="67">
        <v>3.8</v>
      </c>
      <c r="E645" s="68">
        <v>26000</v>
      </c>
      <c r="F645" s="166">
        <f>I645/E645</f>
        <v>3.7998846153846153</v>
      </c>
      <c r="G645" s="94">
        <v>0</v>
      </c>
      <c r="H645" s="71">
        <v>44175</v>
      </c>
      <c r="I645" s="16">
        <v>98797</v>
      </c>
      <c r="J645" s="29" t="s">
        <v>266</v>
      </c>
      <c r="W645" s="20"/>
      <c r="X645" s="197"/>
      <c r="Y645" s="20"/>
      <c r="Z645" s="20"/>
      <c r="AA645" s="20"/>
    </row>
    <row r="646" spans="1:27">
      <c r="A646" s="109"/>
      <c r="B646" s="1663" t="s">
        <v>577</v>
      </c>
      <c r="C646" s="1655" t="s">
        <v>840</v>
      </c>
      <c r="D646" s="67">
        <v>32.53</v>
      </c>
      <c r="E646" s="68">
        <v>2356</v>
      </c>
      <c r="F646" s="166">
        <f>I646/E646</f>
        <v>32.525042444821729</v>
      </c>
      <c r="G646" s="94">
        <v>0</v>
      </c>
      <c r="H646" s="71">
        <v>44175</v>
      </c>
      <c r="I646" s="16">
        <v>76629</v>
      </c>
      <c r="J646" s="29" t="s">
        <v>266</v>
      </c>
      <c r="T646" s="25"/>
      <c r="W646" s="20"/>
      <c r="X646" s="15"/>
      <c r="Y646" s="20"/>
      <c r="Z646" s="20"/>
      <c r="AA646" s="20"/>
    </row>
    <row r="647" spans="1:27">
      <c r="A647" s="109"/>
      <c r="B647" s="1663" t="s">
        <v>841</v>
      </c>
      <c r="C647" s="1655" t="s">
        <v>842</v>
      </c>
      <c r="D647" s="67">
        <v>76.89</v>
      </c>
      <c r="E647" s="68">
        <v>1333</v>
      </c>
      <c r="F647" s="166">
        <v>77.5</v>
      </c>
      <c r="G647" s="94">
        <v>841</v>
      </c>
      <c r="H647" s="71">
        <v>44174</v>
      </c>
      <c r="I647" s="16">
        <v>102494</v>
      </c>
      <c r="J647" s="29" t="s">
        <v>90</v>
      </c>
      <c r="T647" s="25"/>
      <c r="W647" s="35"/>
      <c r="X647" s="15"/>
      <c r="Y647" s="20"/>
      <c r="Z647" s="20"/>
      <c r="AA647" s="20"/>
    </row>
    <row r="648" spans="1:27">
      <c r="A648" s="109"/>
      <c r="B648" s="1663" t="s">
        <v>340</v>
      </c>
      <c r="C648" s="1655" t="s">
        <v>843</v>
      </c>
      <c r="D648" s="67">
        <v>11.02</v>
      </c>
      <c r="E648" s="68">
        <v>3176</v>
      </c>
      <c r="F648" s="72">
        <v>11.45</v>
      </c>
      <c r="G648" s="94">
        <f>(F648*E648)-(D648*E648)</f>
        <v>1365.6800000000003</v>
      </c>
      <c r="H648" s="71">
        <v>44174</v>
      </c>
      <c r="I648" s="16">
        <v>35000</v>
      </c>
      <c r="J648" s="29" t="s">
        <v>266</v>
      </c>
      <c r="T648" s="25"/>
      <c r="W648" s="20"/>
      <c r="X648" s="15"/>
      <c r="Y648" s="20"/>
      <c r="Z648" s="20"/>
      <c r="AA648" s="20"/>
    </row>
    <row r="649" spans="1:27">
      <c r="A649" s="109"/>
      <c r="B649" s="1663" t="s">
        <v>338</v>
      </c>
      <c r="C649" s="1655" t="s">
        <v>844</v>
      </c>
      <c r="D649" s="67">
        <v>11.26</v>
      </c>
      <c r="E649" s="68">
        <f>I649/D649</f>
        <v>3119.0000000000005</v>
      </c>
      <c r="F649" s="166">
        <v>11.6</v>
      </c>
      <c r="G649" s="94">
        <f>(F649*E649)-(D649*E649)</f>
        <v>1060.4599999999991</v>
      </c>
      <c r="H649" s="71">
        <v>44172</v>
      </c>
      <c r="I649" s="16">
        <v>35119.94</v>
      </c>
      <c r="J649" s="29" t="s">
        <v>266</v>
      </c>
      <c r="K649" s="9" t="s">
        <v>845</v>
      </c>
      <c r="L649" s="16">
        <f>SUM(G649:G656)</f>
        <v>21845.820000000007</v>
      </c>
      <c r="T649" s="25"/>
      <c r="W649" s="198"/>
      <c r="X649" s="199"/>
      <c r="Y649" s="200"/>
      <c r="Z649" s="201"/>
      <c r="AA649" s="202"/>
    </row>
    <row r="650" spans="1:27">
      <c r="A650" s="109"/>
      <c r="B650" s="1663" t="s">
        <v>846</v>
      </c>
      <c r="C650" s="1655" t="s">
        <v>847</v>
      </c>
      <c r="D650" s="67">
        <v>66.069999999999993</v>
      </c>
      <c r="E650" s="68">
        <f>350+922+635</f>
        <v>1907</v>
      </c>
      <c r="F650" s="166">
        <v>59</v>
      </c>
      <c r="G650" s="167">
        <v>-5178</v>
      </c>
      <c r="H650" s="71">
        <v>44172</v>
      </c>
      <c r="I650" s="16">
        <v>101262</v>
      </c>
      <c r="J650" s="29" t="s">
        <v>90</v>
      </c>
      <c r="O650" s="9"/>
      <c r="P650" s="9"/>
      <c r="Q650" s="9"/>
      <c r="R650" s="9"/>
      <c r="S650" s="9"/>
      <c r="T650" s="25"/>
      <c r="W650" s="201"/>
      <c r="X650" s="198"/>
      <c r="Y650" s="201"/>
      <c r="Z650" s="200"/>
      <c r="AA650" s="201"/>
    </row>
    <row r="651" spans="1:27">
      <c r="A651" s="109"/>
      <c r="B651" s="1663" t="s">
        <v>547</v>
      </c>
      <c r="C651" s="1655" t="s">
        <v>798</v>
      </c>
      <c r="D651" s="67">
        <v>6</v>
      </c>
      <c r="E651" s="68">
        <v>5833</v>
      </c>
      <c r="F651" s="166">
        <v>6.2</v>
      </c>
      <c r="G651" s="94">
        <f>(F651*E651)-(D651*E651)</f>
        <v>1166.5999999999985</v>
      </c>
      <c r="H651" s="71">
        <v>44172</v>
      </c>
      <c r="I651" s="16">
        <v>35000</v>
      </c>
      <c r="J651" s="29" t="s">
        <v>90</v>
      </c>
      <c r="T651" s="25"/>
      <c r="W651" s="201"/>
      <c r="X651" s="198"/>
      <c r="Y651" s="201"/>
      <c r="Z651" s="200"/>
      <c r="AA651" s="201"/>
    </row>
    <row r="652" spans="1:27">
      <c r="A652" s="109"/>
      <c r="B652" s="1663" t="s">
        <v>701</v>
      </c>
      <c r="C652" s="1655" t="s">
        <v>848</v>
      </c>
      <c r="D652" s="67">
        <v>609.98</v>
      </c>
      <c r="E652" s="68">
        <v>154</v>
      </c>
      <c r="F652" s="166">
        <v>644</v>
      </c>
      <c r="G652" s="94">
        <f>(E652*F652)-I652</f>
        <v>5239.0800000000017</v>
      </c>
      <c r="H652" s="71">
        <v>44169</v>
      </c>
      <c r="I652" s="16">
        <f>D652*E652</f>
        <v>93936.92</v>
      </c>
      <c r="J652" s="29" t="s">
        <v>90</v>
      </c>
      <c r="T652" s="25"/>
      <c r="W652" s="201"/>
      <c r="X652" s="198"/>
      <c r="Y652" s="201"/>
      <c r="Z652" s="200"/>
      <c r="AA652" s="201"/>
    </row>
    <row r="653" spans="1:27">
      <c r="A653" s="109"/>
      <c r="B653" s="1663" t="s">
        <v>849</v>
      </c>
      <c r="C653" s="1655" t="s">
        <v>850</v>
      </c>
      <c r="D653" s="67">
        <v>20.72</v>
      </c>
      <c r="E653" s="68">
        <f>I653/D653</f>
        <v>14188.368725868726</v>
      </c>
      <c r="F653" s="166">
        <v>21.715</v>
      </c>
      <c r="G653" s="94">
        <v>14139</v>
      </c>
      <c r="H653" s="71">
        <v>44169</v>
      </c>
      <c r="I653" s="16">
        <v>293983</v>
      </c>
      <c r="J653" s="29" t="s">
        <v>90</v>
      </c>
      <c r="T653" s="25"/>
      <c r="W653" s="201"/>
      <c r="X653" s="198"/>
      <c r="Y653" s="201"/>
      <c r="Z653" s="200"/>
      <c r="AA653" s="201"/>
    </row>
    <row r="654" spans="1:27">
      <c r="A654" s="203"/>
      <c r="B654" s="1681" t="s">
        <v>851</v>
      </c>
      <c r="C654" s="1655" t="s">
        <v>852</v>
      </c>
      <c r="D654" s="67">
        <v>95.48</v>
      </c>
      <c r="E654" s="68">
        <v>1226</v>
      </c>
      <c r="F654" s="166">
        <v>98.670199999999994</v>
      </c>
      <c r="G654" s="94">
        <v>3905</v>
      </c>
      <c r="H654" s="71">
        <v>44167</v>
      </c>
      <c r="I654" s="16">
        <v>117068</v>
      </c>
      <c r="J654" s="29" t="s">
        <v>90</v>
      </c>
      <c r="T654" s="25"/>
      <c r="W654" s="201"/>
      <c r="X654" s="198"/>
      <c r="Y654" s="201"/>
      <c r="Z654" s="200"/>
      <c r="AA654" s="201"/>
    </row>
    <row r="655" spans="1:27">
      <c r="A655" s="109"/>
      <c r="B655" s="1663" t="s">
        <v>853</v>
      </c>
      <c r="C655" s="1655" t="s">
        <v>854</v>
      </c>
      <c r="D655" s="67">
        <f>104535.55/E655</f>
        <v>2.4889416666666668</v>
      </c>
      <c r="E655" s="68">
        <v>42000</v>
      </c>
      <c r="F655" s="72">
        <v>2.4900000000000002</v>
      </c>
      <c r="G655" s="94">
        <f>(E655*F655)-104580</f>
        <v>0</v>
      </c>
      <c r="H655" s="71">
        <v>44167</v>
      </c>
      <c r="I655" s="16">
        <f>D655*E655</f>
        <v>104535.55</v>
      </c>
      <c r="J655" s="29" t="s">
        <v>90</v>
      </c>
      <c r="L655" s="9" t="s">
        <v>135</v>
      </c>
      <c r="M655" s="9" t="s">
        <v>791</v>
      </c>
      <c r="N655" s="9"/>
      <c r="T655" s="25"/>
      <c r="W655" s="201"/>
      <c r="X655" s="198"/>
      <c r="Y655" s="201"/>
      <c r="Z655" s="200"/>
      <c r="AA655" s="201"/>
    </row>
    <row r="656" spans="1:27">
      <c r="A656" s="109"/>
      <c r="B656" s="1663" t="s">
        <v>855</v>
      </c>
      <c r="C656" s="1655" t="s">
        <v>856</v>
      </c>
      <c r="D656" s="67">
        <v>67.37</v>
      </c>
      <c r="E656" s="68">
        <v>1428</v>
      </c>
      <c r="F656" s="72">
        <v>68.430000000000007</v>
      </c>
      <c r="G656" s="94">
        <f>(E656*F656)-96204.36</f>
        <v>1513.6800000000076</v>
      </c>
      <c r="H656" s="71">
        <v>44166</v>
      </c>
      <c r="I656" s="16">
        <f>D656*E656</f>
        <v>96204.36</v>
      </c>
      <c r="J656" s="29" t="s">
        <v>90</v>
      </c>
      <c r="K656" s="9" t="s">
        <v>86</v>
      </c>
      <c r="L656" s="34">
        <f>SUM(G17:G656)</f>
        <v>836967.91999999993</v>
      </c>
      <c r="M656" s="112" t="e">
        <f>L656+#REF!</f>
        <v>#REF!</v>
      </c>
      <c r="N656" s="112"/>
      <c r="T656" s="25"/>
      <c r="W656" s="201"/>
      <c r="X656" s="198"/>
      <c r="Y656" s="201"/>
      <c r="Z656" s="200"/>
      <c r="AA656" s="201"/>
    </row>
    <row r="657" spans="1:27">
      <c r="A657" s="109"/>
      <c r="B657" s="1674">
        <v>2020</v>
      </c>
      <c r="C657" s="1655"/>
      <c r="D657" s="193" t="s">
        <v>857</v>
      </c>
      <c r="E657" s="194">
        <f>3/3</f>
        <v>1</v>
      </c>
      <c r="F657" s="204" t="s">
        <v>17</v>
      </c>
      <c r="G657" s="124">
        <f>SUM(G658:G660)</f>
        <v>23608.429999999993</v>
      </c>
      <c r="H657" s="69" t="s">
        <v>549</v>
      </c>
      <c r="I657" s="16">
        <v>3</v>
      </c>
      <c r="J657" s="29"/>
      <c r="R657" s="16"/>
      <c r="T657" s="25"/>
      <c r="W657" s="200"/>
      <c r="X657" s="205"/>
      <c r="Y657" s="20"/>
      <c r="Z657" s="20"/>
      <c r="AA657" s="20"/>
    </row>
    <row r="658" spans="1:27">
      <c r="A658" s="109"/>
      <c r="B658" s="1663" t="s">
        <v>858</v>
      </c>
      <c r="C658" s="1655" t="s">
        <v>859</v>
      </c>
      <c r="D658" s="67">
        <f>100392/E658</f>
        <v>10.252450980392156</v>
      </c>
      <c r="E658" s="68">
        <v>9792</v>
      </c>
      <c r="F658" s="166">
        <v>11.6</v>
      </c>
      <c r="G658" s="94">
        <f>(E658*F658)-100392</f>
        <v>13195.199999999997</v>
      </c>
      <c r="H658" s="71">
        <v>44161</v>
      </c>
      <c r="I658" s="16">
        <f>D658*E658</f>
        <v>100392</v>
      </c>
      <c r="J658" s="29" t="s">
        <v>90</v>
      </c>
      <c r="R658" s="16"/>
      <c r="T658" s="25"/>
      <c r="W658" s="20"/>
      <c r="X658" s="205"/>
      <c r="Y658" s="20"/>
      <c r="Z658" s="20"/>
      <c r="AA658" s="20"/>
    </row>
    <row r="659" spans="1:27">
      <c r="A659" s="109"/>
      <c r="B659" s="1663" t="s">
        <v>124</v>
      </c>
      <c r="C659" s="1655" t="s">
        <v>860</v>
      </c>
      <c r="D659" s="67">
        <v>13.79</v>
      </c>
      <c r="E659" s="68">
        <v>7500</v>
      </c>
      <c r="F659" s="72">
        <v>15.07</v>
      </c>
      <c r="G659" s="94">
        <f>(E659*F659)-103499</f>
        <v>9526</v>
      </c>
      <c r="H659" s="71">
        <v>44161</v>
      </c>
      <c r="I659" s="16">
        <f>D659*E659</f>
        <v>103425</v>
      </c>
      <c r="J659" s="29" t="s">
        <v>90</v>
      </c>
      <c r="T659" s="25"/>
      <c r="W659" s="20"/>
      <c r="X659" s="20"/>
      <c r="Y659" s="20"/>
      <c r="Z659" s="20"/>
      <c r="AA659" s="20"/>
    </row>
    <row r="660" spans="1:27">
      <c r="A660" s="109"/>
      <c r="B660" s="1663" t="s">
        <v>861</v>
      </c>
      <c r="C660" s="1655" t="s">
        <v>862</v>
      </c>
      <c r="D660" s="67">
        <v>85.03</v>
      </c>
      <c r="E660" s="68">
        <v>1199</v>
      </c>
      <c r="F660" s="72">
        <v>85.77</v>
      </c>
      <c r="G660" s="94">
        <f>(E660*F660)-101951</f>
        <v>887.22999999999593</v>
      </c>
      <c r="H660" s="71">
        <v>44164</v>
      </c>
      <c r="I660" s="16">
        <f>D660*E660</f>
        <v>101950.97</v>
      </c>
      <c r="J660" s="29" t="s">
        <v>90</v>
      </c>
      <c r="K660" s="9" t="s">
        <v>17</v>
      </c>
      <c r="L660" s="34">
        <f>SUM(G658:G660)</f>
        <v>23608.429999999993</v>
      </c>
      <c r="T660" s="25"/>
      <c r="W660" s="20"/>
      <c r="X660" s="20"/>
      <c r="Y660" s="20"/>
      <c r="Z660" s="20"/>
      <c r="AA660" s="20"/>
    </row>
    <row r="661" spans="1:27" ht="15.75">
      <c r="A661" s="206"/>
      <c r="B661" s="1682">
        <f ca="1">TODAY()</f>
        <v>45681</v>
      </c>
      <c r="C661" s="1683" t="s">
        <v>863</v>
      </c>
      <c r="D661" s="207"/>
      <c r="E661" s="208"/>
      <c r="F661" s="208" t="s">
        <v>67</v>
      </c>
      <c r="G661" s="209">
        <f>G657+G627+G578+G540+G493+G442+G393+G354+G288+G242+G202+G196+G186</f>
        <v>242126.74</v>
      </c>
      <c r="H661" s="210"/>
      <c r="I661" s="210"/>
      <c r="J661" s="128"/>
      <c r="T661" s="25"/>
      <c r="W661" s="20"/>
      <c r="X661" s="20"/>
      <c r="Y661" s="20"/>
      <c r="Z661" s="20"/>
      <c r="AA661" s="20"/>
    </row>
    <row r="662" spans="1:27">
      <c r="C662" s="2088" t="s">
        <v>864</v>
      </c>
      <c r="D662" s="2087"/>
      <c r="E662" s="2087"/>
      <c r="T662" s="25"/>
      <c r="W662" s="20"/>
      <c r="X662" s="20"/>
      <c r="Y662" s="20"/>
      <c r="Z662" s="20"/>
      <c r="AA662" s="20"/>
    </row>
    <row r="663" spans="1:27">
      <c r="D663" s="2087"/>
      <c r="E663" s="2087"/>
      <c r="F663" s="2087"/>
      <c r="T663" s="25"/>
      <c r="W663" s="20"/>
      <c r="X663" s="20"/>
      <c r="Y663" s="20"/>
      <c r="Z663" s="20"/>
      <c r="AA663" s="20"/>
    </row>
    <row r="666" spans="1:27">
      <c r="B666" s="9" t="s">
        <v>865</v>
      </c>
      <c r="C666" s="9" t="s">
        <v>135</v>
      </c>
    </row>
    <row r="667" spans="1:27">
      <c r="B667" s="34">
        <v>100000</v>
      </c>
      <c r="C667" s="16">
        <v>14382</v>
      </c>
      <c r="D667" s="162">
        <v>84200</v>
      </c>
      <c r="E667" s="162">
        <f t="shared" ref="E667:E677" si="42">B667-D667</f>
        <v>15800</v>
      </c>
      <c r="F667" s="36">
        <v>0.24</v>
      </c>
      <c r="G667" s="162">
        <f t="shared" ref="G667:G677" si="43">D667*F667</f>
        <v>20208</v>
      </c>
      <c r="H667" s="2104">
        <f t="shared" ref="H667:H677" si="44">B667-G667</f>
        <v>79792</v>
      </c>
      <c r="I667" s="2087"/>
      <c r="J667" s="13">
        <f t="shared" ref="J667:J677" si="45">H667/B667</f>
        <v>0.79791999999999996</v>
      </c>
      <c r="L667" s="13">
        <f t="shared" ref="L667:L677" si="46">100%-J667</f>
        <v>0.20208000000000004</v>
      </c>
    </row>
    <row r="668" spans="1:27">
      <c r="B668" s="34">
        <v>150000</v>
      </c>
      <c r="C668" s="16">
        <v>14382</v>
      </c>
      <c r="D668" s="162">
        <v>84200</v>
      </c>
      <c r="E668" s="162">
        <f t="shared" si="42"/>
        <v>65800</v>
      </c>
      <c r="F668" s="36">
        <v>0.24</v>
      </c>
      <c r="G668" s="162">
        <f t="shared" si="43"/>
        <v>20208</v>
      </c>
      <c r="H668" s="2104">
        <f t="shared" si="44"/>
        <v>129792</v>
      </c>
      <c r="I668" s="2087"/>
      <c r="J668" s="13">
        <f t="shared" si="45"/>
        <v>0.86528000000000005</v>
      </c>
      <c r="L668" s="13">
        <f t="shared" si="46"/>
        <v>0.13471999999999995</v>
      </c>
    </row>
    <row r="669" spans="1:27">
      <c r="B669" s="34">
        <v>200000</v>
      </c>
      <c r="C669" s="16">
        <v>32748</v>
      </c>
      <c r="D669" s="162">
        <v>160725</v>
      </c>
      <c r="E669" s="162">
        <f t="shared" si="42"/>
        <v>39275</v>
      </c>
      <c r="F669" s="36">
        <v>0.32</v>
      </c>
      <c r="G669" s="162">
        <f t="shared" si="43"/>
        <v>51432</v>
      </c>
      <c r="H669" s="2104">
        <f t="shared" si="44"/>
        <v>148568</v>
      </c>
      <c r="I669" s="2087"/>
      <c r="J669" s="13">
        <f t="shared" si="45"/>
        <v>0.74283999999999994</v>
      </c>
      <c r="L669" s="13">
        <f t="shared" si="46"/>
        <v>0.25716000000000006</v>
      </c>
    </row>
    <row r="670" spans="1:27">
      <c r="B670" s="34">
        <v>250000</v>
      </c>
      <c r="C670" s="16">
        <v>46628</v>
      </c>
      <c r="D670" s="162">
        <v>204100</v>
      </c>
      <c r="E670" s="162">
        <f t="shared" si="42"/>
        <v>45900</v>
      </c>
      <c r="F670" s="36">
        <v>0.35</v>
      </c>
      <c r="G670" s="162">
        <f t="shared" si="43"/>
        <v>71435</v>
      </c>
      <c r="H670" s="2104">
        <f t="shared" si="44"/>
        <v>178565</v>
      </c>
      <c r="I670" s="2087"/>
      <c r="J670" s="13">
        <f t="shared" si="45"/>
        <v>0.71426000000000001</v>
      </c>
      <c r="L670" s="13">
        <f t="shared" si="46"/>
        <v>0.28573999999999999</v>
      </c>
    </row>
    <row r="671" spans="1:27">
      <c r="B671" s="34">
        <v>300000</v>
      </c>
      <c r="C671" s="16">
        <v>46628</v>
      </c>
      <c r="D671" s="162">
        <v>204100</v>
      </c>
      <c r="E671" s="162">
        <f t="shared" si="42"/>
        <v>95900</v>
      </c>
      <c r="F671" s="36">
        <v>0.35</v>
      </c>
      <c r="G671" s="162">
        <f t="shared" si="43"/>
        <v>71435</v>
      </c>
      <c r="H671" s="2104">
        <f t="shared" si="44"/>
        <v>228565</v>
      </c>
      <c r="I671" s="2087"/>
      <c r="J671" s="13">
        <f t="shared" si="45"/>
        <v>0.76188333333333336</v>
      </c>
      <c r="L671" s="13">
        <f t="shared" si="46"/>
        <v>0.23811666666666664</v>
      </c>
    </row>
    <row r="672" spans="1:27">
      <c r="B672" s="34">
        <v>350000</v>
      </c>
      <c r="C672" s="16">
        <v>46628</v>
      </c>
      <c r="D672" s="162">
        <v>204100</v>
      </c>
      <c r="E672" s="162">
        <f t="shared" si="42"/>
        <v>145900</v>
      </c>
      <c r="F672" s="36">
        <v>0.35</v>
      </c>
      <c r="G672" s="162">
        <f t="shared" si="43"/>
        <v>71435</v>
      </c>
      <c r="H672" s="2104">
        <f t="shared" si="44"/>
        <v>278565</v>
      </c>
      <c r="I672" s="2087"/>
      <c r="J672" s="13">
        <f t="shared" si="45"/>
        <v>0.79590000000000005</v>
      </c>
      <c r="L672" s="13">
        <f t="shared" si="46"/>
        <v>0.20409999999999995</v>
      </c>
    </row>
    <row r="673" spans="2:12">
      <c r="B673" s="34">
        <v>400000</v>
      </c>
      <c r="C673" s="16">
        <v>46628</v>
      </c>
      <c r="D673" s="162">
        <v>204100</v>
      </c>
      <c r="E673" s="162">
        <f t="shared" si="42"/>
        <v>195900</v>
      </c>
      <c r="F673" s="36">
        <v>0.35</v>
      </c>
      <c r="G673" s="162">
        <f t="shared" si="43"/>
        <v>71435</v>
      </c>
      <c r="H673" s="2104">
        <f t="shared" si="44"/>
        <v>328565</v>
      </c>
      <c r="I673" s="2087"/>
      <c r="J673" s="13">
        <f t="shared" si="45"/>
        <v>0.82141249999999999</v>
      </c>
      <c r="L673" s="13">
        <f t="shared" si="46"/>
        <v>0.17858750000000001</v>
      </c>
    </row>
    <row r="674" spans="2:12">
      <c r="B674" s="34">
        <v>450000</v>
      </c>
      <c r="C674" s="16">
        <v>46628</v>
      </c>
      <c r="D674" s="162">
        <v>204100</v>
      </c>
      <c r="E674" s="162">
        <f t="shared" si="42"/>
        <v>245900</v>
      </c>
      <c r="F674" s="36">
        <v>0.35</v>
      </c>
      <c r="G674" s="162">
        <f t="shared" si="43"/>
        <v>71435</v>
      </c>
      <c r="H674" s="2104">
        <f t="shared" si="44"/>
        <v>378565</v>
      </c>
      <c r="I674" s="2087"/>
      <c r="J674" s="13">
        <f t="shared" si="45"/>
        <v>0.84125555555555553</v>
      </c>
      <c r="L674" s="13">
        <f t="shared" si="46"/>
        <v>0.15874444444444447</v>
      </c>
    </row>
    <row r="675" spans="2:12">
      <c r="B675" s="34">
        <v>500000</v>
      </c>
      <c r="C675" s="16">
        <v>153798</v>
      </c>
      <c r="D675" s="162">
        <v>510300</v>
      </c>
      <c r="E675" s="162">
        <f t="shared" si="42"/>
        <v>-10300</v>
      </c>
      <c r="F675" s="36">
        <v>0.37</v>
      </c>
      <c r="G675" s="162">
        <f t="shared" si="43"/>
        <v>188811</v>
      </c>
      <c r="H675" s="2104">
        <f t="shared" si="44"/>
        <v>311189</v>
      </c>
      <c r="I675" s="2087"/>
      <c r="J675" s="13">
        <f t="shared" si="45"/>
        <v>0.62237799999999999</v>
      </c>
      <c r="L675" s="13">
        <f t="shared" si="46"/>
        <v>0.37762200000000001</v>
      </c>
    </row>
    <row r="676" spans="2:12">
      <c r="B676" s="34">
        <v>550000</v>
      </c>
      <c r="C676" s="16">
        <v>153798</v>
      </c>
      <c r="D676" s="162">
        <v>510300</v>
      </c>
      <c r="E676" s="162">
        <f t="shared" si="42"/>
        <v>39700</v>
      </c>
      <c r="F676" s="36">
        <v>0.37</v>
      </c>
      <c r="G676" s="162">
        <f t="shared" si="43"/>
        <v>188811</v>
      </c>
      <c r="H676" s="2104">
        <f t="shared" si="44"/>
        <v>361189</v>
      </c>
      <c r="I676" s="2087"/>
      <c r="J676" s="13">
        <f t="shared" si="45"/>
        <v>0.6567072727272727</v>
      </c>
      <c r="L676" s="13">
        <f t="shared" si="46"/>
        <v>0.3432927272727273</v>
      </c>
    </row>
    <row r="677" spans="2:12">
      <c r="B677" s="34">
        <v>600000</v>
      </c>
      <c r="C677" s="16">
        <v>153798</v>
      </c>
      <c r="D677" s="162">
        <v>510300</v>
      </c>
      <c r="E677" s="162">
        <f t="shared" si="42"/>
        <v>89700</v>
      </c>
      <c r="F677" s="36">
        <v>0.37</v>
      </c>
      <c r="G677" s="162">
        <f t="shared" si="43"/>
        <v>188811</v>
      </c>
      <c r="H677" s="2104">
        <f t="shared" si="44"/>
        <v>411189</v>
      </c>
      <c r="I677" s="2087"/>
      <c r="J677" s="13">
        <f t="shared" si="45"/>
        <v>0.68531500000000001</v>
      </c>
      <c r="L677" s="13">
        <f t="shared" si="46"/>
        <v>0.31468499999999999</v>
      </c>
    </row>
    <row r="690" spans="2:21">
      <c r="B690" s="211" t="s">
        <v>866</v>
      </c>
      <c r="C690" s="211" t="s">
        <v>867</v>
      </c>
      <c r="D690" s="212">
        <v>43</v>
      </c>
      <c r="E690" s="211"/>
      <c r="F690" s="213" t="s">
        <v>536</v>
      </c>
      <c r="G690" s="211" t="s">
        <v>868</v>
      </c>
      <c r="H690" s="212">
        <v>16.63</v>
      </c>
      <c r="I690" s="211"/>
      <c r="J690" s="212" t="s">
        <v>869</v>
      </c>
      <c r="K690" s="211"/>
      <c r="L690" s="214">
        <v>43</v>
      </c>
      <c r="M690" s="211" t="s">
        <v>870</v>
      </c>
    </row>
    <row r="691" spans="2:21">
      <c r="B691" s="215"/>
      <c r="C691" s="215"/>
      <c r="D691" s="211"/>
      <c r="E691" s="2087"/>
      <c r="F691" s="2087"/>
      <c r="G691" s="2087"/>
      <c r="H691" s="211"/>
      <c r="I691" s="211"/>
      <c r="J691" s="211" t="s">
        <v>866</v>
      </c>
      <c r="K691" s="211" t="s">
        <v>867</v>
      </c>
      <c r="L691" s="212">
        <v>2000</v>
      </c>
      <c r="M691" s="211"/>
      <c r="N691" s="213" t="s">
        <v>536</v>
      </c>
      <c r="O691" s="211" t="s">
        <v>868</v>
      </c>
      <c r="P691" s="212">
        <v>16.63</v>
      </c>
      <c r="Q691" s="211"/>
      <c r="R691" s="212" t="s">
        <v>869</v>
      </c>
      <c r="S691" s="211"/>
      <c r="T691" s="211" t="s">
        <v>869</v>
      </c>
      <c r="U691" s="211" t="s">
        <v>870</v>
      </c>
    </row>
    <row r="692" spans="2:21">
      <c r="B692" s="215"/>
      <c r="C692" s="215"/>
      <c r="D692" s="211"/>
      <c r="E692" s="2087"/>
      <c r="F692" s="2087"/>
      <c r="G692" s="2087"/>
      <c r="H692" s="211"/>
      <c r="I692" s="211"/>
      <c r="J692" s="211" t="s">
        <v>866</v>
      </c>
      <c r="K692" s="211" t="s">
        <v>867</v>
      </c>
      <c r="L692" s="212">
        <v>159</v>
      </c>
      <c r="M692" s="211"/>
      <c r="N692" s="213" t="s">
        <v>536</v>
      </c>
      <c r="O692" s="211" t="s">
        <v>868</v>
      </c>
      <c r="P692" s="212">
        <v>16.63</v>
      </c>
      <c r="Q692" s="211"/>
      <c r="R692" s="212" t="s">
        <v>869</v>
      </c>
      <c r="S692" s="211"/>
      <c r="T692" s="211" t="s">
        <v>869</v>
      </c>
      <c r="U692" s="211" t="s">
        <v>870</v>
      </c>
    </row>
    <row r="693" spans="2:21">
      <c r="B693" s="215"/>
      <c r="C693" s="215"/>
      <c r="D693" s="211"/>
      <c r="E693" s="2087"/>
      <c r="F693" s="2087"/>
      <c r="G693" s="2087"/>
      <c r="H693" s="211"/>
      <c r="I693" s="211"/>
      <c r="J693" s="211"/>
      <c r="K693" s="211"/>
      <c r="L693" s="212"/>
      <c r="M693" s="211"/>
      <c r="N693" s="211"/>
      <c r="O693" s="211"/>
      <c r="P693" s="212"/>
      <c r="Q693" s="211"/>
      <c r="R693" s="212"/>
      <c r="S693" s="211"/>
      <c r="T693" s="211"/>
      <c r="U693" s="211"/>
    </row>
    <row r="694" spans="2:21">
      <c r="B694" s="215"/>
      <c r="C694" s="215"/>
      <c r="D694" s="211"/>
      <c r="E694" s="2087"/>
      <c r="F694" s="2087"/>
      <c r="G694" s="2087"/>
      <c r="H694" s="211"/>
      <c r="I694" s="211"/>
      <c r="J694" s="211"/>
      <c r="K694" s="211"/>
      <c r="L694" s="212">
        <f>43+2000+159</f>
        <v>2202</v>
      </c>
      <c r="M694" s="211"/>
      <c r="N694" s="211"/>
      <c r="O694" s="211"/>
      <c r="P694" s="212"/>
      <c r="Q694" s="211"/>
      <c r="R694" s="212"/>
      <c r="S694" s="211"/>
      <c r="T694" s="211"/>
      <c r="U694" s="211"/>
    </row>
    <row r="695" spans="2:21">
      <c r="B695" s="215"/>
      <c r="C695" s="215"/>
      <c r="D695" s="211"/>
      <c r="E695" s="2087"/>
      <c r="F695" s="2087"/>
      <c r="G695" s="2087"/>
      <c r="H695" s="211"/>
      <c r="I695" s="211"/>
      <c r="J695" s="211"/>
      <c r="K695" s="211"/>
      <c r="L695" s="212"/>
      <c r="M695" s="211"/>
      <c r="N695" s="211"/>
      <c r="O695" s="211"/>
      <c r="P695" s="212"/>
      <c r="Q695" s="211"/>
      <c r="R695" s="212"/>
      <c r="S695" s="211"/>
      <c r="T695" s="211"/>
      <c r="U695" s="211"/>
    </row>
    <row r="696" spans="2:21">
      <c r="B696" s="215"/>
      <c r="C696" s="215"/>
      <c r="D696" s="211"/>
      <c r="E696" s="2087"/>
      <c r="F696" s="2087"/>
      <c r="G696" s="2087"/>
      <c r="H696" s="211"/>
      <c r="I696" s="211"/>
      <c r="J696" s="211"/>
      <c r="K696" s="211"/>
      <c r="L696" s="212"/>
      <c r="M696" s="211"/>
      <c r="N696" s="211"/>
      <c r="O696" s="211"/>
      <c r="P696" s="212"/>
      <c r="Q696" s="211"/>
      <c r="R696" s="212"/>
      <c r="S696" s="211"/>
      <c r="T696" s="211"/>
      <c r="U696" s="211"/>
    </row>
  </sheetData>
  <mergeCells count="48">
    <mergeCell ref="H677:I677"/>
    <mergeCell ref="E691:G691"/>
    <mergeCell ref="H672:I672"/>
    <mergeCell ref="H673:I673"/>
    <mergeCell ref="H674:I674"/>
    <mergeCell ref="H675:I675"/>
    <mergeCell ref="H676:I676"/>
    <mergeCell ref="E692:G692"/>
    <mergeCell ref="E693:G693"/>
    <mergeCell ref="E694:G694"/>
    <mergeCell ref="E695:G695"/>
    <mergeCell ref="E696:G696"/>
    <mergeCell ref="H667:I667"/>
    <mergeCell ref="H668:I668"/>
    <mergeCell ref="H669:I669"/>
    <mergeCell ref="H670:I670"/>
    <mergeCell ref="H671:I671"/>
    <mergeCell ref="L411:O411"/>
    <mergeCell ref="N541:O541"/>
    <mergeCell ref="L614:T614"/>
    <mergeCell ref="C662:E662"/>
    <mergeCell ref="D663:F663"/>
    <mergeCell ref="W221:Z221"/>
    <mergeCell ref="W222:Z222"/>
    <mergeCell ref="W223:Z223"/>
    <mergeCell ref="K364:L364"/>
    <mergeCell ref="K365:L365"/>
    <mergeCell ref="U215:V215"/>
    <mergeCell ref="AA215:AB215"/>
    <mergeCell ref="W218:Z218"/>
    <mergeCell ref="W219:Z219"/>
    <mergeCell ref="W220:Z220"/>
    <mergeCell ref="AA210:AB210"/>
    <mergeCell ref="AA211:AB211"/>
    <mergeCell ref="AA212:AB212"/>
    <mergeCell ref="AA213:AB213"/>
    <mergeCell ref="AA214:AB214"/>
    <mergeCell ref="M153:N153"/>
    <mergeCell ref="AJ199:AK199"/>
    <mergeCell ref="L207:Q207"/>
    <mergeCell ref="AA208:AB208"/>
    <mergeCell ref="AA209:AB209"/>
    <mergeCell ref="B16:J16"/>
    <mergeCell ref="V110:W110"/>
    <mergeCell ref="V116:Y116"/>
    <mergeCell ref="Z116:AA116"/>
    <mergeCell ref="AB116:AC116"/>
    <mergeCell ref="R88:S88"/>
  </mergeCells>
  <conditionalFormatting sqref="O3:O8 O16:O17 L18:Q18">
    <cfRule type="cellIs" dxfId="7" priority="5" operator="lessThan">
      <formula>0</formula>
    </cfRule>
    <cfRule type="cellIs" dxfId="6" priority="6" operator="greaterThanOrEqual">
      <formula>500</formula>
    </cfRule>
  </conditionalFormatting>
  <conditionalFormatting sqref="O49 L50:P50">
    <cfRule type="cellIs" dxfId="5" priority="1" operator="lessThan">
      <formula>0</formula>
    </cfRule>
    <cfRule type="cellIs" dxfId="4" priority="2" operator="greaterThanOrEqual">
      <formula>500</formula>
    </cfRule>
  </conditionalFormatting>
  <conditionalFormatting sqref="V2 O93:O95 V173:V176 V182:V211 V213:V214 V229:V356 W280 Y288:Y343 Y356 V358 Y358 V360:V362 V372:V374 V379:V381 V385:V387 V389 V393 V396:V397 V400 V403">
    <cfRule type="cellIs" dxfId="3" priority="7" operator="lessThan">
      <formula>0</formula>
    </cfRule>
    <cfRule type="cellIs" dxfId="2" priority="8" operator="greaterThanOrEqual">
      <formula>500</formula>
    </cfRule>
  </conditionalFormatting>
  <hyperlinks>
    <hyperlink ref="F690" r:id="rId1" xr:uid="{00000000-0004-0000-0000-000000000000}"/>
    <hyperlink ref="N691" r:id="rId2" xr:uid="{00000000-0004-0000-0000-000001000000}"/>
    <hyperlink ref="N692" r:id="rId3" xr:uid="{00000000-0004-0000-0000-000002000000}"/>
  </hyperlinks>
  <printOptions horizontalCentered="1" gridLines="1"/>
  <pageMargins left="0.7" right="0.7" top="0.75" bottom="0.75" header="0" footer="0"/>
  <pageSetup fitToHeight="0" pageOrder="overThenDown" orientation="portrait" cellComments="atEnd"/>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U49"/>
  <sheetViews>
    <sheetView workbookViewId="0">
      <selection activeCell="P18" sqref="P18"/>
    </sheetView>
  </sheetViews>
  <sheetFormatPr defaultColWidth="12.7109375" defaultRowHeight="12.75" customHeight="1"/>
  <cols>
    <col min="1" max="1" width="22.28515625" customWidth="1"/>
    <col min="2" max="11" width="10.140625" customWidth="1"/>
    <col min="12" max="13" width="9.7109375" customWidth="1"/>
    <col min="14" max="14" width="10.140625" customWidth="1"/>
    <col min="15" max="15" width="5.28515625" customWidth="1"/>
    <col min="17" max="17" width="25.85546875" customWidth="1"/>
  </cols>
  <sheetData>
    <row r="1" spans="1:21">
      <c r="A1" s="660"/>
      <c r="B1" s="660"/>
      <c r="C1" s="660"/>
      <c r="D1" s="660"/>
      <c r="E1" s="660"/>
      <c r="F1" s="660"/>
      <c r="G1" s="660"/>
      <c r="H1" s="660"/>
      <c r="I1" s="660"/>
      <c r="J1" s="660"/>
      <c r="K1" s="660"/>
      <c r="L1" s="660"/>
      <c r="M1" s="660"/>
      <c r="N1" s="660"/>
      <c r="O1" s="660"/>
      <c r="Q1" s="9" t="s">
        <v>4386</v>
      </c>
      <c r="S1" s="9" t="s">
        <v>4387</v>
      </c>
    </row>
    <row r="2" spans="1:21">
      <c r="A2" s="660"/>
      <c r="B2" s="660"/>
      <c r="C2" s="660"/>
      <c r="D2" s="660"/>
      <c r="E2" s="660"/>
      <c r="F2" s="660"/>
      <c r="G2" s="660"/>
      <c r="H2" s="660"/>
      <c r="I2" s="660"/>
      <c r="J2" s="660"/>
      <c r="K2" s="660"/>
      <c r="L2" s="660"/>
      <c r="M2" s="660"/>
      <c r="N2" s="660"/>
      <c r="O2" s="660"/>
      <c r="U2" s="9" t="s">
        <v>4388</v>
      </c>
    </row>
    <row r="3" spans="1:21">
      <c r="A3" s="2126" t="s">
        <v>4389</v>
      </c>
      <c r="B3" s="2127"/>
      <c r="C3" s="2127"/>
      <c r="D3" s="2127"/>
      <c r="E3" s="2127"/>
      <c r="F3" s="2127"/>
      <c r="G3" s="2127"/>
      <c r="H3" s="2127"/>
      <c r="I3" s="2127"/>
      <c r="J3" s="2127"/>
      <c r="K3" s="2127"/>
      <c r="L3" s="2127"/>
      <c r="M3" s="2127"/>
      <c r="N3" s="2128"/>
      <c r="O3" s="661"/>
      <c r="Q3" s="9" t="s">
        <v>4390</v>
      </c>
      <c r="R3" s="9">
        <v>2.99</v>
      </c>
      <c r="S3" s="9">
        <v>27</v>
      </c>
      <c r="T3" s="9" t="s">
        <v>116</v>
      </c>
      <c r="U3" s="9" t="s">
        <v>1114</v>
      </c>
    </row>
    <row r="4" spans="1:21" ht="25.5">
      <c r="A4" s="662" t="s">
        <v>4391</v>
      </c>
      <c r="B4" s="663" t="s">
        <v>143</v>
      </c>
      <c r="C4" s="663" t="s">
        <v>26</v>
      </c>
      <c r="D4" s="663" t="s">
        <v>25</v>
      </c>
      <c r="E4" s="663" t="s">
        <v>24</v>
      </c>
      <c r="F4" s="663" t="s">
        <v>23</v>
      </c>
      <c r="G4" s="663" t="s">
        <v>22</v>
      </c>
      <c r="H4" s="663" t="s">
        <v>21</v>
      </c>
      <c r="I4" s="663" t="s">
        <v>20</v>
      </c>
      <c r="J4" s="663" t="s">
        <v>256</v>
      </c>
      <c r="K4" s="663" t="s">
        <v>18</v>
      </c>
      <c r="L4" s="663" t="s">
        <v>17</v>
      </c>
      <c r="M4" s="663" t="s">
        <v>86</v>
      </c>
      <c r="N4" s="664" t="s">
        <v>67</v>
      </c>
      <c r="O4" s="665"/>
      <c r="P4" s="69" t="s">
        <v>4392</v>
      </c>
      <c r="Q4" s="18" t="s">
        <v>4393</v>
      </c>
      <c r="R4" s="9">
        <v>9.9499999999999993</v>
      </c>
      <c r="S4" s="9">
        <v>28</v>
      </c>
      <c r="T4" s="9" t="s">
        <v>116</v>
      </c>
      <c r="U4" s="9" t="s">
        <v>4394</v>
      </c>
    </row>
    <row r="5" spans="1:21">
      <c r="A5" s="666" t="s">
        <v>4395</v>
      </c>
      <c r="B5" s="667"/>
      <c r="C5" s="667"/>
      <c r="D5" s="667"/>
      <c r="E5" s="667"/>
      <c r="F5" s="667"/>
      <c r="G5" s="667"/>
      <c r="H5" s="667"/>
      <c r="I5" s="667"/>
      <c r="J5" s="667"/>
      <c r="K5" s="667"/>
      <c r="L5" s="667"/>
      <c r="M5" s="667"/>
      <c r="N5" s="668">
        <f>SUM(B5:M5)</f>
        <v>0</v>
      </c>
      <c r="O5" s="669"/>
      <c r="P5" s="69"/>
      <c r="Q5" s="670" t="s">
        <v>4396</v>
      </c>
      <c r="R5" s="9">
        <v>5.99</v>
      </c>
      <c r="T5" s="9" t="s">
        <v>116</v>
      </c>
      <c r="U5" s="9" t="s">
        <v>1114</v>
      </c>
    </row>
    <row r="6" spans="1:21">
      <c r="A6" s="666" t="s">
        <v>4397</v>
      </c>
      <c r="B6" s="671"/>
      <c r="C6" s="671"/>
      <c r="D6" s="671"/>
      <c r="E6" s="671"/>
      <c r="F6" s="671"/>
      <c r="G6" s="671"/>
      <c r="H6" s="671"/>
      <c r="I6" s="671"/>
      <c r="J6" s="671"/>
      <c r="K6" s="671"/>
      <c r="L6" s="671"/>
      <c r="M6" s="671"/>
      <c r="N6" s="668"/>
      <c r="O6" s="672"/>
      <c r="P6" s="69"/>
      <c r="Q6" s="673" t="s">
        <v>4398</v>
      </c>
      <c r="R6" s="9">
        <v>6.5</v>
      </c>
      <c r="S6" s="9">
        <v>26</v>
      </c>
      <c r="T6" s="9" t="s">
        <v>116</v>
      </c>
      <c r="U6" s="9" t="s">
        <v>1114</v>
      </c>
    </row>
    <row r="7" spans="1:21">
      <c r="A7" s="674" t="s">
        <v>4399</v>
      </c>
      <c r="B7" s="675"/>
      <c r="C7" s="675"/>
      <c r="D7" s="675"/>
      <c r="E7" s="675"/>
      <c r="F7" s="675"/>
      <c r="G7" s="675"/>
      <c r="H7" s="675"/>
      <c r="I7" s="675"/>
      <c r="J7" s="675"/>
      <c r="K7" s="675"/>
      <c r="L7" s="676">
        <v>2331.1</v>
      </c>
      <c r="M7" s="675"/>
      <c r="N7" s="677">
        <f t="shared" ref="N7:N19" si="0">SUM(B7:M7)</f>
        <v>2331.1</v>
      </c>
      <c r="O7" s="672"/>
      <c r="P7" s="678">
        <v>0</v>
      </c>
      <c r="Q7" s="679" t="s">
        <v>4400</v>
      </c>
      <c r="R7" s="9">
        <v>4.9000000000000004</v>
      </c>
      <c r="S7" s="9">
        <v>26</v>
      </c>
      <c r="T7" s="9" t="s">
        <v>116</v>
      </c>
      <c r="U7" s="9" t="s">
        <v>1114</v>
      </c>
    </row>
    <row r="8" spans="1:21">
      <c r="A8" s="680" t="s">
        <v>4401</v>
      </c>
      <c r="B8" s="680">
        <v>3.75</v>
      </c>
      <c r="C8" s="680">
        <v>3.75</v>
      </c>
      <c r="D8" s="680">
        <v>3.75</v>
      </c>
      <c r="E8" s="680">
        <v>3.75</v>
      </c>
      <c r="F8" s="680">
        <v>3.75</v>
      </c>
      <c r="G8" s="680">
        <v>3.75</v>
      </c>
      <c r="H8" s="680">
        <v>3.75</v>
      </c>
      <c r="I8" s="680">
        <v>3.75</v>
      </c>
      <c r="J8" s="680">
        <v>3.75</v>
      </c>
      <c r="K8" s="680">
        <v>3.75</v>
      </c>
      <c r="L8" s="680">
        <v>3.75</v>
      </c>
      <c r="M8" s="680">
        <v>3.75</v>
      </c>
      <c r="N8" s="677">
        <f t="shared" si="0"/>
        <v>45</v>
      </c>
      <c r="O8" s="681"/>
      <c r="P8" s="682">
        <f>AVERAGE(B8:K8)</f>
        <v>3.75</v>
      </c>
      <c r="Q8" s="9" t="s">
        <v>4402</v>
      </c>
      <c r="R8" s="82">
        <v>15</v>
      </c>
      <c r="S8" s="9">
        <v>19</v>
      </c>
      <c r="T8" s="9" t="s">
        <v>116</v>
      </c>
      <c r="U8" s="9" t="s">
        <v>1114</v>
      </c>
    </row>
    <row r="9" spans="1:21">
      <c r="A9" s="683" t="s">
        <v>4403</v>
      </c>
      <c r="B9" s="683">
        <v>259.39999999999998</v>
      </c>
      <c r="C9" s="683">
        <v>270.39999999999998</v>
      </c>
      <c r="D9" s="683">
        <v>52.39</v>
      </c>
      <c r="E9" s="683">
        <v>72.52</v>
      </c>
      <c r="F9" s="683">
        <v>39.04</v>
      </c>
      <c r="G9" s="683">
        <v>40.799999999999997</v>
      </c>
      <c r="H9" s="683">
        <v>29.12</v>
      </c>
      <c r="I9" s="683">
        <v>80.97</v>
      </c>
      <c r="J9" s="683">
        <v>126.63</v>
      </c>
      <c r="K9" s="683">
        <v>129.58000000000001</v>
      </c>
      <c r="L9" s="683">
        <v>138.41</v>
      </c>
      <c r="M9" s="683">
        <v>178.19</v>
      </c>
      <c r="N9" s="677">
        <f t="shared" si="0"/>
        <v>1417.45</v>
      </c>
      <c r="O9" s="681"/>
      <c r="P9" s="682">
        <f t="shared" ref="P9:P20" si="1">AVERAGE(B9:K9)</f>
        <v>110.08499999999999</v>
      </c>
      <c r="Q9" s="684" t="s">
        <v>4404</v>
      </c>
      <c r="R9" s="9" t="s">
        <v>3592</v>
      </c>
      <c r="S9" s="9">
        <v>13</v>
      </c>
      <c r="T9" s="9" t="s">
        <v>4405</v>
      </c>
    </row>
    <row r="10" spans="1:21">
      <c r="A10" s="675" t="s">
        <v>4406</v>
      </c>
      <c r="B10" s="675">
        <v>74.53</v>
      </c>
      <c r="C10" s="675">
        <v>76.739999999999995</v>
      </c>
      <c r="D10" s="675">
        <v>12.58</v>
      </c>
      <c r="E10" s="675">
        <v>18.670000000000002</v>
      </c>
      <c r="F10" s="675">
        <v>8.6300000000000008</v>
      </c>
      <c r="G10" s="675">
        <v>8.67</v>
      </c>
      <c r="H10" s="675">
        <v>5.42</v>
      </c>
      <c r="I10" s="675">
        <v>14.89</v>
      </c>
      <c r="J10" s="675">
        <v>22.12</v>
      </c>
      <c r="K10" s="675">
        <v>21.67</v>
      </c>
      <c r="L10" s="675">
        <v>22.34</v>
      </c>
      <c r="M10" s="675">
        <v>27.96</v>
      </c>
      <c r="N10" s="677">
        <f t="shared" si="0"/>
        <v>314.21999999999991</v>
      </c>
      <c r="O10" s="681"/>
      <c r="P10" s="682">
        <f t="shared" si="1"/>
        <v>26.391999999999996</v>
      </c>
      <c r="Q10" s="9" t="s">
        <v>3888</v>
      </c>
      <c r="R10" s="9">
        <v>5.41</v>
      </c>
      <c r="S10" s="9">
        <v>13</v>
      </c>
      <c r="T10" s="9" t="s">
        <v>4407</v>
      </c>
      <c r="U10" s="9" t="s">
        <v>1114</v>
      </c>
    </row>
    <row r="11" spans="1:21">
      <c r="A11" s="685" t="s">
        <v>4408</v>
      </c>
      <c r="B11" s="685">
        <v>8.75</v>
      </c>
      <c r="C11" s="685">
        <v>8.75</v>
      </c>
      <c r="D11" s="685">
        <v>8.75</v>
      </c>
      <c r="E11" s="685">
        <v>8.75</v>
      </c>
      <c r="F11" s="685">
        <v>8.75</v>
      </c>
      <c r="G11" s="685">
        <v>8.77</v>
      </c>
      <c r="H11" s="685">
        <v>8.77</v>
      </c>
      <c r="I11" s="685">
        <v>8.77</v>
      </c>
      <c r="J11" s="685">
        <v>8.77</v>
      </c>
      <c r="K11" s="685">
        <v>8.77</v>
      </c>
      <c r="L11" s="685">
        <v>8.77</v>
      </c>
      <c r="M11" s="685">
        <v>8.77</v>
      </c>
      <c r="N11" s="677">
        <f t="shared" si="0"/>
        <v>105.13999999999997</v>
      </c>
      <c r="O11" s="681"/>
      <c r="P11" s="682">
        <f t="shared" si="1"/>
        <v>8.759999999999998</v>
      </c>
      <c r="Q11" s="9" t="s">
        <v>4409</v>
      </c>
      <c r="R11" s="9">
        <v>190</v>
      </c>
      <c r="S11" s="9">
        <v>12</v>
      </c>
      <c r="T11" s="3" t="s">
        <v>4405</v>
      </c>
      <c r="U11" s="9" t="s">
        <v>4410</v>
      </c>
    </row>
    <row r="12" spans="1:21">
      <c r="A12" s="675" t="s">
        <v>4411</v>
      </c>
      <c r="B12" s="675">
        <v>24.91</v>
      </c>
      <c r="C12" s="675">
        <v>24.91</v>
      </c>
      <c r="D12" s="675">
        <v>23.85</v>
      </c>
      <c r="E12" s="675">
        <v>24.91</v>
      </c>
      <c r="F12" s="675">
        <v>23.85</v>
      </c>
      <c r="G12" s="675">
        <v>23.85</v>
      </c>
      <c r="H12" s="675">
        <v>23.85</v>
      </c>
      <c r="I12" s="675">
        <v>23.85</v>
      </c>
      <c r="J12" s="675">
        <v>23.85</v>
      </c>
      <c r="K12" s="675">
        <v>23.85</v>
      </c>
      <c r="L12" s="675">
        <v>23.85</v>
      </c>
      <c r="M12" s="675">
        <v>23.85</v>
      </c>
      <c r="N12" s="677">
        <f t="shared" si="0"/>
        <v>289.38</v>
      </c>
      <c r="O12" s="681"/>
      <c r="P12" s="682">
        <f t="shared" si="1"/>
        <v>24.167999999999999</v>
      </c>
      <c r="Q12" s="9" t="s">
        <v>4412</v>
      </c>
      <c r="R12" s="9">
        <v>10</v>
      </c>
      <c r="S12" s="9">
        <v>10</v>
      </c>
      <c r="T12" s="9" t="s">
        <v>116</v>
      </c>
      <c r="U12" s="9" t="s">
        <v>4413</v>
      </c>
    </row>
    <row r="13" spans="1:21">
      <c r="A13" s="683" t="s">
        <v>4414</v>
      </c>
      <c r="B13" s="683">
        <v>26.78</v>
      </c>
      <c r="C13" s="683">
        <v>24.22</v>
      </c>
      <c r="D13" s="683">
        <v>22.75</v>
      </c>
      <c r="E13" s="683">
        <v>23.38</v>
      </c>
      <c r="F13" s="683">
        <v>22.75</v>
      </c>
      <c r="G13" s="683">
        <v>24.5</v>
      </c>
      <c r="H13" s="683">
        <v>24.5</v>
      </c>
      <c r="I13" s="683">
        <v>39.200000000000003</v>
      </c>
      <c r="J13" s="683">
        <v>41.06</v>
      </c>
      <c r="K13" s="683">
        <v>47.26</v>
      </c>
      <c r="L13" s="683">
        <v>45.71</v>
      </c>
      <c r="M13" s="683">
        <v>27.18</v>
      </c>
      <c r="N13" s="677">
        <f t="shared" si="0"/>
        <v>369.28999999999996</v>
      </c>
      <c r="O13" s="681"/>
      <c r="P13" s="682">
        <f t="shared" si="1"/>
        <v>29.639999999999997</v>
      </c>
      <c r="Q13" s="9" t="s">
        <v>4415</v>
      </c>
      <c r="R13" s="9">
        <v>120</v>
      </c>
      <c r="S13" s="9">
        <v>11</v>
      </c>
      <c r="T13" s="9" t="s">
        <v>116</v>
      </c>
      <c r="U13" s="9" t="s">
        <v>1114</v>
      </c>
    </row>
    <row r="14" spans="1:21" s="1596" customFormat="1">
      <c r="A14" s="1859" t="s">
        <v>4416</v>
      </c>
      <c r="B14" s="1859">
        <v>0.1</v>
      </c>
      <c r="C14" s="1859">
        <v>0.1</v>
      </c>
      <c r="D14" s="1859">
        <v>0</v>
      </c>
      <c r="E14" s="1859">
        <v>0.02</v>
      </c>
      <c r="F14" s="1859">
        <v>0</v>
      </c>
      <c r="G14" s="1859">
        <v>0</v>
      </c>
      <c r="H14" s="1859">
        <v>0</v>
      </c>
      <c r="I14" s="1859">
        <v>0.22</v>
      </c>
      <c r="J14" s="1859">
        <v>0.24</v>
      </c>
      <c r="K14" s="1859">
        <v>0.31</v>
      </c>
      <c r="L14" s="1859">
        <v>0.28999999999999998</v>
      </c>
      <c r="M14" s="1859">
        <v>7.0000000000000007E-2</v>
      </c>
      <c r="N14" s="1860">
        <f t="shared" si="0"/>
        <v>1.35</v>
      </c>
      <c r="O14" s="1861"/>
      <c r="P14" s="682">
        <f t="shared" si="1"/>
        <v>9.9000000000000005E-2</v>
      </c>
      <c r="Q14" s="22" t="s">
        <v>1120</v>
      </c>
      <c r="R14" s="22" t="s">
        <v>135</v>
      </c>
      <c r="S14" s="22" t="s">
        <v>135</v>
      </c>
      <c r="T14" s="22" t="s">
        <v>135</v>
      </c>
      <c r="U14" s="22" t="s">
        <v>135</v>
      </c>
    </row>
    <row r="15" spans="1:21">
      <c r="A15" s="685" t="s">
        <v>4417</v>
      </c>
      <c r="B15" s="685">
        <v>6.68</v>
      </c>
      <c r="C15" s="685">
        <v>6.4</v>
      </c>
      <c r="D15" s="685">
        <v>1.3</v>
      </c>
      <c r="E15" s="685">
        <v>1.82</v>
      </c>
      <c r="F15" s="685">
        <v>0.96</v>
      </c>
      <c r="G15" s="685">
        <v>0.98</v>
      </c>
      <c r="H15" s="685">
        <v>0.7</v>
      </c>
      <c r="I15" s="685">
        <v>1.92</v>
      </c>
      <c r="J15" s="685">
        <v>2.98</v>
      </c>
      <c r="K15" s="685">
        <v>3.02</v>
      </c>
      <c r="L15" s="685">
        <v>3.22</v>
      </c>
      <c r="M15" s="685">
        <v>4.12</v>
      </c>
      <c r="N15" s="677">
        <f t="shared" si="0"/>
        <v>34.099999999999994</v>
      </c>
      <c r="O15" s="681"/>
      <c r="P15" s="682">
        <f t="shared" si="1"/>
        <v>2.6759999999999997</v>
      </c>
    </row>
    <row r="16" spans="1:21">
      <c r="A16" s="686" t="s">
        <v>4418</v>
      </c>
      <c r="B16" s="686">
        <f t="shared" ref="B16:M16" si="2">SUM(B8:B15)</f>
        <v>404.90000000000003</v>
      </c>
      <c r="C16" s="686">
        <f t="shared" si="2"/>
        <v>415.27</v>
      </c>
      <c r="D16" s="686">
        <f t="shared" si="2"/>
        <v>125.36999999999999</v>
      </c>
      <c r="E16" s="686">
        <f t="shared" si="2"/>
        <v>153.82</v>
      </c>
      <c r="F16" s="686">
        <f t="shared" si="2"/>
        <v>107.73</v>
      </c>
      <c r="G16" s="686">
        <f t="shared" si="2"/>
        <v>111.32000000000001</v>
      </c>
      <c r="H16" s="686">
        <f t="shared" si="2"/>
        <v>96.11</v>
      </c>
      <c r="I16" s="686">
        <f t="shared" si="2"/>
        <v>173.57</v>
      </c>
      <c r="J16" s="686">
        <f t="shared" si="2"/>
        <v>229.4</v>
      </c>
      <c r="K16" s="686">
        <f t="shared" si="2"/>
        <v>238.21</v>
      </c>
      <c r="L16" s="686">
        <f t="shared" si="2"/>
        <v>246.34</v>
      </c>
      <c r="M16" s="686">
        <f t="shared" si="2"/>
        <v>273.89</v>
      </c>
      <c r="N16" s="677">
        <f t="shared" si="0"/>
        <v>2575.9299999999998</v>
      </c>
      <c r="O16" s="681"/>
      <c r="P16" s="682">
        <f t="shared" si="1"/>
        <v>205.57</v>
      </c>
    </row>
    <row r="17" spans="1:18">
      <c r="A17" s="674" t="s">
        <v>4419</v>
      </c>
      <c r="B17" s="675">
        <v>371.46</v>
      </c>
      <c r="C17" s="675">
        <v>207.51</v>
      </c>
      <c r="D17" s="675">
        <v>139.83000000000001</v>
      </c>
      <c r="E17" s="675">
        <v>65.48</v>
      </c>
      <c r="F17" s="675">
        <v>28.19</v>
      </c>
      <c r="G17" s="675">
        <v>0</v>
      </c>
      <c r="H17" s="675">
        <v>29.17</v>
      </c>
      <c r="I17" s="675">
        <v>33.04</v>
      </c>
      <c r="J17" s="675">
        <v>34.71</v>
      </c>
      <c r="K17" s="675">
        <v>89.81</v>
      </c>
      <c r="L17" s="675">
        <v>254.62</v>
      </c>
      <c r="M17" s="675">
        <v>439.75</v>
      </c>
      <c r="N17" s="677">
        <f t="shared" si="0"/>
        <v>1693.5700000000002</v>
      </c>
      <c r="O17" s="672"/>
      <c r="P17" s="682">
        <f>N17/12</f>
        <v>141.13083333333336</v>
      </c>
    </row>
    <row r="18" spans="1:18" s="1596" customFormat="1">
      <c r="A18" s="1862" t="s">
        <v>4420</v>
      </c>
      <c r="B18" s="1863"/>
      <c r="C18" s="1863"/>
      <c r="D18" s="1863"/>
      <c r="E18" s="1863"/>
      <c r="F18" s="1863"/>
      <c r="G18" s="1863"/>
      <c r="H18" s="1863"/>
      <c r="I18" s="1863"/>
      <c r="J18" s="1863"/>
      <c r="K18" s="1863"/>
      <c r="L18" s="1864">
        <v>2995.54</v>
      </c>
      <c r="M18" s="1863"/>
      <c r="N18" s="1860">
        <f t="shared" si="0"/>
        <v>2995.54</v>
      </c>
      <c r="O18" s="1865"/>
      <c r="P18" s="682"/>
      <c r="Q18" s="1924" t="s">
        <v>8832</v>
      </c>
      <c r="R18" s="1596">
        <v>307</v>
      </c>
    </row>
    <row r="19" spans="1:18">
      <c r="A19" s="666" t="s">
        <v>4421</v>
      </c>
      <c r="B19" s="677">
        <f t="shared" ref="B19:M19" si="3">SUM(B16:B18)</f>
        <v>776.36</v>
      </c>
      <c r="C19" s="677">
        <f t="shared" si="3"/>
        <v>622.78</v>
      </c>
      <c r="D19" s="677">
        <f t="shared" si="3"/>
        <v>265.2</v>
      </c>
      <c r="E19" s="677">
        <f t="shared" si="3"/>
        <v>219.3</v>
      </c>
      <c r="F19" s="677">
        <f t="shared" si="3"/>
        <v>135.92000000000002</v>
      </c>
      <c r="G19" s="677">
        <f t="shared" si="3"/>
        <v>111.32000000000001</v>
      </c>
      <c r="H19" s="677">
        <f t="shared" si="3"/>
        <v>125.28</v>
      </c>
      <c r="I19" s="677">
        <f t="shared" si="3"/>
        <v>206.60999999999999</v>
      </c>
      <c r="J19" s="677">
        <f t="shared" si="3"/>
        <v>264.11</v>
      </c>
      <c r="K19" s="677">
        <f t="shared" si="3"/>
        <v>328.02</v>
      </c>
      <c r="L19" s="677">
        <f t="shared" si="3"/>
        <v>3496.5</v>
      </c>
      <c r="M19" s="677">
        <f t="shared" si="3"/>
        <v>713.64</v>
      </c>
      <c r="N19" s="668">
        <f t="shared" si="0"/>
        <v>7265.0400000000009</v>
      </c>
      <c r="O19" s="669"/>
      <c r="P19" s="682">
        <f t="shared" si="1"/>
        <v>305.49000000000007</v>
      </c>
      <c r="Q19" s="760" t="s">
        <v>8833</v>
      </c>
      <c r="R19">
        <f>2331/12</f>
        <v>194.25</v>
      </c>
    </row>
    <row r="20" spans="1:18">
      <c r="A20" s="689" t="s">
        <v>1126</v>
      </c>
      <c r="B20" s="690">
        <f t="shared" ref="B20:M20" si="4">B19</f>
        <v>776.36</v>
      </c>
      <c r="C20" s="690">
        <f t="shared" si="4"/>
        <v>622.78</v>
      </c>
      <c r="D20" s="690">
        <f t="shared" si="4"/>
        <v>265.2</v>
      </c>
      <c r="E20" s="690">
        <f t="shared" si="4"/>
        <v>219.3</v>
      </c>
      <c r="F20" s="690">
        <f t="shared" si="4"/>
        <v>135.92000000000002</v>
      </c>
      <c r="G20" s="690">
        <f t="shared" si="4"/>
        <v>111.32000000000001</v>
      </c>
      <c r="H20" s="690">
        <f t="shared" si="4"/>
        <v>125.28</v>
      </c>
      <c r="I20" s="690">
        <f t="shared" si="4"/>
        <v>206.60999999999999</v>
      </c>
      <c r="J20" s="690">
        <f t="shared" si="4"/>
        <v>264.11</v>
      </c>
      <c r="K20" s="690">
        <f t="shared" si="4"/>
        <v>328.02</v>
      </c>
      <c r="L20" s="690">
        <f t="shared" si="4"/>
        <v>3496.5</v>
      </c>
      <c r="M20" s="690">
        <f t="shared" si="4"/>
        <v>713.64</v>
      </c>
      <c r="N20" s="690">
        <f>SUM(N7:N18)</f>
        <v>12172.07</v>
      </c>
      <c r="O20" s="691"/>
      <c r="P20" s="682">
        <f t="shared" si="1"/>
        <v>305.49000000000007</v>
      </c>
    </row>
    <row r="21" spans="1:18">
      <c r="A21" s="692"/>
      <c r="B21" s="693"/>
      <c r="C21" s="693"/>
      <c r="D21" s="693"/>
      <c r="E21" s="693"/>
      <c r="F21" s="693"/>
      <c r="G21" s="693"/>
      <c r="H21" s="693"/>
      <c r="I21" s="693"/>
      <c r="J21" s="693"/>
      <c r="K21" s="693"/>
      <c r="L21" s="693"/>
      <c r="M21" s="693"/>
      <c r="N21" s="693"/>
      <c r="O21" s="694"/>
    </row>
    <row r="22" spans="1:18" ht="14.25">
      <c r="A22" s="9"/>
      <c r="B22" s="9"/>
      <c r="C22" s="9"/>
      <c r="D22" s="9"/>
      <c r="E22" s="9"/>
      <c r="F22" s="9"/>
      <c r="G22" s="9"/>
      <c r="H22" s="9"/>
      <c r="I22" s="9"/>
      <c r="J22" s="9"/>
      <c r="K22" s="9"/>
      <c r="Q22" s="9" t="s">
        <v>4422</v>
      </c>
      <c r="R22" s="695"/>
    </row>
    <row r="23" spans="1:18">
      <c r="Q23" s="11">
        <f>L7*1.5/100</f>
        <v>34.966499999999996</v>
      </c>
    </row>
    <row r="24" spans="1:18">
      <c r="A24" s="660"/>
      <c r="B24" s="660"/>
      <c r="C24" s="660"/>
      <c r="D24" s="660"/>
      <c r="E24" s="660"/>
      <c r="F24" s="660"/>
      <c r="G24" s="660"/>
      <c r="H24" s="660"/>
      <c r="I24" s="660"/>
      <c r="J24" s="660"/>
      <c r="K24" s="660"/>
      <c r="L24" s="660"/>
      <c r="M24" s="660"/>
      <c r="N24" s="660"/>
      <c r="O24" s="660"/>
      <c r="R24" s="43"/>
    </row>
    <row r="25" spans="1:18">
      <c r="A25" s="2126" t="s">
        <v>4423</v>
      </c>
      <c r="B25" s="2127"/>
      <c r="C25" s="2127"/>
      <c r="D25" s="2127"/>
      <c r="E25" s="2127"/>
      <c r="F25" s="2127"/>
      <c r="G25" s="2127"/>
      <c r="H25" s="2127"/>
      <c r="I25" s="2127"/>
      <c r="J25" s="2127"/>
      <c r="K25" s="2127"/>
      <c r="L25" s="2127"/>
      <c r="M25" s="2127"/>
      <c r="N25" s="2128"/>
      <c r="O25" s="661"/>
    </row>
    <row r="26" spans="1:18">
      <c r="A26" s="662" t="s">
        <v>4391</v>
      </c>
      <c r="B26" s="663" t="s">
        <v>143</v>
      </c>
      <c r="C26" s="663" t="s">
        <v>26</v>
      </c>
      <c r="D26" s="663" t="s">
        <v>25</v>
      </c>
      <c r="E26" s="663" t="s">
        <v>24</v>
      </c>
      <c r="F26" s="663" t="s">
        <v>23</v>
      </c>
      <c r="G26" s="663" t="s">
        <v>22</v>
      </c>
      <c r="H26" s="663" t="s">
        <v>21</v>
      </c>
      <c r="I26" s="663" t="s">
        <v>20</v>
      </c>
      <c r="J26" s="663" t="s">
        <v>256</v>
      </c>
      <c r="K26" s="663" t="s">
        <v>18</v>
      </c>
      <c r="L26" s="663" t="s">
        <v>17</v>
      </c>
      <c r="M26" s="663" t="s">
        <v>86</v>
      </c>
      <c r="N26" s="664" t="s">
        <v>67</v>
      </c>
      <c r="O26" s="665"/>
      <c r="Q26" s="40">
        <f>175.6-88.84</f>
        <v>86.759999999999991</v>
      </c>
    </row>
    <row r="27" spans="1:18">
      <c r="A27" s="666" t="s">
        <v>4424</v>
      </c>
      <c r="B27" s="671"/>
      <c r="C27" s="671"/>
      <c r="D27" s="671"/>
      <c r="E27" s="671"/>
      <c r="F27" s="671"/>
      <c r="G27" s="671"/>
      <c r="H27" s="671"/>
      <c r="I27" s="671"/>
      <c r="J27" s="671"/>
      <c r="K27" s="671"/>
      <c r="L27" s="671"/>
      <c r="M27" s="671"/>
      <c r="N27" s="668"/>
      <c r="O27" s="672"/>
    </row>
    <row r="28" spans="1:18">
      <c r="A28" s="674" t="s">
        <v>4425</v>
      </c>
      <c r="B28" s="696">
        <v>0</v>
      </c>
      <c r="C28" s="697"/>
      <c r="D28" s="697"/>
      <c r="E28" s="698"/>
      <c r="F28" s="697"/>
      <c r="G28" s="697"/>
      <c r="H28" s="697"/>
      <c r="I28" s="697"/>
      <c r="J28" s="697"/>
      <c r="K28" s="697"/>
      <c r="L28" s="697"/>
      <c r="M28" s="697"/>
      <c r="N28" s="668">
        <f>SUM(B28:M28)</f>
        <v>0</v>
      </c>
      <c r="O28" s="672"/>
      <c r="Q28">
        <f>556.25*4</f>
        <v>2225</v>
      </c>
    </row>
    <row r="29" spans="1:18">
      <c r="A29" s="674" t="s">
        <v>4426</v>
      </c>
      <c r="B29" s="699">
        <v>120</v>
      </c>
      <c r="C29" s="697"/>
      <c r="D29" s="697"/>
      <c r="E29" s="698"/>
      <c r="F29" s="697"/>
      <c r="G29" s="697"/>
      <c r="H29" s="697"/>
      <c r="I29" s="697"/>
      <c r="J29" s="697"/>
      <c r="K29" s="697"/>
      <c r="L29" s="697"/>
      <c r="M29" s="697"/>
      <c r="N29" s="668">
        <f>SUM(B29:M29)</f>
        <v>120</v>
      </c>
      <c r="O29" s="672"/>
    </row>
    <row r="30" spans="1:18">
      <c r="A30" s="674" t="s">
        <v>4427</v>
      </c>
      <c r="B30" s="696">
        <v>0</v>
      </c>
      <c r="C30" s="675"/>
      <c r="D30" s="697"/>
      <c r="E30" s="698"/>
      <c r="F30" s="697"/>
      <c r="G30" s="697"/>
      <c r="H30" s="697"/>
      <c r="I30" s="697"/>
      <c r="J30" s="697"/>
      <c r="K30" s="697"/>
      <c r="L30" s="697"/>
      <c r="M30" s="697"/>
      <c r="N30" s="668">
        <f>SUM(B30:M30)</f>
        <v>0</v>
      </c>
      <c r="O30" s="672"/>
    </row>
    <row r="31" spans="1:18">
      <c r="A31" s="674" t="s">
        <v>4428</v>
      </c>
      <c r="B31" s="699">
        <v>135</v>
      </c>
      <c r="C31" s="697"/>
      <c r="D31" s="697"/>
      <c r="E31" s="698"/>
      <c r="F31" s="697"/>
      <c r="G31" s="697"/>
      <c r="H31" s="697"/>
      <c r="I31" s="697"/>
      <c r="J31" s="697"/>
      <c r="K31" s="697"/>
      <c r="L31" s="697"/>
      <c r="M31" s="697"/>
      <c r="N31" s="668">
        <f>SUM(I31:M31)</f>
        <v>0</v>
      </c>
      <c r="O31" s="672"/>
    </row>
    <row r="32" spans="1:18">
      <c r="A32" s="674" t="s">
        <v>4429</v>
      </c>
      <c r="B32" s="700">
        <v>0</v>
      </c>
      <c r="C32" s="697"/>
      <c r="D32" s="697"/>
      <c r="E32" s="698"/>
      <c r="F32" s="697"/>
      <c r="G32" s="697"/>
      <c r="H32" s="697"/>
      <c r="I32" s="697"/>
      <c r="J32" s="697"/>
      <c r="K32" s="697"/>
      <c r="L32" s="697"/>
      <c r="M32" s="697"/>
      <c r="N32" s="668">
        <f>SUM(B32:M32)</f>
        <v>0</v>
      </c>
      <c r="O32" s="672"/>
    </row>
    <row r="33" spans="1:17">
      <c r="A33" s="674"/>
      <c r="B33" s="701"/>
      <c r="C33" s="697"/>
      <c r="D33" s="702" t="s">
        <v>4430</v>
      </c>
      <c r="E33" s="698"/>
      <c r="F33" s="697"/>
      <c r="G33" s="697"/>
      <c r="H33" s="697"/>
      <c r="I33" s="697"/>
      <c r="J33" s="697"/>
      <c r="K33" s="697"/>
      <c r="L33" s="697"/>
      <c r="M33" s="697"/>
      <c r="N33" s="668">
        <f>SUM(B33:M33)</f>
        <v>0</v>
      </c>
      <c r="O33" s="672"/>
      <c r="P33" s="2088" t="s">
        <v>4431</v>
      </c>
      <c r="Q33" s="2087"/>
    </row>
    <row r="34" spans="1:17">
      <c r="A34" s="703"/>
      <c r="B34" s="696"/>
      <c r="C34" s="697"/>
      <c r="D34" s="697"/>
      <c r="E34" s="698"/>
      <c r="F34" s="697"/>
      <c r="G34" s="697"/>
      <c r="H34" s="704"/>
      <c r="I34" s="697"/>
      <c r="J34" s="697"/>
      <c r="K34" s="697"/>
      <c r="L34" s="697"/>
      <c r="M34" s="697"/>
      <c r="N34" s="668">
        <f>SUM(B34:M34)</f>
        <v>0</v>
      </c>
      <c r="O34" s="672"/>
    </row>
    <row r="35" spans="1:17">
      <c r="A35" s="674" t="s">
        <v>4432</v>
      </c>
      <c r="B35" s="699">
        <v>179</v>
      </c>
      <c r="C35" s="697"/>
      <c r="D35" s="697"/>
      <c r="E35" s="698"/>
      <c r="F35" s="697"/>
      <c r="G35" s="697"/>
      <c r="H35" s="697"/>
      <c r="I35" s="697"/>
      <c r="J35" s="697"/>
      <c r="K35" s="697"/>
      <c r="L35" s="697"/>
      <c r="M35" s="697"/>
      <c r="N35" s="668">
        <f>SUM(B35:M35)</f>
        <v>179</v>
      </c>
      <c r="O35" s="672"/>
    </row>
    <row r="36" spans="1:17">
      <c r="A36" s="674"/>
      <c r="B36" s="700"/>
      <c r="C36" s="697"/>
      <c r="D36" s="697"/>
      <c r="E36" s="698"/>
      <c r="F36" s="697"/>
      <c r="G36" s="697"/>
      <c r="H36" s="697"/>
      <c r="I36" s="697"/>
      <c r="J36" s="697"/>
      <c r="K36" s="697"/>
      <c r="L36" s="697"/>
      <c r="M36" s="697"/>
      <c r="N36" s="668">
        <f>SUM(B36:M36)</f>
        <v>0</v>
      </c>
      <c r="O36" s="672"/>
    </row>
    <row r="37" spans="1:17">
      <c r="A37" s="674" t="s">
        <v>4323</v>
      </c>
      <c r="B37" s="699">
        <v>107</v>
      </c>
      <c r="C37" s="705"/>
      <c r="D37" s="705"/>
      <c r="E37" s="706"/>
      <c r="F37" s="705"/>
      <c r="G37" s="705"/>
      <c r="H37" s="705"/>
      <c r="I37" s="705"/>
      <c r="J37" s="705"/>
      <c r="K37" s="705"/>
      <c r="L37" s="705"/>
      <c r="M37" s="705"/>
      <c r="N37" s="668"/>
      <c r="O37" s="672"/>
    </row>
    <row r="38" spans="1:17">
      <c r="A38" s="674" t="s">
        <v>4433</v>
      </c>
      <c r="B38" s="700"/>
      <c r="C38" s="705"/>
      <c r="D38" s="705"/>
      <c r="E38" s="705"/>
      <c r="F38" s="705"/>
      <c r="G38" s="705"/>
      <c r="H38" s="705"/>
      <c r="I38" s="705"/>
      <c r="J38" s="705"/>
      <c r="K38" s="705"/>
      <c r="L38" s="705"/>
      <c r="M38" s="705">
        <f>72.06+23.24</f>
        <v>95.3</v>
      </c>
      <c r="N38" s="668"/>
      <c r="O38" s="672"/>
      <c r="P38" s="707">
        <f>SUM(N28:N36)</f>
        <v>299</v>
      </c>
    </row>
    <row r="39" spans="1:17">
      <c r="A39" s="674" t="s">
        <v>4434</v>
      </c>
      <c r="B39" s="701">
        <v>-35</v>
      </c>
      <c r="C39" s="685">
        <v>-35</v>
      </c>
      <c r="D39" s="685">
        <v>-35</v>
      </c>
      <c r="E39" s="708">
        <v>-35</v>
      </c>
      <c r="F39" s="708">
        <v>-35</v>
      </c>
      <c r="G39" s="708">
        <v>-35</v>
      </c>
      <c r="H39" s="708">
        <v>-35</v>
      </c>
      <c r="I39" s="708">
        <v>-35</v>
      </c>
      <c r="J39" s="708">
        <v>-35</v>
      </c>
      <c r="K39" s="708">
        <v>-35</v>
      </c>
      <c r="L39" s="708">
        <v>-35</v>
      </c>
      <c r="M39" s="708">
        <v>-35</v>
      </c>
      <c r="N39" s="668">
        <f>SUM(B39:M39)</f>
        <v>-420</v>
      </c>
      <c r="O39" s="672"/>
    </row>
    <row r="40" spans="1:17">
      <c r="A40" s="677" t="s">
        <v>4435</v>
      </c>
      <c r="B40" s="677">
        <f t="shared" ref="B40:N40" si="5">SUM(B28:B39)</f>
        <v>506</v>
      </c>
      <c r="C40" s="677">
        <f t="shared" si="5"/>
        <v>-35</v>
      </c>
      <c r="D40" s="677">
        <f t="shared" si="5"/>
        <v>-35</v>
      </c>
      <c r="E40" s="677">
        <f t="shared" si="5"/>
        <v>-35</v>
      </c>
      <c r="F40" s="677">
        <f t="shared" si="5"/>
        <v>-35</v>
      </c>
      <c r="G40" s="677">
        <f t="shared" si="5"/>
        <v>-35</v>
      </c>
      <c r="H40" s="677">
        <f t="shared" si="5"/>
        <v>-35</v>
      </c>
      <c r="I40" s="677">
        <f t="shared" si="5"/>
        <v>-35</v>
      </c>
      <c r="J40" s="677">
        <f t="shared" si="5"/>
        <v>-35</v>
      </c>
      <c r="K40" s="677">
        <f t="shared" si="5"/>
        <v>-35</v>
      </c>
      <c r="L40" s="677">
        <f t="shared" si="5"/>
        <v>-35</v>
      </c>
      <c r="M40" s="677">
        <f t="shared" si="5"/>
        <v>60.3</v>
      </c>
      <c r="N40" s="677">
        <f t="shared" si="5"/>
        <v>-121</v>
      </c>
      <c r="O40" s="691"/>
    </row>
    <row r="41" spans="1:17">
      <c r="A41" s="709" t="s">
        <v>135</v>
      </c>
      <c r="B41" s="709"/>
      <c r="C41" s="709"/>
      <c r="D41" s="709"/>
      <c r="E41" s="709"/>
      <c r="F41" s="709"/>
      <c r="G41" s="709"/>
      <c r="H41" s="709"/>
      <c r="I41" s="709"/>
      <c r="J41" s="709"/>
      <c r="K41" s="709"/>
      <c r="L41" s="709"/>
      <c r="M41" s="709"/>
      <c r="N41" s="709"/>
      <c r="O41" s="710"/>
    </row>
    <row r="42" spans="1:17">
      <c r="A42" s="578"/>
      <c r="B42" s="578"/>
      <c r="C42" s="578"/>
      <c r="D42" s="578"/>
      <c r="E42" s="578"/>
      <c r="F42" s="578"/>
      <c r="G42" s="578"/>
      <c r="H42" s="578"/>
      <c r="I42" s="578"/>
      <c r="J42" s="578"/>
      <c r="K42" s="578"/>
      <c r="L42" s="2129" t="s">
        <v>4436</v>
      </c>
      <c r="M42" s="2087"/>
      <c r="N42" s="711">
        <f>800/12</f>
        <v>66.666666666666671</v>
      </c>
      <c r="O42" s="712"/>
    </row>
    <row r="43" spans="1:17">
      <c r="A43" s="660" t="s">
        <v>1124</v>
      </c>
      <c r="B43" s="713">
        <f>SUM(B28:B38)</f>
        <v>541</v>
      </c>
      <c r="C43" s="660"/>
      <c r="D43" s="660"/>
      <c r="E43" s="660"/>
      <c r="F43" s="660"/>
      <c r="G43" s="660"/>
      <c r="H43" s="660"/>
      <c r="I43" s="660"/>
      <c r="J43" s="660"/>
      <c r="K43" s="660"/>
      <c r="L43" s="660"/>
      <c r="M43" s="660"/>
      <c r="N43" s="660"/>
      <c r="O43" s="660"/>
    </row>
    <row r="44" spans="1:17">
      <c r="A44" s="660"/>
      <c r="B44" s="660"/>
      <c r="C44" s="660"/>
      <c r="D44" s="660"/>
      <c r="E44" s="660"/>
      <c r="F44" s="660"/>
      <c r="G44" s="660"/>
      <c r="H44" s="660"/>
      <c r="I44" s="660"/>
      <c r="J44" s="660"/>
      <c r="K44" s="660"/>
      <c r="L44" s="660"/>
      <c r="M44" s="660"/>
      <c r="N44" s="660"/>
      <c r="O44" s="660"/>
    </row>
    <row r="47" spans="1:17">
      <c r="A47" s="2130"/>
      <c r="B47" s="2087"/>
      <c r="C47" s="2087"/>
      <c r="D47" s="2087"/>
      <c r="E47" s="2087"/>
      <c r="F47" s="2087"/>
      <c r="G47" s="2087"/>
      <c r="H47" s="2087"/>
      <c r="I47" s="2087"/>
      <c r="J47" s="2087"/>
      <c r="K47" s="2087"/>
      <c r="L47" s="2087"/>
      <c r="M47" s="2087"/>
      <c r="O47" s="712"/>
    </row>
    <row r="48" spans="1:17" ht="12.75" customHeight="1">
      <c r="A48" s="2087"/>
      <c r="B48" s="2087"/>
      <c r="C48" s="2087"/>
      <c r="D48" s="2087"/>
      <c r="E48" s="2087"/>
    </row>
    <row r="49" spans="1:15">
      <c r="A49" s="660"/>
      <c r="B49" s="660"/>
      <c r="C49" s="660"/>
      <c r="D49" s="660"/>
      <c r="E49" s="660"/>
      <c r="F49" s="660"/>
      <c r="G49" s="660"/>
      <c r="H49" s="660"/>
      <c r="I49" s="660"/>
      <c r="J49" s="660"/>
      <c r="K49" s="660"/>
      <c r="L49" s="660"/>
      <c r="M49" s="660"/>
      <c r="N49" s="660"/>
      <c r="O49" s="660"/>
    </row>
  </sheetData>
  <mergeCells count="6">
    <mergeCell ref="A48:E48"/>
    <mergeCell ref="A3:N3"/>
    <mergeCell ref="A25:N25"/>
    <mergeCell ref="P33:Q33"/>
    <mergeCell ref="L42:M42"/>
    <mergeCell ref="A47:M47"/>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U95"/>
  <sheetViews>
    <sheetView topLeftCell="A7" workbookViewId="0">
      <selection activeCell="B28" sqref="B28"/>
    </sheetView>
  </sheetViews>
  <sheetFormatPr defaultColWidth="12.7109375" defaultRowHeight="12.75" customHeight="1"/>
  <cols>
    <col min="1" max="1" width="22.42578125" customWidth="1"/>
    <col min="2" max="2" width="72.7109375" customWidth="1"/>
    <col min="3" max="3" width="21.5703125" customWidth="1"/>
    <col min="7" max="7" width="22" customWidth="1"/>
    <col min="8" max="8" width="16.28515625" customWidth="1"/>
  </cols>
  <sheetData>
    <row r="1" spans="1:9" ht="12.75" customHeight="1">
      <c r="A1" s="2131" t="s">
        <v>5684</v>
      </c>
      <c r="B1" s="2087"/>
    </row>
    <row r="2" spans="1:9">
      <c r="A2" s="591" t="s">
        <v>3278</v>
      </c>
      <c r="B2" s="591" t="s">
        <v>5685</v>
      </c>
      <c r="C2" s="591" t="s">
        <v>5686</v>
      </c>
      <c r="D2" s="591" t="s">
        <v>5687</v>
      </c>
      <c r="E2" s="591" t="s">
        <v>5688</v>
      </c>
      <c r="F2" s="591">
        <v>2018</v>
      </c>
      <c r="G2" s="591" t="s">
        <v>5689</v>
      </c>
      <c r="H2" s="9" t="s">
        <v>5690</v>
      </c>
    </row>
    <row r="3" spans="1:9">
      <c r="A3" s="3" t="s">
        <v>5691</v>
      </c>
      <c r="B3" s="1975" t="s">
        <v>8898</v>
      </c>
      <c r="C3" s="82" t="s">
        <v>5692</v>
      </c>
      <c r="D3" s="717">
        <v>183</v>
      </c>
      <c r="E3" s="792">
        <v>43953</v>
      </c>
      <c r="F3" s="793"/>
      <c r="G3" s="794">
        <v>45779</v>
      </c>
      <c r="H3" s="9" t="s">
        <v>5693</v>
      </c>
    </row>
    <row r="4" spans="1:9" ht="25.5">
      <c r="B4" s="9" t="s">
        <v>5694</v>
      </c>
    </row>
    <row r="5" spans="1:9" ht="12.75" customHeight="1">
      <c r="A5" s="9" t="s">
        <v>5695</v>
      </c>
      <c r="B5" s="18" t="s">
        <v>5696</v>
      </c>
      <c r="C5" s="795" t="s">
        <v>5697</v>
      </c>
      <c r="D5" s="743" t="s">
        <v>5698</v>
      </c>
      <c r="E5" s="796">
        <v>44010</v>
      </c>
      <c r="G5" s="333">
        <v>236.57</v>
      </c>
    </row>
    <row r="6" spans="1:9">
      <c r="A6" s="581" t="s">
        <v>5699</v>
      </c>
      <c r="B6" s="581" t="s">
        <v>5700</v>
      </c>
      <c r="C6" s="581" t="s">
        <v>5701</v>
      </c>
      <c r="D6" s="797">
        <f>1051.85*2</f>
        <v>2103.6999999999998</v>
      </c>
      <c r="E6" s="798">
        <v>45265</v>
      </c>
      <c r="F6" s="581">
        <v>44368</v>
      </c>
      <c r="G6" s="581" t="s">
        <v>5702</v>
      </c>
      <c r="H6" s="581" t="s">
        <v>5703</v>
      </c>
    </row>
    <row r="7" spans="1:9">
      <c r="B7" s="9" t="s">
        <v>8892</v>
      </c>
      <c r="C7" s="9" t="s">
        <v>5704</v>
      </c>
      <c r="D7" s="717">
        <f>D8+D9</f>
        <v>6196</v>
      </c>
      <c r="E7" s="793">
        <v>44900</v>
      </c>
      <c r="G7" s="799">
        <v>3764</v>
      </c>
    </row>
    <row r="8" spans="1:9">
      <c r="B8" s="9" t="s">
        <v>5705</v>
      </c>
      <c r="D8" s="717">
        <v>2432</v>
      </c>
      <c r="G8" s="9" t="s">
        <v>5706</v>
      </c>
    </row>
    <row r="9" spans="1:9">
      <c r="B9" s="9" t="s">
        <v>5707</v>
      </c>
      <c r="D9" s="717">
        <v>3764</v>
      </c>
      <c r="G9" s="9" t="s">
        <v>5708</v>
      </c>
      <c r="H9" s="11">
        <f>2896/12</f>
        <v>241.33333333333334</v>
      </c>
    </row>
    <row r="10" spans="1:9">
      <c r="B10" s="1972" t="s">
        <v>8861</v>
      </c>
      <c r="C10" s="1972" t="s">
        <v>8862</v>
      </c>
      <c r="D10" s="1973">
        <v>4150</v>
      </c>
      <c r="E10" s="1974">
        <v>45604</v>
      </c>
      <c r="F10" s="760" t="s">
        <v>8888</v>
      </c>
      <c r="G10" s="9"/>
      <c r="H10" s="11"/>
    </row>
    <row r="11" spans="1:9">
      <c r="B11" s="18" t="s">
        <v>8893</v>
      </c>
      <c r="C11" s="1972" t="s">
        <v>8863</v>
      </c>
      <c r="D11" s="1973">
        <v>5215</v>
      </c>
      <c r="E11" s="1974">
        <v>45631</v>
      </c>
      <c r="F11" s="760" t="s">
        <v>8888</v>
      </c>
      <c r="G11" s="9"/>
      <c r="H11" s="11"/>
    </row>
    <row r="12" spans="1:9" s="1596" customFormat="1">
      <c r="B12" s="22" t="s">
        <v>8864</v>
      </c>
      <c r="E12" s="1936"/>
      <c r="I12" s="22">
        <f>3919-2831</f>
        <v>1088</v>
      </c>
    </row>
    <row r="13" spans="1:9" s="1596" customFormat="1">
      <c r="A13" s="1968" t="s">
        <v>8885</v>
      </c>
      <c r="B13" s="1607" t="s">
        <v>8886</v>
      </c>
      <c r="C13" s="1596">
        <v>21553510</v>
      </c>
      <c r="D13" s="1962">
        <v>394</v>
      </c>
      <c r="E13" s="1936">
        <v>45996</v>
      </c>
      <c r="I13" s="22"/>
    </row>
    <row r="14" spans="1:9" s="1596" customFormat="1">
      <c r="A14" s="1968" t="s">
        <v>8887</v>
      </c>
      <c r="B14" s="1607" t="s">
        <v>8894</v>
      </c>
      <c r="C14" s="1596">
        <v>259496</v>
      </c>
      <c r="D14" s="1963">
        <v>3689</v>
      </c>
      <c r="E14" s="1936">
        <v>45996</v>
      </c>
      <c r="I14" s="22"/>
    </row>
    <row r="15" spans="1:9" s="1596" customFormat="1">
      <c r="A15" s="1968" t="s">
        <v>8897</v>
      </c>
      <c r="B15" s="1607" t="s">
        <v>8900</v>
      </c>
      <c r="C15" s="1596">
        <v>990067871</v>
      </c>
      <c r="D15" s="1963">
        <v>2912</v>
      </c>
      <c r="E15" s="1936">
        <v>45996</v>
      </c>
      <c r="I15" s="22"/>
    </row>
    <row r="16" spans="1:9" s="1596" customFormat="1">
      <c r="A16" s="1607" t="s">
        <v>8901</v>
      </c>
      <c r="B16" s="22" t="s">
        <v>8909</v>
      </c>
      <c r="C16" s="1596" t="s">
        <v>8902</v>
      </c>
      <c r="D16" s="1962">
        <v>2201</v>
      </c>
      <c r="E16" s="1936">
        <v>45633</v>
      </c>
      <c r="F16" s="1801" t="s">
        <v>8928</v>
      </c>
      <c r="G16" s="1996">
        <v>556.25</v>
      </c>
      <c r="I16" s="22"/>
    </row>
    <row r="17" spans="1:9" s="1596" customFormat="1">
      <c r="A17" s="1607" t="s">
        <v>8911</v>
      </c>
      <c r="B17" s="22" t="s">
        <v>8913</v>
      </c>
      <c r="C17" s="1596" t="s">
        <v>8912</v>
      </c>
      <c r="D17" s="1983" t="s">
        <v>8914</v>
      </c>
      <c r="E17" s="1936">
        <v>45634</v>
      </c>
      <c r="I17" s="22"/>
    </row>
    <row r="18" spans="1:9" s="1596" customFormat="1" ht="15">
      <c r="A18" s="3" t="s">
        <v>5691</v>
      </c>
      <c r="B18" s="1975" t="s">
        <v>8898</v>
      </c>
      <c r="C18" s="82" t="s">
        <v>5692</v>
      </c>
      <c r="D18" s="717">
        <v>183</v>
      </c>
      <c r="E18" s="792">
        <v>43953</v>
      </c>
      <c r="F18" s="793"/>
      <c r="G18" s="794">
        <v>45779</v>
      </c>
      <c r="H18" s="1987" t="s">
        <v>8916</v>
      </c>
      <c r="I18" s="22"/>
    </row>
    <row r="19" spans="1:9" s="1596" customFormat="1">
      <c r="A19" s="22"/>
      <c r="B19" s="22"/>
      <c r="D19" s="1962"/>
      <c r="E19" s="1936"/>
      <c r="I19" s="22"/>
    </row>
    <row r="20" spans="1:9" s="1596" customFormat="1">
      <c r="A20" s="22"/>
      <c r="B20" s="22" t="s">
        <v>8920</v>
      </c>
      <c r="D20" s="1962"/>
      <c r="E20" s="1936"/>
      <c r="I20" s="22"/>
    </row>
    <row r="21" spans="1:9" s="1596" customFormat="1" ht="14.25">
      <c r="A21" s="22"/>
      <c r="B21" s="1990" t="s">
        <v>8921</v>
      </c>
      <c r="D21" s="1962"/>
      <c r="E21" s="1936"/>
      <c r="I21" s="22"/>
    </row>
    <row r="22" spans="1:9" s="1596" customFormat="1">
      <c r="A22" s="22"/>
      <c r="B22"/>
      <c r="D22" s="1962"/>
      <c r="E22" s="1936"/>
      <c r="I22" s="22"/>
    </row>
    <row r="23" spans="1:9" s="1596" customFormat="1">
      <c r="A23" s="22"/>
      <c r="B23" s="1801" t="s">
        <v>8936</v>
      </c>
      <c r="D23" s="1962"/>
      <c r="E23" s="1936"/>
      <c r="I23" s="22"/>
    </row>
    <row r="24" spans="1:9" s="1596" customFormat="1">
      <c r="A24" s="22"/>
      <c r="B24" s="760" t="s">
        <v>8937</v>
      </c>
      <c r="D24" s="1962"/>
      <c r="E24" s="1936"/>
      <c r="I24" s="22"/>
    </row>
    <row r="25" spans="1:9" s="1596" customFormat="1">
      <c r="A25" s="22"/>
      <c r="B25" s="1991"/>
      <c r="D25" s="1962"/>
      <c r="E25" s="1936"/>
      <c r="I25" s="22"/>
    </row>
    <row r="26" spans="1:9" s="1596" customFormat="1" ht="14.25">
      <c r="A26" s="22"/>
      <c r="B26" s="1990" t="s">
        <v>8997</v>
      </c>
      <c r="D26" s="1962"/>
      <c r="E26" s="1936"/>
      <c r="I26" s="22"/>
    </row>
    <row r="27" spans="1:9" s="1596" customFormat="1" ht="14.25">
      <c r="A27" s="22"/>
      <c r="B27" s="1990" t="s">
        <v>8998</v>
      </c>
      <c r="D27" s="1962"/>
      <c r="E27" s="1936"/>
      <c r="I27" s="22"/>
    </row>
    <row r="28" spans="1:9" s="1596" customFormat="1" ht="14.25">
      <c r="A28" s="22"/>
      <c r="B28" s="1990"/>
      <c r="D28" s="1962"/>
      <c r="E28" s="1936"/>
      <c r="I28" s="22"/>
    </row>
    <row r="29" spans="1:9" s="1596" customFormat="1" ht="14.25">
      <c r="A29" s="22"/>
      <c r="B29" s="1990"/>
      <c r="D29" s="1962"/>
      <c r="E29" s="1936"/>
      <c r="I29" s="22"/>
    </row>
    <row r="30" spans="1:9" s="1596" customFormat="1" ht="14.25">
      <c r="A30" s="22"/>
      <c r="B30" s="1990"/>
      <c r="D30" s="1962"/>
      <c r="E30" s="1936"/>
      <c r="I30" s="22"/>
    </row>
    <row r="31" spans="1:9" s="1596" customFormat="1" ht="14.25">
      <c r="A31" s="22"/>
      <c r="B31" s="1990"/>
      <c r="D31" s="1962"/>
      <c r="E31" s="1936"/>
      <c r="I31" s="22"/>
    </row>
    <row r="32" spans="1:9" s="1596" customFormat="1" ht="14.25">
      <c r="A32" s="22"/>
      <c r="B32" s="1990"/>
      <c r="D32" s="1962"/>
      <c r="E32" s="1936"/>
      <c r="I32" s="22"/>
    </row>
    <row r="33" spans="1:9" s="1596" customFormat="1">
      <c r="A33" s="22"/>
      <c r="B33" s="22"/>
      <c r="E33" s="1936"/>
      <c r="I33" s="22"/>
    </row>
    <row r="36" spans="1:9" s="1596" customFormat="1">
      <c r="A36" s="1933" t="s">
        <v>3286</v>
      </c>
      <c r="B36" s="1933" t="s">
        <v>5709</v>
      </c>
      <c r="C36" s="1933" t="s">
        <v>5710</v>
      </c>
      <c r="D36" s="1934">
        <v>3919</v>
      </c>
      <c r="E36" s="1935">
        <v>44535</v>
      </c>
      <c r="F36" s="1933" t="s">
        <v>5711</v>
      </c>
      <c r="G36" s="1643"/>
      <c r="H36" s="1643" t="s">
        <v>5712</v>
      </c>
    </row>
    <row r="37" spans="1:9">
      <c r="B37" s="9" t="s">
        <v>5713</v>
      </c>
    </row>
    <row r="38" spans="1:9" s="1596" customFormat="1">
      <c r="A38" s="1932" t="s">
        <v>5714</v>
      </c>
      <c r="B38" s="800" t="s">
        <v>5715</v>
      </c>
    </row>
    <row r="39" spans="1:9" s="1596" customFormat="1">
      <c r="A39" s="1937" t="s">
        <v>5716</v>
      </c>
      <c r="B39" s="1937" t="s">
        <v>5717</v>
      </c>
      <c r="C39" s="1937" t="s">
        <v>5718</v>
      </c>
      <c r="D39" s="1937">
        <v>1612</v>
      </c>
      <c r="E39" s="1938">
        <v>42995</v>
      </c>
      <c r="F39" s="1937" t="s">
        <v>5719</v>
      </c>
      <c r="G39" s="1937" t="s">
        <v>5720</v>
      </c>
    </row>
    <row r="40" spans="1:9">
      <c r="B40" s="361" t="s">
        <v>5721</v>
      </c>
      <c r="C40" s="82"/>
      <c r="D40" s="12"/>
      <c r="E40" s="792"/>
      <c r="F40" s="793"/>
      <c r="G40" s="40" t="s">
        <v>5722</v>
      </c>
    </row>
    <row r="41" spans="1:9">
      <c r="B41" s="361" t="s">
        <v>5723</v>
      </c>
      <c r="C41" s="82"/>
      <c r="D41" s="12"/>
      <c r="E41" s="792"/>
      <c r="F41" s="793"/>
      <c r="G41" s="794"/>
    </row>
    <row r="42" spans="1:9">
      <c r="A42" s="9"/>
      <c r="B42" s="9" t="s">
        <v>5724</v>
      </c>
      <c r="C42" s="82"/>
      <c r="D42" s="12"/>
      <c r="E42" s="792"/>
      <c r="F42" s="793"/>
      <c r="G42" s="794"/>
    </row>
    <row r="43" spans="1:9">
      <c r="A43" s="9"/>
      <c r="B43" s="361"/>
      <c r="C43" s="82"/>
      <c r="D43" s="12"/>
      <c r="E43" s="792"/>
      <c r="F43" s="793"/>
      <c r="G43" s="801">
        <f>3764/12</f>
        <v>313.66666666666669</v>
      </c>
    </row>
    <row r="44" spans="1:9" s="1596" customFormat="1">
      <c r="A44" s="22" t="s">
        <v>5725</v>
      </c>
      <c r="B44" s="22" t="s">
        <v>5726</v>
      </c>
      <c r="C44" s="22" t="s">
        <v>5727</v>
      </c>
    </row>
    <row r="45" spans="1:9">
      <c r="A45" s="9"/>
      <c r="B45" s="20" t="s">
        <v>5728</v>
      </c>
      <c r="C45" s="9" t="s">
        <v>5729</v>
      </c>
      <c r="D45" s="12"/>
      <c r="E45" s="792"/>
      <c r="F45" s="793"/>
      <c r="G45" s="40"/>
    </row>
    <row r="46" spans="1:9">
      <c r="B46" s="802" t="s">
        <v>5730</v>
      </c>
      <c r="C46" s="82"/>
      <c r="D46" s="12"/>
      <c r="E46" s="792"/>
      <c r="F46" s="793"/>
      <c r="G46" s="794"/>
    </row>
    <row r="47" spans="1:9">
      <c r="G47" s="794"/>
    </row>
    <row r="50" spans="1:21" ht="25.5">
      <c r="A50" s="9"/>
      <c r="B50" s="20" t="s">
        <v>5731</v>
      </c>
      <c r="C50" s="82" t="s">
        <v>5732</v>
      </c>
      <c r="D50" s="12">
        <v>345</v>
      </c>
      <c r="E50" s="792"/>
      <c r="F50" s="793"/>
      <c r="G50" s="40">
        <v>172</v>
      </c>
      <c r="H50" s="9" t="s">
        <v>5733</v>
      </c>
    </row>
    <row r="52" spans="1:21">
      <c r="A52" s="581" t="s">
        <v>3286</v>
      </c>
      <c r="B52" s="581" t="s">
        <v>5734</v>
      </c>
      <c r="C52" s="803"/>
      <c r="D52" s="804">
        <v>1830.41</v>
      </c>
      <c r="E52" s="805">
        <v>43040</v>
      </c>
      <c r="F52" s="581" t="s">
        <v>5735</v>
      </c>
      <c r="G52" s="806"/>
    </row>
    <row r="54" spans="1:21">
      <c r="A54" s="581" t="s">
        <v>3286</v>
      </c>
      <c r="B54" s="581" t="s">
        <v>5736</v>
      </c>
      <c r="C54" s="803"/>
      <c r="D54" s="804">
        <v>1900</v>
      </c>
      <c r="E54" s="803" t="s">
        <v>17</v>
      </c>
      <c r="F54" s="581"/>
      <c r="G54" s="806"/>
    </row>
    <row r="55" spans="1:21">
      <c r="A55" s="25" t="s">
        <v>5737</v>
      </c>
      <c r="B55" s="25" t="s">
        <v>5738</v>
      </c>
      <c r="C55" s="183"/>
      <c r="D55" s="444">
        <v>1551</v>
      </c>
      <c r="E55" s="807">
        <v>43074</v>
      </c>
      <c r="F55" s="25" t="s">
        <v>5735</v>
      </c>
      <c r="G55" s="594"/>
      <c r="H55" s="25"/>
      <c r="I55" s="25"/>
      <c r="J55" s="25"/>
      <c r="K55" s="25"/>
      <c r="L55" s="25"/>
      <c r="M55" s="25"/>
      <c r="N55" s="25"/>
      <c r="O55" s="25"/>
      <c r="P55" s="25"/>
      <c r="Q55" s="25"/>
      <c r="R55" s="25"/>
      <c r="S55" s="25"/>
      <c r="T55" s="25"/>
      <c r="U55" s="25"/>
    </row>
    <row r="56" spans="1:21">
      <c r="B56" s="20" t="s">
        <v>5739</v>
      </c>
      <c r="C56" s="9"/>
    </row>
    <row r="57" spans="1:21">
      <c r="B57" s="2132" t="s">
        <v>5740</v>
      </c>
      <c r="C57" s="2087"/>
      <c r="D57" s="2087"/>
      <c r="E57" s="2087"/>
      <c r="F57" s="2087"/>
      <c r="G57" s="2087"/>
    </row>
    <row r="58" spans="1:21">
      <c r="B58" s="3"/>
      <c r="C58" s="9"/>
      <c r="D58" s="9"/>
    </row>
    <row r="59" spans="1:21">
      <c r="B59" s="3" t="s">
        <v>5741</v>
      </c>
      <c r="C59" s="9"/>
      <c r="D59" s="9"/>
    </row>
    <row r="60" spans="1:21">
      <c r="B60" s="9" t="s">
        <v>5742</v>
      </c>
      <c r="C60" s="9"/>
      <c r="D60" s="9"/>
      <c r="E60" s="9"/>
    </row>
    <row r="61" spans="1:21">
      <c r="B61" s="9" t="s">
        <v>5743</v>
      </c>
    </row>
    <row r="62" spans="1:21">
      <c r="B62" s="9" t="s">
        <v>5744</v>
      </c>
    </row>
    <row r="64" spans="1:21">
      <c r="B64" s="3" t="s">
        <v>5745</v>
      </c>
    </row>
    <row r="65" spans="2:2">
      <c r="B65" s="9" t="s">
        <v>5746</v>
      </c>
    </row>
    <row r="66" spans="2:2">
      <c r="B66" s="9" t="s">
        <v>5747</v>
      </c>
    </row>
    <row r="67" spans="2:2">
      <c r="B67" s="9" t="s">
        <v>5748</v>
      </c>
    </row>
    <row r="69" spans="2:2">
      <c r="B69" s="3" t="s">
        <v>5749</v>
      </c>
    </row>
    <row r="70" spans="2:2">
      <c r="B70" s="9" t="s">
        <v>5750</v>
      </c>
    </row>
    <row r="71" spans="2:2">
      <c r="B71" s="9" t="s">
        <v>5751</v>
      </c>
    </row>
    <row r="72" spans="2:2">
      <c r="B72" s="9" t="s">
        <v>5752</v>
      </c>
    </row>
    <row r="73" spans="2:2">
      <c r="B73" s="9" t="s">
        <v>5753</v>
      </c>
    </row>
    <row r="74" spans="2:2">
      <c r="B74" s="3"/>
    </row>
    <row r="75" spans="2:2">
      <c r="B75" s="3" t="s">
        <v>5754</v>
      </c>
    </row>
    <row r="76" spans="2:2">
      <c r="B76" s="9" t="s">
        <v>5755</v>
      </c>
    </row>
    <row r="78" spans="2:2">
      <c r="B78" s="3" t="s">
        <v>5756</v>
      </c>
    </row>
    <row r="80" spans="2:2">
      <c r="B80" s="3" t="s">
        <v>5757</v>
      </c>
    </row>
    <row r="81" spans="1:8">
      <c r="B81" s="9" t="s">
        <v>5758</v>
      </c>
    </row>
    <row r="82" spans="1:8">
      <c r="B82" s="9" t="s">
        <v>5759</v>
      </c>
    </row>
    <row r="83" spans="1:8">
      <c r="B83" s="9" t="s">
        <v>5760</v>
      </c>
    </row>
    <row r="84" spans="1:8">
      <c r="B84" s="9" t="s">
        <v>5761</v>
      </c>
    </row>
    <row r="87" spans="1:8">
      <c r="B87" s="9" t="s">
        <v>5762</v>
      </c>
    </row>
    <row r="89" spans="1:8">
      <c r="B89" s="9" t="s">
        <v>5763</v>
      </c>
    </row>
    <row r="90" spans="1:8">
      <c r="B90" s="9" t="s">
        <v>5764</v>
      </c>
      <c r="C90" s="9">
        <v>1612</v>
      </c>
    </row>
    <row r="95" spans="1:8" ht="25.5">
      <c r="A95" s="581" t="s">
        <v>5765</v>
      </c>
      <c r="B95" s="581" t="s">
        <v>5766</v>
      </c>
      <c r="C95" s="803" t="s">
        <v>5767</v>
      </c>
      <c r="D95" s="804">
        <v>705</v>
      </c>
      <c r="E95" s="805">
        <v>42842</v>
      </c>
      <c r="F95" s="581"/>
      <c r="G95" s="806" t="s">
        <v>5768</v>
      </c>
      <c r="H95" s="9" t="s">
        <v>5733</v>
      </c>
    </row>
  </sheetData>
  <mergeCells count="2">
    <mergeCell ref="A1:B1"/>
    <mergeCell ref="B57:G5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S600"/>
  <sheetViews>
    <sheetView workbookViewId="0">
      <selection sqref="A1:B1"/>
    </sheetView>
  </sheetViews>
  <sheetFormatPr defaultColWidth="12.7109375" defaultRowHeight="12.75" customHeight="1"/>
  <cols>
    <col min="1" max="1" width="7.7109375" customWidth="1"/>
    <col min="2" max="2" width="15.42578125" customWidth="1"/>
    <col min="8" max="8" width="5.28515625" customWidth="1"/>
    <col min="10" max="10" width="9.28515625" customWidth="1"/>
    <col min="11" max="11" width="11.7109375" customWidth="1"/>
    <col min="12" max="12" width="9.28515625" customWidth="1"/>
    <col min="13" max="13" width="9.7109375" customWidth="1"/>
    <col min="14" max="14" width="2.85546875" customWidth="1"/>
    <col min="15" max="15" width="8" customWidth="1"/>
    <col min="16" max="16" width="9.7109375" customWidth="1"/>
    <col min="17" max="17" width="11.7109375" customWidth="1"/>
    <col min="18" max="18" width="9.7109375" customWidth="1"/>
    <col min="19" max="19" width="9.85546875" customWidth="1"/>
  </cols>
  <sheetData>
    <row r="1" spans="1:2">
      <c r="A1" s="2133" t="s">
        <v>871</v>
      </c>
      <c r="B1" s="2087"/>
    </row>
    <row r="2" spans="1:2" ht="38.25">
      <c r="A2" s="216" t="s">
        <v>872</v>
      </c>
      <c r="B2" s="217" t="s">
        <v>873</v>
      </c>
    </row>
    <row r="3" spans="1:2">
      <c r="A3" s="218">
        <v>1995</v>
      </c>
      <c r="B3" s="219">
        <v>0.372</v>
      </c>
    </row>
    <row r="4" spans="1:2">
      <c r="A4" s="220">
        <v>1996</v>
      </c>
      <c r="B4" s="221">
        <v>0.2268</v>
      </c>
    </row>
    <row r="5" spans="1:2">
      <c r="A5" s="218">
        <v>1997</v>
      </c>
      <c r="B5" s="219">
        <v>0.33100000000000002</v>
      </c>
    </row>
    <row r="6" spans="1:2">
      <c r="A6" s="220">
        <v>1998</v>
      </c>
      <c r="B6" s="221">
        <v>0.28339999999999999</v>
      </c>
    </row>
    <row r="7" spans="1:2">
      <c r="A7" s="218">
        <v>1999</v>
      </c>
      <c r="B7" s="219">
        <v>0.2089</v>
      </c>
    </row>
    <row r="8" spans="1:2">
      <c r="A8" s="220">
        <v>2000</v>
      </c>
      <c r="B8" s="221">
        <v>-9.0300000000000005E-2</v>
      </c>
    </row>
    <row r="9" spans="1:2">
      <c r="A9" s="218">
        <v>2001</v>
      </c>
      <c r="B9" s="219">
        <v>-0.11849999999999999</v>
      </c>
    </row>
    <row r="10" spans="1:2">
      <c r="A10" s="220">
        <v>2002</v>
      </c>
      <c r="B10" s="221">
        <v>-0.21970000000000001</v>
      </c>
    </row>
    <row r="11" spans="1:2">
      <c r="A11" s="218">
        <v>2003</v>
      </c>
      <c r="B11" s="219">
        <v>0.28360000000000002</v>
      </c>
    </row>
    <row r="12" spans="1:2">
      <c r="A12" s="220">
        <v>2004</v>
      </c>
      <c r="B12" s="221">
        <v>0.1074</v>
      </c>
    </row>
    <row r="13" spans="1:2">
      <c r="A13" s="218">
        <v>2005</v>
      </c>
      <c r="B13" s="219">
        <v>4.8300000000000003E-2</v>
      </c>
    </row>
    <row r="14" spans="1:2">
      <c r="A14" s="220">
        <v>2006</v>
      </c>
      <c r="B14" s="221">
        <v>0.15609999999999999</v>
      </c>
    </row>
    <row r="15" spans="1:2">
      <c r="A15" s="218">
        <v>2007</v>
      </c>
      <c r="B15" s="219">
        <v>5.4800000000000001E-2</v>
      </c>
    </row>
    <row r="16" spans="1:2">
      <c r="A16" s="220">
        <v>2008</v>
      </c>
      <c r="B16" s="222">
        <v>-0.36549999999999999</v>
      </c>
    </row>
    <row r="17" spans="1:4">
      <c r="A17" s="218">
        <v>2009</v>
      </c>
      <c r="B17" s="219">
        <v>0.25940000000000002</v>
      </c>
    </row>
    <row r="18" spans="1:4">
      <c r="A18" s="220">
        <v>2010</v>
      </c>
      <c r="B18" s="221">
        <v>0.1482</v>
      </c>
    </row>
    <row r="19" spans="1:4">
      <c r="A19" s="218">
        <v>2011</v>
      </c>
      <c r="B19" s="219">
        <v>2.1000000000000001E-2</v>
      </c>
    </row>
    <row r="20" spans="1:4">
      <c r="A20" s="220">
        <v>2012</v>
      </c>
      <c r="B20" s="221">
        <v>0.15890000000000001</v>
      </c>
    </row>
    <row r="21" spans="1:4">
      <c r="A21" s="218">
        <v>2013</v>
      </c>
      <c r="B21" s="219">
        <v>0.32150000000000001</v>
      </c>
    </row>
    <row r="22" spans="1:4">
      <c r="A22" s="220">
        <v>2014</v>
      </c>
      <c r="B22" s="221">
        <v>0.13519999999999999</v>
      </c>
    </row>
    <row r="23" spans="1:4">
      <c r="A23" s="218">
        <v>2015</v>
      </c>
      <c r="B23" s="219">
        <v>1.38E-2</v>
      </c>
    </row>
    <row r="24" spans="1:4">
      <c r="A24" s="220">
        <v>2016</v>
      </c>
      <c r="B24" s="222">
        <v>0.1177</v>
      </c>
    </row>
    <row r="25" spans="1:4">
      <c r="A25" s="218">
        <v>2017</v>
      </c>
      <c r="B25" s="223">
        <v>0.21609999999999999</v>
      </c>
    </row>
    <row r="26" spans="1:4">
      <c r="A26" s="220">
        <v>2018</v>
      </c>
      <c r="B26" s="222">
        <v>-4.2299999999999997E-2</v>
      </c>
      <c r="D26" s="13">
        <f>AVERAGE(B7:B11)</f>
        <v>1.2800000000000001E-2</v>
      </c>
    </row>
    <row r="27" spans="1:4">
      <c r="A27" s="218">
        <v>2019</v>
      </c>
      <c r="B27" s="219">
        <v>0.31209999999999999</v>
      </c>
      <c r="D27" s="13">
        <f>AVERAGE(B12:B16)</f>
        <v>2.1999999999999797E-4</v>
      </c>
    </row>
    <row r="28" spans="1:4">
      <c r="A28" s="220">
        <v>2020</v>
      </c>
      <c r="B28" s="221">
        <v>0.1802</v>
      </c>
      <c r="D28" s="13">
        <f>AVERAGE(B3:B31)</f>
        <v>0.11912758620689655</v>
      </c>
    </row>
    <row r="29" spans="1:4">
      <c r="A29" s="218">
        <v>2021</v>
      </c>
      <c r="B29" s="219">
        <v>0.28470000000000001</v>
      </c>
      <c r="D29" s="13">
        <f>AVERAGE(B19:B23)</f>
        <v>0.13008000000000003</v>
      </c>
    </row>
    <row r="30" spans="1:4">
      <c r="A30" s="220">
        <v>2022</v>
      </c>
      <c r="B30" s="221">
        <v>-0.18010000000000001</v>
      </c>
      <c r="D30" s="13">
        <f>AVERAGE(B12:B16)</f>
        <v>2.1999999999999797E-4</v>
      </c>
    </row>
    <row r="31" spans="1:4">
      <c r="A31" s="220">
        <v>2023</v>
      </c>
      <c r="B31" s="221">
        <v>0.23</v>
      </c>
    </row>
    <row r="34" spans="1:12" ht="12.75" customHeight="1">
      <c r="A34" s="2134" t="s">
        <v>874</v>
      </c>
      <c r="B34" s="2135"/>
      <c r="C34" s="2135"/>
      <c r="D34" s="2135"/>
      <c r="E34" s="2135"/>
      <c r="F34" s="2135"/>
      <c r="G34" s="2135"/>
    </row>
    <row r="35" spans="1:12" ht="12.75" customHeight="1">
      <c r="A35" s="224" t="s">
        <v>872</v>
      </c>
      <c r="B35" s="224" t="s">
        <v>875</v>
      </c>
      <c r="C35" s="224" t="s">
        <v>876</v>
      </c>
      <c r="D35" s="224" t="s">
        <v>877</v>
      </c>
      <c r="E35" s="224" t="s">
        <v>878</v>
      </c>
      <c r="F35" s="224" t="s">
        <v>879</v>
      </c>
      <c r="G35" s="224" t="s">
        <v>880</v>
      </c>
      <c r="H35" s="9" t="s">
        <v>44</v>
      </c>
      <c r="I35" s="9" t="s">
        <v>881</v>
      </c>
      <c r="J35" s="9" t="s">
        <v>882</v>
      </c>
      <c r="K35" s="9" t="s">
        <v>883</v>
      </c>
      <c r="L35" s="9" t="s">
        <v>884</v>
      </c>
    </row>
    <row r="36" spans="1:12" ht="15.75">
      <c r="A36" s="225">
        <v>2023</v>
      </c>
      <c r="B36" s="226">
        <v>4275.7</v>
      </c>
      <c r="C36" s="226">
        <v>3824.14</v>
      </c>
      <c r="D36" s="226">
        <v>4768.37</v>
      </c>
      <c r="E36" s="226">
        <v>3808.1</v>
      </c>
      <c r="F36" s="226">
        <v>4754.63</v>
      </c>
      <c r="G36" s="227">
        <v>0.23830000000000001</v>
      </c>
      <c r="H36" s="9">
        <f t="shared" ref="H36:H126" si="0">A36</f>
        <v>2023</v>
      </c>
    </row>
    <row r="37" spans="1:12" ht="15.75">
      <c r="A37" s="225">
        <v>2022</v>
      </c>
      <c r="B37" s="226">
        <v>4097.49</v>
      </c>
      <c r="C37" s="226">
        <v>4796.5600000000004</v>
      </c>
      <c r="D37" s="226">
        <v>4796.5600000000004</v>
      </c>
      <c r="E37" s="226">
        <v>3577.03</v>
      </c>
      <c r="F37" s="226">
        <v>3839.5</v>
      </c>
      <c r="G37" s="228">
        <v>-0.19439999999999999</v>
      </c>
      <c r="H37" s="9">
        <f t="shared" si="0"/>
        <v>2022</v>
      </c>
      <c r="L37" s="13">
        <f t="shared" ref="L37:L126" si="1">AVERAGE(G36:G37)</f>
        <v>2.1950000000000011E-2</v>
      </c>
    </row>
    <row r="38" spans="1:12" ht="15.75">
      <c r="A38" s="225">
        <v>2021</v>
      </c>
      <c r="B38" s="226">
        <v>4273.41</v>
      </c>
      <c r="C38" s="226">
        <v>3700.65</v>
      </c>
      <c r="D38" s="226">
        <v>4793.0600000000004</v>
      </c>
      <c r="E38" s="226">
        <v>3700.65</v>
      </c>
      <c r="F38" s="226">
        <v>4766.18</v>
      </c>
      <c r="G38" s="227">
        <v>0.26889999999999997</v>
      </c>
      <c r="H38" s="9">
        <f t="shared" si="0"/>
        <v>2021</v>
      </c>
      <c r="K38" s="13">
        <f t="shared" ref="K38:K126" si="2">AVERAGE(G36:G38)</f>
        <v>0.10426666666666666</v>
      </c>
      <c r="L38" s="13">
        <f t="shared" si="1"/>
        <v>3.7249999999999991E-2</v>
      </c>
    </row>
    <row r="39" spans="1:12" ht="15.75">
      <c r="A39" s="225">
        <v>2020</v>
      </c>
      <c r="B39" s="226">
        <v>3217.86</v>
      </c>
      <c r="C39" s="226">
        <v>3257.85</v>
      </c>
      <c r="D39" s="226">
        <v>3756.07</v>
      </c>
      <c r="E39" s="226">
        <v>2237.4</v>
      </c>
      <c r="F39" s="226">
        <v>3756.07</v>
      </c>
      <c r="G39" s="227">
        <v>0.16259999999999999</v>
      </c>
      <c r="H39" s="9">
        <f t="shared" si="0"/>
        <v>2020</v>
      </c>
      <c r="J39" s="13">
        <f t="shared" ref="J39:J126" si="3">AVERAGE(G36:G39)</f>
        <v>0.11884999999999998</v>
      </c>
      <c r="K39" s="13">
        <f t="shared" si="2"/>
        <v>7.903333333333333E-2</v>
      </c>
      <c r="L39" s="13">
        <f t="shared" si="1"/>
        <v>0.21575</v>
      </c>
    </row>
    <row r="40" spans="1:12" ht="15.75">
      <c r="A40" s="225">
        <v>2019</v>
      </c>
      <c r="B40" s="226">
        <v>2913.36</v>
      </c>
      <c r="C40" s="226">
        <v>2510.0300000000002</v>
      </c>
      <c r="D40" s="226">
        <v>3240.02</v>
      </c>
      <c r="E40" s="226">
        <v>2447.89</v>
      </c>
      <c r="F40" s="226">
        <v>3230.78</v>
      </c>
      <c r="G40" s="227">
        <v>0.2888</v>
      </c>
      <c r="H40" s="9">
        <f t="shared" si="0"/>
        <v>2019</v>
      </c>
      <c r="I40" s="13">
        <f t="shared" ref="I40:I126" si="4">AVERAGE(G36:G40)</f>
        <v>0.15284</v>
      </c>
      <c r="J40" s="13">
        <f t="shared" si="3"/>
        <v>0.13147500000000001</v>
      </c>
      <c r="K40" s="13">
        <f t="shared" si="2"/>
        <v>0.24009999999999998</v>
      </c>
      <c r="L40" s="13">
        <f t="shared" si="1"/>
        <v>0.22570000000000001</v>
      </c>
    </row>
    <row r="41" spans="1:12" ht="15.75">
      <c r="A41" s="225">
        <v>2018</v>
      </c>
      <c r="B41" s="226">
        <v>2746.21</v>
      </c>
      <c r="C41" s="226">
        <v>2695.81</v>
      </c>
      <c r="D41" s="226">
        <v>2930.75</v>
      </c>
      <c r="E41" s="226">
        <v>2351.1</v>
      </c>
      <c r="F41" s="226">
        <v>2506.85</v>
      </c>
      <c r="G41" s="228">
        <v>-6.2399999999999997E-2</v>
      </c>
      <c r="H41" s="9">
        <f t="shared" si="0"/>
        <v>2018</v>
      </c>
      <c r="I41" s="13">
        <f t="shared" si="4"/>
        <v>9.2700000000000005E-2</v>
      </c>
      <c r="J41" s="13">
        <f t="shared" si="3"/>
        <v>0.16447499999999998</v>
      </c>
      <c r="K41" s="13">
        <f t="shared" si="2"/>
        <v>0.12966666666666668</v>
      </c>
      <c r="L41" s="13">
        <f t="shared" si="1"/>
        <v>0.1132</v>
      </c>
    </row>
    <row r="42" spans="1:12" ht="15.75">
      <c r="A42" s="225">
        <v>2017</v>
      </c>
      <c r="B42" s="226">
        <v>2449.08</v>
      </c>
      <c r="C42" s="226">
        <v>2257.83</v>
      </c>
      <c r="D42" s="226">
        <v>2690.16</v>
      </c>
      <c r="E42" s="226">
        <v>2257.83</v>
      </c>
      <c r="F42" s="226">
        <v>2673.61</v>
      </c>
      <c r="G42" s="227">
        <v>0.19420000000000001</v>
      </c>
      <c r="H42" s="9">
        <f t="shared" si="0"/>
        <v>2017</v>
      </c>
      <c r="I42" s="13">
        <f t="shared" si="4"/>
        <v>0.17041999999999999</v>
      </c>
      <c r="J42" s="13">
        <f t="shared" si="3"/>
        <v>0.14580000000000001</v>
      </c>
      <c r="K42" s="13">
        <f t="shared" si="2"/>
        <v>0.14019999999999999</v>
      </c>
      <c r="L42" s="13">
        <f t="shared" si="1"/>
        <v>6.5900000000000014E-2</v>
      </c>
    </row>
    <row r="43" spans="1:12" ht="15.75">
      <c r="A43" s="225">
        <v>2016</v>
      </c>
      <c r="B43" s="226">
        <v>2094.65</v>
      </c>
      <c r="C43" s="226">
        <v>2012.66</v>
      </c>
      <c r="D43" s="226">
        <v>2271.7199999999998</v>
      </c>
      <c r="E43" s="226">
        <v>1829.08</v>
      </c>
      <c r="F43" s="226">
        <v>2238.83</v>
      </c>
      <c r="G43" s="227">
        <v>9.5399999999999999E-2</v>
      </c>
      <c r="H43" s="9">
        <f t="shared" si="0"/>
        <v>2016</v>
      </c>
      <c r="I43" s="13">
        <f t="shared" si="4"/>
        <v>0.13572000000000001</v>
      </c>
      <c r="J43" s="13">
        <f t="shared" si="3"/>
        <v>0.129</v>
      </c>
      <c r="K43" s="13">
        <f t="shared" si="2"/>
        <v>7.5733333333333333E-2</v>
      </c>
      <c r="L43" s="13">
        <f t="shared" si="1"/>
        <v>0.14480000000000001</v>
      </c>
    </row>
    <row r="44" spans="1:12" ht="15.75">
      <c r="A44" s="225">
        <v>2015</v>
      </c>
      <c r="B44" s="226">
        <v>2061.0700000000002</v>
      </c>
      <c r="C44" s="226">
        <v>2058.1999999999998</v>
      </c>
      <c r="D44" s="226">
        <v>2130.8200000000002</v>
      </c>
      <c r="E44" s="226">
        <v>1867.61</v>
      </c>
      <c r="F44" s="226">
        <v>2043.94</v>
      </c>
      <c r="G44" s="228">
        <v>-7.3000000000000001E-3</v>
      </c>
      <c r="H44" s="9">
        <f t="shared" si="0"/>
        <v>2015</v>
      </c>
      <c r="I44" s="13">
        <f t="shared" si="4"/>
        <v>0.10174000000000001</v>
      </c>
      <c r="J44" s="13">
        <f t="shared" si="3"/>
        <v>5.4975000000000003E-2</v>
      </c>
      <c r="K44" s="13">
        <f t="shared" si="2"/>
        <v>9.4100000000000017E-2</v>
      </c>
      <c r="L44" s="13">
        <f t="shared" si="1"/>
        <v>4.4049999999999999E-2</v>
      </c>
    </row>
    <row r="45" spans="1:12" ht="15.75">
      <c r="A45" s="225">
        <v>2014</v>
      </c>
      <c r="B45" s="226">
        <v>1931.38</v>
      </c>
      <c r="C45" s="226">
        <v>1831.98</v>
      </c>
      <c r="D45" s="226">
        <v>2090.5700000000002</v>
      </c>
      <c r="E45" s="226">
        <v>1741.89</v>
      </c>
      <c r="F45" s="226">
        <v>2058.9</v>
      </c>
      <c r="G45" s="227">
        <v>0.1139</v>
      </c>
      <c r="H45" s="9">
        <f t="shared" si="0"/>
        <v>2014</v>
      </c>
      <c r="I45" s="13">
        <f t="shared" si="4"/>
        <v>6.676E-2</v>
      </c>
      <c r="J45" s="13">
        <f t="shared" si="3"/>
        <v>9.9050000000000013E-2</v>
      </c>
      <c r="K45" s="13">
        <f t="shared" si="2"/>
        <v>6.7333333333333342E-2</v>
      </c>
      <c r="L45" s="13">
        <f t="shared" si="1"/>
        <v>5.33E-2</v>
      </c>
    </row>
    <row r="46" spans="1:12" ht="15.75">
      <c r="A46" s="225">
        <v>2013</v>
      </c>
      <c r="B46" s="226">
        <v>1643.8</v>
      </c>
      <c r="C46" s="226">
        <v>1462.42</v>
      </c>
      <c r="D46" s="226">
        <v>1848.36</v>
      </c>
      <c r="E46" s="226">
        <v>1457.15</v>
      </c>
      <c r="F46" s="226">
        <v>1848.36</v>
      </c>
      <c r="G46" s="227">
        <v>0.29599999999999999</v>
      </c>
      <c r="H46" s="9">
        <f t="shared" si="0"/>
        <v>2013</v>
      </c>
      <c r="I46" s="13">
        <f t="shared" si="4"/>
        <v>0.13844000000000001</v>
      </c>
      <c r="J46" s="13">
        <f t="shared" si="3"/>
        <v>0.1245</v>
      </c>
      <c r="K46" s="13">
        <f t="shared" si="2"/>
        <v>0.13419999999999999</v>
      </c>
      <c r="L46" s="13">
        <f t="shared" si="1"/>
        <v>0.20494999999999999</v>
      </c>
    </row>
    <row r="47" spans="1:12" ht="15.75">
      <c r="A47" s="225">
        <v>2012</v>
      </c>
      <c r="B47" s="226">
        <v>1379.61</v>
      </c>
      <c r="C47" s="226">
        <v>1277.06</v>
      </c>
      <c r="D47" s="226">
        <v>1465.77</v>
      </c>
      <c r="E47" s="226">
        <v>1277.06</v>
      </c>
      <c r="F47" s="226">
        <v>1426.19</v>
      </c>
      <c r="G47" s="227">
        <v>0.1341</v>
      </c>
      <c r="H47" s="9">
        <f t="shared" si="0"/>
        <v>2012</v>
      </c>
      <c r="I47" s="13">
        <f t="shared" si="4"/>
        <v>0.12642</v>
      </c>
      <c r="J47" s="13">
        <f t="shared" si="3"/>
        <v>0.13417499999999999</v>
      </c>
      <c r="K47" s="13">
        <f t="shared" si="2"/>
        <v>0.18133333333333335</v>
      </c>
      <c r="L47" s="13">
        <f t="shared" si="1"/>
        <v>0.21504999999999999</v>
      </c>
    </row>
    <row r="48" spans="1:12" ht="15.75">
      <c r="A48" s="225">
        <v>2011</v>
      </c>
      <c r="B48" s="226">
        <v>1267.6400000000001</v>
      </c>
      <c r="C48" s="226">
        <v>1271.8699999999999</v>
      </c>
      <c r="D48" s="226">
        <v>1363.61</v>
      </c>
      <c r="E48" s="226">
        <v>1099.23</v>
      </c>
      <c r="F48" s="226">
        <v>1257.5999999999999</v>
      </c>
      <c r="G48" s="228">
        <v>0</v>
      </c>
      <c r="H48" s="9">
        <f t="shared" si="0"/>
        <v>2011</v>
      </c>
      <c r="I48" s="13">
        <f t="shared" si="4"/>
        <v>0.10733999999999999</v>
      </c>
      <c r="J48" s="13">
        <f t="shared" si="3"/>
        <v>0.13600000000000001</v>
      </c>
      <c r="K48" s="13">
        <f t="shared" si="2"/>
        <v>0.14336666666666667</v>
      </c>
      <c r="L48" s="13">
        <f t="shared" si="1"/>
        <v>6.7049999999999998E-2</v>
      </c>
    </row>
    <row r="49" spans="1:12" ht="15.75">
      <c r="A49" s="225">
        <v>2010</v>
      </c>
      <c r="B49" s="226">
        <v>1139.97</v>
      </c>
      <c r="C49" s="226">
        <v>1132.99</v>
      </c>
      <c r="D49" s="226">
        <v>1259.78</v>
      </c>
      <c r="E49" s="226">
        <v>1022.58</v>
      </c>
      <c r="F49" s="226">
        <v>1257.6400000000001</v>
      </c>
      <c r="G49" s="227">
        <v>0.1278</v>
      </c>
      <c r="H49" s="9">
        <f t="shared" si="0"/>
        <v>2010</v>
      </c>
      <c r="I49" s="13">
        <f t="shared" si="4"/>
        <v>0.13436000000000001</v>
      </c>
      <c r="J49" s="13">
        <f t="shared" si="3"/>
        <v>0.13947499999999999</v>
      </c>
      <c r="K49" s="13">
        <f t="shared" si="2"/>
        <v>8.7300000000000003E-2</v>
      </c>
      <c r="L49" s="13">
        <f t="shared" si="1"/>
        <v>6.3899999999999998E-2</v>
      </c>
    </row>
    <row r="50" spans="1:12" ht="15.75">
      <c r="A50" s="225">
        <v>2009</v>
      </c>
      <c r="B50" s="225">
        <v>948.05</v>
      </c>
      <c r="C50" s="225">
        <v>931.8</v>
      </c>
      <c r="D50" s="226">
        <v>1127.78</v>
      </c>
      <c r="E50" s="225">
        <v>676.53</v>
      </c>
      <c r="F50" s="226">
        <v>1115.0999999999999</v>
      </c>
      <c r="G50" s="227">
        <v>0.23449999999999999</v>
      </c>
      <c r="H50" s="9">
        <f t="shared" si="0"/>
        <v>2009</v>
      </c>
      <c r="I50" s="13">
        <f t="shared" si="4"/>
        <v>0.15848000000000001</v>
      </c>
      <c r="J50" s="13">
        <f t="shared" si="3"/>
        <v>0.1241</v>
      </c>
      <c r="K50" s="13">
        <f t="shared" si="2"/>
        <v>0.12076666666666665</v>
      </c>
      <c r="L50" s="13">
        <f t="shared" si="1"/>
        <v>0.18114999999999998</v>
      </c>
    </row>
    <row r="51" spans="1:12" ht="15.75">
      <c r="A51" s="225">
        <v>2008</v>
      </c>
      <c r="B51" s="226">
        <v>1220.04</v>
      </c>
      <c r="C51" s="226">
        <v>1447.16</v>
      </c>
      <c r="D51" s="226">
        <v>1447.16</v>
      </c>
      <c r="E51" s="225">
        <v>752.44</v>
      </c>
      <c r="F51" s="225">
        <v>903.25</v>
      </c>
      <c r="G51" s="228">
        <v>-0.38490000000000002</v>
      </c>
      <c r="H51" s="9">
        <f t="shared" si="0"/>
        <v>2008</v>
      </c>
      <c r="I51" s="13">
        <f t="shared" si="4"/>
        <v>2.2299999999999997E-2</v>
      </c>
      <c r="J51" s="13">
        <f t="shared" si="3"/>
        <v>-5.6500000000000161E-3</v>
      </c>
      <c r="K51" s="13">
        <f t="shared" si="2"/>
        <v>-7.5333333333333545E-3</v>
      </c>
      <c r="L51" s="13">
        <f t="shared" si="1"/>
        <v>-7.5200000000000017E-2</v>
      </c>
    </row>
    <row r="52" spans="1:12" ht="15.75">
      <c r="A52" s="225">
        <v>2007</v>
      </c>
      <c r="B52" s="226">
        <v>1477.18</v>
      </c>
      <c r="C52" s="226">
        <v>1416.6</v>
      </c>
      <c r="D52" s="226">
        <v>1565.15</v>
      </c>
      <c r="E52" s="226">
        <v>1374.12</v>
      </c>
      <c r="F52" s="226">
        <v>1468.36</v>
      </c>
      <c r="G52" s="227">
        <v>3.5299999999999998E-2</v>
      </c>
      <c r="H52" s="9">
        <f t="shared" si="0"/>
        <v>2007</v>
      </c>
      <c r="I52" s="13">
        <f t="shared" si="4"/>
        <v>2.5399999999999867E-3</v>
      </c>
      <c r="J52" s="13">
        <f t="shared" si="3"/>
        <v>3.1749999999999834E-3</v>
      </c>
      <c r="K52" s="13">
        <f t="shared" si="2"/>
        <v>-3.8366666666666681E-2</v>
      </c>
      <c r="L52" s="13">
        <f t="shared" si="1"/>
        <v>-0.17480000000000001</v>
      </c>
    </row>
    <row r="53" spans="1:12" ht="15.75">
      <c r="A53" s="225">
        <v>2006</v>
      </c>
      <c r="B53" s="226">
        <v>1310.46</v>
      </c>
      <c r="C53" s="226">
        <v>1268.8</v>
      </c>
      <c r="D53" s="226">
        <v>1427.09</v>
      </c>
      <c r="E53" s="226">
        <v>1223.69</v>
      </c>
      <c r="F53" s="226">
        <v>1418.3</v>
      </c>
      <c r="G53" s="227">
        <v>0.13619999999999999</v>
      </c>
      <c r="H53" s="9">
        <f t="shared" si="0"/>
        <v>2006</v>
      </c>
      <c r="I53" s="13">
        <f t="shared" si="4"/>
        <v>2.9779999999999984E-2</v>
      </c>
      <c r="J53" s="13">
        <f t="shared" si="3"/>
        <v>5.274999999999988E-3</v>
      </c>
      <c r="K53" s="13">
        <f t="shared" si="2"/>
        <v>-7.113333333333334E-2</v>
      </c>
      <c r="L53" s="13">
        <f t="shared" si="1"/>
        <v>8.5749999999999993E-2</v>
      </c>
    </row>
    <row r="54" spans="1:12" ht="15.75">
      <c r="A54" s="225">
        <v>2005</v>
      </c>
      <c r="B54" s="226">
        <v>1207.23</v>
      </c>
      <c r="C54" s="226">
        <v>1202.08</v>
      </c>
      <c r="D54" s="226">
        <v>1272.74</v>
      </c>
      <c r="E54" s="226">
        <v>1137.5</v>
      </c>
      <c r="F54" s="226">
        <v>1248.29</v>
      </c>
      <c r="G54" s="227">
        <v>0.03</v>
      </c>
      <c r="H54" s="9">
        <f t="shared" si="0"/>
        <v>2005</v>
      </c>
      <c r="I54" s="13">
        <f t="shared" si="4"/>
        <v>1.021999999999999E-2</v>
      </c>
      <c r="J54" s="13">
        <f t="shared" si="3"/>
        <v>-4.5850000000000009E-2</v>
      </c>
      <c r="K54" s="13">
        <f t="shared" si="2"/>
        <v>6.7166666666666666E-2</v>
      </c>
      <c r="L54" s="13">
        <f t="shared" si="1"/>
        <v>8.3099999999999993E-2</v>
      </c>
    </row>
    <row r="55" spans="1:12" ht="15.75">
      <c r="A55" s="225">
        <v>2004</v>
      </c>
      <c r="B55" s="226">
        <v>1130.6500000000001</v>
      </c>
      <c r="C55" s="226">
        <v>1108.48</v>
      </c>
      <c r="D55" s="226">
        <v>1213.55</v>
      </c>
      <c r="E55" s="226">
        <v>1063.23</v>
      </c>
      <c r="F55" s="226">
        <v>1211.92</v>
      </c>
      <c r="G55" s="227">
        <v>8.9899999999999994E-2</v>
      </c>
      <c r="H55" s="9">
        <f t="shared" si="0"/>
        <v>2004</v>
      </c>
      <c r="I55" s="13">
        <f t="shared" si="4"/>
        <v>-1.8700000000000008E-2</v>
      </c>
      <c r="J55" s="13">
        <f t="shared" si="3"/>
        <v>7.2849999999999998E-2</v>
      </c>
      <c r="K55" s="13">
        <f t="shared" si="2"/>
        <v>8.536666666666666E-2</v>
      </c>
      <c r="L55" s="13">
        <f t="shared" si="1"/>
        <v>5.9949999999999996E-2</v>
      </c>
    </row>
    <row r="56" spans="1:12" ht="15.75">
      <c r="A56" s="225">
        <v>2003</v>
      </c>
      <c r="B56" s="225">
        <v>965.23</v>
      </c>
      <c r="C56" s="225">
        <v>909.03</v>
      </c>
      <c r="D56" s="226">
        <v>1111.92</v>
      </c>
      <c r="E56" s="225">
        <v>800.73</v>
      </c>
      <c r="F56" s="226">
        <v>1111.92</v>
      </c>
      <c r="G56" s="227">
        <v>0.26379999999999998</v>
      </c>
      <c r="H56" s="9">
        <f t="shared" si="0"/>
        <v>2003</v>
      </c>
      <c r="I56" s="13">
        <f t="shared" si="4"/>
        <v>0.11103999999999999</v>
      </c>
      <c r="J56" s="13">
        <f t="shared" si="3"/>
        <v>0.12997500000000001</v>
      </c>
      <c r="K56" s="13">
        <f t="shared" si="2"/>
        <v>0.12789999999999999</v>
      </c>
      <c r="L56" s="13">
        <f t="shared" si="1"/>
        <v>0.17684999999999998</v>
      </c>
    </row>
    <row r="57" spans="1:12" ht="15.75">
      <c r="A57" s="225">
        <v>2002</v>
      </c>
      <c r="B57" s="225">
        <v>993.93</v>
      </c>
      <c r="C57" s="226">
        <v>1154.67</v>
      </c>
      <c r="D57" s="226">
        <v>1172.51</v>
      </c>
      <c r="E57" s="225">
        <v>776.76</v>
      </c>
      <c r="F57" s="225">
        <v>879.82</v>
      </c>
      <c r="G57" s="228">
        <v>-0.23369999999999999</v>
      </c>
      <c r="H57" s="9">
        <f t="shared" si="0"/>
        <v>2002</v>
      </c>
      <c r="I57" s="13">
        <f t="shared" si="4"/>
        <v>5.7239999999999999E-2</v>
      </c>
      <c r="J57" s="13">
        <f t="shared" si="3"/>
        <v>3.7499999999999999E-2</v>
      </c>
      <c r="K57" s="13">
        <f t="shared" si="2"/>
        <v>3.9999999999999987E-2</v>
      </c>
      <c r="L57" s="13">
        <f t="shared" si="1"/>
        <v>1.5049999999999994E-2</v>
      </c>
    </row>
    <row r="58" spans="1:12" ht="15.75">
      <c r="A58" s="225">
        <v>2001</v>
      </c>
      <c r="B58" s="226">
        <v>1192.57</v>
      </c>
      <c r="C58" s="226">
        <v>1283.27</v>
      </c>
      <c r="D58" s="226">
        <v>1373.73</v>
      </c>
      <c r="E58" s="225">
        <v>965.8</v>
      </c>
      <c r="F58" s="226">
        <v>1148.08</v>
      </c>
      <c r="G58" s="228">
        <v>-0.13039999999999999</v>
      </c>
      <c r="H58" s="9">
        <f t="shared" si="0"/>
        <v>2001</v>
      </c>
      <c r="I58" s="13">
        <f t="shared" si="4"/>
        <v>3.9200000000000016E-3</v>
      </c>
      <c r="J58" s="13">
        <f t="shared" si="3"/>
        <v>-2.6000000000000051E-3</v>
      </c>
      <c r="K58" s="13">
        <f t="shared" si="2"/>
        <v>-3.3433333333333336E-2</v>
      </c>
      <c r="L58" s="13">
        <f t="shared" si="1"/>
        <v>-0.18204999999999999</v>
      </c>
    </row>
    <row r="59" spans="1:12" ht="15.75">
      <c r="A59" s="225">
        <v>2000</v>
      </c>
      <c r="B59" s="226">
        <v>1427.22</v>
      </c>
      <c r="C59" s="226">
        <v>1455.22</v>
      </c>
      <c r="D59" s="226">
        <v>1527.46</v>
      </c>
      <c r="E59" s="226">
        <v>1264.74</v>
      </c>
      <c r="F59" s="226">
        <v>1320.28</v>
      </c>
      <c r="G59" s="228">
        <v>-0.1014</v>
      </c>
      <c r="H59" s="9">
        <f t="shared" si="0"/>
        <v>2000</v>
      </c>
      <c r="I59" s="13">
        <f t="shared" si="4"/>
        <v>-2.2360000000000005E-2</v>
      </c>
      <c r="J59" s="13">
        <f t="shared" si="3"/>
        <v>-5.0424999999999998E-2</v>
      </c>
      <c r="K59" s="13">
        <f t="shared" si="2"/>
        <v>-0.15516666666666665</v>
      </c>
      <c r="L59" s="13">
        <f t="shared" si="1"/>
        <v>-0.1159</v>
      </c>
    </row>
    <row r="60" spans="1:12" ht="15.75">
      <c r="A60" s="225">
        <v>1999</v>
      </c>
      <c r="B60" s="226">
        <v>1327.33</v>
      </c>
      <c r="C60" s="226">
        <v>1228.0999999999999</v>
      </c>
      <c r="D60" s="226">
        <v>1469.25</v>
      </c>
      <c r="E60" s="226">
        <v>1212.19</v>
      </c>
      <c r="F60" s="226">
        <v>1469.25</v>
      </c>
      <c r="G60" s="227">
        <v>0.1953</v>
      </c>
      <c r="H60" s="9">
        <f t="shared" si="0"/>
        <v>1999</v>
      </c>
      <c r="I60" s="13">
        <f t="shared" si="4"/>
        <v>-1.2799999999999977E-3</v>
      </c>
      <c r="J60" s="13">
        <f t="shared" si="3"/>
        <v>-6.7549999999999999E-2</v>
      </c>
      <c r="K60" s="13">
        <f t="shared" si="2"/>
        <v>-1.2166666666666668E-2</v>
      </c>
      <c r="L60" s="13">
        <f t="shared" si="1"/>
        <v>4.6949999999999999E-2</v>
      </c>
    </row>
    <row r="61" spans="1:12" ht="15.75">
      <c r="A61" s="225">
        <v>1998</v>
      </c>
      <c r="B61" s="226">
        <v>1085.5</v>
      </c>
      <c r="C61" s="225">
        <v>975.04</v>
      </c>
      <c r="D61" s="226">
        <v>1241.81</v>
      </c>
      <c r="E61" s="225">
        <v>927.69</v>
      </c>
      <c r="F61" s="226">
        <v>1229.23</v>
      </c>
      <c r="G61" s="227">
        <v>0.26669999999999999</v>
      </c>
      <c r="H61" s="9">
        <f t="shared" si="0"/>
        <v>1998</v>
      </c>
      <c r="I61" s="13">
        <f t="shared" si="4"/>
        <v>-7.0000000000000064E-4</v>
      </c>
      <c r="J61" s="13">
        <f t="shared" si="3"/>
        <v>5.7549999999999997E-2</v>
      </c>
      <c r="K61" s="13">
        <f t="shared" si="2"/>
        <v>0.12019999999999999</v>
      </c>
      <c r="L61" s="13">
        <f t="shared" si="1"/>
        <v>0.23099999999999998</v>
      </c>
    </row>
    <row r="62" spans="1:12" ht="15.75">
      <c r="A62" s="225">
        <v>1997</v>
      </c>
      <c r="B62" s="225">
        <v>873.43</v>
      </c>
      <c r="C62" s="225">
        <v>737.01</v>
      </c>
      <c r="D62" s="225">
        <v>983.79</v>
      </c>
      <c r="E62" s="225">
        <v>737.01</v>
      </c>
      <c r="F62" s="225">
        <v>970.43</v>
      </c>
      <c r="G62" s="227">
        <v>0.31009999999999999</v>
      </c>
      <c r="H62" s="9">
        <f t="shared" si="0"/>
        <v>1997</v>
      </c>
      <c r="I62" s="13">
        <f t="shared" si="4"/>
        <v>0.10806</v>
      </c>
      <c r="J62" s="13">
        <f t="shared" si="3"/>
        <v>0.16767499999999999</v>
      </c>
      <c r="K62" s="13">
        <f t="shared" si="2"/>
        <v>0.25736666666666669</v>
      </c>
      <c r="L62" s="13">
        <f t="shared" si="1"/>
        <v>0.28839999999999999</v>
      </c>
    </row>
    <row r="63" spans="1:12" ht="15.75">
      <c r="A63" s="225">
        <v>1996</v>
      </c>
      <c r="B63" s="225">
        <v>670.49</v>
      </c>
      <c r="C63" s="225">
        <v>620.73</v>
      </c>
      <c r="D63" s="225">
        <v>757.03</v>
      </c>
      <c r="E63" s="225">
        <v>598.48</v>
      </c>
      <c r="F63" s="225">
        <v>740.74</v>
      </c>
      <c r="G63" s="227">
        <v>0.2026</v>
      </c>
      <c r="H63" s="9">
        <f t="shared" si="0"/>
        <v>1996</v>
      </c>
      <c r="I63" s="13">
        <f t="shared" si="4"/>
        <v>0.17465999999999998</v>
      </c>
      <c r="J63" s="13">
        <f t="shared" si="3"/>
        <v>0.243675</v>
      </c>
      <c r="K63" s="13">
        <f t="shared" si="2"/>
        <v>0.25979999999999998</v>
      </c>
      <c r="L63" s="13">
        <f t="shared" si="1"/>
        <v>0.25634999999999997</v>
      </c>
    </row>
    <row r="64" spans="1:12" ht="15.75">
      <c r="A64" s="225">
        <v>1995</v>
      </c>
      <c r="B64" s="225">
        <v>541.72</v>
      </c>
      <c r="C64" s="225">
        <v>459.11</v>
      </c>
      <c r="D64" s="225">
        <v>621.69000000000005</v>
      </c>
      <c r="E64" s="225">
        <v>459.11</v>
      </c>
      <c r="F64" s="225">
        <v>615.92999999999995</v>
      </c>
      <c r="G64" s="227">
        <v>0.34110000000000001</v>
      </c>
      <c r="H64" s="9">
        <f t="shared" si="0"/>
        <v>1995</v>
      </c>
      <c r="I64" s="13">
        <f t="shared" si="4"/>
        <v>0.26316000000000001</v>
      </c>
      <c r="J64" s="13">
        <f t="shared" si="3"/>
        <v>0.28012500000000001</v>
      </c>
      <c r="K64" s="13">
        <f t="shared" si="2"/>
        <v>0.28459999999999996</v>
      </c>
      <c r="L64" s="13">
        <f t="shared" si="1"/>
        <v>0.27185000000000004</v>
      </c>
    </row>
    <row r="65" spans="1:12" ht="15.75">
      <c r="A65" s="225">
        <v>1994</v>
      </c>
      <c r="B65" s="225">
        <v>460.42</v>
      </c>
      <c r="C65" s="225">
        <v>465.44</v>
      </c>
      <c r="D65" s="225">
        <v>482</v>
      </c>
      <c r="E65" s="225">
        <v>438.92</v>
      </c>
      <c r="F65" s="225">
        <v>459.27</v>
      </c>
      <c r="G65" s="228">
        <v>-1.54E-2</v>
      </c>
      <c r="H65" s="9">
        <f t="shared" si="0"/>
        <v>1994</v>
      </c>
      <c r="I65" s="13">
        <f t="shared" si="4"/>
        <v>0.22101999999999999</v>
      </c>
      <c r="J65" s="13">
        <f t="shared" si="3"/>
        <v>0.20959999999999998</v>
      </c>
      <c r="K65" s="13">
        <f t="shared" si="2"/>
        <v>0.17610000000000003</v>
      </c>
      <c r="L65" s="13">
        <f t="shared" si="1"/>
        <v>0.16284999999999999</v>
      </c>
    </row>
    <row r="66" spans="1:12" ht="15.75">
      <c r="A66" s="225">
        <v>1993</v>
      </c>
      <c r="B66" s="225">
        <v>451.61</v>
      </c>
      <c r="C66" s="225">
        <v>435.38</v>
      </c>
      <c r="D66" s="225">
        <v>470.94</v>
      </c>
      <c r="E66" s="225">
        <v>429.05</v>
      </c>
      <c r="F66" s="225">
        <v>466.45</v>
      </c>
      <c r="G66" s="227">
        <v>7.0599999999999996E-2</v>
      </c>
      <c r="H66" s="9">
        <f t="shared" si="0"/>
        <v>1993</v>
      </c>
      <c r="I66" s="13">
        <f t="shared" si="4"/>
        <v>0.18179999999999999</v>
      </c>
      <c r="J66" s="13">
        <f t="shared" si="3"/>
        <v>0.14972500000000002</v>
      </c>
      <c r="K66" s="13">
        <f t="shared" si="2"/>
        <v>0.1321</v>
      </c>
      <c r="L66" s="13">
        <f t="shared" si="1"/>
        <v>2.76E-2</v>
      </c>
    </row>
    <row r="67" spans="1:12" ht="15.75">
      <c r="A67" s="225">
        <v>1992</v>
      </c>
      <c r="B67" s="225">
        <v>415.75</v>
      </c>
      <c r="C67" s="225">
        <v>417.26</v>
      </c>
      <c r="D67" s="225">
        <v>441.28</v>
      </c>
      <c r="E67" s="225">
        <v>394.5</v>
      </c>
      <c r="F67" s="225">
        <v>435.71</v>
      </c>
      <c r="G67" s="227">
        <v>4.4600000000000001E-2</v>
      </c>
      <c r="H67" s="9">
        <f t="shared" si="0"/>
        <v>1992</v>
      </c>
      <c r="I67" s="13">
        <f t="shared" si="4"/>
        <v>0.12870000000000001</v>
      </c>
      <c r="J67" s="13">
        <f t="shared" si="3"/>
        <v>0.11022499999999999</v>
      </c>
      <c r="K67" s="13">
        <f t="shared" si="2"/>
        <v>3.3266666666666667E-2</v>
      </c>
      <c r="L67" s="13">
        <f t="shared" si="1"/>
        <v>5.7599999999999998E-2</v>
      </c>
    </row>
    <row r="68" spans="1:12" ht="15.75">
      <c r="A68" s="225">
        <v>1991</v>
      </c>
      <c r="B68" s="225">
        <v>376.19</v>
      </c>
      <c r="C68" s="225">
        <v>326.45</v>
      </c>
      <c r="D68" s="225">
        <v>417.09</v>
      </c>
      <c r="E68" s="225">
        <v>311.49</v>
      </c>
      <c r="F68" s="225">
        <v>417.09</v>
      </c>
      <c r="G68" s="227">
        <v>0.2631</v>
      </c>
      <c r="H68" s="9">
        <f t="shared" si="0"/>
        <v>1991</v>
      </c>
      <c r="I68" s="13">
        <f t="shared" si="4"/>
        <v>0.14079999999999998</v>
      </c>
      <c r="J68" s="13">
        <f t="shared" si="3"/>
        <v>9.0725E-2</v>
      </c>
      <c r="K68" s="13">
        <f t="shared" si="2"/>
        <v>0.12609999999999999</v>
      </c>
      <c r="L68" s="13">
        <f t="shared" si="1"/>
        <v>0.15384999999999999</v>
      </c>
    </row>
    <row r="69" spans="1:12" ht="15.75">
      <c r="A69" s="225">
        <v>1990</v>
      </c>
      <c r="B69" s="225">
        <v>334.63</v>
      </c>
      <c r="C69" s="225">
        <v>359.69</v>
      </c>
      <c r="D69" s="225">
        <v>368.95</v>
      </c>
      <c r="E69" s="225">
        <v>295.45999999999998</v>
      </c>
      <c r="F69" s="225">
        <v>330.22</v>
      </c>
      <c r="G69" s="228">
        <v>-6.5600000000000006E-2</v>
      </c>
      <c r="H69" s="9">
        <f t="shared" si="0"/>
        <v>1990</v>
      </c>
      <c r="I69" s="13">
        <f t="shared" si="4"/>
        <v>5.9459999999999999E-2</v>
      </c>
      <c r="J69" s="13">
        <f t="shared" si="3"/>
        <v>7.8174999999999994E-2</v>
      </c>
      <c r="K69" s="13">
        <f t="shared" si="2"/>
        <v>8.0699999999999994E-2</v>
      </c>
      <c r="L69" s="13">
        <f t="shared" si="1"/>
        <v>9.8750000000000004E-2</v>
      </c>
    </row>
    <row r="70" spans="1:12" ht="15.75">
      <c r="A70" s="225">
        <v>1989</v>
      </c>
      <c r="B70" s="225">
        <v>323.05</v>
      </c>
      <c r="C70" s="225">
        <v>275.31</v>
      </c>
      <c r="D70" s="225">
        <v>359.8</v>
      </c>
      <c r="E70" s="225">
        <v>275.31</v>
      </c>
      <c r="F70" s="225">
        <v>353.4</v>
      </c>
      <c r="G70" s="227">
        <v>0.27250000000000002</v>
      </c>
      <c r="H70" s="9">
        <f t="shared" si="0"/>
        <v>1989</v>
      </c>
      <c r="I70" s="13">
        <f t="shared" si="4"/>
        <v>0.11703999999999999</v>
      </c>
      <c r="J70" s="13">
        <f t="shared" si="3"/>
        <v>0.12864999999999999</v>
      </c>
      <c r="K70" s="13">
        <f t="shared" si="2"/>
        <v>0.15666666666666668</v>
      </c>
      <c r="L70" s="13">
        <f t="shared" si="1"/>
        <v>0.10345000000000001</v>
      </c>
    </row>
    <row r="71" spans="1:12" ht="15.75">
      <c r="A71" s="225">
        <v>1988</v>
      </c>
      <c r="B71" s="225">
        <v>265.88</v>
      </c>
      <c r="C71" s="225">
        <v>255.94</v>
      </c>
      <c r="D71" s="225">
        <v>283.66000000000003</v>
      </c>
      <c r="E71" s="225">
        <v>242.63</v>
      </c>
      <c r="F71" s="225">
        <v>277.72000000000003</v>
      </c>
      <c r="G71" s="227">
        <v>0.124</v>
      </c>
      <c r="H71" s="9">
        <f t="shared" si="0"/>
        <v>1988</v>
      </c>
      <c r="I71" s="13">
        <f t="shared" si="4"/>
        <v>0.12772</v>
      </c>
      <c r="J71" s="13">
        <f t="shared" si="3"/>
        <v>0.14850000000000002</v>
      </c>
      <c r="K71" s="13">
        <f t="shared" si="2"/>
        <v>0.11030000000000001</v>
      </c>
      <c r="L71" s="13">
        <f t="shared" si="1"/>
        <v>0.19825000000000001</v>
      </c>
    </row>
    <row r="72" spans="1:12" ht="15.75">
      <c r="A72" s="225">
        <v>1987</v>
      </c>
      <c r="B72" s="225">
        <v>287</v>
      </c>
      <c r="C72" s="225">
        <v>246.45</v>
      </c>
      <c r="D72" s="225">
        <v>336.77</v>
      </c>
      <c r="E72" s="225">
        <v>223.92</v>
      </c>
      <c r="F72" s="225">
        <v>247.08</v>
      </c>
      <c r="G72" s="227">
        <v>2.0299999999999999E-2</v>
      </c>
      <c r="H72" s="9">
        <f t="shared" si="0"/>
        <v>1987</v>
      </c>
      <c r="I72" s="13">
        <f t="shared" si="4"/>
        <v>0.12286000000000001</v>
      </c>
      <c r="J72" s="13">
        <f t="shared" si="3"/>
        <v>8.7800000000000003E-2</v>
      </c>
      <c r="K72" s="13">
        <f t="shared" si="2"/>
        <v>0.13893333333333333</v>
      </c>
      <c r="L72" s="13">
        <f t="shared" si="1"/>
        <v>7.2149999999999992E-2</v>
      </c>
    </row>
    <row r="73" spans="1:12" ht="15.75">
      <c r="A73" s="225">
        <v>1986</v>
      </c>
      <c r="B73" s="225">
        <v>236.39</v>
      </c>
      <c r="C73" s="225">
        <v>209.59</v>
      </c>
      <c r="D73" s="225">
        <v>254</v>
      </c>
      <c r="E73" s="225">
        <v>203.49</v>
      </c>
      <c r="F73" s="225">
        <v>242.17</v>
      </c>
      <c r="G73" s="227">
        <v>0.1462</v>
      </c>
      <c r="H73" s="9">
        <f t="shared" si="0"/>
        <v>1986</v>
      </c>
      <c r="I73" s="13">
        <f t="shared" si="4"/>
        <v>9.9479999999999999E-2</v>
      </c>
      <c r="J73" s="13">
        <f t="shared" si="3"/>
        <v>0.14074999999999999</v>
      </c>
      <c r="K73" s="13">
        <f t="shared" si="2"/>
        <v>9.6833333333333327E-2</v>
      </c>
      <c r="L73" s="13">
        <f t="shared" si="1"/>
        <v>8.3249999999999991E-2</v>
      </c>
    </row>
    <row r="74" spans="1:12" ht="15.75">
      <c r="A74" s="225">
        <v>1985</v>
      </c>
      <c r="B74" s="225">
        <v>186.83</v>
      </c>
      <c r="C74" s="225">
        <v>165.37</v>
      </c>
      <c r="D74" s="225">
        <v>212.02</v>
      </c>
      <c r="E74" s="225">
        <v>163.68</v>
      </c>
      <c r="F74" s="225">
        <v>211.28</v>
      </c>
      <c r="G74" s="227">
        <v>0.26329999999999998</v>
      </c>
      <c r="H74" s="9">
        <f t="shared" si="0"/>
        <v>1985</v>
      </c>
      <c r="I74" s="13">
        <f t="shared" si="4"/>
        <v>0.16525999999999999</v>
      </c>
      <c r="J74" s="13">
        <f t="shared" si="3"/>
        <v>0.13844999999999999</v>
      </c>
      <c r="K74" s="13">
        <f t="shared" si="2"/>
        <v>0.14326666666666665</v>
      </c>
      <c r="L74" s="13">
        <f t="shared" si="1"/>
        <v>0.20474999999999999</v>
      </c>
    </row>
    <row r="75" spans="1:12" ht="15.75">
      <c r="A75" s="225">
        <v>1984</v>
      </c>
      <c r="B75" s="225">
        <v>160.46</v>
      </c>
      <c r="C75" s="225">
        <v>164.04</v>
      </c>
      <c r="D75" s="225">
        <v>170.41</v>
      </c>
      <c r="E75" s="225">
        <v>147.82</v>
      </c>
      <c r="F75" s="225">
        <v>167.24</v>
      </c>
      <c r="G75" s="227">
        <v>1.4E-2</v>
      </c>
      <c r="H75" s="9">
        <f t="shared" si="0"/>
        <v>1984</v>
      </c>
      <c r="I75" s="13">
        <f t="shared" si="4"/>
        <v>0.11355999999999999</v>
      </c>
      <c r="J75" s="13">
        <f t="shared" si="3"/>
        <v>0.11094999999999999</v>
      </c>
      <c r="K75" s="13">
        <f t="shared" si="2"/>
        <v>0.14116666666666666</v>
      </c>
      <c r="L75" s="13">
        <f t="shared" si="1"/>
        <v>0.13865</v>
      </c>
    </row>
    <row r="76" spans="1:12" ht="15.75">
      <c r="A76" s="225">
        <v>1983</v>
      </c>
      <c r="B76" s="225">
        <v>160.47</v>
      </c>
      <c r="C76" s="225">
        <v>138.34</v>
      </c>
      <c r="D76" s="225">
        <v>172.65</v>
      </c>
      <c r="E76" s="225">
        <v>138.34</v>
      </c>
      <c r="F76" s="225">
        <v>164.93</v>
      </c>
      <c r="G76" s="227">
        <v>0.17269999999999999</v>
      </c>
      <c r="H76" s="9">
        <f t="shared" si="0"/>
        <v>1983</v>
      </c>
      <c r="I76" s="13">
        <f t="shared" si="4"/>
        <v>0.12329999999999999</v>
      </c>
      <c r="J76" s="13">
        <f t="shared" si="3"/>
        <v>0.14904999999999999</v>
      </c>
      <c r="K76" s="13">
        <f t="shared" si="2"/>
        <v>0.15</v>
      </c>
      <c r="L76" s="13">
        <f t="shared" si="1"/>
        <v>9.3350000000000002E-2</v>
      </c>
    </row>
    <row r="77" spans="1:12" ht="15.75">
      <c r="A77" s="225">
        <v>1982</v>
      </c>
      <c r="B77" s="225">
        <v>119.71</v>
      </c>
      <c r="C77" s="225">
        <v>122.74</v>
      </c>
      <c r="D77" s="225">
        <v>143.02000000000001</v>
      </c>
      <c r="E77" s="225">
        <v>102.42</v>
      </c>
      <c r="F77" s="225">
        <v>140.63999999999999</v>
      </c>
      <c r="G77" s="227">
        <v>0.14760000000000001</v>
      </c>
      <c r="H77" s="9">
        <f t="shared" si="0"/>
        <v>1982</v>
      </c>
      <c r="I77" s="13">
        <f t="shared" si="4"/>
        <v>0.14876</v>
      </c>
      <c r="J77" s="13">
        <f t="shared" si="3"/>
        <v>0.14939999999999998</v>
      </c>
      <c r="K77" s="13">
        <f t="shared" si="2"/>
        <v>0.11143333333333334</v>
      </c>
      <c r="L77" s="13">
        <f t="shared" si="1"/>
        <v>0.16015000000000001</v>
      </c>
    </row>
    <row r="78" spans="1:12" ht="15.75">
      <c r="A78" s="225">
        <v>1981</v>
      </c>
      <c r="B78" s="225">
        <v>128.04</v>
      </c>
      <c r="C78" s="225">
        <v>136.34</v>
      </c>
      <c r="D78" s="225">
        <v>138.12</v>
      </c>
      <c r="E78" s="225">
        <v>112.77</v>
      </c>
      <c r="F78" s="225">
        <v>122.55</v>
      </c>
      <c r="G78" s="228">
        <v>-9.7299999999999998E-2</v>
      </c>
      <c r="H78" s="9">
        <f t="shared" si="0"/>
        <v>1981</v>
      </c>
      <c r="I78" s="13">
        <f t="shared" si="4"/>
        <v>0.10006</v>
      </c>
      <c r="J78" s="13">
        <f t="shared" si="3"/>
        <v>5.9250000000000011E-2</v>
      </c>
      <c r="K78" s="13">
        <f t="shared" si="2"/>
        <v>7.4333333333333348E-2</v>
      </c>
      <c r="L78" s="13">
        <f t="shared" si="1"/>
        <v>2.5150000000000006E-2</v>
      </c>
    </row>
    <row r="79" spans="1:12" ht="15.75">
      <c r="A79" s="225">
        <v>1980</v>
      </c>
      <c r="B79" s="225">
        <v>118.71</v>
      </c>
      <c r="C79" s="225">
        <v>105.76</v>
      </c>
      <c r="D79" s="225">
        <v>140.52000000000001</v>
      </c>
      <c r="E79" s="225">
        <v>98.22</v>
      </c>
      <c r="F79" s="225">
        <v>135.76</v>
      </c>
      <c r="G79" s="227">
        <v>0.25769999999999998</v>
      </c>
      <c r="H79" s="9">
        <f t="shared" si="0"/>
        <v>1980</v>
      </c>
      <c r="I79" s="13">
        <f t="shared" si="4"/>
        <v>9.894E-2</v>
      </c>
      <c r="J79" s="13">
        <f t="shared" si="3"/>
        <v>0.120175</v>
      </c>
      <c r="K79" s="13">
        <f t="shared" si="2"/>
        <v>0.10266666666666667</v>
      </c>
      <c r="L79" s="13">
        <f t="shared" si="1"/>
        <v>8.0199999999999994E-2</v>
      </c>
    </row>
    <row r="80" spans="1:12" ht="15.75">
      <c r="A80" s="225">
        <v>1979</v>
      </c>
      <c r="B80" s="225">
        <v>103</v>
      </c>
      <c r="C80" s="225">
        <v>96.73</v>
      </c>
      <c r="D80" s="225">
        <v>111.27</v>
      </c>
      <c r="E80" s="225">
        <v>96.13</v>
      </c>
      <c r="F80" s="225">
        <v>107.94</v>
      </c>
      <c r="G80" s="227">
        <v>0.1231</v>
      </c>
      <c r="H80" s="9">
        <f t="shared" si="0"/>
        <v>1979</v>
      </c>
      <c r="I80" s="13">
        <f t="shared" si="4"/>
        <v>0.12076000000000001</v>
      </c>
      <c r="J80" s="13">
        <f t="shared" si="3"/>
        <v>0.107775</v>
      </c>
      <c r="K80" s="13">
        <f t="shared" si="2"/>
        <v>9.4499999999999987E-2</v>
      </c>
      <c r="L80" s="13">
        <f t="shared" si="1"/>
        <v>0.19039999999999999</v>
      </c>
    </row>
    <row r="81" spans="1:12" ht="15.75">
      <c r="A81" s="225">
        <v>1978</v>
      </c>
      <c r="B81" s="225">
        <v>96.11</v>
      </c>
      <c r="C81" s="225">
        <v>93.82</v>
      </c>
      <c r="D81" s="225">
        <v>106.99</v>
      </c>
      <c r="E81" s="225">
        <v>86.9</v>
      </c>
      <c r="F81" s="225">
        <v>96.11</v>
      </c>
      <c r="G81" s="227">
        <v>1.06E-2</v>
      </c>
      <c r="H81" s="9">
        <f t="shared" si="0"/>
        <v>1978</v>
      </c>
      <c r="I81" s="13">
        <f t="shared" si="4"/>
        <v>8.8340000000000002E-2</v>
      </c>
      <c r="J81" s="13">
        <f t="shared" si="3"/>
        <v>7.3524999999999993E-2</v>
      </c>
      <c r="K81" s="13">
        <f t="shared" si="2"/>
        <v>0.13046666666666665</v>
      </c>
      <c r="L81" s="13">
        <f t="shared" si="1"/>
        <v>6.6850000000000007E-2</v>
      </c>
    </row>
    <row r="82" spans="1:12" ht="15.75">
      <c r="A82" s="225">
        <v>1977</v>
      </c>
      <c r="B82" s="225">
        <v>98.18</v>
      </c>
      <c r="C82" s="225">
        <v>107</v>
      </c>
      <c r="D82" s="225">
        <v>107</v>
      </c>
      <c r="E82" s="225">
        <v>90.71</v>
      </c>
      <c r="F82" s="225">
        <v>95.1</v>
      </c>
      <c r="G82" s="228">
        <v>-0.115</v>
      </c>
      <c r="H82" s="9">
        <f t="shared" si="0"/>
        <v>1977</v>
      </c>
      <c r="I82" s="13">
        <f t="shared" si="4"/>
        <v>3.5819999999999998E-2</v>
      </c>
      <c r="J82" s="13">
        <f t="shared" si="3"/>
        <v>6.9099999999999995E-2</v>
      </c>
      <c r="K82" s="13">
        <f t="shared" si="2"/>
        <v>6.2333333333333364E-3</v>
      </c>
      <c r="L82" s="13">
        <f t="shared" si="1"/>
        <v>-5.2200000000000003E-2</v>
      </c>
    </row>
    <row r="83" spans="1:12" ht="15.75">
      <c r="A83" s="225">
        <v>1976</v>
      </c>
      <c r="B83" s="225">
        <v>102.04</v>
      </c>
      <c r="C83" s="225">
        <v>90.9</v>
      </c>
      <c r="D83" s="225">
        <v>107.83</v>
      </c>
      <c r="E83" s="225">
        <v>90.9</v>
      </c>
      <c r="F83" s="225">
        <v>107.46</v>
      </c>
      <c r="G83" s="227">
        <v>0.1915</v>
      </c>
      <c r="H83" s="9">
        <f t="shared" si="0"/>
        <v>1976</v>
      </c>
      <c r="I83" s="13">
        <f t="shared" si="4"/>
        <v>9.3579999999999997E-2</v>
      </c>
      <c r="J83" s="13">
        <f t="shared" si="3"/>
        <v>5.2549999999999999E-2</v>
      </c>
      <c r="K83" s="13">
        <f t="shared" si="2"/>
        <v>2.9033333333333331E-2</v>
      </c>
      <c r="L83" s="13">
        <f t="shared" si="1"/>
        <v>3.8249999999999999E-2</v>
      </c>
    </row>
    <row r="84" spans="1:12" ht="15.75">
      <c r="A84" s="225">
        <v>1975</v>
      </c>
      <c r="B84" s="225">
        <v>86.18</v>
      </c>
      <c r="C84" s="225">
        <v>70.23</v>
      </c>
      <c r="D84" s="225">
        <v>95.61</v>
      </c>
      <c r="E84" s="225">
        <v>70.040000000000006</v>
      </c>
      <c r="F84" s="225">
        <v>90.19</v>
      </c>
      <c r="G84" s="227">
        <v>0.3155</v>
      </c>
      <c r="H84" s="9">
        <f t="shared" si="0"/>
        <v>1975</v>
      </c>
      <c r="I84" s="13">
        <f t="shared" si="4"/>
        <v>0.10514000000000001</v>
      </c>
      <c r="J84" s="13">
        <f t="shared" si="3"/>
        <v>0.10065</v>
      </c>
      <c r="K84" s="13">
        <f t="shared" si="2"/>
        <v>0.13066666666666668</v>
      </c>
      <c r="L84" s="13">
        <f t="shared" si="1"/>
        <v>0.2535</v>
      </c>
    </row>
    <row r="85" spans="1:12" ht="15.75">
      <c r="A85" s="225">
        <v>1974</v>
      </c>
      <c r="B85" s="225">
        <v>82.78</v>
      </c>
      <c r="C85" s="225">
        <v>97.68</v>
      </c>
      <c r="D85" s="225">
        <v>99.8</v>
      </c>
      <c r="E85" s="225">
        <v>62.28</v>
      </c>
      <c r="F85" s="225">
        <v>68.56</v>
      </c>
      <c r="G85" s="228">
        <v>-0.29720000000000002</v>
      </c>
      <c r="H85" s="9">
        <f t="shared" si="0"/>
        <v>1974</v>
      </c>
      <c r="I85" s="13">
        <f t="shared" si="4"/>
        <v>2.1079999999999998E-2</v>
      </c>
      <c r="J85" s="13">
        <f t="shared" si="3"/>
        <v>2.3699999999999999E-2</v>
      </c>
      <c r="K85" s="13">
        <f t="shared" si="2"/>
        <v>6.9933333333333333E-2</v>
      </c>
      <c r="L85" s="13">
        <f t="shared" si="1"/>
        <v>9.1499999999999915E-3</v>
      </c>
    </row>
    <row r="86" spans="1:12" ht="15.75">
      <c r="A86" s="225">
        <v>1973</v>
      </c>
      <c r="B86" s="225">
        <v>107.44</v>
      </c>
      <c r="C86" s="225">
        <v>119.1</v>
      </c>
      <c r="D86" s="225">
        <v>120.24</v>
      </c>
      <c r="E86" s="225">
        <v>92.16</v>
      </c>
      <c r="F86" s="225">
        <v>97.55</v>
      </c>
      <c r="G86" s="228">
        <v>-0.17369999999999999</v>
      </c>
      <c r="H86" s="9">
        <f t="shared" si="0"/>
        <v>1973</v>
      </c>
      <c r="I86" s="13">
        <f t="shared" si="4"/>
        <v>-1.5779999999999999E-2</v>
      </c>
      <c r="J86" s="13">
        <f t="shared" si="3"/>
        <v>9.0249999999999983E-3</v>
      </c>
      <c r="K86" s="13">
        <f t="shared" si="2"/>
        <v>-5.1800000000000006E-2</v>
      </c>
      <c r="L86" s="13">
        <f t="shared" si="1"/>
        <v>-0.23544999999999999</v>
      </c>
    </row>
    <row r="87" spans="1:12" ht="15.75">
      <c r="A87" s="225">
        <v>1972</v>
      </c>
      <c r="B87" s="225">
        <v>109.13</v>
      </c>
      <c r="C87" s="225">
        <v>101.67</v>
      </c>
      <c r="D87" s="225">
        <v>119.12</v>
      </c>
      <c r="E87" s="225">
        <v>101.67</v>
      </c>
      <c r="F87" s="225">
        <v>118.05</v>
      </c>
      <c r="G87" s="227">
        <v>0.15629999999999999</v>
      </c>
      <c r="H87" s="9">
        <f t="shared" si="0"/>
        <v>1972</v>
      </c>
      <c r="I87" s="13">
        <f t="shared" si="4"/>
        <v>3.848E-2</v>
      </c>
      <c r="J87" s="13">
        <f t="shared" si="3"/>
        <v>2.2499999999999604E-4</v>
      </c>
      <c r="K87" s="13">
        <f t="shared" si="2"/>
        <v>-0.10486666666666666</v>
      </c>
      <c r="L87" s="13">
        <f t="shared" si="1"/>
        <v>-8.6999999999999994E-3</v>
      </c>
    </row>
    <row r="88" spans="1:12" ht="15.75">
      <c r="A88" s="225">
        <v>1971</v>
      </c>
      <c r="B88" s="225">
        <v>98.32</v>
      </c>
      <c r="C88" s="225">
        <v>91.15</v>
      </c>
      <c r="D88" s="225">
        <v>104.77</v>
      </c>
      <c r="E88" s="225">
        <v>90.16</v>
      </c>
      <c r="F88" s="225">
        <v>102.09</v>
      </c>
      <c r="G88" s="227">
        <v>0.1079</v>
      </c>
      <c r="H88" s="9">
        <f t="shared" si="0"/>
        <v>1971</v>
      </c>
      <c r="I88" s="13">
        <f t="shared" si="4"/>
        <v>2.1759999999999995E-2</v>
      </c>
      <c r="J88" s="13">
        <f t="shared" si="3"/>
        <v>-5.1674999999999999E-2</v>
      </c>
      <c r="K88" s="13">
        <f t="shared" si="2"/>
        <v>3.0166666666666665E-2</v>
      </c>
      <c r="L88" s="13">
        <f t="shared" si="1"/>
        <v>0.1321</v>
      </c>
    </row>
    <row r="89" spans="1:12" ht="15.75">
      <c r="A89" s="225">
        <v>1970</v>
      </c>
      <c r="B89" s="225">
        <v>83.15</v>
      </c>
      <c r="C89" s="225">
        <v>93</v>
      </c>
      <c r="D89" s="225">
        <v>93.46</v>
      </c>
      <c r="E89" s="225">
        <v>69.290000000000006</v>
      </c>
      <c r="F89" s="225">
        <v>92.15</v>
      </c>
      <c r="G89" s="227">
        <v>1E-3</v>
      </c>
      <c r="H89" s="9">
        <f t="shared" si="0"/>
        <v>1970</v>
      </c>
      <c r="I89" s="13">
        <f t="shared" si="4"/>
        <v>-4.1139999999999996E-2</v>
      </c>
      <c r="J89" s="13">
        <f t="shared" si="3"/>
        <v>2.2875E-2</v>
      </c>
      <c r="K89" s="13">
        <f t="shared" si="2"/>
        <v>8.8399999999999992E-2</v>
      </c>
      <c r="L89" s="13">
        <f t="shared" si="1"/>
        <v>5.4449999999999998E-2</v>
      </c>
    </row>
    <row r="90" spans="1:12" ht="15.75">
      <c r="A90" s="225">
        <v>1969</v>
      </c>
      <c r="B90" s="225">
        <v>97.77</v>
      </c>
      <c r="C90" s="225">
        <v>103.93</v>
      </c>
      <c r="D90" s="225">
        <v>106.16</v>
      </c>
      <c r="E90" s="225">
        <v>89.2</v>
      </c>
      <c r="F90" s="225">
        <v>92.06</v>
      </c>
      <c r="G90" s="228">
        <v>-0.11360000000000001</v>
      </c>
      <c r="H90" s="9">
        <f t="shared" si="0"/>
        <v>1969</v>
      </c>
      <c r="I90" s="13">
        <f t="shared" si="4"/>
        <v>-4.4200000000000021E-3</v>
      </c>
      <c r="J90" s="13">
        <f t="shared" si="3"/>
        <v>3.7899999999999996E-2</v>
      </c>
      <c r="K90" s="13">
        <f t="shared" si="2"/>
        <v>-1.56666666666667E-3</v>
      </c>
      <c r="L90" s="13">
        <f t="shared" si="1"/>
        <v>-5.6300000000000003E-2</v>
      </c>
    </row>
    <row r="91" spans="1:12" ht="15.75">
      <c r="A91" s="225">
        <v>1968</v>
      </c>
      <c r="B91" s="225">
        <v>98.38</v>
      </c>
      <c r="C91" s="225">
        <v>96.11</v>
      </c>
      <c r="D91" s="225">
        <v>108.37</v>
      </c>
      <c r="E91" s="225">
        <v>87.72</v>
      </c>
      <c r="F91" s="225">
        <v>103.86</v>
      </c>
      <c r="G91" s="227">
        <v>7.6600000000000001E-2</v>
      </c>
      <c r="H91" s="9">
        <f t="shared" si="0"/>
        <v>1968</v>
      </c>
      <c r="I91" s="13">
        <f t="shared" si="4"/>
        <v>4.564E-2</v>
      </c>
      <c r="J91" s="13">
        <f t="shared" si="3"/>
        <v>1.7974999999999998E-2</v>
      </c>
      <c r="K91" s="13">
        <f t="shared" si="2"/>
        <v>-1.2000000000000002E-2</v>
      </c>
      <c r="L91" s="13">
        <f t="shared" si="1"/>
        <v>-1.8500000000000003E-2</v>
      </c>
    </row>
    <row r="92" spans="1:12" ht="15.75">
      <c r="A92" s="225">
        <v>1967</v>
      </c>
      <c r="B92" s="225">
        <v>91.96</v>
      </c>
      <c r="C92" s="225">
        <v>80.38</v>
      </c>
      <c r="D92" s="225">
        <v>97.59</v>
      </c>
      <c r="E92" s="225">
        <v>80.38</v>
      </c>
      <c r="F92" s="225">
        <v>96.47</v>
      </c>
      <c r="G92" s="227">
        <v>0.2009</v>
      </c>
      <c r="H92" s="9">
        <f t="shared" si="0"/>
        <v>1967</v>
      </c>
      <c r="I92" s="13">
        <f t="shared" si="4"/>
        <v>5.4559999999999997E-2</v>
      </c>
      <c r="J92" s="13">
        <f t="shared" si="3"/>
        <v>4.1224999999999998E-2</v>
      </c>
      <c r="K92" s="13">
        <f t="shared" si="2"/>
        <v>5.4633333333333332E-2</v>
      </c>
      <c r="L92" s="13">
        <f t="shared" si="1"/>
        <v>0.13874999999999998</v>
      </c>
    </row>
    <row r="93" spans="1:12" ht="15.75">
      <c r="A93" s="225">
        <v>1966</v>
      </c>
      <c r="B93" s="225">
        <v>85.18</v>
      </c>
      <c r="C93" s="225">
        <v>92.18</v>
      </c>
      <c r="D93" s="225">
        <v>94.06</v>
      </c>
      <c r="E93" s="225">
        <v>73.2</v>
      </c>
      <c r="F93" s="225">
        <v>80.33</v>
      </c>
      <c r="G93" s="228">
        <v>-0.13089999999999999</v>
      </c>
      <c r="H93" s="9">
        <f t="shared" si="0"/>
        <v>1966</v>
      </c>
      <c r="I93" s="13">
        <f t="shared" si="4"/>
        <v>6.8000000000000005E-3</v>
      </c>
      <c r="J93" s="13">
        <f t="shared" si="3"/>
        <v>8.2500000000000004E-3</v>
      </c>
      <c r="K93" s="13">
        <f t="shared" si="2"/>
        <v>4.8866666666666662E-2</v>
      </c>
      <c r="L93" s="13">
        <f t="shared" si="1"/>
        <v>3.5000000000000003E-2</v>
      </c>
    </row>
    <row r="94" spans="1:12" ht="15.75">
      <c r="A94" s="225">
        <v>1965</v>
      </c>
      <c r="B94" s="225">
        <v>88.16</v>
      </c>
      <c r="C94" s="225">
        <v>84.23</v>
      </c>
      <c r="D94" s="225">
        <v>92.63</v>
      </c>
      <c r="E94" s="225">
        <v>81.599999999999994</v>
      </c>
      <c r="F94" s="225">
        <v>92.43</v>
      </c>
      <c r="G94" s="227">
        <v>9.06E-2</v>
      </c>
      <c r="H94" s="9">
        <f t="shared" si="0"/>
        <v>1965</v>
      </c>
      <c r="I94" s="13">
        <f t="shared" si="4"/>
        <v>2.4719999999999999E-2</v>
      </c>
      <c r="J94" s="13">
        <f t="shared" si="3"/>
        <v>5.9299999999999992E-2</v>
      </c>
      <c r="K94" s="13">
        <f t="shared" si="2"/>
        <v>5.3533333333333342E-2</v>
      </c>
      <c r="L94" s="13">
        <f t="shared" si="1"/>
        <v>-2.0149999999999994E-2</v>
      </c>
    </row>
    <row r="95" spans="1:12" ht="15.75">
      <c r="A95" s="225">
        <v>1964</v>
      </c>
      <c r="B95" s="225">
        <v>81.37</v>
      </c>
      <c r="C95" s="225">
        <v>75.430000000000007</v>
      </c>
      <c r="D95" s="225">
        <v>86.28</v>
      </c>
      <c r="E95" s="225">
        <v>75.430000000000007</v>
      </c>
      <c r="F95" s="225">
        <v>84.75</v>
      </c>
      <c r="G95" s="227">
        <v>0.12970000000000001</v>
      </c>
      <c r="H95" s="9">
        <f t="shared" si="0"/>
        <v>1964</v>
      </c>
      <c r="I95" s="13">
        <f t="shared" si="4"/>
        <v>7.3380000000000001E-2</v>
      </c>
      <c r="J95" s="13">
        <f t="shared" si="3"/>
        <v>7.2575000000000001E-2</v>
      </c>
      <c r="K95" s="13">
        <f t="shared" si="2"/>
        <v>2.9800000000000007E-2</v>
      </c>
      <c r="L95" s="13">
        <f t="shared" si="1"/>
        <v>0.11015</v>
      </c>
    </row>
    <row r="96" spans="1:12" ht="15.75">
      <c r="A96" s="225">
        <v>1963</v>
      </c>
      <c r="B96" s="225">
        <v>69.86</v>
      </c>
      <c r="C96" s="225">
        <v>62.69</v>
      </c>
      <c r="D96" s="225">
        <v>75.02</v>
      </c>
      <c r="E96" s="225">
        <v>62.69</v>
      </c>
      <c r="F96" s="225">
        <v>75.02</v>
      </c>
      <c r="G96" s="227">
        <v>0.18890000000000001</v>
      </c>
      <c r="H96" s="9">
        <f t="shared" si="0"/>
        <v>1963</v>
      </c>
      <c r="I96" s="13">
        <f t="shared" si="4"/>
        <v>9.5840000000000009E-2</v>
      </c>
      <c r="J96" s="13">
        <f t="shared" si="3"/>
        <v>6.9575000000000012E-2</v>
      </c>
      <c r="K96" s="13">
        <f t="shared" si="2"/>
        <v>0.13639999999999999</v>
      </c>
      <c r="L96" s="13">
        <f t="shared" si="1"/>
        <v>0.1593</v>
      </c>
    </row>
    <row r="97" spans="1:12" ht="15.75">
      <c r="A97" s="225">
        <v>1962</v>
      </c>
      <c r="B97" s="225">
        <v>62.32</v>
      </c>
      <c r="C97" s="225">
        <v>70.959999999999994</v>
      </c>
      <c r="D97" s="225">
        <v>71.13</v>
      </c>
      <c r="E97" s="225">
        <v>52.32</v>
      </c>
      <c r="F97" s="225">
        <v>63.1</v>
      </c>
      <c r="G97" s="228">
        <v>-0.1181</v>
      </c>
      <c r="H97" s="9">
        <f t="shared" si="0"/>
        <v>1962</v>
      </c>
      <c r="I97" s="13">
        <f t="shared" si="4"/>
        <v>3.2040000000000013E-2</v>
      </c>
      <c r="J97" s="13">
        <f t="shared" si="3"/>
        <v>7.2775000000000006E-2</v>
      </c>
      <c r="K97" s="13">
        <f t="shared" si="2"/>
        <v>6.6833333333333342E-2</v>
      </c>
      <c r="L97" s="13">
        <f t="shared" si="1"/>
        <v>3.5400000000000008E-2</v>
      </c>
    </row>
    <row r="98" spans="1:12" ht="15.75">
      <c r="A98" s="225">
        <v>1961</v>
      </c>
      <c r="B98" s="225">
        <v>66.27</v>
      </c>
      <c r="C98" s="225">
        <v>57.57</v>
      </c>
      <c r="D98" s="225">
        <v>72.64</v>
      </c>
      <c r="E98" s="225">
        <v>57.57</v>
      </c>
      <c r="F98" s="225">
        <v>71.55</v>
      </c>
      <c r="G98" s="227">
        <v>0.23130000000000001</v>
      </c>
      <c r="H98" s="9">
        <f t="shared" si="0"/>
        <v>1961</v>
      </c>
      <c r="I98" s="13">
        <f t="shared" si="4"/>
        <v>0.10447999999999999</v>
      </c>
      <c r="J98" s="13">
        <f t="shared" si="3"/>
        <v>0.10795</v>
      </c>
      <c r="K98" s="13">
        <f t="shared" si="2"/>
        <v>0.10070000000000001</v>
      </c>
      <c r="L98" s="13">
        <f t="shared" si="1"/>
        <v>5.6600000000000004E-2</v>
      </c>
    </row>
    <row r="99" spans="1:12" ht="15.75">
      <c r="A99" s="225">
        <v>1960</v>
      </c>
      <c r="B99" s="225">
        <v>55.85</v>
      </c>
      <c r="C99" s="225">
        <v>59.91</v>
      </c>
      <c r="D99" s="225">
        <v>60.39</v>
      </c>
      <c r="E99" s="225">
        <v>52.2</v>
      </c>
      <c r="F99" s="225">
        <v>58.11</v>
      </c>
      <c r="G99" s="228">
        <v>-2.9700000000000001E-2</v>
      </c>
      <c r="H99" s="9">
        <f t="shared" si="0"/>
        <v>1960</v>
      </c>
      <c r="I99" s="13">
        <f t="shared" si="4"/>
        <v>8.0420000000000005E-2</v>
      </c>
      <c r="J99" s="13">
        <f t="shared" si="3"/>
        <v>6.8100000000000008E-2</v>
      </c>
      <c r="K99" s="13">
        <f t="shared" si="2"/>
        <v>2.7833333333333335E-2</v>
      </c>
      <c r="L99" s="13">
        <f t="shared" si="1"/>
        <v>0.1008</v>
      </c>
    </row>
    <row r="100" spans="1:12" ht="15.75">
      <c r="A100" s="225">
        <v>1959</v>
      </c>
      <c r="B100" s="225">
        <v>57.42</v>
      </c>
      <c r="C100" s="225">
        <v>55.44</v>
      </c>
      <c r="D100" s="225">
        <v>60.71</v>
      </c>
      <c r="E100" s="225">
        <v>53.58</v>
      </c>
      <c r="F100" s="225">
        <v>59.89</v>
      </c>
      <c r="G100" s="227">
        <v>8.48E-2</v>
      </c>
      <c r="H100" s="9">
        <f t="shared" si="0"/>
        <v>1959</v>
      </c>
      <c r="I100" s="13">
        <f t="shared" si="4"/>
        <v>7.1440000000000003E-2</v>
      </c>
      <c r="J100" s="13">
        <f t="shared" si="3"/>
        <v>4.2075000000000001E-2</v>
      </c>
      <c r="K100" s="13">
        <f t="shared" si="2"/>
        <v>9.5466666666666658E-2</v>
      </c>
      <c r="L100" s="13">
        <f t="shared" si="1"/>
        <v>2.7549999999999998E-2</v>
      </c>
    </row>
    <row r="101" spans="1:12" ht="15.75">
      <c r="A101" s="225">
        <v>1958</v>
      </c>
      <c r="B101" s="225">
        <v>46.2</v>
      </c>
      <c r="C101" s="225">
        <v>40.33</v>
      </c>
      <c r="D101" s="225">
        <v>55.21</v>
      </c>
      <c r="E101" s="225">
        <v>40.33</v>
      </c>
      <c r="F101" s="225">
        <v>55.21</v>
      </c>
      <c r="G101" s="227">
        <v>0.38059999999999999</v>
      </c>
      <c r="H101" s="9">
        <f t="shared" si="0"/>
        <v>1958</v>
      </c>
      <c r="I101" s="13">
        <f t="shared" si="4"/>
        <v>0.10977999999999999</v>
      </c>
      <c r="J101" s="13">
        <f t="shared" si="3"/>
        <v>0.16675000000000001</v>
      </c>
      <c r="K101" s="13">
        <f t="shared" si="2"/>
        <v>0.14523333333333333</v>
      </c>
      <c r="L101" s="13">
        <f t="shared" si="1"/>
        <v>0.23269999999999999</v>
      </c>
    </row>
    <row r="102" spans="1:12" ht="15.75">
      <c r="A102" s="225">
        <v>1957</v>
      </c>
      <c r="B102" s="225">
        <v>44.42</v>
      </c>
      <c r="C102" s="225">
        <v>46.2</v>
      </c>
      <c r="D102" s="225">
        <v>49.13</v>
      </c>
      <c r="E102" s="225">
        <v>38.979999999999997</v>
      </c>
      <c r="F102" s="225">
        <v>39.99</v>
      </c>
      <c r="G102" s="228">
        <v>-0.1431</v>
      </c>
      <c r="H102" s="9">
        <f t="shared" si="0"/>
        <v>1957</v>
      </c>
      <c r="I102" s="13">
        <f t="shared" si="4"/>
        <v>0.10478000000000001</v>
      </c>
      <c r="J102" s="13">
        <f t="shared" si="3"/>
        <v>7.3149999999999993E-2</v>
      </c>
      <c r="K102" s="13">
        <f t="shared" si="2"/>
        <v>0.10743333333333333</v>
      </c>
      <c r="L102" s="13">
        <f t="shared" si="1"/>
        <v>0.11874999999999999</v>
      </c>
    </row>
    <row r="103" spans="1:12" ht="15.75">
      <c r="A103" s="225">
        <v>1956</v>
      </c>
      <c r="B103" s="225">
        <v>46.64</v>
      </c>
      <c r="C103" s="225">
        <v>45.16</v>
      </c>
      <c r="D103" s="225">
        <v>49.64</v>
      </c>
      <c r="E103" s="225">
        <v>43.11</v>
      </c>
      <c r="F103" s="225">
        <v>46.67</v>
      </c>
      <c r="G103" s="227">
        <v>2.6200000000000001E-2</v>
      </c>
      <c r="H103" s="9">
        <f t="shared" si="0"/>
        <v>1956</v>
      </c>
      <c r="I103" s="13">
        <f t="shared" si="4"/>
        <v>6.3759999999999997E-2</v>
      </c>
      <c r="J103" s="13">
        <f t="shared" si="3"/>
        <v>8.7124999999999994E-2</v>
      </c>
      <c r="K103" s="13">
        <f t="shared" si="2"/>
        <v>8.7899999999999992E-2</v>
      </c>
      <c r="L103" s="13">
        <f t="shared" si="1"/>
        <v>-5.8450000000000002E-2</v>
      </c>
    </row>
    <row r="104" spans="1:12" ht="15.75">
      <c r="A104" s="225">
        <v>1955</v>
      </c>
      <c r="B104" s="225">
        <v>40.5</v>
      </c>
      <c r="C104" s="225">
        <v>36.75</v>
      </c>
      <c r="D104" s="225">
        <v>46.41</v>
      </c>
      <c r="E104" s="225">
        <v>34.58</v>
      </c>
      <c r="F104" s="225">
        <v>45.48</v>
      </c>
      <c r="G104" s="227">
        <v>0.26400000000000001</v>
      </c>
      <c r="H104" s="9">
        <f t="shared" si="0"/>
        <v>1955</v>
      </c>
      <c r="I104" s="13">
        <f t="shared" si="4"/>
        <v>0.12250000000000001</v>
      </c>
      <c r="J104" s="13">
        <f t="shared" si="3"/>
        <v>0.13192500000000001</v>
      </c>
      <c r="K104" s="13">
        <f t="shared" si="2"/>
        <v>4.9033333333333338E-2</v>
      </c>
      <c r="L104" s="13">
        <f t="shared" si="1"/>
        <v>0.14510000000000001</v>
      </c>
    </row>
    <row r="105" spans="1:12" ht="15.75">
      <c r="A105" s="225">
        <v>1954</v>
      </c>
      <c r="B105" s="225">
        <v>29.72</v>
      </c>
      <c r="C105" s="225">
        <v>24.95</v>
      </c>
      <c r="D105" s="225">
        <v>35.979999999999997</v>
      </c>
      <c r="E105" s="225">
        <v>24.8</v>
      </c>
      <c r="F105" s="225">
        <v>35.979999999999997</v>
      </c>
      <c r="G105" s="227">
        <v>0.45019999999999999</v>
      </c>
      <c r="H105" s="9">
        <f t="shared" si="0"/>
        <v>1954</v>
      </c>
      <c r="I105" s="13">
        <f t="shared" si="4"/>
        <v>0.19558</v>
      </c>
      <c r="J105" s="13">
        <f t="shared" si="3"/>
        <v>0.14932499999999999</v>
      </c>
      <c r="K105" s="13">
        <f t="shared" si="2"/>
        <v>0.24679999999999999</v>
      </c>
      <c r="L105" s="13">
        <f t="shared" si="1"/>
        <v>0.35709999999999997</v>
      </c>
    </row>
    <row r="106" spans="1:12" ht="15.75">
      <c r="A106" s="225">
        <v>1953</v>
      </c>
      <c r="B106" s="225">
        <v>24.72</v>
      </c>
      <c r="C106" s="225">
        <v>26.54</v>
      </c>
      <c r="D106" s="225">
        <v>26.66</v>
      </c>
      <c r="E106" s="225">
        <v>22.71</v>
      </c>
      <c r="F106" s="225">
        <v>24.81</v>
      </c>
      <c r="G106" s="228">
        <v>-6.6199999999999995E-2</v>
      </c>
      <c r="H106" s="9">
        <f t="shared" si="0"/>
        <v>1953</v>
      </c>
      <c r="I106" s="13">
        <f t="shared" si="4"/>
        <v>0.10621999999999998</v>
      </c>
      <c r="J106" s="13">
        <f t="shared" si="3"/>
        <v>0.16854999999999998</v>
      </c>
      <c r="K106" s="13">
        <f t="shared" si="2"/>
        <v>0.21599999999999997</v>
      </c>
      <c r="L106" s="13">
        <f t="shared" si="1"/>
        <v>0.192</v>
      </c>
    </row>
    <row r="107" spans="1:12" ht="15.75">
      <c r="A107" s="225">
        <v>1952</v>
      </c>
      <c r="B107" s="225">
        <v>24.45</v>
      </c>
      <c r="C107" s="225">
        <v>23.8</v>
      </c>
      <c r="D107" s="225">
        <v>26.59</v>
      </c>
      <c r="E107" s="225">
        <v>23.09</v>
      </c>
      <c r="F107" s="225">
        <v>26.57</v>
      </c>
      <c r="G107" s="227">
        <v>0.1178</v>
      </c>
      <c r="H107" s="9">
        <f t="shared" si="0"/>
        <v>1952</v>
      </c>
      <c r="I107" s="13">
        <f t="shared" si="4"/>
        <v>0.15839999999999999</v>
      </c>
      <c r="J107" s="13">
        <f t="shared" si="3"/>
        <v>0.19144999999999998</v>
      </c>
      <c r="K107" s="13">
        <f t="shared" si="2"/>
        <v>0.16726666666666667</v>
      </c>
      <c r="L107" s="13">
        <f t="shared" si="1"/>
        <v>2.5800000000000003E-2</v>
      </c>
    </row>
    <row r="108" spans="1:12" ht="15.75">
      <c r="A108" s="225">
        <v>1951</v>
      </c>
      <c r="B108" s="225">
        <v>22.32</v>
      </c>
      <c r="C108" s="225">
        <v>20.77</v>
      </c>
      <c r="D108" s="225">
        <v>23.85</v>
      </c>
      <c r="E108" s="225">
        <v>20.69</v>
      </c>
      <c r="F108" s="225">
        <v>23.77</v>
      </c>
      <c r="G108" s="227">
        <v>0.1646</v>
      </c>
      <c r="H108" s="9">
        <f t="shared" si="0"/>
        <v>1951</v>
      </c>
      <c r="I108" s="13">
        <f t="shared" si="4"/>
        <v>0.18607999999999997</v>
      </c>
      <c r="J108" s="13">
        <f t="shared" si="3"/>
        <v>0.1666</v>
      </c>
      <c r="K108" s="13">
        <f t="shared" si="2"/>
        <v>7.2066666666666668E-2</v>
      </c>
      <c r="L108" s="13">
        <f t="shared" si="1"/>
        <v>0.14119999999999999</v>
      </c>
    </row>
    <row r="109" spans="1:12" ht="15.75">
      <c r="A109" s="225">
        <v>1950</v>
      </c>
      <c r="B109" s="225">
        <v>18.39</v>
      </c>
      <c r="C109" s="225">
        <v>16.66</v>
      </c>
      <c r="D109" s="225">
        <v>20.43</v>
      </c>
      <c r="E109" s="225">
        <v>16.649999999999999</v>
      </c>
      <c r="F109" s="225">
        <v>20.41</v>
      </c>
      <c r="G109" s="227">
        <v>0.21779999999999999</v>
      </c>
      <c r="H109" s="9">
        <f t="shared" si="0"/>
        <v>1950</v>
      </c>
      <c r="I109" s="13">
        <f t="shared" si="4"/>
        <v>0.17684</v>
      </c>
      <c r="J109" s="13">
        <f t="shared" si="3"/>
        <v>0.1085</v>
      </c>
      <c r="K109" s="13">
        <f t="shared" si="2"/>
        <v>0.16673333333333332</v>
      </c>
      <c r="L109" s="13">
        <f t="shared" si="1"/>
        <v>0.19119999999999998</v>
      </c>
    </row>
    <row r="110" spans="1:12" ht="15.75">
      <c r="A110" s="225">
        <v>1949</v>
      </c>
      <c r="B110" s="225">
        <v>15.24</v>
      </c>
      <c r="C110" s="225">
        <v>14.95</v>
      </c>
      <c r="D110" s="225">
        <v>16.79</v>
      </c>
      <c r="E110" s="225">
        <v>13.55</v>
      </c>
      <c r="F110" s="225">
        <v>16.760000000000002</v>
      </c>
      <c r="G110" s="227">
        <v>0.1026</v>
      </c>
      <c r="H110" s="9">
        <f t="shared" si="0"/>
        <v>1949</v>
      </c>
      <c r="I110" s="13">
        <f t="shared" si="4"/>
        <v>0.10732</v>
      </c>
      <c r="J110" s="13">
        <f t="shared" si="3"/>
        <v>0.1507</v>
      </c>
      <c r="K110" s="13">
        <f t="shared" si="2"/>
        <v>0.16166666666666665</v>
      </c>
      <c r="L110" s="13">
        <f t="shared" si="1"/>
        <v>0.16020000000000001</v>
      </c>
    </row>
    <row r="111" spans="1:12" ht="15.75">
      <c r="A111" s="225">
        <v>1948</v>
      </c>
      <c r="B111" s="225">
        <v>15.51</v>
      </c>
      <c r="C111" s="225">
        <v>15.34</v>
      </c>
      <c r="D111" s="225">
        <v>17.059999999999999</v>
      </c>
      <c r="E111" s="225">
        <v>13.84</v>
      </c>
      <c r="F111" s="225">
        <v>15.2</v>
      </c>
      <c r="G111" s="228">
        <v>-6.4999999999999997E-3</v>
      </c>
      <c r="H111" s="9">
        <f t="shared" si="0"/>
        <v>1948</v>
      </c>
      <c r="I111" s="13">
        <f t="shared" si="4"/>
        <v>0.11926</v>
      </c>
      <c r="J111" s="13">
        <f t="shared" si="3"/>
        <v>0.119625</v>
      </c>
      <c r="K111" s="13">
        <f t="shared" si="2"/>
        <v>0.10463333333333334</v>
      </c>
      <c r="L111" s="13">
        <f t="shared" si="1"/>
        <v>4.8049999999999995E-2</v>
      </c>
    </row>
    <row r="112" spans="1:12" ht="15.75">
      <c r="A112" s="225">
        <v>1947</v>
      </c>
      <c r="B112" s="225">
        <v>15.15</v>
      </c>
      <c r="C112" s="225">
        <v>15.2</v>
      </c>
      <c r="D112" s="225">
        <v>16.2</v>
      </c>
      <c r="E112" s="225">
        <v>13.71</v>
      </c>
      <c r="F112" s="225">
        <v>15.3</v>
      </c>
      <c r="G112" s="228">
        <v>0</v>
      </c>
      <c r="H112" s="9">
        <f t="shared" si="0"/>
        <v>1947</v>
      </c>
      <c r="I112" s="13">
        <f t="shared" si="4"/>
        <v>9.5699999999999993E-2</v>
      </c>
      <c r="J112" s="13">
        <f t="shared" si="3"/>
        <v>7.8475000000000003E-2</v>
      </c>
      <c r="K112" s="13">
        <f t="shared" si="2"/>
        <v>3.203333333333333E-2</v>
      </c>
      <c r="L112" s="13">
        <f t="shared" si="1"/>
        <v>-3.2499999999999999E-3</v>
      </c>
    </row>
    <row r="113" spans="1:12" ht="15.75">
      <c r="A113" s="225">
        <v>1946</v>
      </c>
      <c r="B113" s="225">
        <v>17.07</v>
      </c>
      <c r="C113" s="225">
        <v>17.25</v>
      </c>
      <c r="D113" s="225">
        <v>19.25</v>
      </c>
      <c r="E113" s="225">
        <v>14.12</v>
      </c>
      <c r="F113" s="225">
        <v>15.3</v>
      </c>
      <c r="G113" s="228">
        <v>-0.1187</v>
      </c>
      <c r="H113" s="9">
        <f t="shared" si="0"/>
        <v>1946</v>
      </c>
      <c r="I113" s="13">
        <f t="shared" si="4"/>
        <v>3.9040000000000005E-2</v>
      </c>
      <c r="J113" s="13">
        <f t="shared" si="3"/>
        <v>-5.6500000000000022E-3</v>
      </c>
      <c r="K113" s="13">
        <f t="shared" si="2"/>
        <v>-4.1733333333333338E-2</v>
      </c>
      <c r="L113" s="13">
        <f t="shared" si="1"/>
        <v>-5.935E-2</v>
      </c>
    </row>
    <row r="114" spans="1:12" ht="15.75">
      <c r="A114" s="225">
        <v>1945</v>
      </c>
      <c r="B114" s="225">
        <v>15.14</v>
      </c>
      <c r="C114" s="225">
        <v>13.33</v>
      </c>
      <c r="D114" s="225">
        <v>17.68</v>
      </c>
      <c r="E114" s="225">
        <v>13.21</v>
      </c>
      <c r="F114" s="225">
        <v>17.36</v>
      </c>
      <c r="G114" s="227">
        <v>0.30719999999999997</v>
      </c>
      <c r="H114" s="9">
        <f t="shared" si="0"/>
        <v>1945</v>
      </c>
      <c r="I114" s="13">
        <f t="shared" si="4"/>
        <v>5.6919999999999991E-2</v>
      </c>
      <c r="J114" s="13">
        <f t="shared" si="3"/>
        <v>4.5499999999999992E-2</v>
      </c>
      <c r="K114" s="13">
        <f t="shared" si="2"/>
        <v>6.2833333333333324E-2</v>
      </c>
      <c r="L114" s="13">
        <f t="shared" si="1"/>
        <v>9.4249999999999987E-2</v>
      </c>
    </row>
    <row r="115" spans="1:12" ht="15.75">
      <c r="A115" s="225">
        <v>1944</v>
      </c>
      <c r="B115" s="225">
        <v>12.47</v>
      </c>
      <c r="C115" s="225">
        <v>11.66</v>
      </c>
      <c r="D115" s="225">
        <v>13.29</v>
      </c>
      <c r="E115" s="225">
        <v>11.56</v>
      </c>
      <c r="F115" s="225">
        <v>13.28</v>
      </c>
      <c r="G115" s="227">
        <v>0.13800000000000001</v>
      </c>
      <c r="H115" s="9">
        <f t="shared" si="0"/>
        <v>1944</v>
      </c>
      <c r="I115" s="13">
        <f t="shared" si="4"/>
        <v>6.3999999999999987E-2</v>
      </c>
      <c r="J115" s="13">
        <f t="shared" si="3"/>
        <v>8.1625000000000003E-2</v>
      </c>
      <c r="K115" s="13">
        <f t="shared" si="2"/>
        <v>0.10883333333333334</v>
      </c>
      <c r="L115" s="13">
        <f t="shared" si="1"/>
        <v>0.22259999999999999</v>
      </c>
    </row>
    <row r="116" spans="1:12" ht="15.75">
      <c r="A116" s="225">
        <v>1943</v>
      </c>
      <c r="B116" s="225">
        <v>11.52</v>
      </c>
      <c r="C116" s="225">
        <v>9.84</v>
      </c>
      <c r="D116" s="225">
        <v>12.64</v>
      </c>
      <c r="E116" s="225">
        <v>9.84</v>
      </c>
      <c r="F116" s="225">
        <v>11.67</v>
      </c>
      <c r="G116" s="227">
        <v>0.19450000000000001</v>
      </c>
      <c r="H116" s="9">
        <f t="shared" si="0"/>
        <v>1943</v>
      </c>
      <c r="I116" s="13">
        <f t="shared" si="4"/>
        <v>0.1042</v>
      </c>
      <c r="J116" s="13">
        <f t="shared" si="3"/>
        <v>0.13025</v>
      </c>
      <c r="K116" s="13">
        <f t="shared" si="2"/>
        <v>0.2132333333333333</v>
      </c>
      <c r="L116" s="13">
        <f t="shared" si="1"/>
        <v>0.16625000000000001</v>
      </c>
    </row>
    <row r="117" spans="1:12" ht="15.75">
      <c r="A117" s="225">
        <v>1942</v>
      </c>
      <c r="B117" s="225">
        <v>8.67</v>
      </c>
      <c r="C117" s="225">
        <v>8.89</v>
      </c>
      <c r="D117" s="225">
        <v>9.77</v>
      </c>
      <c r="E117" s="225">
        <v>7.47</v>
      </c>
      <c r="F117" s="225">
        <v>9.77</v>
      </c>
      <c r="G117" s="227">
        <v>0.12429999999999999</v>
      </c>
      <c r="H117" s="9">
        <f t="shared" si="0"/>
        <v>1942</v>
      </c>
      <c r="I117" s="13">
        <f t="shared" si="4"/>
        <v>0.12906000000000001</v>
      </c>
      <c r="J117" s="13">
        <f t="shared" si="3"/>
        <v>0.19099999999999998</v>
      </c>
      <c r="K117" s="13">
        <f t="shared" si="2"/>
        <v>0.15226666666666666</v>
      </c>
      <c r="L117" s="13">
        <f t="shared" si="1"/>
        <v>0.15939999999999999</v>
      </c>
    </row>
    <row r="118" spans="1:12" ht="15.75">
      <c r="A118" s="225">
        <v>1941</v>
      </c>
      <c r="B118" s="225">
        <v>9.83</v>
      </c>
      <c r="C118" s="225">
        <v>10.48</v>
      </c>
      <c r="D118" s="225">
        <v>10.86</v>
      </c>
      <c r="E118" s="225">
        <v>8.3699999999999992</v>
      </c>
      <c r="F118" s="225">
        <v>8.69</v>
      </c>
      <c r="G118" s="228">
        <v>-0.17860000000000001</v>
      </c>
      <c r="H118" s="9">
        <f t="shared" si="0"/>
        <v>1941</v>
      </c>
      <c r="I118" s="13">
        <f t="shared" si="4"/>
        <v>0.11707999999999999</v>
      </c>
      <c r="J118" s="13">
        <f t="shared" si="3"/>
        <v>6.9550000000000001E-2</v>
      </c>
      <c r="K118" s="13">
        <f t="shared" si="2"/>
        <v>4.6733333333333321E-2</v>
      </c>
      <c r="L118" s="13">
        <f t="shared" si="1"/>
        <v>-2.7150000000000007E-2</v>
      </c>
    </row>
    <row r="119" spans="1:12" ht="15.75">
      <c r="A119" s="225">
        <v>1940</v>
      </c>
      <c r="B119" s="225">
        <v>11.01</v>
      </c>
      <c r="C119" s="225">
        <v>12.63</v>
      </c>
      <c r="D119" s="225">
        <v>12.77</v>
      </c>
      <c r="E119" s="225">
        <v>8.99</v>
      </c>
      <c r="F119" s="225">
        <v>10.58</v>
      </c>
      <c r="G119" s="228">
        <v>-0.15290000000000001</v>
      </c>
      <c r="H119" s="9">
        <f t="shared" si="0"/>
        <v>1940</v>
      </c>
      <c r="I119" s="13">
        <f t="shared" si="4"/>
        <v>2.5059999999999999E-2</v>
      </c>
      <c r="J119" s="13">
        <f t="shared" si="3"/>
        <v>-3.1750000000000111E-3</v>
      </c>
      <c r="K119" s="13">
        <f t="shared" si="2"/>
        <v>-6.9066666666666679E-2</v>
      </c>
      <c r="L119" s="13">
        <f t="shared" si="1"/>
        <v>-0.16575000000000001</v>
      </c>
    </row>
    <row r="120" spans="1:12" ht="15.75">
      <c r="A120" s="225">
        <v>1939</v>
      </c>
      <c r="B120" s="225">
        <v>12.05</v>
      </c>
      <c r="C120" s="225">
        <v>13.08</v>
      </c>
      <c r="D120" s="225">
        <v>13.23</v>
      </c>
      <c r="E120" s="225">
        <v>10.18</v>
      </c>
      <c r="F120" s="225">
        <v>12.49</v>
      </c>
      <c r="G120" s="228">
        <v>-5.45E-2</v>
      </c>
      <c r="H120" s="9">
        <f t="shared" si="0"/>
        <v>1939</v>
      </c>
      <c r="I120" s="13">
        <f t="shared" si="4"/>
        <v>-1.3440000000000007E-2</v>
      </c>
      <c r="J120" s="13">
        <f t="shared" si="3"/>
        <v>-6.5425000000000011E-2</v>
      </c>
      <c r="K120" s="13">
        <f t="shared" si="2"/>
        <v>-0.12866666666666668</v>
      </c>
      <c r="L120" s="13">
        <f t="shared" si="1"/>
        <v>-0.1037</v>
      </c>
    </row>
    <row r="121" spans="1:12" ht="15.75">
      <c r="A121" s="225">
        <v>1938</v>
      </c>
      <c r="B121" s="225">
        <v>11.48</v>
      </c>
      <c r="C121" s="225">
        <v>10.52</v>
      </c>
      <c r="D121" s="225">
        <v>13.91</v>
      </c>
      <c r="E121" s="225">
        <v>8.5</v>
      </c>
      <c r="F121" s="225">
        <v>13.21</v>
      </c>
      <c r="G121" s="227">
        <v>0.25209999999999999</v>
      </c>
      <c r="H121" s="9">
        <f t="shared" si="0"/>
        <v>1938</v>
      </c>
      <c r="I121" s="13">
        <f t="shared" si="4"/>
        <v>-1.9200000000000107E-3</v>
      </c>
      <c r="J121" s="13">
        <f t="shared" si="3"/>
        <v>-3.3475000000000005E-2</v>
      </c>
      <c r="K121" s="13">
        <f t="shared" si="2"/>
        <v>1.4899999999999997E-2</v>
      </c>
      <c r="L121" s="13">
        <f t="shared" si="1"/>
        <v>9.8799999999999999E-2</v>
      </c>
    </row>
    <row r="122" spans="1:12" ht="15.75">
      <c r="A122" s="225">
        <v>1937</v>
      </c>
      <c r="B122" s="225">
        <v>15.41</v>
      </c>
      <c r="C122" s="225">
        <v>17.02</v>
      </c>
      <c r="D122" s="225">
        <v>18.68</v>
      </c>
      <c r="E122" s="225">
        <v>10.17</v>
      </c>
      <c r="F122" s="225">
        <v>10.55</v>
      </c>
      <c r="G122" s="228">
        <v>-0.38590000000000002</v>
      </c>
      <c r="H122" s="9">
        <f t="shared" si="0"/>
        <v>1937</v>
      </c>
      <c r="I122" s="13">
        <f t="shared" si="4"/>
        <v>-0.10396000000000001</v>
      </c>
      <c r="J122" s="13">
        <f t="shared" si="3"/>
        <v>-8.5300000000000015E-2</v>
      </c>
      <c r="K122" s="13">
        <f t="shared" si="2"/>
        <v>-6.2766666666666679E-2</v>
      </c>
      <c r="L122" s="13">
        <f t="shared" si="1"/>
        <v>-6.6900000000000015E-2</v>
      </c>
    </row>
    <row r="123" spans="1:12" ht="15.75">
      <c r="A123" s="225">
        <v>1936</v>
      </c>
      <c r="B123" s="225">
        <v>15.45</v>
      </c>
      <c r="C123" s="225">
        <v>13.4</v>
      </c>
      <c r="D123" s="225">
        <v>17.690000000000001</v>
      </c>
      <c r="E123" s="225">
        <v>13.4</v>
      </c>
      <c r="F123" s="225">
        <v>17.18</v>
      </c>
      <c r="G123" s="227">
        <v>0.2792</v>
      </c>
      <c r="H123" s="9">
        <f t="shared" si="0"/>
        <v>1936</v>
      </c>
      <c r="I123" s="13">
        <f t="shared" si="4"/>
        <v>-1.2400000000000012E-2</v>
      </c>
      <c r="J123" s="13">
        <f t="shared" si="3"/>
        <v>2.2724999999999995E-2</v>
      </c>
      <c r="K123" s="13">
        <f t="shared" si="2"/>
        <v>4.8466666666666658E-2</v>
      </c>
      <c r="L123" s="13">
        <f t="shared" si="1"/>
        <v>-5.3350000000000009E-2</v>
      </c>
    </row>
    <row r="124" spans="1:12" ht="15.75">
      <c r="A124" s="225">
        <v>1935</v>
      </c>
      <c r="B124" s="225">
        <v>10.58</v>
      </c>
      <c r="C124" s="225">
        <v>9.51</v>
      </c>
      <c r="D124" s="225">
        <v>13.46</v>
      </c>
      <c r="E124" s="225">
        <v>8.06</v>
      </c>
      <c r="F124" s="225">
        <v>13.43</v>
      </c>
      <c r="G124" s="227">
        <v>0.41370000000000001</v>
      </c>
      <c r="H124" s="9">
        <f t="shared" si="0"/>
        <v>1935</v>
      </c>
      <c r="I124" s="13">
        <f t="shared" si="4"/>
        <v>0.10091999999999998</v>
      </c>
      <c r="J124" s="13">
        <f t="shared" si="3"/>
        <v>0.13977499999999998</v>
      </c>
      <c r="K124" s="13">
        <f t="shared" si="2"/>
        <v>0.10233333333333333</v>
      </c>
      <c r="L124" s="13">
        <f t="shared" si="1"/>
        <v>0.34645000000000004</v>
      </c>
    </row>
    <row r="125" spans="1:12" ht="15.75">
      <c r="A125" s="225">
        <v>1934</v>
      </c>
      <c r="B125" s="225">
        <v>9.83</v>
      </c>
      <c r="C125" s="225">
        <v>10.11</v>
      </c>
      <c r="D125" s="225">
        <v>11.82</v>
      </c>
      <c r="E125" s="225">
        <v>8.36</v>
      </c>
      <c r="F125" s="225">
        <v>9.5</v>
      </c>
      <c r="G125" s="228">
        <v>-5.9400000000000001E-2</v>
      </c>
      <c r="H125" s="9">
        <f t="shared" si="0"/>
        <v>1934</v>
      </c>
      <c r="I125" s="13">
        <f t="shared" si="4"/>
        <v>9.9939999999999987E-2</v>
      </c>
      <c r="J125" s="13">
        <f t="shared" si="3"/>
        <v>6.1899999999999997E-2</v>
      </c>
      <c r="K125" s="13">
        <f t="shared" si="2"/>
        <v>0.2111666666666667</v>
      </c>
      <c r="L125" s="13">
        <f t="shared" si="1"/>
        <v>0.17715</v>
      </c>
    </row>
    <row r="126" spans="1:12" ht="15.75">
      <c r="A126" s="225">
        <v>1933</v>
      </c>
      <c r="B126" s="225">
        <v>9.0399999999999991</v>
      </c>
      <c r="C126" s="225">
        <v>6.83</v>
      </c>
      <c r="D126" s="225">
        <v>12.2</v>
      </c>
      <c r="E126" s="225">
        <v>5.53</v>
      </c>
      <c r="F126" s="225">
        <v>10.1</v>
      </c>
      <c r="G126" s="227">
        <v>0.46589999999999998</v>
      </c>
      <c r="H126" s="9">
        <f t="shared" si="0"/>
        <v>1933</v>
      </c>
      <c r="I126" s="13">
        <f t="shared" si="4"/>
        <v>0.14269999999999999</v>
      </c>
      <c r="J126" s="13">
        <f t="shared" si="3"/>
        <v>0.27485000000000004</v>
      </c>
      <c r="K126" s="13">
        <f t="shared" si="2"/>
        <v>0.27340000000000003</v>
      </c>
      <c r="L126" s="13">
        <f t="shared" si="1"/>
        <v>0.20324999999999999</v>
      </c>
    </row>
    <row r="127" spans="1:12" ht="15.75">
      <c r="A127" s="225"/>
      <c r="B127" s="225"/>
      <c r="C127" s="225"/>
      <c r="D127" s="225"/>
      <c r="E127" s="225"/>
      <c r="F127" s="225"/>
      <c r="G127" s="228"/>
    </row>
    <row r="128" spans="1:12" ht="15.75">
      <c r="A128" s="225"/>
      <c r="B128" s="225"/>
      <c r="C128" s="225"/>
      <c r="D128" s="225"/>
      <c r="E128" s="225"/>
      <c r="F128" s="225"/>
      <c r="G128" s="228"/>
    </row>
    <row r="129" spans="1:8" ht="15.75">
      <c r="A129" s="225"/>
      <c r="B129" s="225"/>
      <c r="C129" s="225"/>
      <c r="D129" s="225"/>
      <c r="E129" s="225"/>
      <c r="F129" s="225"/>
      <c r="G129" s="228"/>
    </row>
    <row r="130" spans="1:8" ht="15.75">
      <c r="A130" s="225"/>
      <c r="B130" s="225"/>
      <c r="C130" s="225"/>
      <c r="D130" s="225"/>
      <c r="E130" s="225"/>
      <c r="F130" s="225"/>
      <c r="G130" s="228"/>
    </row>
    <row r="131" spans="1:8" ht="15.75">
      <c r="A131" s="225"/>
      <c r="B131" s="225"/>
      <c r="C131" s="225"/>
      <c r="D131" s="225"/>
      <c r="E131" s="225"/>
      <c r="F131" s="225"/>
      <c r="G131" s="227"/>
    </row>
    <row r="134" spans="1:8" ht="25.5">
      <c r="G134" s="13">
        <f>AVERAGE(G36:G126)</f>
        <v>9.0029670329670339E-2</v>
      </c>
      <c r="H134" s="9" t="s">
        <v>659</v>
      </c>
    </row>
    <row r="168" spans="1:5">
      <c r="B168" s="9" t="s">
        <v>885</v>
      </c>
      <c r="D168" s="9" t="s">
        <v>885</v>
      </c>
      <c r="E168" s="9" t="s">
        <v>886</v>
      </c>
    </row>
    <row r="169" spans="1:5" ht="25.5">
      <c r="B169" s="9" t="s">
        <v>887</v>
      </c>
      <c r="D169" s="9" t="s">
        <v>888</v>
      </c>
    </row>
    <row r="170" spans="1:5">
      <c r="B170" s="16">
        <v>1891</v>
      </c>
      <c r="D170" s="16">
        <v>26411</v>
      </c>
      <c r="E170" s="16">
        <v>45900</v>
      </c>
    </row>
    <row r="171" spans="1:5">
      <c r="B171" s="16">
        <v>1965</v>
      </c>
      <c r="D171" s="16">
        <v>7671</v>
      </c>
      <c r="E171" s="16"/>
    </row>
    <row r="172" spans="1:5">
      <c r="B172" s="16">
        <v>1903</v>
      </c>
      <c r="D172" s="16">
        <f>D170+D171</f>
        <v>34082</v>
      </c>
      <c r="E172" s="16"/>
    </row>
    <row r="173" spans="1:5">
      <c r="B173" s="16">
        <v>1912</v>
      </c>
    </row>
    <row r="174" spans="1:5">
      <c r="B174" s="34">
        <f>SUM(B170:B173)</f>
        <v>7671</v>
      </c>
    </row>
    <row r="176" spans="1:5" ht="12.75" customHeight="1">
      <c r="A176" s="229"/>
    </row>
    <row r="177" spans="1:11" ht="14.25">
      <c r="A177" s="230"/>
    </row>
    <row r="178" spans="1:11" ht="12.75" customHeight="1">
      <c r="A178" s="231"/>
    </row>
    <row r="179" spans="1:11" ht="12.75" customHeight="1">
      <c r="A179" s="231"/>
    </row>
    <row r="180" spans="1:11">
      <c r="A180" s="232"/>
    </row>
    <row r="181" spans="1:11">
      <c r="A181" s="232"/>
    </row>
    <row r="182" spans="1:11" ht="22.5">
      <c r="A182" s="233"/>
      <c r="B182" s="233" t="s">
        <v>889</v>
      </c>
      <c r="C182" s="233" t="s">
        <v>890</v>
      </c>
      <c r="D182" s="233" t="s">
        <v>891</v>
      </c>
      <c r="E182" s="234" t="s">
        <v>892</v>
      </c>
      <c r="F182" s="235" t="s">
        <v>893</v>
      </c>
    </row>
    <row r="183" spans="1:11">
      <c r="A183" s="236"/>
      <c r="B183" s="237">
        <v>45286</v>
      </c>
      <c r="C183" s="238" t="s">
        <v>894</v>
      </c>
      <c r="D183" s="238" t="s">
        <v>473</v>
      </c>
      <c r="E183" s="239" t="s">
        <v>895</v>
      </c>
      <c r="F183" s="240">
        <v>248.81</v>
      </c>
    </row>
    <row r="184" spans="1:11">
      <c r="A184" s="236"/>
      <c r="B184" s="237">
        <v>45286</v>
      </c>
      <c r="C184" s="238" t="s">
        <v>894</v>
      </c>
      <c r="D184" s="238" t="s">
        <v>896</v>
      </c>
      <c r="E184" s="239" t="s">
        <v>897</v>
      </c>
      <c r="F184" s="241">
        <v>-46.65</v>
      </c>
    </row>
    <row r="185" spans="1:11">
      <c r="A185" s="236"/>
      <c r="B185" s="237">
        <v>45282</v>
      </c>
      <c r="C185" s="238" t="s">
        <v>894</v>
      </c>
      <c r="D185" s="238" t="s">
        <v>898</v>
      </c>
      <c r="E185" s="239" t="s">
        <v>895</v>
      </c>
      <c r="F185" s="240">
        <v>46.65</v>
      </c>
    </row>
    <row r="186" spans="1:11">
      <c r="A186" s="236"/>
      <c r="B186" s="237">
        <v>45282</v>
      </c>
      <c r="C186" s="238" t="s">
        <v>894</v>
      </c>
      <c r="D186" s="238" t="s">
        <v>896</v>
      </c>
      <c r="E186" s="239" t="s">
        <v>897</v>
      </c>
      <c r="F186" s="241">
        <v>-138.4</v>
      </c>
    </row>
    <row r="187" spans="1:11">
      <c r="A187" s="236"/>
      <c r="B187" s="237">
        <v>45281</v>
      </c>
      <c r="C187" s="238" t="s">
        <v>894</v>
      </c>
      <c r="D187" s="238" t="s">
        <v>899</v>
      </c>
      <c r="E187" s="239" t="s">
        <v>895</v>
      </c>
      <c r="F187" s="240">
        <v>138.4</v>
      </c>
    </row>
    <row r="188" spans="1:11">
      <c r="A188" s="236"/>
      <c r="B188" s="237">
        <v>45278</v>
      </c>
      <c r="C188" s="238" t="s">
        <v>894</v>
      </c>
      <c r="D188" s="238" t="s">
        <v>900</v>
      </c>
      <c r="E188" s="239" t="s">
        <v>901</v>
      </c>
      <c r="F188" s="241">
        <v>-449.28</v>
      </c>
    </row>
    <row r="189" spans="1:11">
      <c r="A189" s="236"/>
      <c r="B189" s="237">
        <v>45278</v>
      </c>
      <c r="C189" s="238" t="s">
        <v>894</v>
      </c>
      <c r="D189" s="238" t="s">
        <v>900</v>
      </c>
      <c r="E189" s="239" t="s">
        <v>895</v>
      </c>
      <c r="F189" s="240">
        <v>449.28</v>
      </c>
    </row>
    <row r="190" spans="1:11">
      <c r="A190" s="236"/>
      <c r="B190" s="237">
        <v>45278</v>
      </c>
      <c r="C190" s="238" t="s">
        <v>894</v>
      </c>
      <c r="D190" s="238" t="s">
        <v>902</v>
      </c>
      <c r="E190" s="239" t="s">
        <v>903</v>
      </c>
      <c r="F190" s="242">
        <v>-1513.24</v>
      </c>
    </row>
    <row r="191" spans="1:11">
      <c r="A191" s="236"/>
      <c r="B191" s="237">
        <v>45278</v>
      </c>
      <c r="C191" s="238" t="s">
        <v>894</v>
      </c>
      <c r="D191" s="238" t="s">
        <v>902</v>
      </c>
      <c r="E191" s="239" t="s">
        <v>903</v>
      </c>
      <c r="F191" s="241">
        <v>-112.01</v>
      </c>
      <c r="I191" s="9" t="s">
        <v>904</v>
      </c>
      <c r="J191" s="9">
        <v>206400</v>
      </c>
    </row>
    <row r="192" spans="1:11">
      <c r="A192" s="236"/>
      <c r="B192" s="237">
        <v>45278</v>
      </c>
      <c r="C192" s="238" t="s">
        <v>894</v>
      </c>
      <c r="D192" s="238" t="s">
        <v>902</v>
      </c>
      <c r="E192" s="239" t="s">
        <v>903</v>
      </c>
      <c r="F192" s="241">
        <v>-170.13</v>
      </c>
      <c r="I192" s="9" t="s">
        <v>905</v>
      </c>
      <c r="J192" s="9">
        <v>185760</v>
      </c>
      <c r="K192" s="9">
        <f>J191-J192</f>
        <v>20640</v>
      </c>
    </row>
    <row r="193" spans="1:19">
      <c r="A193" s="236"/>
      <c r="B193" s="237">
        <v>45278</v>
      </c>
      <c r="C193" s="238" t="s">
        <v>894</v>
      </c>
      <c r="D193" s="238" t="s">
        <v>902</v>
      </c>
      <c r="E193" s="239" t="s">
        <v>906</v>
      </c>
      <c r="F193" s="240">
        <v>112.01</v>
      </c>
      <c r="I193" s="9" t="s">
        <v>907</v>
      </c>
      <c r="J193" s="9">
        <v>149640</v>
      </c>
      <c r="K193" s="9">
        <f>J191-J193</f>
        <v>56760</v>
      </c>
    </row>
    <row r="194" spans="1:19">
      <c r="A194" s="236"/>
      <c r="B194" s="237">
        <v>45278</v>
      </c>
      <c r="C194" s="238" t="s">
        <v>894</v>
      </c>
      <c r="D194" s="238" t="s">
        <v>902</v>
      </c>
      <c r="E194" s="239" t="s">
        <v>895</v>
      </c>
      <c r="F194" s="240">
        <v>170.13</v>
      </c>
      <c r="I194" s="9" t="s">
        <v>99</v>
      </c>
      <c r="J194" s="9">
        <v>1575</v>
      </c>
      <c r="K194" s="9">
        <f>J194*12</f>
        <v>18900</v>
      </c>
    </row>
    <row r="195" spans="1:19">
      <c r="A195" s="236"/>
      <c r="B195" s="237">
        <v>45278</v>
      </c>
      <c r="C195" s="238" t="s">
        <v>894</v>
      </c>
      <c r="D195" s="238" t="s">
        <v>902</v>
      </c>
      <c r="E195" s="239" t="s">
        <v>908</v>
      </c>
      <c r="F195" s="243">
        <v>1513.24</v>
      </c>
    </row>
    <row r="196" spans="1:19">
      <c r="A196" s="236"/>
      <c r="B196" s="237">
        <v>45278</v>
      </c>
      <c r="C196" s="238" t="s">
        <v>894</v>
      </c>
      <c r="D196" s="238" t="s">
        <v>896</v>
      </c>
      <c r="E196" s="239" t="s">
        <v>897</v>
      </c>
      <c r="F196" s="241">
        <v>-295.02</v>
      </c>
    </row>
    <row r="197" spans="1:19">
      <c r="A197" s="236"/>
      <c r="B197" s="237">
        <v>45275</v>
      </c>
      <c r="C197" s="238" t="s">
        <v>894</v>
      </c>
      <c r="D197" s="238" t="s">
        <v>909</v>
      </c>
      <c r="E197" s="239" t="s">
        <v>895</v>
      </c>
      <c r="F197" s="240">
        <v>10.56</v>
      </c>
      <c r="I197" s="22" t="s">
        <v>910</v>
      </c>
      <c r="J197" s="9">
        <v>290250</v>
      </c>
      <c r="L197" s="9" t="s">
        <v>61</v>
      </c>
      <c r="M197" s="9" t="s">
        <v>911</v>
      </c>
    </row>
    <row r="198" spans="1:19">
      <c r="A198" s="236"/>
      <c r="B198" s="237">
        <v>45275</v>
      </c>
      <c r="C198" s="238" t="s">
        <v>894</v>
      </c>
      <c r="D198" s="238" t="s">
        <v>912</v>
      </c>
      <c r="E198" s="239" t="s">
        <v>895</v>
      </c>
      <c r="F198" s="240">
        <v>147.84</v>
      </c>
      <c r="I198" s="9" t="s">
        <v>913</v>
      </c>
      <c r="J198" s="9">
        <f>J192</f>
        <v>185760</v>
      </c>
      <c r="K198" s="9">
        <f>J197-J198</f>
        <v>104490</v>
      </c>
      <c r="L198" s="9">
        <f>J191+K198</f>
        <v>310890</v>
      </c>
      <c r="M198" s="9">
        <f>L198-J197</f>
        <v>20640</v>
      </c>
    </row>
    <row r="199" spans="1:19">
      <c r="A199" s="236"/>
      <c r="B199" s="237">
        <v>45275</v>
      </c>
      <c r="C199" s="238" t="s">
        <v>894</v>
      </c>
      <c r="D199" s="238" t="s">
        <v>914</v>
      </c>
      <c r="E199" s="239" t="s">
        <v>895</v>
      </c>
      <c r="F199" s="240">
        <v>136.62</v>
      </c>
      <c r="I199" s="9" t="s">
        <v>915</v>
      </c>
      <c r="J199" s="9">
        <f>J193</f>
        <v>149640</v>
      </c>
      <c r="K199" s="9">
        <f>J197-J199</f>
        <v>140610</v>
      </c>
      <c r="L199" s="9">
        <f>J191+K199</f>
        <v>347010</v>
      </c>
      <c r="M199" s="9">
        <f>L199-J197</f>
        <v>56760</v>
      </c>
    </row>
    <row r="200" spans="1:19">
      <c r="A200" s="236"/>
      <c r="B200" s="237">
        <v>45274</v>
      </c>
      <c r="C200" s="238" t="s">
        <v>894</v>
      </c>
      <c r="D200" s="238" t="s">
        <v>916</v>
      </c>
      <c r="E200" s="239" t="s">
        <v>917</v>
      </c>
      <c r="F200" s="242">
        <v>-7023.84</v>
      </c>
    </row>
    <row r="201" spans="1:19">
      <c r="A201" s="236"/>
      <c r="B201" s="237">
        <v>45274</v>
      </c>
      <c r="C201" s="238" t="s">
        <v>894</v>
      </c>
      <c r="D201" s="238" t="s">
        <v>916</v>
      </c>
      <c r="E201" s="239" t="s">
        <v>908</v>
      </c>
      <c r="F201" s="243">
        <v>7023.84</v>
      </c>
    </row>
    <row r="202" spans="1:19">
      <c r="A202" s="236"/>
      <c r="B202" s="237">
        <v>45274</v>
      </c>
      <c r="C202" s="238" t="s">
        <v>894</v>
      </c>
      <c r="D202" s="238" t="s">
        <v>918</v>
      </c>
      <c r="E202" s="239" t="s">
        <v>919</v>
      </c>
      <c r="F202" s="241">
        <v>-82.32</v>
      </c>
    </row>
    <row r="203" spans="1:19">
      <c r="A203" s="236"/>
      <c r="B203" s="237">
        <v>45274</v>
      </c>
      <c r="C203" s="238" t="s">
        <v>894</v>
      </c>
      <c r="D203" s="238" t="s">
        <v>918</v>
      </c>
      <c r="E203" s="239" t="s">
        <v>895</v>
      </c>
      <c r="F203" s="240">
        <v>82.32</v>
      </c>
    </row>
    <row r="204" spans="1:19" ht="25.5">
      <c r="A204" s="236"/>
      <c r="B204" s="237">
        <v>45271</v>
      </c>
      <c r="C204" s="238" t="s">
        <v>894</v>
      </c>
      <c r="D204" s="238" t="s">
        <v>896</v>
      </c>
      <c r="E204" s="239" t="s">
        <v>897</v>
      </c>
      <c r="F204" s="241">
        <v>-192.57</v>
      </c>
      <c r="I204" s="3" t="s">
        <v>920</v>
      </c>
      <c r="J204" s="9" t="s">
        <v>921</v>
      </c>
      <c r="K204" s="9" t="s">
        <v>922</v>
      </c>
      <c r="L204" s="9" t="s">
        <v>923</v>
      </c>
      <c r="M204" s="9" t="s">
        <v>924</v>
      </c>
      <c r="O204" s="36">
        <v>0.5</v>
      </c>
      <c r="P204" s="9" t="s">
        <v>921</v>
      </c>
      <c r="Q204" s="9" t="s">
        <v>925</v>
      </c>
      <c r="R204" s="9" t="s">
        <v>923</v>
      </c>
      <c r="S204" s="9" t="s">
        <v>924</v>
      </c>
    </row>
    <row r="205" spans="1:19" ht="25.5">
      <c r="A205" s="236"/>
      <c r="B205" s="244">
        <v>45268</v>
      </c>
      <c r="C205" s="238" t="s">
        <v>894</v>
      </c>
      <c r="D205" s="238" t="s">
        <v>926</v>
      </c>
      <c r="E205" s="239" t="s">
        <v>927</v>
      </c>
      <c r="F205" s="241">
        <v>-2.15</v>
      </c>
      <c r="H205" s="82" t="s">
        <v>928</v>
      </c>
      <c r="I205" s="16">
        <v>296250</v>
      </c>
      <c r="J205" s="16"/>
      <c r="O205" s="16">
        <v>296250</v>
      </c>
      <c r="P205" s="16"/>
    </row>
    <row r="206" spans="1:19">
      <c r="A206" s="236"/>
      <c r="B206" s="244">
        <v>45268</v>
      </c>
      <c r="C206" s="238" t="s">
        <v>894</v>
      </c>
      <c r="D206" s="238" t="s">
        <v>926</v>
      </c>
      <c r="E206" s="239" t="s">
        <v>929</v>
      </c>
      <c r="F206" s="240">
        <v>194.72</v>
      </c>
      <c r="H206" s="9">
        <v>1</v>
      </c>
      <c r="I206" s="16">
        <v>266625</v>
      </c>
      <c r="J206" s="16">
        <f t="shared" ref="J206:J215" si="5">I205-I206</f>
        <v>29625</v>
      </c>
      <c r="K206" s="16">
        <f t="shared" ref="K206:K215" si="6">1588*12</f>
        <v>19056</v>
      </c>
      <c r="L206" s="16">
        <f t="shared" ref="L206:L215" si="7">J206+K206</f>
        <v>48681</v>
      </c>
      <c r="M206" s="84">
        <f>L206</f>
        <v>48681</v>
      </c>
      <c r="O206" s="16">
        <v>266625</v>
      </c>
      <c r="P206" s="16">
        <f t="shared" ref="P206:P215" si="8">O205-O206</f>
        <v>29625</v>
      </c>
      <c r="Q206" s="16">
        <f t="shared" ref="Q206:Q215" si="9">1999*12</f>
        <v>23988</v>
      </c>
      <c r="R206" s="16">
        <f t="shared" ref="R206:R215" si="10">P206+Q206</f>
        <v>53613</v>
      </c>
      <c r="S206" s="16">
        <f>R206</f>
        <v>53613</v>
      </c>
    </row>
    <row r="207" spans="1:19">
      <c r="A207" s="236"/>
      <c r="B207" s="244">
        <v>45264</v>
      </c>
      <c r="C207" s="238" t="s">
        <v>894</v>
      </c>
      <c r="D207" s="238" t="s">
        <v>896</v>
      </c>
      <c r="E207" s="239" t="s">
        <v>897</v>
      </c>
      <c r="F207" s="242">
        <v>-35888.51</v>
      </c>
      <c r="H207" s="9">
        <v>2</v>
      </c>
      <c r="I207" s="16">
        <v>214781</v>
      </c>
      <c r="J207" s="16">
        <f t="shared" si="5"/>
        <v>51844</v>
      </c>
      <c r="K207" s="16">
        <f t="shared" si="6"/>
        <v>19056</v>
      </c>
      <c r="L207" s="16">
        <f t="shared" si="7"/>
        <v>70900</v>
      </c>
      <c r="M207" s="84">
        <f t="shared" ref="M207:M215" si="11">M206+L207</f>
        <v>119581</v>
      </c>
      <c r="O207" s="16">
        <v>214781</v>
      </c>
      <c r="P207" s="16">
        <f t="shared" si="8"/>
        <v>51844</v>
      </c>
      <c r="Q207" s="16">
        <f t="shared" si="9"/>
        <v>23988</v>
      </c>
      <c r="R207" s="16">
        <f t="shared" si="10"/>
        <v>75832</v>
      </c>
      <c r="S207" s="16">
        <f t="shared" ref="S207:S215" si="12">R207+S206</f>
        <v>129445</v>
      </c>
    </row>
    <row r="208" spans="1:19">
      <c r="A208" s="236"/>
      <c r="B208" s="244">
        <v>45264</v>
      </c>
      <c r="C208" s="238" t="s">
        <v>894</v>
      </c>
      <c r="D208" s="238" t="s">
        <v>896</v>
      </c>
      <c r="E208" s="239" t="s">
        <v>930</v>
      </c>
      <c r="F208" s="243">
        <v>35844.01</v>
      </c>
      <c r="H208" s="9">
        <v>3</v>
      </c>
      <c r="I208" s="16">
        <v>197214</v>
      </c>
      <c r="J208" s="16">
        <f t="shared" si="5"/>
        <v>17567</v>
      </c>
      <c r="K208" s="16">
        <f t="shared" si="6"/>
        <v>19056</v>
      </c>
      <c r="L208" s="16">
        <f t="shared" si="7"/>
        <v>36623</v>
      </c>
      <c r="M208" s="84">
        <f t="shared" si="11"/>
        <v>156204</v>
      </c>
      <c r="O208" s="16">
        <v>206457</v>
      </c>
      <c r="P208" s="16">
        <f t="shared" si="8"/>
        <v>8324</v>
      </c>
      <c r="Q208" s="16">
        <f t="shared" si="9"/>
        <v>23988</v>
      </c>
      <c r="R208" s="16">
        <f t="shared" si="10"/>
        <v>32312</v>
      </c>
      <c r="S208" s="16">
        <f t="shared" si="12"/>
        <v>161757</v>
      </c>
    </row>
    <row r="209" spans="1:19">
      <c r="A209" s="236"/>
      <c r="B209" s="244">
        <v>45264</v>
      </c>
      <c r="C209" s="238" t="s">
        <v>894</v>
      </c>
      <c r="D209" s="238" t="s">
        <v>931</v>
      </c>
      <c r="E209" s="239" t="s">
        <v>932</v>
      </c>
      <c r="F209" s="240">
        <v>44.5</v>
      </c>
      <c r="H209" s="9">
        <v>4</v>
      </c>
      <c r="I209" s="16">
        <v>179646</v>
      </c>
      <c r="J209" s="16">
        <f t="shared" si="5"/>
        <v>17568</v>
      </c>
      <c r="K209" s="16">
        <f t="shared" si="6"/>
        <v>19056</v>
      </c>
      <c r="L209" s="16">
        <f t="shared" si="7"/>
        <v>36624</v>
      </c>
      <c r="M209" s="84">
        <f t="shared" si="11"/>
        <v>192828</v>
      </c>
      <c r="O209" s="16">
        <v>198132</v>
      </c>
      <c r="P209" s="16">
        <f t="shared" si="8"/>
        <v>8325</v>
      </c>
      <c r="Q209" s="16">
        <f t="shared" si="9"/>
        <v>23988</v>
      </c>
      <c r="R209" s="16">
        <f t="shared" si="10"/>
        <v>32313</v>
      </c>
      <c r="S209" s="16">
        <f t="shared" si="12"/>
        <v>194070</v>
      </c>
    </row>
    <row r="210" spans="1:19">
      <c r="A210" s="236"/>
      <c r="B210" s="244">
        <v>45261</v>
      </c>
      <c r="C210" s="238" t="s">
        <v>894</v>
      </c>
      <c r="D210" s="238" t="s">
        <v>933</v>
      </c>
      <c r="E210" s="239" t="s">
        <v>934</v>
      </c>
      <c r="F210" s="241">
        <v>-109.66</v>
      </c>
      <c r="H210" s="9">
        <v>5</v>
      </c>
      <c r="I210" s="16">
        <v>162078</v>
      </c>
      <c r="J210" s="16">
        <f t="shared" si="5"/>
        <v>17568</v>
      </c>
      <c r="K210" s="16">
        <f t="shared" si="6"/>
        <v>19056</v>
      </c>
      <c r="L210" s="16">
        <f t="shared" si="7"/>
        <v>36624</v>
      </c>
      <c r="M210" s="16">
        <f t="shared" si="11"/>
        <v>229452</v>
      </c>
      <c r="O210" s="16">
        <v>189807</v>
      </c>
      <c r="P210" s="16">
        <f t="shared" si="8"/>
        <v>8325</v>
      </c>
      <c r="Q210" s="16">
        <f t="shared" si="9"/>
        <v>23988</v>
      </c>
      <c r="R210" s="16">
        <f t="shared" si="10"/>
        <v>32313</v>
      </c>
      <c r="S210" s="84">
        <f t="shared" si="12"/>
        <v>226383</v>
      </c>
    </row>
    <row r="211" spans="1:19">
      <c r="A211" s="236"/>
      <c r="B211" s="244">
        <v>45261</v>
      </c>
      <c r="C211" s="238" t="s">
        <v>894</v>
      </c>
      <c r="D211" s="238" t="s">
        <v>933</v>
      </c>
      <c r="E211" s="239" t="s">
        <v>895</v>
      </c>
      <c r="F211" s="240">
        <v>109.66</v>
      </c>
      <c r="H211" s="9">
        <v>6</v>
      </c>
      <c r="I211" s="16">
        <v>144511</v>
      </c>
      <c r="J211" s="16">
        <f t="shared" si="5"/>
        <v>17567</v>
      </c>
      <c r="K211" s="16">
        <f t="shared" si="6"/>
        <v>19056</v>
      </c>
      <c r="L211" s="16">
        <f t="shared" si="7"/>
        <v>36623</v>
      </c>
      <c r="M211" s="16">
        <f t="shared" si="11"/>
        <v>266075</v>
      </c>
      <c r="O211" s="16">
        <v>181483</v>
      </c>
      <c r="P211" s="16">
        <f t="shared" si="8"/>
        <v>8324</v>
      </c>
      <c r="Q211" s="16">
        <f t="shared" si="9"/>
        <v>23988</v>
      </c>
      <c r="R211" s="16">
        <f t="shared" si="10"/>
        <v>32312</v>
      </c>
      <c r="S211" s="84">
        <f t="shared" si="12"/>
        <v>258695</v>
      </c>
    </row>
    <row r="212" spans="1:19">
      <c r="A212" s="236"/>
      <c r="B212" s="244">
        <v>45261</v>
      </c>
      <c r="C212" s="238" t="s">
        <v>894</v>
      </c>
      <c r="D212" s="238" t="s">
        <v>935</v>
      </c>
      <c r="E212" s="239" t="s">
        <v>936</v>
      </c>
      <c r="F212" s="241">
        <v>-687.02</v>
      </c>
      <c r="H212" s="9">
        <v>7</v>
      </c>
      <c r="I212" s="16">
        <v>126943</v>
      </c>
      <c r="J212" s="16">
        <f t="shared" si="5"/>
        <v>17568</v>
      </c>
      <c r="K212" s="16">
        <f t="shared" si="6"/>
        <v>19056</v>
      </c>
      <c r="L212" s="16">
        <f t="shared" si="7"/>
        <v>36624</v>
      </c>
      <c r="M212" s="16">
        <f t="shared" si="11"/>
        <v>302699</v>
      </c>
      <c r="O212" s="16">
        <v>173158</v>
      </c>
      <c r="P212" s="16">
        <f t="shared" si="8"/>
        <v>8325</v>
      </c>
      <c r="Q212" s="16">
        <f t="shared" si="9"/>
        <v>23988</v>
      </c>
      <c r="R212" s="16">
        <f t="shared" si="10"/>
        <v>32313</v>
      </c>
      <c r="S212" s="84">
        <f t="shared" si="12"/>
        <v>291008</v>
      </c>
    </row>
    <row r="213" spans="1:19">
      <c r="A213" s="236"/>
      <c r="B213" s="244">
        <v>45261</v>
      </c>
      <c r="C213" s="238" t="s">
        <v>894</v>
      </c>
      <c r="D213" s="238" t="s">
        <v>935</v>
      </c>
      <c r="E213" s="239" t="s">
        <v>895</v>
      </c>
      <c r="F213" s="240">
        <v>687.02</v>
      </c>
      <c r="H213" s="9">
        <v>8</v>
      </c>
      <c r="I213" s="16">
        <v>109376</v>
      </c>
      <c r="J213" s="16">
        <f t="shared" si="5"/>
        <v>17567</v>
      </c>
      <c r="K213" s="16">
        <f t="shared" si="6"/>
        <v>19056</v>
      </c>
      <c r="L213" s="16">
        <f t="shared" si="7"/>
        <v>36623</v>
      </c>
      <c r="M213" s="16">
        <f t="shared" si="11"/>
        <v>339322</v>
      </c>
      <c r="O213" s="16">
        <v>164843</v>
      </c>
      <c r="P213" s="16">
        <f t="shared" si="8"/>
        <v>8315</v>
      </c>
      <c r="Q213" s="16">
        <f t="shared" si="9"/>
        <v>23988</v>
      </c>
      <c r="R213" s="16">
        <f t="shared" si="10"/>
        <v>32303</v>
      </c>
      <c r="S213" s="84">
        <f t="shared" si="12"/>
        <v>323311</v>
      </c>
    </row>
    <row r="214" spans="1:19">
      <c r="A214" s="236"/>
      <c r="B214" s="244">
        <v>45261</v>
      </c>
      <c r="C214" s="238" t="s">
        <v>894</v>
      </c>
      <c r="D214" s="238" t="s">
        <v>937</v>
      </c>
      <c r="E214" s="239" t="s">
        <v>938</v>
      </c>
      <c r="F214" s="241">
        <v>-942.89</v>
      </c>
      <c r="H214" s="9">
        <v>9</v>
      </c>
      <c r="I214" s="16">
        <v>91808</v>
      </c>
      <c r="J214" s="16">
        <f t="shared" si="5"/>
        <v>17568</v>
      </c>
      <c r="K214" s="16">
        <f t="shared" si="6"/>
        <v>19056</v>
      </c>
      <c r="L214" s="16">
        <f t="shared" si="7"/>
        <v>36624</v>
      </c>
      <c r="M214" s="16">
        <f t="shared" si="11"/>
        <v>375946</v>
      </c>
      <c r="O214" s="16">
        <v>156509</v>
      </c>
      <c r="P214" s="16">
        <f t="shared" si="8"/>
        <v>8334</v>
      </c>
      <c r="Q214" s="16">
        <f t="shared" si="9"/>
        <v>23988</v>
      </c>
      <c r="R214" s="16">
        <f t="shared" si="10"/>
        <v>32322</v>
      </c>
      <c r="S214" s="84">
        <f t="shared" si="12"/>
        <v>355633</v>
      </c>
    </row>
    <row r="215" spans="1:19">
      <c r="A215" s="236"/>
      <c r="B215" s="244">
        <v>45261</v>
      </c>
      <c r="C215" s="238" t="s">
        <v>894</v>
      </c>
      <c r="D215" s="238" t="s">
        <v>937</v>
      </c>
      <c r="E215" s="239" t="s">
        <v>895</v>
      </c>
      <c r="F215" s="240">
        <v>942.89</v>
      </c>
      <c r="H215" s="9">
        <v>10</v>
      </c>
      <c r="I215" s="16">
        <v>74065</v>
      </c>
      <c r="J215" s="16">
        <f t="shared" si="5"/>
        <v>17743</v>
      </c>
      <c r="K215" s="16">
        <f t="shared" si="6"/>
        <v>19056</v>
      </c>
      <c r="L215" s="16">
        <f t="shared" si="7"/>
        <v>36799</v>
      </c>
      <c r="M215" s="34">
        <f t="shared" si="11"/>
        <v>412745</v>
      </c>
      <c r="O215" s="16">
        <v>148125</v>
      </c>
      <c r="P215" s="16">
        <f t="shared" si="8"/>
        <v>8384</v>
      </c>
      <c r="Q215" s="16">
        <f t="shared" si="9"/>
        <v>23988</v>
      </c>
      <c r="R215" s="16">
        <f t="shared" si="10"/>
        <v>32372</v>
      </c>
      <c r="S215" s="61">
        <f t="shared" si="12"/>
        <v>388005</v>
      </c>
    </row>
    <row r="216" spans="1:19">
      <c r="A216" s="236"/>
      <c r="B216" s="244">
        <v>45261</v>
      </c>
      <c r="C216" s="238" t="s">
        <v>894</v>
      </c>
      <c r="D216" s="238" t="s">
        <v>896</v>
      </c>
      <c r="E216" s="239" t="s">
        <v>939</v>
      </c>
      <c r="F216" s="241">
        <v>-86.12</v>
      </c>
      <c r="H216" s="9" t="s">
        <v>99</v>
      </c>
      <c r="I216" s="16">
        <f>1588*120</f>
        <v>190560</v>
      </c>
      <c r="J216" s="16"/>
      <c r="O216" s="16">
        <f>1999*120</f>
        <v>239880</v>
      </c>
      <c r="P216" s="16"/>
    </row>
    <row r="217" spans="1:19">
      <c r="A217" s="236"/>
      <c r="B217" s="237">
        <v>45260</v>
      </c>
      <c r="C217" s="238" t="s">
        <v>894</v>
      </c>
      <c r="D217" s="238" t="s">
        <v>940</v>
      </c>
      <c r="E217" s="239" t="s">
        <v>895</v>
      </c>
      <c r="F217" s="240">
        <v>86.12</v>
      </c>
      <c r="I217" s="34">
        <f>I205-I215+I216</f>
        <v>412745</v>
      </c>
      <c r="J217" s="34"/>
      <c r="O217" s="34">
        <f>O205-O215+O216</f>
        <v>388005</v>
      </c>
      <c r="P217" s="34"/>
    </row>
    <row r="218" spans="1:19">
      <c r="A218" s="236"/>
      <c r="B218" s="237">
        <v>45260</v>
      </c>
      <c r="C218" s="238" t="s">
        <v>894</v>
      </c>
      <c r="D218" s="238" t="s">
        <v>941</v>
      </c>
      <c r="E218" s="239" t="s">
        <v>942</v>
      </c>
      <c r="F218" s="241">
        <v>-25.87</v>
      </c>
      <c r="I218" s="16">
        <f>I217-I236</f>
        <v>103385</v>
      </c>
      <c r="O218" s="16">
        <f>O217-K236</f>
        <v>95805</v>
      </c>
    </row>
    <row r="219" spans="1:19" ht="25.5">
      <c r="A219" s="236"/>
      <c r="B219" s="237">
        <v>45260</v>
      </c>
      <c r="C219" s="238" t="s">
        <v>894</v>
      </c>
      <c r="D219" s="238" t="s">
        <v>941</v>
      </c>
      <c r="E219" s="239" t="s">
        <v>895</v>
      </c>
      <c r="F219" s="240">
        <v>25.87</v>
      </c>
      <c r="I219" s="16">
        <f>I217-O217</f>
        <v>24740</v>
      </c>
      <c r="J219" s="9" t="s">
        <v>943</v>
      </c>
      <c r="P219" s="9" t="s">
        <v>944</v>
      </c>
      <c r="Q219" s="16">
        <f>239880-190560</f>
        <v>49320</v>
      </c>
      <c r="R219" s="9" t="s">
        <v>945</v>
      </c>
      <c r="S219" s="9">
        <f>Q219*8/100*5</f>
        <v>19728</v>
      </c>
    </row>
    <row r="220" spans="1:19">
      <c r="A220" s="236"/>
      <c r="B220" s="237">
        <v>45257</v>
      </c>
      <c r="C220" s="238" t="s">
        <v>894</v>
      </c>
      <c r="D220" s="238" t="s">
        <v>896</v>
      </c>
      <c r="E220" s="239" t="s">
        <v>939</v>
      </c>
      <c r="F220" s="241">
        <v>-40.630000000000003</v>
      </c>
      <c r="I220" s="9">
        <f>(1999-1588)*120</f>
        <v>49320</v>
      </c>
      <c r="J220" s="9">
        <f>I220*10/100*5</f>
        <v>24660</v>
      </c>
      <c r="S220" s="16">
        <f>S215+S219</f>
        <v>407733</v>
      </c>
    </row>
    <row r="221" spans="1:19">
      <c r="A221" s="236"/>
      <c r="B221" s="237">
        <v>45254</v>
      </c>
      <c r="C221" s="238" t="s">
        <v>894</v>
      </c>
      <c r="D221" s="238" t="s">
        <v>898</v>
      </c>
      <c r="E221" s="239" t="s">
        <v>895</v>
      </c>
      <c r="F221" s="240">
        <v>40.630000000000003</v>
      </c>
    </row>
    <row r="222" spans="1:19">
      <c r="A222" s="236"/>
      <c r="B222" s="237">
        <v>45251</v>
      </c>
      <c r="C222" s="238" t="s">
        <v>894</v>
      </c>
      <c r="D222" s="238" t="s">
        <v>937</v>
      </c>
      <c r="E222" s="239" t="s">
        <v>946</v>
      </c>
      <c r="F222" s="240">
        <v>0.01</v>
      </c>
    </row>
    <row r="223" spans="1:19">
      <c r="A223" s="236"/>
      <c r="B223" s="237">
        <v>45251</v>
      </c>
      <c r="C223" s="238" t="s">
        <v>894</v>
      </c>
      <c r="D223" s="238" t="s">
        <v>937</v>
      </c>
      <c r="E223" s="239" t="s">
        <v>947</v>
      </c>
      <c r="F223" s="241">
        <v>-0.01</v>
      </c>
      <c r="I223" s="47" t="s">
        <v>948</v>
      </c>
      <c r="J223" s="36">
        <v>0.25</v>
      </c>
      <c r="L223" s="36">
        <v>0.5</v>
      </c>
    </row>
    <row r="224" spans="1:19">
      <c r="A224" s="236"/>
      <c r="B224" s="237">
        <v>45251</v>
      </c>
      <c r="C224" s="238" t="s">
        <v>894</v>
      </c>
      <c r="D224" s="238" t="s">
        <v>896</v>
      </c>
      <c r="E224" s="239" t="s">
        <v>939</v>
      </c>
      <c r="F224" s="241">
        <v>-281.88</v>
      </c>
      <c r="I224" s="245">
        <v>206400</v>
      </c>
      <c r="J224" s="16"/>
      <c r="K224" s="16">
        <v>206400</v>
      </c>
      <c r="L224" s="16"/>
    </row>
    <row r="225" spans="1:12">
      <c r="A225" s="236"/>
      <c r="B225" s="237">
        <v>45250</v>
      </c>
      <c r="C225" s="238" t="s">
        <v>894</v>
      </c>
      <c r="D225" s="238" t="s">
        <v>949</v>
      </c>
      <c r="E225" s="239" t="s">
        <v>950</v>
      </c>
      <c r="F225" s="240">
        <v>281.88</v>
      </c>
      <c r="I225" s="245">
        <v>185760</v>
      </c>
      <c r="J225" s="16">
        <f t="shared" ref="J225:J234" si="13">I224-I225</f>
        <v>20640</v>
      </c>
      <c r="K225" s="16">
        <v>185760</v>
      </c>
      <c r="L225" s="16">
        <f t="shared" ref="L225:L234" si="14">K224-K225</f>
        <v>20640</v>
      </c>
    </row>
    <row r="226" spans="1:12">
      <c r="A226" s="236"/>
      <c r="B226" s="237">
        <v>45250</v>
      </c>
      <c r="C226" s="238" t="s">
        <v>894</v>
      </c>
      <c r="D226" s="238" t="s">
        <v>896</v>
      </c>
      <c r="E226" s="239" t="s">
        <v>939</v>
      </c>
      <c r="F226" s="241">
        <v>-30.45</v>
      </c>
      <c r="I226" s="245">
        <v>149640</v>
      </c>
      <c r="J226" s="16">
        <f t="shared" si="13"/>
        <v>36120</v>
      </c>
      <c r="K226" s="16">
        <v>149640</v>
      </c>
      <c r="L226" s="16">
        <f t="shared" si="14"/>
        <v>36120</v>
      </c>
    </row>
    <row r="227" spans="1:12">
      <c r="A227" s="236"/>
      <c r="B227" s="237">
        <v>45247</v>
      </c>
      <c r="C227" s="238" t="s">
        <v>894</v>
      </c>
      <c r="D227" s="238" t="s">
        <v>951</v>
      </c>
      <c r="E227" s="239" t="s">
        <v>895</v>
      </c>
      <c r="F227" s="240">
        <v>30.45</v>
      </c>
      <c r="I227" s="245">
        <v>137400</v>
      </c>
      <c r="J227" s="16">
        <f t="shared" si="13"/>
        <v>12240</v>
      </c>
      <c r="K227" s="16">
        <v>143840</v>
      </c>
      <c r="L227" s="16">
        <f t="shared" si="14"/>
        <v>5800</v>
      </c>
    </row>
    <row r="228" spans="1:12">
      <c r="A228" s="236"/>
      <c r="B228" s="237">
        <v>45247</v>
      </c>
      <c r="C228" s="238" t="s">
        <v>894</v>
      </c>
      <c r="D228" s="238" t="s">
        <v>918</v>
      </c>
      <c r="E228" s="239" t="s">
        <v>919</v>
      </c>
      <c r="F228" s="241">
        <v>-81.25</v>
      </c>
      <c r="I228" s="245">
        <v>125161</v>
      </c>
      <c r="J228" s="16">
        <f t="shared" si="13"/>
        <v>12239</v>
      </c>
      <c r="K228" s="16">
        <v>138040</v>
      </c>
      <c r="L228" s="16">
        <f t="shared" si="14"/>
        <v>5800</v>
      </c>
    </row>
    <row r="229" spans="1:12">
      <c r="A229" s="236"/>
      <c r="B229" s="237">
        <v>45247</v>
      </c>
      <c r="C229" s="238" t="s">
        <v>894</v>
      </c>
      <c r="D229" s="238" t="s">
        <v>918</v>
      </c>
      <c r="E229" s="239" t="s">
        <v>895</v>
      </c>
      <c r="F229" s="240">
        <v>81.25</v>
      </c>
      <c r="I229" s="245">
        <v>112921</v>
      </c>
      <c r="J229" s="16">
        <f t="shared" si="13"/>
        <v>12240</v>
      </c>
      <c r="K229" s="16">
        <v>132240</v>
      </c>
      <c r="L229" s="16">
        <f t="shared" si="14"/>
        <v>5800</v>
      </c>
    </row>
    <row r="230" spans="1:12">
      <c r="A230" s="236"/>
      <c r="B230" s="237">
        <v>45247</v>
      </c>
      <c r="C230" s="238" t="s">
        <v>894</v>
      </c>
      <c r="D230" s="238" t="s">
        <v>937</v>
      </c>
      <c r="E230" s="239" t="s">
        <v>938</v>
      </c>
      <c r="F230" s="241">
        <v>-0.01</v>
      </c>
      <c r="I230" s="245">
        <v>100682</v>
      </c>
      <c r="J230" s="16">
        <f t="shared" si="13"/>
        <v>12239</v>
      </c>
      <c r="K230" s="16">
        <v>126441</v>
      </c>
      <c r="L230" s="16">
        <f t="shared" si="14"/>
        <v>5799</v>
      </c>
    </row>
    <row r="231" spans="1:12">
      <c r="A231" s="236"/>
      <c r="B231" s="237">
        <v>45247</v>
      </c>
      <c r="C231" s="238" t="s">
        <v>894</v>
      </c>
      <c r="D231" s="238" t="s">
        <v>937</v>
      </c>
      <c r="E231" s="239" t="s">
        <v>895</v>
      </c>
      <c r="F231" s="240">
        <v>0.01</v>
      </c>
      <c r="I231" s="245">
        <v>88442</v>
      </c>
      <c r="J231" s="16">
        <f t="shared" si="13"/>
        <v>12240</v>
      </c>
      <c r="K231" s="16">
        <v>120641</v>
      </c>
      <c r="L231" s="16">
        <f t="shared" si="14"/>
        <v>5800</v>
      </c>
    </row>
    <row r="232" spans="1:12">
      <c r="A232" s="236"/>
      <c r="B232" s="237">
        <v>45246</v>
      </c>
      <c r="C232" s="238" t="s">
        <v>894</v>
      </c>
      <c r="D232" s="238" t="s">
        <v>896</v>
      </c>
      <c r="E232" s="239" t="s">
        <v>939</v>
      </c>
      <c r="F232" s="241">
        <v>-222</v>
      </c>
      <c r="I232" s="245">
        <v>76203</v>
      </c>
      <c r="J232" s="16">
        <f t="shared" si="13"/>
        <v>12239</v>
      </c>
      <c r="K232" s="16">
        <v>114841</v>
      </c>
      <c r="L232" s="16">
        <f t="shared" si="14"/>
        <v>5800</v>
      </c>
    </row>
    <row r="233" spans="1:12">
      <c r="A233" s="236"/>
      <c r="B233" s="237">
        <v>45246</v>
      </c>
      <c r="C233" s="238" t="s">
        <v>894</v>
      </c>
      <c r="D233" s="238" t="s">
        <v>931</v>
      </c>
      <c r="E233" s="239" t="s">
        <v>932</v>
      </c>
      <c r="F233" s="240">
        <v>75.06</v>
      </c>
      <c r="I233" s="245">
        <v>63963</v>
      </c>
      <c r="J233" s="16">
        <f t="shared" si="13"/>
        <v>12240</v>
      </c>
      <c r="K233" s="16">
        <v>109041</v>
      </c>
      <c r="L233" s="16">
        <f t="shared" si="14"/>
        <v>5800</v>
      </c>
    </row>
    <row r="234" spans="1:12">
      <c r="A234" s="236"/>
      <c r="B234" s="237">
        <v>45246</v>
      </c>
      <c r="C234" s="238" t="s">
        <v>894</v>
      </c>
      <c r="D234" s="238" t="s">
        <v>931</v>
      </c>
      <c r="E234" s="239" t="s">
        <v>952</v>
      </c>
      <c r="F234" s="241">
        <v>-75.06</v>
      </c>
      <c r="I234" s="245">
        <v>51600</v>
      </c>
      <c r="J234" s="16">
        <f t="shared" si="13"/>
        <v>12363</v>
      </c>
      <c r="K234" s="16">
        <v>103200</v>
      </c>
      <c r="L234" s="16">
        <f t="shared" si="14"/>
        <v>5841</v>
      </c>
    </row>
    <row r="235" spans="1:12">
      <c r="A235" s="236"/>
      <c r="B235" s="237">
        <v>45245</v>
      </c>
      <c r="C235" s="238" t="s">
        <v>894</v>
      </c>
      <c r="D235" s="238" t="s">
        <v>953</v>
      </c>
      <c r="E235" s="239" t="s">
        <v>895</v>
      </c>
      <c r="F235" s="240">
        <v>222</v>
      </c>
      <c r="I235" s="245">
        <f>1288*12*10</f>
        <v>154560</v>
      </c>
      <c r="J235" s="16"/>
      <c r="K235" s="16">
        <f>1575*12*10</f>
        <v>189000</v>
      </c>
      <c r="L235" s="16"/>
    </row>
    <row r="236" spans="1:12">
      <c r="A236" s="236"/>
      <c r="B236" s="237">
        <v>45244</v>
      </c>
      <c r="C236" s="238" t="s">
        <v>894</v>
      </c>
      <c r="D236" s="238" t="s">
        <v>896</v>
      </c>
      <c r="E236" s="239" t="s">
        <v>939</v>
      </c>
      <c r="F236" s="241">
        <v>-43.4</v>
      </c>
      <c r="I236" s="246">
        <f>I224-I234+I235</f>
        <v>309360</v>
      </c>
      <c r="J236" s="34"/>
      <c r="K236" s="34">
        <f>K224-K234+K235</f>
        <v>292200</v>
      </c>
      <c r="L236" s="16"/>
    </row>
    <row r="237" spans="1:12">
      <c r="A237" s="236"/>
      <c r="B237" s="237">
        <v>45243</v>
      </c>
      <c r="C237" s="238" t="s">
        <v>894</v>
      </c>
      <c r="D237" s="238" t="s">
        <v>954</v>
      </c>
      <c r="E237" s="239" t="s">
        <v>895</v>
      </c>
      <c r="F237" s="240">
        <v>43.4</v>
      </c>
      <c r="I237" s="16">
        <f>I217-I236</f>
        <v>103385</v>
      </c>
      <c r="K237" s="16">
        <f>O217-K236</f>
        <v>95805</v>
      </c>
    </row>
    <row r="238" spans="1:12" ht="25.5">
      <c r="A238" s="236"/>
      <c r="B238" s="244">
        <v>45236</v>
      </c>
      <c r="C238" s="238" t="s">
        <v>894</v>
      </c>
      <c r="D238" s="238" t="s">
        <v>941</v>
      </c>
      <c r="E238" s="239" t="s">
        <v>942</v>
      </c>
      <c r="F238" s="241">
        <v>-25.74</v>
      </c>
      <c r="I238" s="16">
        <f>I236-K236</f>
        <v>17160</v>
      </c>
      <c r="J238" s="9" t="s">
        <v>955</v>
      </c>
    </row>
    <row r="239" spans="1:12">
      <c r="A239" s="236"/>
      <c r="B239" s="244">
        <v>45236</v>
      </c>
      <c r="C239" s="238" t="s">
        <v>894</v>
      </c>
      <c r="D239" s="238" t="s">
        <v>941</v>
      </c>
      <c r="E239" s="239" t="s">
        <v>895</v>
      </c>
      <c r="F239" s="240">
        <v>25.74</v>
      </c>
      <c r="I239" s="9">
        <f>(1575-1288)*120</f>
        <v>34440</v>
      </c>
      <c r="J239" s="9">
        <f>I239*10/100*5</f>
        <v>17220</v>
      </c>
    </row>
    <row r="240" spans="1:12">
      <c r="A240" s="236"/>
      <c r="B240" s="244">
        <v>45232</v>
      </c>
      <c r="C240" s="238" t="s">
        <v>894</v>
      </c>
      <c r="D240" s="238" t="s">
        <v>896</v>
      </c>
      <c r="E240" s="239" t="s">
        <v>939</v>
      </c>
      <c r="F240" s="241">
        <v>-337.67</v>
      </c>
    </row>
    <row r="241" spans="1:6">
      <c r="A241" s="236"/>
      <c r="B241" s="244">
        <v>45231</v>
      </c>
      <c r="C241" s="238" t="s">
        <v>894</v>
      </c>
      <c r="D241" s="238" t="s">
        <v>956</v>
      </c>
      <c r="E241" s="239" t="s">
        <v>895</v>
      </c>
      <c r="F241" s="240">
        <v>329.84</v>
      </c>
    </row>
    <row r="242" spans="1:6">
      <c r="A242" s="236"/>
      <c r="B242" s="244">
        <v>45231</v>
      </c>
      <c r="C242" s="238" t="s">
        <v>894</v>
      </c>
      <c r="D242" s="238" t="s">
        <v>933</v>
      </c>
      <c r="E242" s="239" t="s">
        <v>934</v>
      </c>
      <c r="F242" s="241">
        <v>-112.59</v>
      </c>
    </row>
    <row r="243" spans="1:6">
      <c r="A243" s="236"/>
      <c r="B243" s="244">
        <v>45231</v>
      </c>
      <c r="C243" s="238" t="s">
        <v>894</v>
      </c>
      <c r="D243" s="238" t="s">
        <v>933</v>
      </c>
      <c r="E243" s="239" t="s">
        <v>895</v>
      </c>
      <c r="F243" s="240">
        <v>112.59</v>
      </c>
    </row>
    <row r="244" spans="1:6">
      <c r="A244" s="236"/>
      <c r="B244" s="244">
        <v>45231</v>
      </c>
      <c r="C244" s="238" t="s">
        <v>894</v>
      </c>
      <c r="D244" s="238" t="s">
        <v>935</v>
      </c>
      <c r="E244" s="239" t="s">
        <v>936</v>
      </c>
      <c r="F244" s="241">
        <v>-643.09</v>
      </c>
    </row>
    <row r="245" spans="1:6">
      <c r="A245" s="236"/>
      <c r="B245" s="244">
        <v>45231</v>
      </c>
      <c r="C245" s="238" t="s">
        <v>894</v>
      </c>
      <c r="D245" s="238" t="s">
        <v>935</v>
      </c>
      <c r="E245" s="239" t="s">
        <v>895</v>
      </c>
      <c r="F245" s="240">
        <v>643.09</v>
      </c>
    </row>
    <row r="246" spans="1:6">
      <c r="A246" s="236"/>
      <c r="B246" s="244">
        <v>45231</v>
      </c>
      <c r="C246" s="238" t="s">
        <v>894</v>
      </c>
      <c r="D246" s="238" t="s">
        <v>957</v>
      </c>
      <c r="E246" s="239" t="s">
        <v>958</v>
      </c>
      <c r="F246" s="240">
        <v>7.83</v>
      </c>
    </row>
    <row r="247" spans="1:6">
      <c r="A247" s="236"/>
      <c r="B247" s="244">
        <v>45231</v>
      </c>
      <c r="C247" s="238" t="s">
        <v>894</v>
      </c>
      <c r="D247" s="238" t="s">
        <v>959</v>
      </c>
      <c r="E247" s="239" t="s">
        <v>958</v>
      </c>
      <c r="F247" s="240">
        <v>6.83</v>
      </c>
    </row>
    <row r="248" spans="1:6">
      <c r="A248" s="236"/>
      <c r="B248" s="244">
        <v>45231</v>
      </c>
      <c r="C248" s="238" t="s">
        <v>894</v>
      </c>
      <c r="D248" s="238" t="s">
        <v>959</v>
      </c>
      <c r="E248" s="239" t="s">
        <v>960</v>
      </c>
      <c r="F248" s="241">
        <v>-6.83</v>
      </c>
    </row>
    <row r="249" spans="1:6">
      <c r="A249" s="236"/>
      <c r="B249" s="244">
        <v>45231</v>
      </c>
      <c r="C249" s="238" t="s">
        <v>894</v>
      </c>
      <c r="D249" s="238" t="s">
        <v>937</v>
      </c>
      <c r="E249" s="239" t="s">
        <v>938</v>
      </c>
      <c r="F249" s="240">
        <v>0</v>
      </c>
    </row>
    <row r="250" spans="1:6">
      <c r="A250" s="236"/>
      <c r="B250" s="244">
        <v>45231</v>
      </c>
      <c r="C250" s="238" t="s">
        <v>894</v>
      </c>
      <c r="D250" s="238" t="s">
        <v>937</v>
      </c>
      <c r="E250" s="239" t="s">
        <v>938</v>
      </c>
      <c r="F250" s="241">
        <v>-866.32</v>
      </c>
    </row>
    <row r="251" spans="1:6">
      <c r="A251" s="236"/>
      <c r="B251" s="244">
        <v>45231</v>
      </c>
      <c r="C251" s="238" t="s">
        <v>894</v>
      </c>
      <c r="D251" s="238" t="s">
        <v>937</v>
      </c>
      <c r="E251" s="239" t="s">
        <v>895</v>
      </c>
      <c r="F251" s="240">
        <v>866.32</v>
      </c>
    </row>
    <row r="252" spans="1:6">
      <c r="A252" s="236"/>
      <c r="B252" s="237">
        <v>45229</v>
      </c>
      <c r="C252" s="238" t="s">
        <v>894</v>
      </c>
      <c r="D252" s="238" t="s">
        <v>896</v>
      </c>
      <c r="E252" s="239" t="s">
        <v>939</v>
      </c>
      <c r="F252" s="241">
        <v>-44.57</v>
      </c>
    </row>
    <row r="253" spans="1:6">
      <c r="A253" s="236"/>
      <c r="B253" s="237">
        <v>45226</v>
      </c>
      <c r="C253" s="238" t="s">
        <v>894</v>
      </c>
      <c r="D253" s="238" t="s">
        <v>898</v>
      </c>
      <c r="E253" s="239" t="s">
        <v>895</v>
      </c>
      <c r="F253" s="240">
        <v>44.57</v>
      </c>
    </row>
    <row r="254" spans="1:6">
      <c r="A254" s="236"/>
      <c r="B254" s="237">
        <v>45226</v>
      </c>
      <c r="C254" s="238" t="s">
        <v>894</v>
      </c>
      <c r="D254" s="238" t="s">
        <v>896</v>
      </c>
      <c r="E254" s="239" t="s">
        <v>939</v>
      </c>
      <c r="F254" s="241">
        <v>-10</v>
      </c>
    </row>
    <row r="255" spans="1:6">
      <c r="A255" s="236"/>
      <c r="B255" s="237">
        <v>45225</v>
      </c>
      <c r="C255" s="238" t="s">
        <v>894</v>
      </c>
      <c r="D255" s="238" t="s">
        <v>896</v>
      </c>
      <c r="E255" s="239" t="s">
        <v>961</v>
      </c>
      <c r="F255" s="240">
        <v>10</v>
      </c>
    </row>
    <row r="256" spans="1:6">
      <c r="A256" s="236"/>
      <c r="B256" s="237">
        <v>45219</v>
      </c>
      <c r="C256" s="238" t="s">
        <v>894</v>
      </c>
      <c r="D256" s="238" t="s">
        <v>918</v>
      </c>
      <c r="E256" s="239" t="s">
        <v>919</v>
      </c>
      <c r="F256" s="241">
        <v>-80.569999999999993</v>
      </c>
    </row>
    <row r="257" spans="1:6">
      <c r="A257" s="236"/>
      <c r="B257" s="237">
        <v>45219</v>
      </c>
      <c r="C257" s="238" t="s">
        <v>894</v>
      </c>
      <c r="D257" s="238" t="s">
        <v>918</v>
      </c>
      <c r="E257" s="239" t="s">
        <v>895</v>
      </c>
      <c r="F257" s="240">
        <v>80.569999999999993</v>
      </c>
    </row>
    <row r="258" spans="1:6">
      <c r="A258" s="236"/>
      <c r="B258" s="237">
        <v>45215</v>
      </c>
      <c r="C258" s="238" t="s">
        <v>894</v>
      </c>
      <c r="D258" s="238" t="s">
        <v>931</v>
      </c>
      <c r="E258" s="239" t="s">
        <v>932</v>
      </c>
      <c r="F258" s="240">
        <v>69.5</v>
      </c>
    </row>
    <row r="259" spans="1:6">
      <c r="A259" s="236"/>
      <c r="B259" s="237">
        <v>45215</v>
      </c>
      <c r="C259" s="238" t="s">
        <v>894</v>
      </c>
      <c r="D259" s="238" t="s">
        <v>931</v>
      </c>
      <c r="E259" s="239" t="s">
        <v>952</v>
      </c>
      <c r="F259" s="241">
        <v>-69.5</v>
      </c>
    </row>
    <row r="260" spans="1:6">
      <c r="A260" s="236"/>
      <c r="B260" s="237">
        <v>45211</v>
      </c>
      <c r="C260" s="238" t="s">
        <v>894</v>
      </c>
      <c r="D260" s="238" t="s">
        <v>900</v>
      </c>
      <c r="E260" s="239" t="s">
        <v>962</v>
      </c>
      <c r="F260" s="242">
        <v>-20633.16</v>
      </c>
    </row>
    <row r="261" spans="1:6">
      <c r="A261" s="236"/>
      <c r="B261" s="237">
        <v>45211</v>
      </c>
      <c r="C261" s="238" t="s">
        <v>894</v>
      </c>
      <c r="D261" s="238" t="s">
        <v>935</v>
      </c>
      <c r="E261" s="239" t="s">
        <v>963</v>
      </c>
      <c r="F261" s="243">
        <v>28822.46</v>
      </c>
    </row>
    <row r="262" spans="1:6">
      <c r="A262" s="236"/>
      <c r="B262" s="237">
        <v>45211</v>
      </c>
      <c r="C262" s="238" t="s">
        <v>894</v>
      </c>
      <c r="D262" s="238" t="s">
        <v>964</v>
      </c>
      <c r="E262" s="239" t="s">
        <v>965</v>
      </c>
      <c r="F262" s="242">
        <v>-28822.46</v>
      </c>
    </row>
    <row r="263" spans="1:6">
      <c r="A263" s="236"/>
      <c r="B263" s="237">
        <v>45211</v>
      </c>
      <c r="C263" s="238" t="s">
        <v>894</v>
      </c>
      <c r="D263" s="238" t="s">
        <v>937</v>
      </c>
      <c r="E263" s="239" t="s">
        <v>966</v>
      </c>
      <c r="F263" s="243">
        <v>20633.16</v>
      </c>
    </row>
    <row r="264" spans="1:6">
      <c r="A264" s="236"/>
      <c r="B264" s="237">
        <v>45210</v>
      </c>
      <c r="C264" s="238" t="s">
        <v>894</v>
      </c>
      <c r="D264" s="238" t="s">
        <v>896</v>
      </c>
      <c r="E264" s="239" t="s">
        <v>930</v>
      </c>
      <c r="F264" s="243">
        <v>1891</v>
      </c>
    </row>
    <row r="265" spans="1:6">
      <c r="A265" s="236"/>
      <c r="B265" s="237">
        <v>45210</v>
      </c>
      <c r="C265" s="238" t="s">
        <v>894</v>
      </c>
      <c r="D265" s="238" t="s">
        <v>896</v>
      </c>
      <c r="E265" s="239" t="s">
        <v>967</v>
      </c>
      <c r="F265" s="242">
        <v>-1891</v>
      </c>
    </row>
    <row r="266" spans="1:6">
      <c r="A266" s="236"/>
      <c r="B266" s="237">
        <v>45209</v>
      </c>
      <c r="C266" s="238" t="s">
        <v>894</v>
      </c>
      <c r="D266" s="238" t="s">
        <v>896</v>
      </c>
      <c r="E266" s="239" t="s">
        <v>939</v>
      </c>
      <c r="F266" s="241">
        <v>-46.55</v>
      </c>
    </row>
    <row r="267" spans="1:6">
      <c r="A267" s="236"/>
      <c r="B267" s="244">
        <v>45205</v>
      </c>
      <c r="C267" s="238" t="s">
        <v>894</v>
      </c>
      <c r="D267" s="238" t="s">
        <v>968</v>
      </c>
      <c r="E267" s="239" t="s">
        <v>895</v>
      </c>
      <c r="F267" s="240">
        <v>98.55</v>
      </c>
    </row>
    <row r="268" spans="1:6">
      <c r="A268" s="236"/>
      <c r="B268" s="244">
        <v>45204</v>
      </c>
      <c r="C268" s="238" t="s">
        <v>894</v>
      </c>
      <c r="D268" s="238" t="s">
        <v>916</v>
      </c>
      <c r="E268" s="239" t="s">
        <v>969</v>
      </c>
      <c r="F268" s="243">
        <v>64476.19</v>
      </c>
    </row>
    <row r="269" spans="1:6">
      <c r="A269" s="236"/>
      <c r="B269" s="244">
        <v>45204</v>
      </c>
      <c r="C269" s="238" t="s">
        <v>894</v>
      </c>
      <c r="D269" s="238" t="s">
        <v>941</v>
      </c>
      <c r="E269" s="239" t="s">
        <v>970</v>
      </c>
      <c r="F269" s="243">
        <v>4771.28</v>
      </c>
    </row>
    <row r="270" spans="1:6">
      <c r="A270" s="236"/>
      <c r="B270" s="244">
        <v>45204</v>
      </c>
      <c r="C270" s="238" t="s">
        <v>894</v>
      </c>
      <c r="D270" s="238" t="s">
        <v>941</v>
      </c>
      <c r="E270" s="239" t="s">
        <v>942</v>
      </c>
      <c r="F270" s="241">
        <v>-50.94</v>
      </c>
    </row>
    <row r="271" spans="1:6">
      <c r="A271" s="236"/>
      <c r="B271" s="244">
        <v>45204</v>
      </c>
      <c r="C271" s="238" t="s">
        <v>894</v>
      </c>
      <c r="D271" s="238" t="s">
        <v>941</v>
      </c>
      <c r="E271" s="239" t="s">
        <v>895</v>
      </c>
      <c r="F271" s="240">
        <v>50.94</v>
      </c>
    </row>
    <row r="272" spans="1:6">
      <c r="A272" s="236"/>
      <c r="B272" s="244">
        <v>45204</v>
      </c>
      <c r="C272" s="238" t="s">
        <v>894</v>
      </c>
      <c r="D272" s="238" t="s">
        <v>971</v>
      </c>
      <c r="E272" s="239" t="s">
        <v>972</v>
      </c>
      <c r="F272" s="243">
        <v>23928.52</v>
      </c>
    </row>
    <row r="273" spans="1:6">
      <c r="A273" s="236"/>
      <c r="B273" s="244">
        <v>45204</v>
      </c>
      <c r="C273" s="238" t="s">
        <v>894</v>
      </c>
      <c r="D273" s="238" t="s">
        <v>971</v>
      </c>
      <c r="E273" s="239" t="s">
        <v>972</v>
      </c>
      <c r="F273" s="243">
        <v>23928.52</v>
      </c>
    </row>
    <row r="274" spans="1:6">
      <c r="A274" s="236"/>
      <c r="B274" s="244">
        <v>45204</v>
      </c>
      <c r="C274" s="238" t="s">
        <v>894</v>
      </c>
      <c r="D274" s="238" t="s">
        <v>935</v>
      </c>
      <c r="E274" s="239" t="s">
        <v>973</v>
      </c>
      <c r="F274" s="242">
        <v>-23928.52</v>
      </c>
    </row>
    <row r="275" spans="1:6">
      <c r="A275" s="236"/>
      <c r="B275" s="244">
        <v>45204</v>
      </c>
      <c r="C275" s="238" t="s">
        <v>894</v>
      </c>
      <c r="D275" s="238" t="s">
        <v>935</v>
      </c>
      <c r="E275" s="239" t="s">
        <v>974</v>
      </c>
      <c r="F275" s="242">
        <v>-23112.75</v>
      </c>
    </row>
    <row r="276" spans="1:6">
      <c r="A276" s="236"/>
      <c r="B276" s="244">
        <v>45204</v>
      </c>
      <c r="C276" s="238" t="s">
        <v>894</v>
      </c>
      <c r="D276" s="238" t="s">
        <v>935</v>
      </c>
      <c r="E276" s="239" t="s">
        <v>975</v>
      </c>
      <c r="F276" s="242">
        <v>-64476.19</v>
      </c>
    </row>
    <row r="277" spans="1:6">
      <c r="A277" s="236"/>
      <c r="B277" s="244">
        <v>45204</v>
      </c>
      <c r="C277" s="238" t="s">
        <v>894</v>
      </c>
      <c r="D277" s="238" t="s">
        <v>935</v>
      </c>
      <c r="E277" s="239" t="s">
        <v>976</v>
      </c>
      <c r="F277" s="242">
        <v>-40223.85</v>
      </c>
    </row>
    <row r="278" spans="1:6">
      <c r="A278" s="236"/>
      <c r="B278" s="244">
        <v>45204</v>
      </c>
      <c r="C278" s="238" t="s">
        <v>894</v>
      </c>
      <c r="D278" s="238" t="s">
        <v>964</v>
      </c>
      <c r="E278" s="239" t="s">
        <v>977</v>
      </c>
      <c r="F278" s="243">
        <v>23112.69</v>
      </c>
    </row>
    <row r="279" spans="1:6">
      <c r="A279" s="236"/>
      <c r="B279" s="244">
        <v>45204</v>
      </c>
      <c r="C279" s="238" t="s">
        <v>894</v>
      </c>
      <c r="D279" s="238" t="s">
        <v>964</v>
      </c>
      <c r="E279" s="239" t="s">
        <v>978</v>
      </c>
      <c r="F279" s="243">
        <v>23112.75</v>
      </c>
    </row>
    <row r="280" spans="1:6">
      <c r="A280" s="236"/>
      <c r="B280" s="244">
        <v>45204</v>
      </c>
      <c r="C280" s="238" t="s">
        <v>894</v>
      </c>
      <c r="D280" s="238" t="s">
        <v>979</v>
      </c>
      <c r="E280" s="239" t="s">
        <v>980</v>
      </c>
      <c r="F280" s="243">
        <v>12297.68</v>
      </c>
    </row>
    <row r="281" spans="1:6">
      <c r="A281" s="236"/>
      <c r="B281" s="244">
        <v>45204</v>
      </c>
      <c r="C281" s="238" t="s">
        <v>894</v>
      </c>
      <c r="D281" s="238" t="s">
        <v>981</v>
      </c>
      <c r="E281" s="239" t="s">
        <v>982</v>
      </c>
      <c r="F281" s="243">
        <v>40223.85</v>
      </c>
    </row>
    <row r="282" spans="1:6">
      <c r="A282" s="236"/>
      <c r="B282" s="244">
        <v>45204</v>
      </c>
      <c r="C282" s="238" t="s">
        <v>894</v>
      </c>
      <c r="D282" s="238" t="s">
        <v>902</v>
      </c>
      <c r="E282" s="239" t="s">
        <v>983</v>
      </c>
      <c r="F282" s="243">
        <v>26618.13</v>
      </c>
    </row>
    <row r="283" spans="1:6">
      <c r="A283" s="236"/>
      <c r="B283" s="244">
        <v>45204</v>
      </c>
      <c r="C283" s="238" t="s">
        <v>894</v>
      </c>
      <c r="D283" s="238" t="s">
        <v>937</v>
      </c>
      <c r="E283" s="239" t="s">
        <v>984</v>
      </c>
      <c r="F283" s="242">
        <v>-4823.28</v>
      </c>
    </row>
    <row r="284" spans="1:6">
      <c r="A284" s="236"/>
      <c r="B284" s="244">
        <v>45204</v>
      </c>
      <c r="C284" s="238" t="s">
        <v>894</v>
      </c>
      <c r="D284" s="238" t="s">
        <v>937</v>
      </c>
      <c r="E284" s="239" t="s">
        <v>985</v>
      </c>
      <c r="F284" s="242">
        <v>-23928.52</v>
      </c>
    </row>
    <row r="285" spans="1:6">
      <c r="A285" s="236"/>
      <c r="B285" s="244">
        <v>45204</v>
      </c>
      <c r="C285" s="238" t="s">
        <v>894</v>
      </c>
      <c r="D285" s="238" t="s">
        <v>937</v>
      </c>
      <c r="E285" s="239" t="s">
        <v>986</v>
      </c>
      <c r="F285" s="242">
        <v>-23112.69</v>
      </c>
    </row>
    <row r="286" spans="1:6">
      <c r="A286" s="236"/>
      <c r="B286" s="244">
        <v>45204</v>
      </c>
      <c r="C286" s="238" t="s">
        <v>894</v>
      </c>
      <c r="D286" s="238" t="s">
        <v>937</v>
      </c>
      <c r="E286" s="239" t="s">
        <v>987</v>
      </c>
      <c r="F286" s="242">
        <v>-12297.68</v>
      </c>
    </row>
    <row r="287" spans="1:6">
      <c r="A287" s="236"/>
      <c r="B287" s="244">
        <v>45204</v>
      </c>
      <c r="C287" s="238" t="s">
        <v>894</v>
      </c>
      <c r="D287" s="238" t="s">
        <v>937</v>
      </c>
      <c r="E287" s="239" t="s">
        <v>988</v>
      </c>
      <c r="F287" s="242">
        <v>-26618.13</v>
      </c>
    </row>
    <row r="288" spans="1:6">
      <c r="A288" s="236"/>
      <c r="B288" s="244">
        <v>45203</v>
      </c>
      <c r="C288" s="238" t="s">
        <v>894</v>
      </c>
      <c r="D288" s="238" t="s">
        <v>909</v>
      </c>
      <c r="E288" s="239" t="s">
        <v>989</v>
      </c>
      <c r="F288" s="240">
        <v>0</v>
      </c>
    </row>
    <row r="289" spans="1:6">
      <c r="A289" s="236"/>
      <c r="B289" s="244">
        <v>45203</v>
      </c>
      <c r="C289" s="238" t="s">
        <v>894</v>
      </c>
      <c r="D289" s="238" t="s">
        <v>935</v>
      </c>
      <c r="E289" s="239" t="s">
        <v>990</v>
      </c>
      <c r="F289" s="240">
        <v>0</v>
      </c>
    </row>
    <row r="290" spans="1:6">
      <c r="A290" s="236"/>
      <c r="B290" s="244">
        <v>45203</v>
      </c>
      <c r="C290" s="238" t="s">
        <v>894</v>
      </c>
      <c r="D290" s="238" t="s">
        <v>964</v>
      </c>
      <c r="E290" s="239" t="s">
        <v>991</v>
      </c>
      <c r="F290" s="240">
        <v>0</v>
      </c>
    </row>
    <row r="291" spans="1:6">
      <c r="A291" s="236"/>
      <c r="B291" s="244">
        <v>45202</v>
      </c>
      <c r="C291" s="238" t="s">
        <v>894</v>
      </c>
      <c r="D291" s="238" t="s">
        <v>935</v>
      </c>
      <c r="E291" s="239" t="s">
        <v>992</v>
      </c>
      <c r="F291" s="242">
        <v>-10704.84</v>
      </c>
    </row>
    <row r="292" spans="1:6">
      <c r="A292" s="236"/>
      <c r="B292" s="244">
        <v>45202</v>
      </c>
      <c r="C292" s="238" t="s">
        <v>894</v>
      </c>
      <c r="D292" s="238" t="s">
        <v>957</v>
      </c>
      <c r="E292" s="239" t="s">
        <v>993</v>
      </c>
      <c r="F292" s="243">
        <v>10704.84</v>
      </c>
    </row>
    <row r="293" spans="1:6">
      <c r="A293" s="236"/>
      <c r="B293" s="244">
        <v>45202</v>
      </c>
      <c r="C293" s="238" t="s">
        <v>894</v>
      </c>
      <c r="D293" s="238" t="s">
        <v>957</v>
      </c>
      <c r="E293" s="239" t="s">
        <v>994</v>
      </c>
      <c r="F293" s="243">
        <v>10704.85</v>
      </c>
    </row>
    <row r="294" spans="1:6">
      <c r="A294" s="236"/>
      <c r="B294" s="244">
        <v>45202</v>
      </c>
      <c r="C294" s="238" t="s">
        <v>894</v>
      </c>
      <c r="D294" s="238" t="s">
        <v>959</v>
      </c>
      <c r="E294" s="239" t="s">
        <v>995</v>
      </c>
      <c r="F294" s="243">
        <v>20446.95</v>
      </c>
    </row>
    <row r="295" spans="1:6">
      <c r="A295" s="236"/>
      <c r="B295" s="244">
        <v>45202</v>
      </c>
      <c r="C295" s="238" t="s">
        <v>894</v>
      </c>
      <c r="D295" s="238" t="s">
        <v>964</v>
      </c>
      <c r="E295" s="239" t="s">
        <v>996</v>
      </c>
      <c r="F295" s="242">
        <v>-10704.85</v>
      </c>
    </row>
    <row r="296" spans="1:6">
      <c r="A296" s="236"/>
      <c r="B296" s="244">
        <v>45202</v>
      </c>
      <c r="C296" s="238" t="s">
        <v>894</v>
      </c>
      <c r="D296" s="238" t="s">
        <v>937</v>
      </c>
      <c r="E296" s="239" t="s">
        <v>997</v>
      </c>
      <c r="F296" s="242">
        <v>-20446.95</v>
      </c>
    </row>
    <row r="297" spans="1:6">
      <c r="A297" s="236"/>
      <c r="B297" s="244">
        <v>45202</v>
      </c>
      <c r="C297" s="238" t="s">
        <v>894</v>
      </c>
      <c r="D297" s="238" t="s">
        <v>896</v>
      </c>
      <c r="E297" s="239" t="s">
        <v>939</v>
      </c>
      <c r="F297" s="241">
        <v>-528.02</v>
      </c>
    </row>
    <row r="298" spans="1:6">
      <c r="A298" s="236"/>
      <c r="B298" s="244">
        <v>45201</v>
      </c>
      <c r="C298" s="238" t="s">
        <v>894</v>
      </c>
      <c r="D298" s="238" t="s">
        <v>933</v>
      </c>
      <c r="E298" s="239" t="s">
        <v>934</v>
      </c>
      <c r="F298" s="241">
        <v>-72.430000000000007</v>
      </c>
    </row>
    <row r="299" spans="1:6">
      <c r="A299" s="236"/>
      <c r="B299" s="244">
        <v>45201</v>
      </c>
      <c r="C299" s="238" t="s">
        <v>894</v>
      </c>
      <c r="D299" s="238" t="s">
        <v>933</v>
      </c>
      <c r="E299" s="239" t="s">
        <v>895</v>
      </c>
      <c r="F299" s="240">
        <v>72.430000000000007</v>
      </c>
    </row>
    <row r="300" spans="1:6">
      <c r="A300" s="236"/>
      <c r="B300" s="244">
        <v>45201</v>
      </c>
      <c r="C300" s="238" t="s">
        <v>894</v>
      </c>
      <c r="D300" s="238" t="s">
        <v>998</v>
      </c>
      <c r="E300" s="239" t="s">
        <v>895</v>
      </c>
      <c r="F300" s="240">
        <v>53.24</v>
      </c>
    </row>
    <row r="301" spans="1:6">
      <c r="A301" s="236"/>
      <c r="B301" s="244">
        <v>45201</v>
      </c>
      <c r="C301" s="238" t="s">
        <v>894</v>
      </c>
      <c r="D301" s="238" t="s">
        <v>999</v>
      </c>
      <c r="E301" s="239" t="s">
        <v>895</v>
      </c>
      <c r="F301" s="240">
        <v>53.9</v>
      </c>
    </row>
    <row r="302" spans="1:6">
      <c r="A302" s="236"/>
      <c r="B302" s="244">
        <v>45201</v>
      </c>
      <c r="C302" s="238" t="s">
        <v>894</v>
      </c>
      <c r="D302" s="238" t="s">
        <v>1000</v>
      </c>
      <c r="E302" s="239" t="s">
        <v>895</v>
      </c>
      <c r="F302" s="240">
        <v>79.680000000000007</v>
      </c>
    </row>
    <row r="303" spans="1:6">
      <c r="A303" s="236"/>
      <c r="B303" s="244">
        <v>45201</v>
      </c>
      <c r="C303" s="238" t="s">
        <v>894</v>
      </c>
      <c r="D303" s="238" t="s">
        <v>914</v>
      </c>
      <c r="E303" s="239" t="s">
        <v>895</v>
      </c>
      <c r="F303" s="240">
        <v>136.62</v>
      </c>
    </row>
    <row r="304" spans="1:6">
      <c r="A304" s="236"/>
      <c r="B304" s="244">
        <v>45201</v>
      </c>
      <c r="C304" s="238" t="s">
        <v>894</v>
      </c>
      <c r="D304" s="238" t="s">
        <v>935</v>
      </c>
      <c r="E304" s="239" t="s">
        <v>895</v>
      </c>
      <c r="F304" s="240">
        <v>123.58</v>
      </c>
    </row>
    <row r="305" spans="1:6">
      <c r="A305" s="236"/>
      <c r="B305" s="244">
        <v>45201</v>
      </c>
      <c r="C305" s="238" t="s">
        <v>894</v>
      </c>
      <c r="D305" s="238" t="s">
        <v>957</v>
      </c>
      <c r="E305" s="239" t="s">
        <v>958</v>
      </c>
      <c r="F305" s="240">
        <v>81</v>
      </c>
    </row>
    <row r="306" spans="1:6">
      <c r="A306" s="236"/>
      <c r="B306" s="244">
        <v>45201</v>
      </c>
      <c r="C306" s="238" t="s">
        <v>894</v>
      </c>
      <c r="D306" s="238" t="s">
        <v>959</v>
      </c>
      <c r="E306" s="239" t="s">
        <v>1001</v>
      </c>
      <c r="F306" s="241">
        <v>-70.8</v>
      </c>
    </row>
    <row r="307" spans="1:6">
      <c r="A307" s="236"/>
      <c r="B307" s="244">
        <v>45201</v>
      </c>
      <c r="C307" s="238" t="s">
        <v>894</v>
      </c>
      <c r="D307" s="238" t="s">
        <v>959</v>
      </c>
      <c r="E307" s="239" t="s">
        <v>958</v>
      </c>
      <c r="F307" s="240">
        <v>70.8</v>
      </c>
    </row>
    <row r="308" spans="1:6">
      <c r="A308" s="236"/>
      <c r="B308" s="244">
        <v>45201</v>
      </c>
      <c r="C308" s="238" t="s">
        <v>894</v>
      </c>
      <c r="D308" s="238" t="s">
        <v>937</v>
      </c>
      <c r="E308" s="239" t="s">
        <v>938</v>
      </c>
      <c r="F308" s="241">
        <v>-208.2</v>
      </c>
    </row>
    <row r="309" spans="1:6">
      <c r="A309" s="236"/>
      <c r="B309" s="244">
        <v>45201</v>
      </c>
      <c r="C309" s="238" t="s">
        <v>894</v>
      </c>
      <c r="D309" s="238" t="s">
        <v>937</v>
      </c>
      <c r="E309" s="239" t="s">
        <v>895</v>
      </c>
      <c r="F309" s="240">
        <v>208.2</v>
      </c>
    </row>
    <row r="310" spans="1:6">
      <c r="A310" s="236"/>
      <c r="B310" s="244">
        <v>45198</v>
      </c>
      <c r="C310" s="238" t="s">
        <v>894</v>
      </c>
      <c r="D310" s="238" t="s">
        <v>918</v>
      </c>
      <c r="E310" s="239" t="s">
        <v>919</v>
      </c>
      <c r="F310" s="241">
        <v>-79.989999999999995</v>
      </c>
    </row>
    <row r="311" spans="1:6">
      <c r="A311" s="236"/>
      <c r="B311" s="244">
        <v>45198</v>
      </c>
      <c r="C311" s="238" t="s">
        <v>894</v>
      </c>
      <c r="D311" s="238" t="s">
        <v>918</v>
      </c>
      <c r="E311" s="239" t="s">
        <v>895</v>
      </c>
      <c r="F311" s="240">
        <v>79.989999999999995</v>
      </c>
    </row>
    <row r="312" spans="1:6">
      <c r="A312" s="236"/>
      <c r="B312" s="244">
        <v>45195</v>
      </c>
      <c r="C312" s="238" t="s">
        <v>894</v>
      </c>
      <c r="D312" s="238" t="s">
        <v>896</v>
      </c>
      <c r="E312" s="239" t="s">
        <v>939</v>
      </c>
      <c r="F312" s="241">
        <v>-248.81</v>
      </c>
    </row>
    <row r="313" spans="1:6">
      <c r="A313" s="236"/>
      <c r="B313" s="244">
        <v>45194</v>
      </c>
      <c r="C313" s="238" t="s">
        <v>894</v>
      </c>
      <c r="D313" s="238" t="s">
        <v>473</v>
      </c>
      <c r="E313" s="239" t="s">
        <v>895</v>
      </c>
      <c r="F313" s="240">
        <v>248.81</v>
      </c>
    </row>
    <row r="314" spans="1:6">
      <c r="A314" s="236"/>
      <c r="B314" s="244">
        <v>45194</v>
      </c>
      <c r="C314" s="238" t="s">
        <v>894</v>
      </c>
      <c r="D314" s="238" t="s">
        <v>896</v>
      </c>
      <c r="E314" s="239" t="s">
        <v>939</v>
      </c>
      <c r="F314" s="241">
        <v>-38.58</v>
      </c>
    </row>
    <row r="315" spans="1:6">
      <c r="A315" s="236"/>
      <c r="B315" s="244">
        <v>45191</v>
      </c>
      <c r="C315" s="238" t="s">
        <v>894</v>
      </c>
      <c r="D315" s="238" t="s">
        <v>898</v>
      </c>
      <c r="E315" s="239" t="s">
        <v>895</v>
      </c>
      <c r="F315" s="240">
        <v>38.58</v>
      </c>
    </row>
    <row r="316" spans="1:6">
      <c r="A316" s="236"/>
      <c r="B316" s="244">
        <v>45191</v>
      </c>
      <c r="C316" s="238" t="s">
        <v>894</v>
      </c>
      <c r="D316" s="238" t="s">
        <v>896</v>
      </c>
      <c r="E316" s="239" t="s">
        <v>939</v>
      </c>
      <c r="F316" s="241">
        <v>-125.19</v>
      </c>
    </row>
    <row r="317" spans="1:6">
      <c r="A317" s="236"/>
      <c r="B317" s="244">
        <v>45190</v>
      </c>
      <c r="C317" s="238" t="s">
        <v>894</v>
      </c>
      <c r="D317" s="238" t="s">
        <v>899</v>
      </c>
      <c r="E317" s="239" t="s">
        <v>895</v>
      </c>
      <c r="F317" s="240">
        <v>125.19</v>
      </c>
    </row>
    <row r="318" spans="1:6">
      <c r="A318" s="236"/>
      <c r="B318" s="244">
        <v>45188</v>
      </c>
      <c r="C318" s="238" t="s">
        <v>894</v>
      </c>
      <c r="D318" s="238" t="s">
        <v>931</v>
      </c>
      <c r="E318" s="239" t="s">
        <v>932</v>
      </c>
      <c r="F318" s="240">
        <v>77.77</v>
      </c>
    </row>
    <row r="319" spans="1:6">
      <c r="A319" s="236"/>
      <c r="B319" s="244">
        <v>45188</v>
      </c>
      <c r="C319" s="238" t="s">
        <v>894</v>
      </c>
      <c r="D319" s="238" t="s">
        <v>931</v>
      </c>
      <c r="E319" s="239" t="s">
        <v>952</v>
      </c>
      <c r="F319" s="241">
        <v>-77.77</v>
      </c>
    </row>
    <row r="320" spans="1:6">
      <c r="A320" s="236"/>
      <c r="B320" s="244">
        <v>45187</v>
      </c>
      <c r="C320" s="238" t="s">
        <v>894</v>
      </c>
      <c r="D320" s="238" t="s">
        <v>896</v>
      </c>
      <c r="E320" s="239" t="s">
        <v>939</v>
      </c>
      <c r="F320" s="241">
        <v>-158.4</v>
      </c>
    </row>
    <row r="321" spans="1:6">
      <c r="A321" s="236"/>
      <c r="B321" s="244">
        <v>45184</v>
      </c>
      <c r="C321" s="238" t="s">
        <v>894</v>
      </c>
      <c r="D321" s="238" t="s">
        <v>912</v>
      </c>
      <c r="E321" s="239" t="s">
        <v>895</v>
      </c>
      <c r="F321" s="240">
        <v>158.4</v>
      </c>
    </row>
    <row r="322" spans="1:6">
      <c r="A322" s="236"/>
      <c r="B322" s="244">
        <v>45182</v>
      </c>
      <c r="C322" s="238" t="s">
        <v>894</v>
      </c>
      <c r="D322" s="238" t="s">
        <v>896</v>
      </c>
      <c r="E322" s="239" t="s">
        <v>930</v>
      </c>
      <c r="F322" s="240">
        <v>436.35</v>
      </c>
    </row>
    <row r="323" spans="1:6">
      <c r="A323" s="236"/>
      <c r="B323" s="244">
        <v>45181</v>
      </c>
      <c r="C323" s="238" t="s">
        <v>894</v>
      </c>
      <c r="D323" s="238" t="s">
        <v>918</v>
      </c>
      <c r="E323" s="239" t="s">
        <v>1002</v>
      </c>
      <c r="F323" s="242">
        <v>-11380.43</v>
      </c>
    </row>
    <row r="324" spans="1:6">
      <c r="A324" s="236"/>
      <c r="B324" s="244">
        <v>45181</v>
      </c>
      <c r="C324" s="238" t="s">
        <v>894</v>
      </c>
      <c r="D324" s="238" t="s">
        <v>941</v>
      </c>
      <c r="E324" s="239" t="s">
        <v>1003</v>
      </c>
      <c r="F324" s="242">
        <v>-9759.25</v>
      </c>
    </row>
    <row r="325" spans="1:6">
      <c r="A325" s="236"/>
      <c r="B325" s="244">
        <v>45181</v>
      </c>
      <c r="C325" s="238" t="s">
        <v>894</v>
      </c>
      <c r="D325" s="238" t="s">
        <v>900</v>
      </c>
      <c r="E325" s="239" t="s">
        <v>1004</v>
      </c>
      <c r="F325" s="242">
        <v>-13273.6</v>
      </c>
    </row>
    <row r="326" spans="1:6">
      <c r="A326" s="236"/>
      <c r="B326" s="244">
        <v>45181</v>
      </c>
      <c r="C326" s="238" t="s">
        <v>894</v>
      </c>
      <c r="D326" s="238" t="s">
        <v>1005</v>
      </c>
      <c r="E326" s="239" t="s">
        <v>1006</v>
      </c>
      <c r="F326" s="243">
        <v>13014.42</v>
      </c>
    </row>
    <row r="327" spans="1:6">
      <c r="A327" s="236"/>
      <c r="B327" s="244">
        <v>45181</v>
      </c>
      <c r="C327" s="238" t="s">
        <v>894</v>
      </c>
      <c r="D327" s="238" t="s">
        <v>1007</v>
      </c>
      <c r="E327" s="239" t="s">
        <v>1008</v>
      </c>
      <c r="F327" s="243">
        <v>9700.08</v>
      </c>
    </row>
    <row r="328" spans="1:6">
      <c r="A328" s="236"/>
      <c r="B328" s="244">
        <v>45181</v>
      </c>
      <c r="C328" s="238" t="s">
        <v>894</v>
      </c>
      <c r="D328" s="238" t="s">
        <v>1009</v>
      </c>
      <c r="E328" s="239" t="s">
        <v>1010</v>
      </c>
      <c r="F328" s="243">
        <v>11262.43</v>
      </c>
    </row>
    <row r="329" spans="1:6">
      <c r="A329" s="236"/>
      <c r="B329" s="244">
        <v>45180</v>
      </c>
      <c r="C329" s="238" t="s">
        <v>894</v>
      </c>
      <c r="D329" s="238" t="s">
        <v>896</v>
      </c>
      <c r="E329" s="239" t="s">
        <v>939</v>
      </c>
      <c r="F329" s="242">
        <v>-1644.58</v>
      </c>
    </row>
    <row r="330" spans="1:6">
      <c r="A330" s="236"/>
      <c r="B330" s="244">
        <v>45177</v>
      </c>
      <c r="C330" s="238" t="s">
        <v>894</v>
      </c>
      <c r="D330" s="238" t="s">
        <v>933</v>
      </c>
      <c r="E330" s="239" t="s">
        <v>1011</v>
      </c>
      <c r="F330" s="242">
        <v>-25012</v>
      </c>
    </row>
    <row r="331" spans="1:6">
      <c r="A331" s="236"/>
      <c r="B331" s="244">
        <v>45177</v>
      </c>
      <c r="C331" s="238" t="s">
        <v>894</v>
      </c>
      <c r="D331" s="238" t="s">
        <v>896</v>
      </c>
      <c r="E331" s="239" t="s">
        <v>939</v>
      </c>
      <c r="F331" s="241">
        <v>-126.14</v>
      </c>
    </row>
    <row r="332" spans="1:6">
      <c r="A332" s="236"/>
      <c r="B332" s="244">
        <v>45176</v>
      </c>
      <c r="C332" s="238" t="s">
        <v>894</v>
      </c>
      <c r="D332" s="238" t="s">
        <v>1012</v>
      </c>
      <c r="E332" s="239" t="s">
        <v>895</v>
      </c>
      <c r="F332" s="240">
        <v>126.14</v>
      </c>
    </row>
    <row r="333" spans="1:6">
      <c r="A333" s="236"/>
      <c r="B333" s="244">
        <v>45175</v>
      </c>
      <c r="C333" s="238" t="s">
        <v>894</v>
      </c>
      <c r="D333" s="238" t="s">
        <v>1012</v>
      </c>
      <c r="E333" s="239" t="s">
        <v>1013</v>
      </c>
      <c r="F333" s="243">
        <v>16830.66</v>
      </c>
    </row>
    <row r="334" spans="1:6">
      <c r="A334" s="236"/>
      <c r="B334" s="244">
        <v>45175</v>
      </c>
      <c r="C334" s="238" t="s">
        <v>894</v>
      </c>
      <c r="D334" s="238" t="s">
        <v>357</v>
      </c>
      <c r="E334" s="239" t="s">
        <v>1014</v>
      </c>
      <c r="F334" s="243">
        <v>9825.92</v>
      </c>
    </row>
    <row r="335" spans="1:6">
      <c r="A335" s="236"/>
      <c r="B335" s="244">
        <v>45174</v>
      </c>
      <c r="C335" s="238" t="s">
        <v>894</v>
      </c>
      <c r="D335" s="238" t="s">
        <v>896</v>
      </c>
      <c r="E335" s="239" t="s">
        <v>939</v>
      </c>
      <c r="F335" s="241">
        <v>-208.74</v>
      </c>
    </row>
    <row r="336" spans="1:6">
      <c r="A336" s="236"/>
      <c r="B336" s="244">
        <v>45170</v>
      </c>
      <c r="C336" s="238" t="s">
        <v>894</v>
      </c>
      <c r="D336" s="238" t="s">
        <v>935</v>
      </c>
      <c r="E336" s="239" t="s">
        <v>895</v>
      </c>
      <c r="F336" s="240">
        <v>127.83</v>
      </c>
    </row>
    <row r="337" spans="1:6">
      <c r="A337" s="236"/>
      <c r="B337" s="244">
        <v>45170</v>
      </c>
      <c r="C337" s="238" t="s">
        <v>894</v>
      </c>
      <c r="D337" s="238" t="s">
        <v>957</v>
      </c>
      <c r="E337" s="239" t="s">
        <v>958</v>
      </c>
      <c r="F337" s="240">
        <v>80.91</v>
      </c>
    </row>
    <row r="338" spans="1:6">
      <c r="A338" s="236"/>
      <c r="B338" s="244">
        <v>45170</v>
      </c>
      <c r="C338" s="238" t="s">
        <v>894</v>
      </c>
      <c r="D338" s="238" t="s">
        <v>959</v>
      </c>
      <c r="E338" s="239" t="s">
        <v>1001</v>
      </c>
      <c r="F338" s="241">
        <v>-70.680000000000007</v>
      </c>
    </row>
    <row r="339" spans="1:6">
      <c r="A339" s="236"/>
      <c r="B339" s="244">
        <v>45170</v>
      </c>
      <c r="C339" s="238" t="s">
        <v>894</v>
      </c>
      <c r="D339" s="238" t="s">
        <v>959</v>
      </c>
      <c r="E339" s="239" t="s">
        <v>958</v>
      </c>
      <c r="F339" s="240">
        <v>70.680000000000007</v>
      </c>
    </row>
    <row r="340" spans="1:6">
      <c r="A340" s="236"/>
      <c r="B340" s="244">
        <v>45170</v>
      </c>
      <c r="C340" s="238" t="s">
        <v>894</v>
      </c>
      <c r="D340" s="238" t="s">
        <v>937</v>
      </c>
      <c r="E340" s="239" t="s">
        <v>938</v>
      </c>
      <c r="F340" s="241">
        <v>-206.15</v>
      </c>
    </row>
    <row r="341" spans="1:6">
      <c r="A341" s="236"/>
      <c r="B341" s="244">
        <v>45170</v>
      </c>
      <c r="C341" s="238" t="s">
        <v>894</v>
      </c>
      <c r="D341" s="238" t="s">
        <v>937</v>
      </c>
      <c r="E341" s="239" t="s">
        <v>895</v>
      </c>
      <c r="F341" s="240">
        <v>206.15</v>
      </c>
    </row>
    <row r="342" spans="1:6">
      <c r="A342" s="236"/>
      <c r="B342" s="244">
        <v>45170</v>
      </c>
      <c r="C342" s="238" t="s">
        <v>894</v>
      </c>
      <c r="D342" s="238" t="s">
        <v>896</v>
      </c>
      <c r="E342" s="239" t="s">
        <v>939</v>
      </c>
      <c r="F342" s="241">
        <v>-287.57</v>
      </c>
    </row>
    <row r="343" spans="1:6">
      <c r="A343" s="236"/>
      <c r="B343" s="244">
        <v>45169</v>
      </c>
      <c r="C343" s="238" t="s">
        <v>894</v>
      </c>
      <c r="D343" s="238" t="s">
        <v>926</v>
      </c>
      <c r="E343" s="239" t="s">
        <v>927</v>
      </c>
      <c r="F343" s="241">
        <v>-2.15</v>
      </c>
    </row>
    <row r="344" spans="1:6">
      <c r="A344" s="236"/>
      <c r="B344" s="244">
        <v>45169</v>
      </c>
      <c r="C344" s="238" t="s">
        <v>894</v>
      </c>
      <c r="D344" s="238" t="s">
        <v>926</v>
      </c>
      <c r="E344" s="239" t="s">
        <v>929</v>
      </c>
      <c r="F344" s="240">
        <v>203.6</v>
      </c>
    </row>
    <row r="345" spans="1:6">
      <c r="A345" s="236"/>
      <c r="B345" s="244">
        <v>45169</v>
      </c>
      <c r="C345" s="238" t="s">
        <v>894</v>
      </c>
      <c r="D345" s="238" t="s">
        <v>940</v>
      </c>
      <c r="E345" s="239" t="s">
        <v>895</v>
      </c>
      <c r="F345" s="240">
        <v>86.12</v>
      </c>
    </row>
    <row r="346" spans="1:6">
      <c r="A346" s="236"/>
      <c r="B346" s="244">
        <v>45166</v>
      </c>
      <c r="C346" s="238" t="s">
        <v>894</v>
      </c>
      <c r="D346" s="238" t="s">
        <v>896</v>
      </c>
      <c r="E346" s="239" t="s">
        <v>939</v>
      </c>
      <c r="F346" s="241">
        <v>-40.4</v>
      </c>
    </row>
    <row r="347" spans="1:6">
      <c r="A347" s="236"/>
      <c r="B347" s="244">
        <v>45163</v>
      </c>
      <c r="C347" s="238" t="s">
        <v>894</v>
      </c>
      <c r="D347" s="238" t="s">
        <v>898</v>
      </c>
      <c r="E347" s="239" t="s">
        <v>895</v>
      </c>
      <c r="F347" s="240">
        <v>40.4</v>
      </c>
    </row>
    <row r="348" spans="1:6">
      <c r="A348" s="236"/>
      <c r="B348" s="244">
        <v>45160</v>
      </c>
      <c r="C348" s="238" t="s">
        <v>894</v>
      </c>
      <c r="D348" s="238" t="s">
        <v>896</v>
      </c>
      <c r="E348" s="239" t="s">
        <v>939</v>
      </c>
      <c r="F348" s="241">
        <v>-279.62</v>
      </c>
    </row>
    <row r="349" spans="1:6">
      <c r="A349" s="236"/>
      <c r="B349" s="244">
        <v>45159</v>
      </c>
      <c r="C349" s="238" t="s">
        <v>894</v>
      </c>
      <c r="D349" s="238" t="s">
        <v>949</v>
      </c>
      <c r="E349" s="239" t="s">
        <v>950</v>
      </c>
      <c r="F349" s="240">
        <v>279.62</v>
      </c>
    </row>
    <row r="350" spans="1:6">
      <c r="A350" s="236"/>
      <c r="B350" s="244">
        <v>45155</v>
      </c>
      <c r="C350" s="238" t="s">
        <v>894</v>
      </c>
      <c r="D350" s="238" t="s">
        <v>896</v>
      </c>
      <c r="E350" s="239" t="s">
        <v>939</v>
      </c>
      <c r="F350" s="241">
        <v>-27.65</v>
      </c>
    </row>
    <row r="351" spans="1:6">
      <c r="A351" s="236"/>
      <c r="B351" s="244">
        <v>45154</v>
      </c>
      <c r="C351" s="238" t="s">
        <v>894</v>
      </c>
      <c r="D351" s="238" t="s">
        <v>951</v>
      </c>
      <c r="E351" s="239" t="s">
        <v>895</v>
      </c>
      <c r="F351" s="240">
        <v>27.65</v>
      </c>
    </row>
    <row r="352" spans="1:6">
      <c r="A352" s="236"/>
      <c r="B352" s="244">
        <v>45154</v>
      </c>
      <c r="C352" s="238" t="s">
        <v>894</v>
      </c>
      <c r="D352" s="238" t="s">
        <v>896</v>
      </c>
      <c r="E352" s="239" t="s">
        <v>939</v>
      </c>
      <c r="F352" s="241">
        <v>-222</v>
      </c>
    </row>
    <row r="353" spans="1:6">
      <c r="A353" s="236"/>
      <c r="B353" s="244">
        <v>45154</v>
      </c>
      <c r="C353" s="238" t="s">
        <v>894</v>
      </c>
      <c r="D353" s="238" t="s">
        <v>931</v>
      </c>
      <c r="E353" s="239" t="s">
        <v>932</v>
      </c>
      <c r="F353" s="240">
        <v>67.599999999999994</v>
      </c>
    </row>
    <row r="354" spans="1:6">
      <c r="A354" s="236"/>
      <c r="B354" s="244">
        <v>45154</v>
      </c>
      <c r="C354" s="238" t="s">
        <v>894</v>
      </c>
      <c r="D354" s="238" t="s">
        <v>931</v>
      </c>
      <c r="E354" s="239" t="s">
        <v>952</v>
      </c>
      <c r="F354" s="241">
        <v>-67.599999999999994</v>
      </c>
    </row>
    <row r="355" spans="1:6">
      <c r="A355" s="236"/>
      <c r="B355" s="244">
        <v>45153</v>
      </c>
      <c r="C355" s="238" t="s">
        <v>894</v>
      </c>
      <c r="D355" s="238" t="s">
        <v>953</v>
      </c>
      <c r="E355" s="239" t="s">
        <v>895</v>
      </c>
      <c r="F355" s="240">
        <v>222</v>
      </c>
    </row>
    <row r="356" spans="1:6">
      <c r="A356" s="236"/>
      <c r="B356" s="244">
        <v>45153</v>
      </c>
      <c r="C356" s="238" t="s">
        <v>894</v>
      </c>
      <c r="D356" s="238" t="s">
        <v>896</v>
      </c>
      <c r="E356" s="239" t="s">
        <v>939</v>
      </c>
      <c r="F356" s="241">
        <v>-43.4</v>
      </c>
    </row>
    <row r="357" spans="1:6">
      <c r="A357" s="236"/>
      <c r="B357" s="244">
        <v>45152</v>
      </c>
      <c r="C357" s="238" t="s">
        <v>894</v>
      </c>
      <c r="D357" s="238" t="s">
        <v>954</v>
      </c>
      <c r="E357" s="239" t="s">
        <v>895</v>
      </c>
      <c r="F357" s="240">
        <v>43.4</v>
      </c>
    </row>
    <row r="358" spans="1:6">
      <c r="A358" s="236"/>
      <c r="B358" s="244">
        <v>45140</v>
      </c>
      <c r="C358" s="238" t="s">
        <v>894</v>
      </c>
      <c r="D358" s="238" t="s">
        <v>896</v>
      </c>
      <c r="E358" s="239" t="s">
        <v>939</v>
      </c>
      <c r="F358" s="241">
        <v>-235.93</v>
      </c>
    </row>
    <row r="359" spans="1:6">
      <c r="A359" s="236"/>
      <c r="B359" s="244">
        <v>45139</v>
      </c>
      <c r="C359" s="238" t="s">
        <v>894</v>
      </c>
      <c r="D359" s="238" t="s">
        <v>935</v>
      </c>
      <c r="E359" s="239" t="s">
        <v>895</v>
      </c>
      <c r="F359" s="240">
        <v>155.02000000000001</v>
      </c>
    </row>
    <row r="360" spans="1:6">
      <c r="A360" s="236"/>
      <c r="B360" s="244">
        <v>45139</v>
      </c>
      <c r="C360" s="238" t="s">
        <v>894</v>
      </c>
      <c r="D360" s="238" t="s">
        <v>957</v>
      </c>
      <c r="E360" s="239" t="s">
        <v>958</v>
      </c>
      <c r="F360" s="240">
        <v>80.91</v>
      </c>
    </row>
    <row r="361" spans="1:6">
      <c r="A361" s="236"/>
      <c r="B361" s="244">
        <v>45139</v>
      </c>
      <c r="C361" s="238" t="s">
        <v>894</v>
      </c>
      <c r="D361" s="238" t="s">
        <v>959</v>
      </c>
      <c r="E361" s="239" t="s">
        <v>1001</v>
      </c>
      <c r="F361" s="241">
        <v>-72.14</v>
      </c>
    </row>
    <row r="362" spans="1:6">
      <c r="A362" s="236"/>
      <c r="B362" s="244">
        <v>45139</v>
      </c>
      <c r="C362" s="238" t="s">
        <v>894</v>
      </c>
      <c r="D362" s="238" t="s">
        <v>959</v>
      </c>
      <c r="E362" s="239" t="s">
        <v>958</v>
      </c>
      <c r="F362" s="240">
        <v>72.14</v>
      </c>
    </row>
    <row r="363" spans="1:6">
      <c r="A363" s="236"/>
      <c r="B363" s="244">
        <v>45139</v>
      </c>
      <c r="C363" s="238" t="s">
        <v>894</v>
      </c>
      <c r="D363" s="238" t="s">
        <v>937</v>
      </c>
      <c r="E363" s="239" t="s">
        <v>938</v>
      </c>
      <c r="F363" s="241">
        <v>-254.98</v>
      </c>
    </row>
    <row r="364" spans="1:6">
      <c r="A364" s="236"/>
      <c r="B364" s="244">
        <v>45139</v>
      </c>
      <c r="C364" s="238" t="s">
        <v>894</v>
      </c>
      <c r="D364" s="238" t="s">
        <v>937</v>
      </c>
      <c r="E364" s="239" t="s">
        <v>895</v>
      </c>
      <c r="F364" s="240">
        <v>254.98</v>
      </c>
    </row>
    <row r="365" spans="1:6">
      <c r="A365" s="236"/>
      <c r="B365" s="244">
        <v>45138</v>
      </c>
      <c r="C365" s="238" t="s">
        <v>894</v>
      </c>
      <c r="D365" s="238" t="s">
        <v>896</v>
      </c>
      <c r="E365" s="239" t="s">
        <v>939</v>
      </c>
      <c r="F365" s="241">
        <v>-41.32</v>
      </c>
    </row>
    <row r="366" spans="1:6">
      <c r="A366" s="236"/>
      <c r="B366" s="244">
        <v>45135</v>
      </c>
      <c r="C366" s="238" t="s">
        <v>894</v>
      </c>
      <c r="D366" s="238" t="s">
        <v>898</v>
      </c>
      <c r="E366" s="239" t="s">
        <v>895</v>
      </c>
      <c r="F366" s="240">
        <v>41.32</v>
      </c>
    </row>
    <row r="367" spans="1:6">
      <c r="A367" s="236"/>
      <c r="B367" s="244">
        <v>45133</v>
      </c>
      <c r="C367" s="238" t="s">
        <v>894</v>
      </c>
      <c r="D367" s="238" t="s">
        <v>896</v>
      </c>
      <c r="E367" s="239" t="s">
        <v>939</v>
      </c>
      <c r="F367" s="241">
        <v>-46.02</v>
      </c>
    </row>
    <row r="368" spans="1:6">
      <c r="A368" s="236"/>
      <c r="B368" s="244">
        <v>45132</v>
      </c>
      <c r="C368" s="238" t="s">
        <v>894</v>
      </c>
      <c r="D368" s="238" t="s">
        <v>357</v>
      </c>
      <c r="E368" s="239" t="s">
        <v>895</v>
      </c>
      <c r="F368" s="240">
        <v>46.02</v>
      </c>
    </row>
    <row r="369" spans="1:6">
      <c r="A369" s="236"/>
      <c r="B369" s="244">
        <v>45125</v>
      </c>
      <c r="C369" s="238" t="s">
        <v>894</v>
      </c>
      <c r="D369" s="238" t="s">
        <v>896</v>
      </c>
      <c r="E369" s="239" t="s">
        <v>939</v>
      </c>
      <c r="F369" s="242">
        <v>-4798.2700000000004</v>
      </c>
    </row>
    <row r="370" spans="1:6">
      <c r="A370" s="236"/>
      <c r="B370" s="244">
        <v>45124</v>
      </c>
      <c r="C370" s="238" t="s">
        <v>894</v>
      </c>
      <c r="D370" s="238" t="s">
        <v>935</v>
      </c>
      <c r="E370" s="239" t="s">
        <v>1015</v>
      </c>
      <c r="F370" s="243">
        <v>11551.4</v>
      </c>
    </row>
    <row r="371" spans="1:6">
      <c r="A371" s="236"/>
      <c r="B371" s="244">
        <v>45124</v>
      </c>
      <c r="C371" s="238" t="s">
        <v>894</v>
      </c>
      <c r="D371" s="238" t="s">
        <v>1007</v>
      </c>
      <c r="E371" s="239" t="s">
        <v>1016</v>
      </c>
      <c r="F371" s="242">
        <v>-9908.66</v>
      </c>
    </row>
    <row r="372" spans="1:6">
      <c r="A372" s="236"/>
      <c r="B372" s="244">
        <v>45124</v>
      </c>
      <c r="C372" s="238" t="s">
        <v>894</v>
      </c>
      <c r="D372" s="238" t="s">
        <v>1009</v>
      </c>
      <c r="E372" s="239" t="s">
        <v>1017</v>
      </c>
      <c r="F372" s="242">
        <v>-11551.4</v>
      </c>
    </row>
    <row r="373" spans="1:6">
      <c r="A373" s="236"/>
      <c r="B373" s="244">
        <v>45124</v>
      </c>
      <c r="C373" s="238" t="s">
        <v>894</v>
      </c>
      <c r="D373" s="238" t="s">
        <v>937</v>
      </c>
      <c r="E373" s="239" t="s">
        <v>1018</v>
      </c>
      <c r="F373" s="243">
        <v>9842.07</v>
      </c>
    </row>
    <row r="374" spans="1:6">
      <c r="A374" s="236"/>
      <c r="B374" s="244">
        <v>45124</v>
      </c>
      <c r="C374" s="238" t="s">
        <v>894</v>
      </c>
      <c r="D374" s="238" t="s">
        <v>931</v>
      </c>
      <c r="E374" s="239" t="s">
        <v>932</v>
      </c>
      <c r="F374" s="240">
        <v>213.67</v>
      </c>
    </row>
    <row r="375" spans="1:6">
      <c r="A375" s="236"/>
      <c r="B375" s="244">
        <v>45124</v>
      </c>
      <c r="C375" s="238" t="s">
        <v>894</v>
      </c>
      <c r="D375" s="238" t="s">
        <v>931</v>
      </c>
      <c r="E375" s="239" t="s">
        <v>952</v>
      </c>
      <c r="F375" s="241">
        <v>-213.67</v>
      </c>
    </row>
    <row r="376" spans="1:6">
      <c r="A376" s="236"/>
      <c r="B376" s="244">
        <v>45121</v>
      </c>
      <c r="C376" s="238" t="s">
        <v>894</v>
      </c>
      <c r="D376" s="238" t="s">
        <v>935</v>
      </c>
      <c r="E376" s="239" t="s">
        <v>1019</v>
      </c>
      <c r="F376" s="243">
        <v>2171.3200000000002</v>
      </c>
    </row>
    <row r="377" spans="1:6">
      <c r="A377" s="236"/>
      <c r="B377" s="244">
        <v>45121</v>
      </c>
      <c r="C377" s="238" t="s">
        <v>894</v>
      </c>
      <c r="D377" s="238" t="s">
        <v>959</v>
      </c>
      <c r="E377" s="239" t="s">
        <v>1020</v>
      </c>
      <c r="F377" s="243">
        <v>1141.71</v>
      </c>
    </row>
    <row r="378" spans="1:6">
      <c r="A378" s="236"/>
      <c r="B378" s="244">
        <v>45121</v>
      </c>
      <c r="C378" s="238" t="s">
        <v>894</v>
      </c>
      <c r="D378" s="238" t="s">
        <v>1007</v>
      </c>
      <c r="E378" s="239" t="s">
        <v>1021</v>
      </c>
      <c r="F378" s="241">
        <v>-57</v>
      </c>
    </row>
    <row r="379" spans="1:6">
      <c r="A379" s="236"/>
      <c r="B379" s="244">
        <v>45121</v>
      </c>
      <c r="C379" s="238" t="s">
        <v>894</v>
      </c>
      <c r="D379" s="238" t="s">
        <v>1007</v>
      </c>
      <c r="E379" s="239" t="s">
        <v>1022</v>
      </c>
      <c r="F379" s="241">
        <v>-93.13</v>
      </c>
    </row>
    <row r="380" spans="1:6">
      <c r="A380" s="236"/>
      <c r="B380" s="244">
        <v>45121</v>
      </c>
      <c r="C380" s="238" t="s">
        <v>894</v>
      </c>
      <c r="D380" s="238" t="s">
        <v>1009</v>
      </c>
      <c r="E380" s="239" t="s">
        <v>1023</v>
      </c>
      <c r="F380" s="241">
        <v>-108.57</v>
      </c>
    </row>
    <row r="381" spans="1:6">
      <c r="A381" s="236"/>
      <c r="B381" s="244">
        <v>45121</v>
      </c>
      <c r="C381" s="238" t="s">
        <v>894</v>
      </c>
      <c r="D381" s="238" t="s">
        <v>937</v>
      </c>
      <c r="E381" s="239" t="s">
        <v>1024</v>
      </c>
      <c r="F381" s="243">
        <v>1810.53</v>
      </c>
    </row>
    <row r="382" spans="1:6">
      <c r="A382" s="236"/>
      <c r="B382" s="244">
        <v>45118</v>
      </c>
      <c r="C382" s="238" t="s">
        <v>894</v>
      </c>
      <c r="D382" s="238" t="s">
        <v>896</v>
      </c>
      <c r="E382" s="239" t="s">
        <v>930</v>
      </c>
      <c r="F382" s="243">
        <v>37909.230000000003</v>
      </c>
    </row>
    <row r="383" spans="1:6">
      <c r="A383" s="236"/>
      <c r="B383" s="244">
        <v>45118</v>
      </c>
      <c r="C383" s="238" t="s">
        <v>894</v>
      </c>
      <c r="D383" s="238" t="s">
        <v>896</v>
      </c>
      <c r="E383" s="239" t="s">
        <v>967</v>
      </c>
      <c r="F383" s="242">
        <v>-1965</v>
      </c>
    </row>
    <row r="384" spans="1:6">
      <c r="A384" s="236"/>
      <c r="B384" s="244">
        <v>45117</v>
      </c>
      <c r="C384" s="238" t="s">
        <v>894</v>
      </c>
      <c r="D384" s="238" t="s">
        <v>968</v>
      </c>
      <c r="E384" s="239" t="s">
        <v>895</v>
      </c>
      <c r="F384" s="240">
        <v>98.55</v>
      </c>
    </row>
    <row r="385" spans="1:6">
      <c r="A385" s="236"/>
      <c r="B385" s="244">
        <v>45117</v>
      </c>
      <c r="C385" s="238" t="s">
        <v>894</v>
      </c>
      <c r="D385" s="238" t="s">
        <v>1025</v>
      </c>
      <c r="E385" s="239" t="s">
        <v>895</v>
      </c>
      <c r="F385" s="240">
        <v>24.05</v>
      </c>
    </row>
    <row r="386" spans="1:6">
      <c r="A386" s="236"/>
      <c r="B386" s="244">
        <v>45117</v>
      </c>
      <c r="C386" s="238" t="s">
        <v>894</v>
      </c>
      <c r="D386" s="238" t="s">
        <v>1026</v>
      </c>
      <c r="E386" s="239" t="s">
        <v>895</v>
      </c>
      <c r="F386" s="240">
        <v>56.45</v>
      </c>
    </row>
    <row r="387" spans="1:6">
      <c r="A387" s="236"/>
      <c r="B387" s="244">
        <v>45117</v>
      </c>
      <c r="C387" s="238" t="s">
        <v>894</v>
      </c>
      <c r="D387" s="238" t="s">
        <v>896</v>
      </c>
      <c r="E387" s="239" t="s">
        <v>930</v>
      </c>
      <c r="F387" s="243">
        <v>53759.07</v>
      </c>
    </row>
    <row r="388" spans="1:6">
      <c r="A388" s="236"/>
      <c r="B388" s="244">
        <v>45114</v>
      </c>
      <c r="C388" s="238" t="s">
        <v>894</v>
      </c>
      <c r="D388" s="238" t="s">
        <v>956</v>
      </c>
      <c r="E388" s="239" t="s">
        <v>1027</v>
      </c>
      <c r="F388" s="242">
        <v>-17990.88</v>
      </c>
    </row>
    <row r="389" spans="1:6">
      <c r="A389" s="236"/>
      <c r="B389" s="244">
        <v>45114</v>
      </c>
      <c r="C389" s="238" t="s">
        <v>894</v>
      </c>
      <c r="D389" s="238" t="s">
        <v>912</v>
      </c>
      <c r="E389" s="239" t="s">
        <v>1028</v>
      </c>
      <c r="F389" s="242">
        <v>-17953.349999999999</v>
      </c>
    </row>
    <row r="390" spans="1:6">
      <c r="A390" s="236"/>
      <c r="B390" s="244">
        <v>45113</v>
      </c>
      <c r="C390" s="238" t="s">
        <v>894</v>
      </c>
      <c r="D390" s="238" t="s">
        <v>473</v>
      </c>
      <c r="E390" s="239" t="s">
        <v>1029</v>
      </c>
      <c r="F390" s="242">
        <v>-17954.490000000002</v>
      </c>
    </row>
    <row r="391" spans="1:6">
      <c r="A391" s="236"/>
      <c r="B391" s="244">
        <v>45113</v>
      </c>
      <c r="C391" s="238" t="s">
        <v>894</v>
      </c>
      <c r="D391" s="238" t="s">
        <v>1000</v>
      </c>
      <c r="E391" s="239" t="s">
        <v>1030</v>
      </c>
      <c r="F391" s="242">
        <v>-17986.400000000001</v>
      </c>
    </row>
    <row r="392" spans="1:6">
      <c r="A392" s="236"/>
      <c r="B392" s="244">
        <v>45113</v>
      </c>
      <c r="C392" s="238" t="s">
        <v>894</v>
      </c>
      <c r="D392" s="238" t="s">
        <v>914</v>
      </c>
      <c r="E392" s="239" t="s">
        <v>1031</v>
      </c>
      <c r="F392" s="242">
        <v>-17997.23</v>
      </c>
    </row>
    <row r="393" spans="1:6">
      <c r="A393" s="236"/>
      <c r="B393" s="244">
        <v>45112</v>
      </c>
      <c r="C393" s="238" t="s">
        <v>894</v>
      </c>
      <c r="D393" s="238" t="s">
        <v>896</v>
      </c>
      <c r="E393" s="239" t="s">
        <v>939</v>
      </c>
      <c r="F393" s="241">
        <v>-427.49</v>
      </c>
    </row>
    <row r="394" spans="1:6">
      <c r="A394" s="236"/>
      <c r="B394" s="244">
        <v>45110</v>
      </c>
      <c r="C394" s="238" t="s">
        <v>894</v>
      </c>
      <c r="D394" s="238" t="s">
        <v>935</v>
      </c>
      <c r="E394" s="239" t="s">
        <v>895</v>
      </c>
      <c r="F394" s="240">
        <v>349.19</v>
      </c>
    </row>
    <row r="395" spans="1:6">
      <c r="A395" s="236"/>
      <c r="B395" s="244">
        <v>45110</v>
      </c>
      <c r="C395" s="238" t="s">
        <v>894</v>
      </c>
      <c r="D395" s="238" t="s">
        <v>957</v>
      </c>
      <c r="E395" s="239" t="s">
        <v>958</v>
      </c>
      <c r="F395" s="240">
        <v>78.3</v>
      </c>
    </row>
    <row r="396" spans="1:6">
      <c r="A396" s="236"/>
      <c r="B396" s="244">
        <v>45110</v>
      </c>
      <c r="C396" s="238" t="s">
        <v>894</v>
      </c>
      <c r="D396" s="238" t="s">
        <v>959</v>
      </c>
      <c r="E396" s="239" t="s">
        <v>1001</v>
      </c>
      <c r="F396" s="241">
        <v>-73.8</v>
      </c>
    </row>
    <row r="397" spans="1:6">
      <c r="A397" s="236"/>
      <c r="B397" s="244">
        <v>45110</v>
      </c>
      <c r="C397" s="238" t="s">
        <v>894</v>
      </c>
      <c r="D397" s="238" t="s">
        <v>959</v>
      </c>
      <c r="E397" s="239" t="s">
        <v>958</v>
      </c>
      <c r="F397" s="240">
        <v>73.8</v>
      </c>
    </row>
    <row r="398" spans="1:6">
      <c r="A398" s="236"/>
      <c r="B398" s="244">
        <v>45110</v>
      </c>
      <c r="C398" s="238" t="s">
        <v>894</v>
      </c>
      <c r="D398" s="238" t="s">
        <v>937</v>
      </c>
      <c r="E398" s="239" t="s">
        <v>938</v>
      </c>
      <c r="F398" s="241">
        <v>-75.87</v>
      </c>
    </row>
    <row r="399" spans="1:6">
      <c r="A399" s="236"/>
      <c r="B399" s="244">
        <v>45110</v>
      </c>
      <c r="C399" s="238" t="s">
        <v>894</v>
      </c>
      <c r="D399" s="238" t="s">
        <v>937</v>
      </c>
      <c r="E399" s="239" t="s">
        <v>895</v>
      </c>
      <c r="F399" s="240">
        <v>75.87</v>
      </c>
    </row>
    <row r="400" spans="1:6">
      <c r="A400" s="236"/>
      <c r="B400" s="244">
        <v>45103</v>
      </c>
      <c r="C400" s="238" t="s">
        <v>894</v>
      </c>
      <c r="D400" s="238" t="s">
        <v>896</v>
      </c>
      <c r="E400" s="239" t="s">
        <v>939</v>
      </c>
      <c r="F400" s="241">
        <v>-177.22</v>
      </c>
    </row>
    <row r="401" spans="1:6">
      <c r="A401" s="236"/>
      <c r="B401" s="244">
        <v>45100</v>
      </c>
      <c r="C401" s="238" t="s">
        <v>894</v>
      </c>
      <c r="D401" s="238" t="s">
        <v>899</v>
      </c>
      <c r="E401" s="239" t="s">
        <v>895</v>
      </c>
      <c r="F401" s="240">
        <v>135.71</v>
      </c>
    </row>
    <row r="402" spans="1:6">
      <c r="A402" s="236"/>
      <c r="B402" s="244">
        <v>45100</v>
      </c>
      <c r="C402" s="238" t="s">
        <v>894</v>
      </c>
      <c r="D402" s="238" t="s">
        <v>898</v>
      </c>
      <c r="E402" s="239" t="s">
        <v>895</v>
      </c>
      <c r="F402" s="240">
        <v>41.51</v>
      </c>
    </row>
    <row r="403" spans="1:6">
      <c r="A403" s="236"/>
      <c r="B403" s="244">
        <v>45099</v>
      </c>
      <c r="C403" s="238" t="s">
        <v>894</v>
      </c>
      <c r="D403" s="238" t="s">
        <v>896</v>
      </c>
      <c r="E403" s="239" t="s">
        <v>930</v>
      </c>
      <c r="F403" s="240">
        <v>156</v>
      </c>
    </row>
    <row r="404" spans="1:6">
      <c r="A404" s="236"/>
      <c r="B404" s="244">
        <v>45098</v>
      </c>
      <c r="C404" s="238" t="s">
        <v>894</v>
      </c>
      <c r="D404" s="238" t="s">
        <v>971</v>
      </c>
      <c r="E404" s="239" t="s">
        <v>1032</v>
      </c>
      <c r="F404" s="240">
        <v>0</v>
      </c>
    </row>
    <row r="405" spans="1:6">
      <c r="A405" s="236"/>
      <c r="B405" s="244">
        <v>45098</v>
      </c>
      <c r="C405" s="238" t="s">
        <v>894</v>
      </c>
      <c r="D405" s="238" t="s">
        <v>1005</v>
      </c>
      <c r="E405" s="239" t="s">
        <v>1033</v>
      </c>
      <c r="F405" s="242">
        <v>-12705</v>
      </c>
    </row>
    <row r="406" spans="1:6">
      <c r="A406" s="236"/>
      <c r="B406" s="244">
        <v>45098</v>
      </c>
      <c r="C406" s="238" t="s">
        <v>894</v>
      </c>
      <c r="D406" s="238" t="s">
        <v>935</v>
      </c>
      <c r="E406" s="239" t="s">
        <v>1034</v>
      </c>
      <c r="F406" s="243">
        <v>12705</v>
      </c>
    </row>
    <row r="407" spans="1:6">
      <c r="A407" s="236"/>
      <c r="B407" s="244">
        <v>45098</v>
      </c>
      <c r="C407" s="238" t="s">
        <v>894</v>
      </c>
      <c r="D407" s="238" t="s">
        <v>935</v>
      </c>
      <c r="E407" s="239" t="s">
        <v>1034</v>
      </c>
      <c r="F407" s="243">
        <v>12705</v>
      </c>
    </row>
    <row r="408" spans="1:6">
      <c r="A408" s="236"/>
      <c r="B408" s="244">
        <v>45098</v>
      </c>
      <c r="C408" s="238" t="s">
        <v>894</v>
      </c>
      <c r="D408" s="238" t="s">
        <v>935</v>
      </c>
      <c r="E408" s="239" t="s">
        <v>1035</v>
      </c>
      <c r="F408" s="243">
        <v>37065</v>
      </c>
    </row>
    <row r="409" spans="1:6">
      <c r="A409" s="236"/>
      <c r="B409" s="244">
        <v>45098</v>
      </c>
      <c r="C409" s="238" t="s">
        <v>894</v>
      </c>
      <c r="D409" s="238" t="s">
        <v>979</v>
      </c>
      <c r="E409" s="239" t="s">
        <v>1036</v>
      </c>
      <c r="F409" s="242">
        <v>-12705</v>
      </c>
    </row>
    <row r="410" spans="1:6">
      <c r="A410" s="236"/>
      <c r="B410" s="244">
        <v>45098</v>
      </c>
      <c r="C410" s="238" t="s">
        <v>894</v>
      </c>
      <c r="D410" s="238" t="s">
        <v>937</v>
      </c>
      <c r="E410" s="239" t="s">
        <v>1037</v>
      </c>
      <c r="F410" s="242">
        <v>-37065</v>
      </c>
    </row>
    <row r="411" spans="1:6">
      <c r="A411" s="236"/>
      <c r="B411" s="244">
        <v>45097</v>
      </c>
      <c r="C411" s="238" t="s">
        <v>894</v>
      </c>
      <c r="D411" s="238" t="s">
        <v>1038</v>
      </c>
      <c r="E411" s="239" t="s">
        <v>1039</v>
      </c>
      <c r="F411" s="243">
        <v>75111.27</v>
      </c>
    </row>
    <row r="412" spans="1:6">
      <c r="A412" s="236"/>
      <c r="B412" s="244">
        <v>45097</v>
      </c>
      <c r="C412" s="238" t="s">
        <v>894</v>
      </c>
      <c r="D412" s="238" t="s">
        <v>916</v>
      </c>
      <c r="E412" s="239" t="s">
        <v>1040</v>
      </c>
      <c r="F412" s="242">
        <v>-75163.27</v>
      </c>
    </row>
    <row r="413" spans="1:6">
      <c r="A413" s="236"/>
      <c r="B413" s="244">
        <v>45097</v>
      </c>
      <c r="C413" s="238" t="s">
        <v>894</v>
      </c>
      <c r="D413" s="238" t="s">
        <v>1041</v>
      </c>
      <c r="E413" s="239" t="s">
        <v>1042</v>
      </c>
      <c r="F413" s="243">
        <v>44808.01</v>
      </c>
    </row>
    <row r="414" spans="1:6">
      <c r="A414" s="236"/>
      <c r="B414" s="244">
        <v>45097</v>
      </c>
      <c r="C414" s="238" t="s">
        <v>894</v>
      </c>
      <c r="D414" s="238" t="s">
        <v>941</v>
      </c>
      <c r="E414" s="239" t="s">
        <v>1043</v>
      </c>
      <c r="F414" s="243">
        <v>39094.17</v>
      </c>
    </row>
    <row r="415" spans="1:6">
      <c r="A415" s="236"/>
      <c r="B415" s="244">
        <v>45097</v>
      </c>
      <c r="C415" s="238" t="s">
        <v>894</v>
      </c>
      <c r="D415" s="238" t="s">
        <v>971</v>
      </c>
      <c r="E415" s="239" t="s">
        <v>1044</v>
      </c>
      <c r="F415" s="242">
        <v>-27470</v>
      </c>
    </row>
    <row r="416" spans="1:6">
      <c r="A416" s="236"/>
      <c r="B416" s="244">
        <v>45097</v>
      </c>
      <c r="C416" s="238" t="s">
        <v>894</v>
      </c>
      <c r="D416" s="238" t="s">
        <v>981</v>
      </c>
      <c r="E416" s="239" t="s">
        <v>1045</v>
      </c>
      <c r="F416" s="242">
        <v>-39146.17</v>
      </c>
    </row>
    <row r="417" spans="1:6">
      <c r="A417" s="236"/>
      <c r="B417" s="244">
        <v>45097</v>
      </c>
      <c r="C417" s="238" t="s">
        <v>894</v>
      </c>
      <c r="D417" s="238" t="s">
        <v>981</v>
      </c>
      <c r="E417" s="239" t="s">
        <v>1046</v>
      </c>
      <c r="F417" s="242">
        <v>-44808.01</v>
      </c>
    </row>
    <row r="418" spans="1:6">
      <c r="A418" s="236"/>
      <c r="B418" s="244">
        <v>45097</v>
      </c>
      <c r="C418" s="238" t="s">
        <v>894</v>
      </c>
      <c r="D418" s="238" t="s">
        <v>902</v>
      </c>
      <c r="E418" s="239" t="s">
        <v>1047</v>
      </c>
      <c r="F418" s="243">
        <v>27418</v>
      </c>
    </row>
    <row r="419" spans="1:6">
      <c r="A419" s="236"/>
      <c r="B419" s="244">
        <v>45097</v>
      </c>
      <c r="C419" s="238" t="s">
        <v>894</v>
      </c>
      <c r="D419" s="238" t="s">
        <v>931</v>
      </c>
      <c r="E419" s="239" t="s">
        <v>932</v>
      </c>
      <c r="F419" s="240">
        <v>245.3</v>
      </c>
    </row>
    <row r="420" spans="1:6">
      <c r="A420" s="236"/>
      <c r="B420" s="244">
        <v>45097</v>
      </c>
      <c r="C420" s="238" t="s">
        <v>894</v>
      </c>
      <c r="D420" s="238" t="s">
        <v>931</v>
      </c>
      <c r="E420" s="239" t="s">
        <v>952</v>
      </c>
      <c r="F420" s="241">
        <v>-245.3</v>
      </c>
    </row>
    <row r="421" spans="1:6">
      <c r="A421" s="236"/>
      <c r="B421" s="244">
        <v>45093</v>
      </c>
      <c r="C421" s="238" t="s">
        <v>894</v>
      </c>
      <c r="D421" s="238" t="s">
        <v>896</v>
      </c>
      <c r="E421" s="239" t="s">
        <v>939</v>
      </c>
      <c r="F421" s="241">
        <v>-199.57</v>
      </c>
    </row>
    <row r="422" spans="1:6">
      <c r="A422" s="236"/>
      <c r="B422" s="244">
        <v>45092</v>
      </c>
      <c r="C422" s="238" t="s">
        <v>894</v>
      </c>
      <c r="D422" s="238" t="s">
        <v>926</v>
      </c>
      <c r="E422" s="239" t="s">
        <v>927</v>
      </c>
      <c r="F422" s="241">
        <v>-2.15</v>
      </c>
    </row>
    <row r="423" spans="1:6">
      <c r="A423" s="236"/>
      <c r="B423" s="244">
        <v>45092</v>
      </c>
      <c r="C423" s="238" t="s">
        <v>894</v>
      </c>
      <c r="D423" s="238" t="s">
        <v>926</v>
      </c>
      <c r="E423" s="239" t="s">
        <v>929</v>
      </c>
      <c r="F423" s="240">
        <v>201.72</v>
      </c>
    </row>
    <row r="424" spans="1:6">
      <c r="A424" s="236"/>
      <c r="B424" s="244">
        <v>45091</v>
      </c>
      <c r="C424" s="238" t="s">
        <v>894</v>
      </c>
      <c r="D424" s="238" t="s">
        <v>896</v>
      </c>
      <c r="E424" s="239" t="s">
        <v>939</v>
      </c>
      <c r="F424" s="241">
        <v>-95.14</v>
      </c>
    </row>
    <row r="425" spans="1:6">
      <c r="A425" s="236"/>
      <c r="B425" s="244">
        <v>45090</v>
      </c>
      <c r="C425" s="238" t="s">
        <v>894</v>
      </c>
      <c r="D425" s="238" t="s">
        <v>998</v>
      </c>
      <c r="E425" s="239" t="s">
        <v>895</v>
      </c>
      <c r="F425" s="240">
        <v>56.13</v>
      </c>
    </row>
    <row r="426" spans="1:6">
      <c r="A426" s="236"/>
      <c r="B426" s="244">
        <v>45090</v>
      </c>
      <c r="C426" s="238" t="s">
        <v>894</v>
      </c>
      <c r="D426" s="238" t="s">
        <v>999</v>
      </c>
      <c r="E426" s="239" t="s">
        <v>895</v>
      </c>
      <c r="F426" s="240">
        <v>39.01</v>
      </c>
    </row>
    <row r="427" spans="1:6">
      <c r="A427" s="236"/>
      <c r="B427" s="244">
        <v>45090</v>
      </c>
      <c r="C427" s="238" t="s">
        <v>894</v>
      </c>
      <c r="D427" s="238" t="s">
        <v>896</v>
      </c>
      <c r="E427" s="239" t="s">
        <v>939</v>
      </c>
      <c r="F427" s="241">
        <v>-45.36</v>
      </c>
    </row>
    <row r="428" spans="1:6">
      <c r="A428" s="236"/>
      <c r="B428" s="244">
        <v>45089</v>
      </c>
      <c r="C428" s="238" t="s">
        <v>894</v>
      </c>
      <c r="D428" s="238" t="s">
        <v>1048</v>
      </c>
      <c r="E428" s="239" t="s">
        <v>895</v>
      </c>
      <c r="F428" s="240">
        <v>45.36</v>
      </c>
    </row>
    <row r="429" spans="1:6">
      <c r="A429" s="236"/>
      <c r="B429" s="244">
        <v>45086</v>
      </c>
      <c r="C429" s="238" t="s">
        <v>894</v>
      </c>
      <c r="D429" s="238" t="s">
        <v>896</v>
      </c>
      <c r="E429" s="239" t="s">
        <v>930</v>
      </c>
      <c r="F429" s="240">
        <v>52</v>
      </c>
    </row>
    <row r="430" spans="1:6">
      <c r="A430" s="236"/>
      <c r="B430" s="244">
        <v>45084</v>
      </c>
      <c r="C430" s="238" t="s">
        <v>894</v>
      </c>
      <c r="D430" s="238" t="s">
        <v>1038</v>
      </c>
      <c r="E430" s="239" t="s">
        <v>1049</v>
      </c>
      <c r="F430" s="240">
        <v>0</v>
      </c>
    </row>
    <row r="431" spans="1:6">
      <c r="A431" s="236"/>
      <c r="B431" s="244">
        <v>45084</v>
      </c>
      <c r="C431" s="238" t="s">
        <v>894</v>
      </c>
      <c r="D431" s="238" t="s">
        <v>916</v>
      </c>
      <c r="E431" s="239" t="s">
        <v>1050</v>
      </c>
      <c r="F431" s="242">
        <v>-44090.879999999997</v>
      </c>
    </row>
    <row r="432" spans="1:6">
      <c r="A432" s="236"/>
      <c r="B432" s="244">
        <v>45084</v>
      </c>
      <c r="C432" s="238" t="s">
        <v>894</v>
      </c>
      <c r="D432" s="238" t="s">
        <v>1051</v>
      </c>
      <c r="E432" s="239" t="s">
        <v>1052</v>
      </c>
      <c r="F432" s="243">
        <v>44038.879999999997</v>
      </c>
    </row>
    <row r="433" spans="1:6">
      <c r="A433" s="236"/>
      <c r="B433" s="244">
        <v>45084</v>
      </c>
      <c r="C433" s="238" t="s">
        <v>894</v>
      </c>
      <c r="D433" s="238" t="s">
        <v>896</v>
      </c>
      <c r="E433" s="239" t="s">
        <v>939</v>
      </c>
      <c r="F433" s="241">
        <v>-126.14</v>
      </c>
    </row>
    <row r="434" spans="1:6">
      <c r="A434" s="236"/>
      <c r="B434" s="244">
        <v>45083</v>
      </c>
      <c r="C434" s="238" t="s">
        <v>894</v>
      </c>
      <c r="D434" s="238" t="s">
        <v>1012</v>
      </c>
      <c r="E434" s="239" t="s">
        <v>895</v>
      </c>
      <c r="F434" s="240">
        <v>126.14</v>
      </c>
    </row>
    <row r="435" spans="1:6">
      <c r="A435" s="236"/>
      <c r="B435" s="244">
        <v>45083</v>
      </c>
      <c r="C435" s="238" t="s">
        <v>894</v>
      </c>
      <c r="D435" s="238" t="s">
        <v>1038</v>
      </c>
      <c r="E435" s="239" t="s">
        <v>1053</v>
      </c>
      <c r="F435" s="242">
        <v>-28354.240000000002</v>
      </c>
    </row>
    <row r="436" spans="1:6">
      <c r="A436" s="236"/>
      <c r="B436" s="244">
        <v>45083</v>
      </c>
      <c r="C436" s="238" t="s">
        <v>894</v>
      </c>
      <c r="D436" s="238" t="s">
        <v>1054</v>
      </c>
      <c r="E436" s="239" t="s">
        <v>1055</v>
      </c>
      <c r="F436" s="243">
        <v>28354.240000000002</v>
      </c>
    </row>
    <row r="437" spans="1:6">
      <c r="A437" s="236"/>
      <c r="B437" s="244">
        <v>45083</v>
      </c>
      <c r="C437" s="238" t="s">
        <v>894</v>
      </c>
      <c r="D437" s="238" t="s">
        <v>1041</v>
      </c>
      <c r="E437" s="239" t="s">
        <v>1056</v>
      </c>
      <c r="F437" s="241">
        <v>-226.56</v>
      </c>
    </row>
    <row r="438" spans="1:6">
      <c r="A438" s="236"/>
      <c r="B438" s="244">
        <v>45083</v>
      </c>
      <c r="C438" s="238" t="s">
        <v>894</v>
      </c>
      <c r="D438" s="238" t="s">
        <v>1041</v>
      </c>
      <c r="E438" s="239" t="s">
        <v>895</v>
      </c>
      <c r="F438" s="240">
        <v>226.56</v>
      </c>
    </row>
    <row r="439" spans="1:6">
      <c r="A439" s="236"/>
      <c r="B439" s="244">
        <v>45083</v>
      </c>
      <c r="C439" s="238" t="s">
        <v>894</v>
      </c>
      <c r="D439" s="238" t="s">
        <v>941</v>
      </c>
      <c r="E439" s="239" t="s">
        <v>942</v>
      </c>
      <c r="F439" s="241">
        <v>-203.05</v>
      </c>
    </row>
    <row r="440" spans="1:6">
      <c r="A440" s="236"/>
      <c r="B440" s="244">
        <v>45083</v>
      </c>
      <c r="C440" s="238" t="s">
        <v>894</v>
      </c>
      <c r="D440" s="238" t="s">
        <v>941</v>
      </c>
      <c r="E440" s="239" t="s">
        <v>895</v>
      </c>
      <c r="F440" s="240">
        <v>203.05</v>
      </c>
    </row>
    <row r="441" spans="1:6">
      <c r="A441" s="236"/>
      <c r="B441" s="244">
        <v>45079</v>
      </c>
      <c r="C441" s="238" t="s">
        <v>894</v>
      </c>
      <c r="D441" s="238" t="s">
        <v>896</v>
      </c>
      <c r="E441" s="239" t="s">
        <v>939</v>
      </c>
      <c r="F441" s="241">
        <v>-597.65</v>
      </c>
    </row>
    <row r="442" spans="1:6">
      <c r="A442" s="236"/>
      <c r="B442" s="244">
        <v>45078</v>
      </c>
      <c r="C442" s="238" t="s">
        <v>894</v>
      </c>
      <c r="D442" s="238" t="s">
        <v>940</v>
      </c>
      <c r="E442" s="239" t="s">
        <v>895</v>
      </c>
      <c r="F442" s="240">
        <v>86.12</v>
      </c>
    </row>
    <row r="443" spans="1:6">
      <c r="A443" s="236"/>
      <c r="B443" s="244">
        <v>45078</v>
      </c>
      <c r="C443" s="238" t="s">
        <v>894</v>
      </c>
      <c r="D443" s="238" t="s">
        <v>935</v>
      </c>
      <c r="E443" s="239" t="s">
        <v>895</v>
      </c>
      <c r="F443" s="240">
        <v>433.41</v>
      </c>
    </row>
    <row r="444" spans="1:6">
      <c r="A444" s="236"/>
      <c r="B444" s="244">
        <v>45078</v>
      </c>
      <c r="C444" s="238" t="s">
        <v>894</v>
      </c>
      <c r="D444" s="238" t="s">
        <v>957</v>
      </c>
      <c r="E444" s="239" t="s">
        <v>958</v>
      </c>
      <c r="F444" s="240">
        <v>78.12</v>
      </c>
    </row>
    <row r="445" spans="1:6">
      <c r="A445" s="236"/>
      <c r="B445" s="244">
        <v>45078</v>
      </c>
      <c r="C445" s="238" t="s">
        <v>894</v>
      </c>
      <c r="D445" s="238" t="s">
        <v>959</v>
      </c>
      <c r="E445" s="239" t="s">
        <v>1001</v>
      </c>
      <c r="F445" s="241">
        <v>-73.47</v>
      </c>
    </row>
    <row r="446" spans="1:6">
      <c r="A446" s="236"/>
      <c r="B446" s="244">
        <v>45078</v>
      </c>
      <c r="C446" s="238" t="s">
        <v>894</v>
      </c>
      <c r="D446" s="238" t="s">
        <v>959</v>
      </c>
      <c r="E446" s="239" t="s">
        <v>958</v>
      </c>
      <c r="F446" s="240">
        <v>73.47</v>
      </c>
    </row>
    <row r="447" spans="1:6">
      <c r="A447" s="236"/>
      <c r="B447" s="244">
        <v>45078</v>
      </c>
      <c r="C447" s="238" t="s">
        <v>894</v>
      </c>
      <c r="D447" s="238" t="s">
        <v>896</v>
      </c>
      <c r="E447" s="239" t="s">
        <v>939</v>
      </c>
      <c r="F447" s="242">
        <v>-5852.6</v>
      </c>
    </row>
    <row r="448" spans="1:6">
      <c r="A448" s="236"/>
      <c r="B448" s="244">
        <v>45076</v>
      </c>
      <c r="C448" s="238" t="s">
        <v>894</v>
      </c>
      <c r="D448" s="238" t="s">
        <v>896</v>
      </c>
      <c r="E448" s="239" t="s">
        <v>939</v>
      </c>
      <c r="F448" s="241">
        <v>-40.94</v>
      </c>
    </row>
    <row r="449" spans="1:6">
      <c r="A449" s="236"/>
      <c r="B449" s="244">
        <v>45072</v>
      </c>
      <c r="C449" s="238" t="s">
        <v>894</v>
      </c>
      <c r="D449" s="238" t="s">
        <v>1048</v>
      </c>
      <c r="E449" s="239" t="s">
        <v>1057</v>
      </c>
      <c r="F449" s="243">
        <v>5852.6</v>
      </c>
    </row>
    <row r="450" spans="1:6">
      <c r="A450" s="236"/>
      <c r="B450" s="244">
        <v>45072</v>
      </c>
      <c r="C450" s="238" t="s">
        <v>894</v>
      </c>
      <c r="D450" s="238" t="s">
        <v>898</v>
      </c>
      <c r="E450" s="239" t="s">
        <v>895</v>
      </c>
      <c r="F450" s="240">
        <v>40.94</v>
      </c>
    </row>
    <row r="451" spans="1:6">
      <c r="A451" s="236"/>
      <c r="B451" s="244">
        <v>45069</v>
      </c>
      <c r="C451" s="238" t="s">
        <v>894</v>
      </c>
      <c r="D451" s="238" t="s">
        <v>896</v>
      </c>
      <c r="E451" s="239" t="s">
        <v>939</v>
      </c>
      <c r="F451" s="241">
        <v>-277.37</v>
      </c>
    </row>
    <row r="452" spans="1:6">
      <c r="A452" s="236"/>
      <c r="B452" s="244">
        <v>45068</v>
      </c>
      <c r="C452" s="238" t="s">
        <v>894</v>
      </c>
      <c r="D452" s="238" t="s">
        <v>949</v>
      </c>
      <c r="E452" s="239" t="s">
        <v>950</v>
      </c>
      <c r="F452" s="240">
        <v>277.37</v>
      </c>
    </row>
    <row r="453" spans="1:6">
      <c r="A453" s="236"/>
      <c r="B453" s="244">
        <v>45064</v>
      </c>
      <c r="C453" s="238" t="s">
        <v>894</v>
      </c>
      <c r="D453" s="238" t="s">
        <v>896</v>
      </c>
      <c r="E453" s="239" t="s">
        <v>939</v>
      </c>
      <c r="F453" s="241">
        <v>-27.65</v>
      </c>
    </row>
    <row r="454" spans="1:6">
      <c r="A454" s="236"/>
      <c r="B454" s="244">
        <v>45063</v>
      </c>
      <c r="C454" s="238" t="s">
        <v>894</v>
      </c>
      <c r="D454" s="238" t="s">
        <v>951</v>
      </c>
      <c r="E454" s="239" t="s">
        <v>895</v>
      </c>
      <c r="F454" s="240">
        <v>27.65</v>
      </c>
    </row>
    <row r="455" spans="1:6">
      <c r="A455" s="236"/>
      <c r="B455" s="244">
        <v>45062</v>
      </c>
      <c r="C455" s="238" t="s">
        <v>894</v>
      </c>
      <c r="D455" s="238" t="s">
        <v>896</v>
      </c>
      <c r="E455" s="239" t="s">
        <v>939</v>
      </c>
      <c r="F455" s="241">
        <v>-265.39999999999998</v>
      </c>
    </row>
    <row r="456" spans="1:6">
      <c r="A456" s="236"/>
      <c r="B456" s="244">
        <v>45062</v>
      </c>
      <c r="C456" s="238" t="s">
        <v>894</v>
      </c>
      <c r="D456" s="238" t="s">
        <v>931</v>
      </c>
      <c r="E456" s="239" t="s">
        <v>932</v>
      </c>
      <c r="F456" s="240">
        <v>180.38</v>
      </c>
    </row>
    <row r="457" spans="1:6">
      <c r="A457" s="236"/>
      <c r="B457" s="244">
        <v>45062</v>
      </c>
      <c r="C457" s="238" t="s">
        <v>894</v>
      </c>
      <c r="D457" s="238" t="s">
        <v>931</v>
      </c>
      <c r="E457" s="239" t="s">
        <v>952</v>
      </c>
      <c r="F457" s="241">
        <v>-180.38</v>
      </c>
    </row>
    <row r="458" spans="1:6">
      <c r="A458" s="236"/>
      <c r="B458" s="244">
        <v>45061</v>
      </c>
      <c r="C458" s="238" t="s">
        <v>894</v>
      </c>
      <c r="D458" s="238" t="s">
        <v>954</v>
      </c>
      <c r="E458" s="239" t="s">
        <v>895</v>
      </c>
      <c r="F458" s="240">
        <v>43.4</v>
      </c>
    </row>
    <row r="459" spans="1:6">
      <c r="A459" s="236"/>
      <c r="B459" s="244">
        <v>45061</v>
      </c>
      <c r="C459" s="238" t="s">
        <v>894</v>
      </c>
      <c r="D459" s="238" t="s">
        <v>953</v>
      </c>
      <c r="E459" s="239" t="s">
        <v>895</v>
      </c>
      <c r="F459" s="240">
        <v>222</v>
      </c>
    </row>
    <row r="460" spans="1:6">
      <c r="A460" s="236"/>
      <c r="B460" s="244">
        <v>45050</v>
      </c>
      <c r="C460" s="238" t="s">
        <v>894</v>
      </c>
      <c r="D460" s="238" t="s">
        <v>1041</v>
      </c>
      <c r="E460" s="239" t="s">
        <v>1056</v>
      </c>
      <c r="F460" s="241">
        <v>-225.4</v>
      </c>
    </row>
    <row r="461" spans="1:6">
      <c r="A461" s="236"/>
      <c r="B461" s="244">
        <v>45050</v>
      </c>
      <c r="C461" s="238" t="s">
        <v>894</v>
      </c>
      <c r="D461" s="238" t="s">
        <v>1041</v>
      </c>
      <c r="E461" s="239" t="s">
        <v>895</v>
      </c>
      <c r="F461" s="240">
        <v>225.4</v>
      </c>
    </row>
    <row r="462" spans="1:6">
      <c r="A462" s="236"/>
      <c r="B462" s="244">
        <v>45050</v>
      </c>
      <c r="C462" s="238" t="s">
        <v>894</v>
      </c>
      <c r="D462" s="238" t="s">
        <v>941</v>
      </c>
      <c r="E462" s="239" t="s">
        <v>942</v>
      </c>
      <c r="F462" s="241">
        <v>-201.97</v>
      </c>
    </row>
    <row r="463" spans="1:6">
      <c r="A463" s="236"/>
      <c r="B463" s="244">
        <v>45050</v>
      </c>
      <c r="C463" s="238" t="s">
        <v>894</v>
      </c>
      <c r="D463" s="238" t="s">
        <v>941</v>
      </c>
      <c r="E463" s="239" t="s">
        <v>895</v>
      </c>
      <c r="F463" s="240">
        <v>201.97</v>
      </c>
    </row>
    <row r="464" spans="1:6">
      <c r="A464" s="236"/>
      <c r="B464" s="244">
        <v>45050</v>
      </c>
      <c r="C464" s="238" t="s">
        <v>894</v>
      </c>
      <c r="D464" s="238" t="s">
        <v>896</v>
      </c>
      <c r="E464" s="239" t="s">
        <v>939</v>
      </c>
      <c r="F464" s="242">
        <v>-25659.9</v>
      </c>
    </row>
    <row r="465" spans="1:6">
      <c r="A465" s="236"/>
      <c r="B465" s="244">
        <v>45048</v>
      </c>
      <c r="C465" s="238" t="s">
        <v>894</v>
      </c>
      <c r="D465" s="238" t="s">
        <v>896</v>
      </c>
      <c r="E465" s="239" t="s">
        <v>939</v>
      </c>
      <c r="F465" s="241">
        <v>-498.91</v>
      </c>
    </row>
    <row r="466" spans="1:6">
      <c r="A466" s="236"/>
      <c r="B466" s="244">
        <v>45047</v>
      </c>
      <c r="C466" s="238" t="s">
        <v>894</v>
      </c>
      <c r="D466" s="238" t="s">
        <v>1058</v>
      </c>
      <c r="E466" s="239" t="s">
        <v>1059</v>
      </c>
      <c r="F466" s="243">
        <v>25659.9</v>
      </c>
    </row>
    <row r="467" spans="1:6">
      <c r="A467" s="236"/>
      <c r="B467" s="244">
        <v>45047</v>
      </c>
      <c r="C467" s="238" t="s">
        <v>894</v>
      </c>
      <c r="D467" s="238" t="s">
        <v>1060</v>
      </c>
      <c r="E467" s="239" t="s">
        <v>960</v>
      </c>
      <c r="F467" s="241">
        <v>-33.96</v>
      </c>
    </row>
    <row r="468" spans="1:6">
      <c r="A468" s="236"/>
      <c r="B468" s="244">
        <v>45047</v>
      </c>
      <c r="C468" s="238" t="s">
        <v>894</v>
      </c>
      <c r="D468" s="238" t="s">
        <v>1060</v>
      </c>
      <c r="E468" s="239" t="s">
        <v>895</v>
      </c>
      <c r="F468" s="240">
        <v>33.96</v>
      </c>
    </row>
    <row r="469" spans="1:6">
      <c r="A469" s="236"/>
      <c r="B469" s="244">
        <v>45047</v>
      </c>
      <c r="C469" s="238" t="s">
        <v>894</v>
      </c>
      <c r="D469" s="238" t="s">
        <v>935</v>
      </c>
      <c r="E469" s="239" t="s">
        <v>936</v>
      </c>
      <c r="F469" s="240">
        <v>0</v>
      </c>
    </row>
    <row r="470" spans="1:6">
      <c r="A470" s="236"/>
      <c r="B470" s="244">
        <v>45047</v>
      </c>
      <c r="C470" s="238" t="s">
        <v>894</v>
      </c>
      <c r="D470" s="238" t="s">
        <v>935</v>
      </c>
      <c r="E470" s="239" t="s">
        <v>895</v>
      </c>
      <c r="F470" s="240">
        <v>425.94</v>
      </c>
    </row>
    <row r="471" spans="1:6">
      <c r="A471" s="236"/>
      <c r="B471" s="244">
        <v>45047</v>
      </c>
      <c r="C471" s="238" t="s">
        <v>894</v>
      </c>
      <c r="D471" s="238" t="s">
        <v>957</v>
      </c>
      <c r="E471" s="239" t="s">
        <v>1061</v>
      </c>
      <c r="F471" s="240">
        <v>0</v>
      </c>
    </row>
    <row r="472" spans="1:6">
      <c r="A472" s="236"/>
      <c r="B472" s="244">
        <v>45047</v>
      </c>
      <c r="C472" s="238" t="s">
        <v>894</v>
      </c>
      <c r="D472" s="238" t="s">
        <v>957</v>
      </c>
      <c r="E472" s="239" t="s">
        <v>958</v>
      </c>
      <c r="F472" s="240">
        <v>72.97</v>
      </c>
    </row>
    <row r="473" spans="1:6">
      <c r="A473" s="236"/>
      <c r="B473" s="244">
        <v>45047</v>
      </c>
      <c r="C473" s="238" t="s">
        <v>894</v>
      </c>
      <c r="D473" s="238" t="s">
        <v>959</v>
      </c>
      <c r="E473" s="239" t="s">
        <v>1001</v>
      </c>
      <c r="F473" s="241">
        <v>-66.790000000000006</v>
      </c>
    </row>
    <row r="474" spans="1:6">
      <c r="A474" s="236"/>
      <c r="B474" s="244">
        <v>45047</v>
      </c>
      <c r="C474" s="238" t="s">
        <v>894</v>
      </c>
      <c r="D474" s="238" t="s">
        <v>959</v>
      </c>
      <c r="E474" s="239" t="s">
        <v>958</v>
      </c>
      <c r="F474" s="240">
        <v>66.790000000000006</v>
      </c>
    </row>
    <row r="475" spans="1:6">
      <c r="A475" s="236"/>
      <c r="B475" s="244">
        <v>45047</v>
      </c>
      <c r="C475" s="238" t="s">
        <v>894</v>
      </c>
      <c r="D475" s="238" t="s">
        <v>937</v>
      </c>
      <c r="E475" s="239" t="s">
        <v>960</v>
      </c>
      <c r="F475" s="241">
        <v>-20.28</v>
      </c>
    </row>
    <row r="476" spans="1:6">
      <c r="A476" s="236"/>
      <c r="B476" s="244">
        <v>45047</v>
      </c>
      <c r="C476" s="238" t="s">
        <v>894</v>
      </c>
      <c r="D476" s="238" t="s">
        <v>937</v>
      </c>
      <c r="E476" s="239" t="s">
        <v>895</v>
      </c>
      <c r="F476" s="240">
        <v>20.28</v>
      </c>
    </row>
    <row r="477" spans="1:6">
      <c r="A477" s="236"/>
      <c r="B477" s="244">
        <v>45047</v>
      </c>
      <c r="C477" s="238" t="s">
        <v>894</v>
      </c>
      <c r="D477" s="238" t="s">
        <v>896</v>
      </c>
      <c r="E477" s="239" t="s">
        <v>939</v>
      </c>
      <c r="F477" s="241">
        <v>-42.37</v>
      </c>
    </row>
    <row r="478" spans="1:6">
      <c r="A478" s="236"/>
      <c r="B478" s="244">
        <v>45044</v>
      </c>
      <c r="C478" s="238" t="s">
        <v>894</v>
      </c>
      <c r="D478" s="238" t="s">
        <v>898</v>
      </c>
      <c r="E478" s="239" t="s">
        <v>895</v>
      </c>
      <c r="F478" s="240">
        <v>42.37</v>
      </c>
    </row>
    <row r="479" spans="1:6">
      <c r="A479" s="236"/>
      <c r="B479" s="244">
        <v>45042</v>
      </c>
      <c r="C479" s="238" t="s">
        <v>894</v>
      </c>
      <c r="D479" s="238" t="s">
        <v>896</v>
      </c>
      <c r="E479" s="239" t="s">
        <v>939</v>
      </c>
      <c r="F479" s="241">
        <v>-46.02</v>
      </c>
    </row>
    <row r="480" spans="1:6">
      <c r="A480" s="236"/>
      <c r="B480" s="244">
        <v>45041</v>
      </c>
      <c r="C480" s="238" t="s">
        <v>894</v>
      </c>
      <c r="D480" s="238" t="s">
        <v>357</v>
      </c>
      <c r="E480" s="239" t="s">
        <v>895</v>
      </c>
      <c r="F480" s="240">
        <v>46.02</v>
      </c>
    </row>
    <row r="481" spans="1:6">
      <c r="A481" s="236"/>
      <c r="B481" s="244">
        <v>45036</v>
      </c>
      <c r="C481" s="238" t="s">
        <v>894</v>
      </c>
      <c r="D481" s="238" t="s">
        <v>896</v>
      </c>
      <c r="E481" s="239" t="s">
        <v>930</v>
      </c>
      <c r="F481" s="240">
        <v>156</v>
      </c>
    </row>
    <row r="482" spans="1:6">
      <c r="A482" s="236"/>
      <c r="B482" s="244">
        <v>45035</v>
      </c>
      <c r="C482" s="238" t="s">
        <v>894</v>
      </c>
      <c r="D482" s="238" t="s">
        <v>902</v>
      </c>
      <c r="E482" s="239" t="s">
        <v>1062</v>
      </c>
      <c r="F482" s="240">
        <v>0</v>
      </c>
    </row>
    <row r="483" spans="1:6">
      <c r="A483" s="236"/>
      <c r="B483" s="244">
        <v>45034</v>
      </c>
      <c r="C483" s="238" t="s">
        <v>894</v>
      </c>
      <c r="D483" s="238" t="s">
        <v>916</v>
      </c>
      <c r="E483" s="239" t="s">
        <v>1063</v>
      </c>
      <c r="F483" s="242">
        <v>-13235</v>
      </c>
    </row>
    <row r="484" spans="1:6">
      <c r="A484" s="236"/>
      <c r="B484" s="244">
        <v>45034</v>
      </c>
      <c r="C484" s="238" t="s">
        <v>894</v>
      </c>
      <c r="D484" s="238" t="s">
        <v>941</v>
      </c>
      <c r="E484" s="239" t="s">
        <v>1064</v>
      </c>
      <c r="F484" s="242">
        <v>-39613.550000000003</v>
      </c>
    </row>
    <row r="485" spans="1:6">
      <c r="A485" s="236"/>
      <c r="B485" s="244">
        <v>45034</v>
      </c>
      <c r="C485" s="238" t="s">
        <v>894</v>
      </c>
      <c r="D485" s="238" t="s">
        <v>1005</v>
      </c>
      <c r="E485" s="239" t="s">
        <v>1065</v>
      </c>
      <c r="F485" s="243">
        <v>39561.550000000003</v>
      </c>
    </row>
    <row r="486" spans="1:6">
      <c r="A486" s="236"/>
      <c r="B486" s="244">
        <v>45034</v>
      </c>
      <c r="C486" s="238" t="s">
        <v>894</v>
      </c>
      <c r="D486" s="238" t="s">
        <v>935</v>
      </c>
      <c r="E486" s="239" t="s">
        <v>1066</v>
      </c>
      <c r="F486" s="243">
        <v>13183</v>
      </c>
    </row>
    <row r="487" spans="1:6">
      <c r="A487" s="236"/>
      <c r="B487" s="244">
        <v>45034</v>
      </c>
      <c r="C487" s="238" t="s">
        <v>894</v>
      </c>
      <c r="D487" s="238" t="s">
        <v>935</v>
      </c>
      <c r="E487" s="239" t="s">
        <v>1066</v>
      </c>
      <c r="F487" s="243">
        <v>13183</v>
      </c>
    </row>
    <row r="488" spans="1:6">
      <c r="A488" s="236"/>
      <c r="B488" s="244">
        <v>45034</v>
      </c>
      <c r="C488" s="238" t="s">
        <v>894</v>
      </c>
      <c r="D488" s="238" t="s">
        <v>902</v>
      </c>
      <c r="E488" s="239" t="s">
        <v>1067</v>
      </c>
      <c r="F488" s="242">
        <v>-13235</v>
      </c>
    </row>
    <row r="489" spans="1:6">
      <c r="A489" s="236"/>
      <c r="B489" s="244">
        <v>45033</v>
      </c>
      <c r="C489" s="238" t="s">
        <v>894</v>
      </c>
      <c r="D489" s="238" t="s">
        <v>931</v>
      </c>
      <c r="E489" s="239" t="s">
        <v>932</v>
      </c>
      <c r="F489" s="240">
        <v>173.53</v>
      </c>
    </row>
    <row r="490" spans="1:6">
      <c r="A490" s="236"/>
      <c r="B490" s="244">
        <v>45033</v>
      </c>
      <c r="C490" s="238" t="s">
        <v>894</v>
      </c>
      <c r="D490" s="238" t="s">
        <v>931</v>
      </c>
      <c r="E490" s="239" t="s">
        <v>952</v>
      </c>
      <c r="F490" s="241">
        <v>-173.53</v>
      </c>
    </row>
    <row r="491" spans="1:6">
      <c r="A491" s="236"/>
      <c r="B491" s="244">
        <v>45028</v>
      </c>
      <c r="C491" s="238" t="s">
        <v>894</v>
      </c>
      <c r="D491" s="238" t="s">
        <v>896</v>
      </c>
      <c r="E491" s="239" t="s">
        <v>930</v>
      </c>
      <c r="F491" s="243">
        <v>1903</v>
      </c>
    </row>
    <row r="492" spans="1:6">
      <c r="A492" s="236"/>
      <c r="B492" s="244">
        <v>45028</v>
      </c>
      <c r="C492" s="238" t="s">
        <v>894</v>
      </c>
      <c r="D492" s="238" t="s">
        <v>896</v>
      </c>
      <c r="E492" s="239" t="s">
        <v>967</v>
      </c>
      <c r="F492" s="242">
        <v>-1903</v>
      </c>
    </row>
    <row r="493" spans="1:6">
      <c r="A493" s="236"/>
      <c r="B493" s="244">
        <v>45027</v>
      </c>
      <c r="C493" s="238" t="s">
        <v>894</v>
      </c>
      <c r="D493" s="238" t="s">
        <v>896</v>
      </c>
      <c r="E493" s="239" t="s">
        <v>939</v>
      </c>
      <c r="F493" s="241">
        <v>-98.55</v>
      </c>
    </row>
    <row r="494" spans="1:6">
      <c r="A494" s="236"/>
      <c r="B494" s="244">
        <v>45026</v>
      </c>
      <c r="C494" s="238" t="s">
        <v>894</v>
      </c>
      <c r="D494" s="238" t="s">
        <v>968</v>
      </c>
      <c r="E494" s="239" t="s">
        <v>895</v>
      </c>
      <c r="F494" s="240">
        <v>98.55</v>
      </c>
    </row>
    <row r="495" spans="1:6">
      <c r="A495" s="236"/>
      <c r="B495" s="244">
        <v>45022</v>
      </c>
      <c r="C495" s="238" t="s">
        <v>894</v>
      </c>
      <c r="D495" s="238" t="s">
        <v>1041</v>
      </c>
      <c r="E495" s="239" t="s">
        <v>1056</v>
      </c>
      <c r="F495" s="241">
        <v>-224.27</v>
      </c>
    </row>
    <row r="496" spans="1:6">
      <c r="A496" s="236"/>
      <c r="B496" s="244">
        <v>45022</v>
      </c>
      <c r="C496" s="238" t="s">
        <v>894</v>
      </c>
      <c r="D496" s="238" t="s">
        <v>1041</v>
      </c>
      <c r="E496" s="239" t="s">
        <v>895</v>
      </c>
      <c r="F496" s="240">
        <v>224.27</v>
      </c>
    </row>
    <row r="497" spans="1:6">
      <c r="A497" s="236"/>
      <c r="B497" s="244">
        <v>45020</v>
      </c>
      <c r="C497" s="238" t="s">
        <v>894</v>
      </c>
      <c r="D497" s="238" t="s">
        <v>896</v>
      </c>
      <c r="E497" s="239" t="s">
        <v>930</v>
      </c>
      <c r="F497" s="240">
        <v>312</v>
      </c>
    </row>
    <row r="498" spans="1:6">
      <c r="A498" s="236"/>
      <c r="B498" s="244">
        <v>45019</v>
      </c>
      <c r="C498" s="238" t="s">
        <v>894</v>
      </c>
      <c r="D498" s="238" t="s">
        <v>1060</v>
      </c>
      <c r="E498" s="239" t="s">
        <v>960</v>
      </c>
      <c r="F498" s="241">
        <v>-567.82000000000005</v>
      </c>
    </row>
    <row r="499" spans="1:6">
      <c r="A499" s="236"/>
      <c r="B499" s="244">
        <v>45019</v>
      </c>
      <c r="C499" s="238" t="s">
        <v>894</v>
      </c>
      <c r="D499" s="238" t="s">
        <v>1060</v>
      </c>
      <c r="E499" s="239" t="s">
        <v>895</v>
      </c>
      <c r="F499" s="240">
        <v>567.82000000000005</v>
      </c>
    </row>
    <row r="500" spans="1:6">
      <c r="A500" s="236"/>
      <c r="B500" s="244">
        <v>45019</v>
      </c>
      <c r="C500" s="238" t="s">
        <v>894</v>
      </c>
      <c r="D500" s="238" t="s">
        <v>935</v>
      </c>
      <c r="E500" s="239" t="s">
        <v>936</v>
      </c>
      <c r="F500" s="240">
        <v>0</v>
      </c>
    </row>
    <row r="501" spans="1:6">
      <c r="A501" s="236"/>
      <c r="B501" s="244">
        <v>45019</v>
      </c>
      <c r="C501" s="238" t="s">
        <v>894</v>
      </c>
      <c r="D501" s="238" t="s">
        <v>957</v>
      </c>
      <c r="E501" s="239" t="s">
        <v>1061</v>
      </c>
      <c r="F501" s="240">
        <v>0</v>
      </c>
    </row>
    <row r="502" spans="1:6">
      <c r="A502" s="236"/>
      <c r="B502" s="244">
        <v>45019</v>
      </c>
      <c r="C502" s="238" t="s">
        <v>894</v>
      </c>
      <c r="D502" s="238" t="s">
        <v>937</v>
      </c>
      <c r="E502" s="239" t="s">
        <v>960</v>
      </c>
      <c r="F502" s="241">
        <v>-243.36</v>
      </c>
    </row>
    <row r="503" spans="1:6">
      <c r="A503" s="236"/>
      <c r="B503" s="244">
        <v>45019</v>
      </c>
      <c r="C503" s="238" t="s">
        <v>894</v>
      </c>
      <c r="D503" s="238" t="s">
        <v>937</v>
      </c>
      <c r="E503" s="239" t="s">
        <v>895</v>
      </c>
      <c r="F503" s="240">
        <v>243.36</v>
      </c>
    </row>
    <row r="504" spans="1:6">
      <c r="A504" s="236"/>
      <c r="B504" s="244">
        <v>45016</v>
      </c>
      <c r="C504" s="238" t="s">
        <v>894</v>
      </c>
      <c r="D504" s="238" t="s">
        <v>1038</v>
      </c>
      <c r="E504" s="239" t="s">
        <v>1068</v>
      </c>
      <c r="F504" s="242">
        <v>-43849.51</v>
      </c>
    </row>
    <row r="505" spans="1:6">
      <c r="A505" s="236"/>
      <c r="B505" s="244">
        <v>45016</v>
      </c>
      <c r="C505" s="238" t="s">
        <v>894</v>
      </c>
      <c r="D505" s="238" t="s">
        <v>1069</v>
      </c>
      <c r="E505" s="239" t="s">
        <v>1070</v>
      </c>
      <c r="F505" s="243">
        <v>54815.09</v>
      </c>
    </row>
    <row r="506" spans="1:6">
      <c r="A506" s="236"/>
      <c r="B506" s="244">
        <v>45016</v>
      </c>
      <c r="C506" s="238" t="s">
        <v>894</v>
      </c>
      <c r="D506" s="238" t="s">
        <v>1051</v>
      </c>
      <c r="E506" s="239" t="s">
        <v>1071</v>
      </c>
      <c r="F506" s="242">
        <v>-43910.38</v>
      </c>
    </row>
    <row r="507" spans="1:6">
      <c r="A507" s="236"/>
      <c r="B507" s="244">
        <v>45016</v>
      </c>
      <c r="C507" s="238" t="s">
        <v>894</v>
      </c>
      <c r="D507" s="238" t="s">
        <v>1072</v>
      </c>
      <c r="E507" s="239" t="s">
        <v>1073</v>
      </c>
      <c r="F507" s="243">
        <v>64082.79</v>
      </c>
    </row>
    <row r="508" spans="1:6">
      <c r="A508" s="236"/>
      <c r="B508" s="244">
        <v>45016</v>
      </c>
      <c r="C508" s="238" t="s">
        <v>894</v>
      </c>
      <c r="D508" s="238" t="s">
        <v>1074</v>
      </c>
      <c r="E508" s="239" t="s">
        <v>1075</v>
      </c>
      <c r="F508" s="243">
        <v>40420.86</v>
      </c>
    </row>
    <row r="509" spans="1:6">
      <c r="A509" s="236"/>
      <c r="B509" s="244">
        <v>45016</v>
      </c>
      <c r="C509" s="238" t="s">
        <v>894</v>
      </c>
      <c r="D509" s="238" t="s">
        <v>1076</v>
      </c>
      <c r="E509" s="239" t="s">
        <v>1077</v>
      </c>
      <c r="F509" s="243">
        <v>42161.17</v>
      </c>
    </row>
    <row r="510" spans="1:6">
      <c r="A510" s="236"/>
      <c r="B510" s="244">
        <v>45016</v>
      </c>
      <c r="C510" s="238" t="s">
        <v>894</v>
      </c>
      <c r="D510" s="238" t="s">
        <v>1041</v>
      </c>
      <c r="E510" s="239" t="s">
        <v>1078</v>
      </c>
      <c r="F510" s="243">
        <v>43858.38</v>
      </c>
    </row>
    <row r="511" spans="1:6">
      <c r="A511" s="236"/>
      <c r="B511" s="244">
        <v>45016</v>
      </c>
      <c r="C511" s="238" t="s">
        <v>894</v>
      </c>
      <c r="D511" s="238" t="s">
        <v>1060</v>
      </c>
      <c r="E511" s="239" t="s">
        <v>1079</v>
      </c>
      <c r="F511" s="243">
        <v>131717.54</v>
      </c>
    </row>
    <row r="512" spans="1:6">
      <c r="A512" s="236"/>
      <c r="B512" s="244">
        <v>45016</v>
      </c>
      <c r="C512" s="238" t="s">
        <v>894</v>
      </c>
      <c r="D512" s="238" t="s">
        <v>971</v>
      </c>
      <c r="E512" s="239" t="s">
        <v>1080</v>
      </c>
      <c r="F512" s="242">
        <v>-42161.17</v>
      </c>
    </row>
    <row r="513" spans="1:6">
      <c r="A513" s="236"/>
      <c r="B513" s="244">
        <v>45016</v>
      </c>
      <c r="C513" s="238" t="s">
        <v>894</v>
      </c>
      <c r="D513" s="238" t="s">
        <v>1081</v>
      </c>
      <c r="E513" s="239" t="s">
        <v>1082</v>
      </c>
      <c r="F513" s="243">
        <v>43797.51</v>
      </c>
    </row>
    <row r="514" spans="1:6">
      <c r="A514" s="236"/>
      <c r="B514" s="244">
        <v>45016</v>
      </c>
      <c r="C514" s="238" t="s">
        <v>894</v>
      </c>
      <c r="D514" s="238" t="s">
        <v>1005</v>
      </c>
      <c r="E514" s="239" t="s">
        <v>1083</v>
      </c>
      <c r="F514" s="242">
        <v>-40420.86</v>
      </c>
    </row>
    <row r="515" spans="1:6">
      <c r="A515" s="236"/>
      <c r="B515" s="244">
        <v>45016</v>
      </c>
      <c r="C515" s="238" t="s">
        <v>894</v>
      </c>
      <c r="D515" s="238" t="s">
        <v>935</v>
      </c>
      <c r="E515" s="239" t="s">
        <v>1084</v>
      </c>
      <c r="F515" s="242">
        <v>-131769.54</v>
      </c>
    </row>
    <row r="516" spans="1:6">
      <c r="A516" s="236"/>
      <c r="B516" s="244">
        <v>45016</v>
      </c>
      <c r="C516" s="238" t="s">
        <v>894</v>
      </c>
      <c r="D516" s="238" t="s">
        <v>957</v>
      </c>
      <c r="E516" s="239" t="s">
        <v>1085</v>
      </c>
      <c r="F516" s="242">
        <v>-22685.279999999999</v>
      </c>
    </row>
    <row r="517" spans="1:6">
      <c r="A517" s="236"/>
      <c r="B517" s="244">
        <v>45016</v>
      </c>
      <c r="C517" s="238" t="s">
        <v>894</v>
      </c>
      <c r="D517" s="238" t="s">
        <v>959</v>
      </c>
      <c r="E517" s="239" t="s">
        <v>1086</v>
      </c>
      <c r="F517" s="242">
        <v>-22685.279999999999</v>
      </c>
    </row>
    <row r="518" spans="1:6">
      <c r="A518" s="236"/>
      <c r="B518" s="244">
        <v>45016</v>
      </c>
      <c r="C518" s="238" t="s">
        <v>894</v>
      </c>
      <c r="D518" s="238" t="s">
        <v>964</v>
      </c>
      <c r="E518" s="239" t="s">
        <v>1087</v>
      </c>
      <c r="F518" s="242">
        <v>-54867.09</v>
      </c>
    </row>
    <row r="519" spans="1:6">
      <c r="A519" s="236"/>
      <c r="B519" s="244">
        <v>45016</v>
      </c>
      <c r="C519" s="238" t="s">
        <v>894</v>
      </c>
      <c r="D519" s="238" t="s">
        <v>902</v>
      </c>
      <c r="E519" s="239" t="s">
        <v>1088</v>
      </c>
      <c r="F519" s="242">
        <v>-64082.79</v>
      </c>
    </row>
    <row r="520" spans="1:6">
      <c r="A520" s="236"/>
      <c r="B520" s="244">
        <v>45016</v>
      </c>
      <c r="C520" s="238" t="s">
        <v>894</v>
      </c>
      <c r="D520" s="238" t="s">
        <v>937</v>
      </c>
      <c r="E520" s="239" t="s">
        <v>1089</v>
      </c>
      <c r="F520" s="243">
        <v>22633.279999999999</v>
      </c>
    </row>
    <row r="521" spans="1:6">
      <c r="A521" s="236"/>
      <c r="B521" s="244">
        <v>45016</v>
      </c>
      <c r="C521" s="238" t="s">
        <v>894</v>
      </c>
      <c r="D521" s="238" t="s">
        <v>937</v>
      </c>
      <c r="E521" s="239" t="s">
        <v>1089</v>
      </c>
      <c r="F521" s="243">
        <v>22633.279999999999</v>
      </c>
    </row>
    <row r="522" spans="1:6">
      <c r="A522" s="236"/>
      <c r="B522" s="244">
        <v>45015</v>
      </c>
      <c r="C522" s="238" t="s">
        <v>894</v>
      </c>
      <c r="D522" s="238" t="s">
        <v>896</v>
      </c>
      <c r="E522" s="239" t="s">
        <v>939</v>
      </c>
      <c r="F522" s="241">
        <v>-99.98</v>
      </c>
    </row>
    <row r="523" spans="1:6">
      <c r="A523" s="236"/>
      <c r="B523" s="244">
        <v>45014</v>
      </c>
      <c r="C523" s="238" t="s">
        <v>894</v>
      </c>
      <c r="D523" s="238" t="s">
        <v>998</v>
      </c>
      <c r="E523" s="239" t="s">
        <v>895</v>
      </c>
      <c r="F523" s="240">
        <v>66.27</v>
      </c>
    </row>
    <row r="524" spans="1:6">
      <c r="A524" s="236"/>
      <c r="B524" s="244">
        <v>45014</v>
      </c>
      <c r="C524" s="238" t="s">
        <v>894</v>
      </c>
      <c r="D524" s="238" t="s">
        <v>999</v>
      </c>
      <c r="E524" s="239" t="s">
        <v>895</v>
      </c>
      <c r="F524" s="240">
        <v>33.71</v>
      </c>
    </row>
    <row r="525" spans="1:6">
      <c r="A525" s="236"/>
      <c r="B525" s="244">
        <v>45012</v>
      </c>
      <c r="C525" s="238" t="s">
        <v>894</v>
      </c>
      <c r="D525" s="238" t="s">
        <v>896</v>
      </c>
      <c r="E525" s="239" t="s">
        <v>939</v>
      </c>
      <c r="F525" s="241">
        <v>-373.37</v>
      </c>
    </row>
    <row r="526" spans="1:6">
      <c r="A526" s="236"/>
      <c r="B526" s="244">
        <v>45009</v>
      </c>
      <c r="C526" s="238" t="s">
        <v>894</v>
      </c>
      <c r="D526" s="238" t="s">
        <v>898</v>
      </c>
      <c r="E526" s="239" t="s">
        <v>895</v>
      </c>
      <c r="F526" s="240">
        <v>40.9</v>
      </c>
    </row>
    <row r="527" spans="1:6">
      <c r="A527" s="236"/>
      <c r="B527" s="244">
        <v>45009</v>
      </c>
      <c r="C527" s="238" t="s">
        <v>894</v>
      </c>
      <c r="D527" s="238" t="s">
        <v>1069</v>
      </c>
      <c r="E527" s="239" t="s">
        <v>1090</v>
      </c>
      <c r="F527" s="241">
        <v>-291.8</v>
      </c>
    </row>
    <row r="528" spans="1:6">
      <c r="A528" s="236"/>
      <c r="B528" s="244">
        <v>45009</v>
      </c>
      <c r="C528" s="238" t="s">
        <v>894</v>
      </c>
      <c r="D528" s="238" t="s">
        <v>1069</v>
      </c>
      <c r="E528" s="239" t="s">
        <v>895</v>
      </c>
      <c r="F528" s="240">
        <v>291.8</v>
      </c>
    </row>
    <row r="529" spans="1:6">
      <c r="A529" s="236"/>
      <c r="B529" s="244">
        <v>45009</v>
      </c>
      <c r="C529" s="238" t="s">
        <v>894</v>
      </c>
      <c r="D529" s="238" t="s">
        <v>1072</v>
      </c>
      <c r="E529" s="239" t="s">
        <v>895</v>
      </c>
      <c r="F529" s="240">
        <v>332.47</v>
      </c>
    </row>
    <row r="530" spans="1:6">
      <c r="A530" s="236"/>
      <c r="B530" s="244">
        <v>45009</v>
      </c>
      <c r="C530" s="238" t="s">
        <v>894</v>
      </c>
      <c r="D530" s="238" t="s">
        <v>1081</v>
      </c>
      <c r="E530" s="239" t="s">
        <v>1091</v>
      </c>
      <c r="F530" s="241">
        <v>-220.36</v>
      </c>
    </row>
    <row r="531" spans="1:6">
      <c r="A531" s="236"/>
      <c r="B531" s="244">
        <v>45009</v>
      </c>
      <c r="C531" s="238" t="s">
        <v>894</v>
      </c>
      <c r="D531" s="238" t="s">
        <v>1081</v>
      </c>
      <c r="E531" s="239" t="s">
        <v>895</v>
      </c>
      <c r="F531" s="240">
        <v>220.36</v>
      </c>
    </row>
    <row r="532" spans="1:6">
      <c r="A532" s="236"/>
      <c r="B532" s="244">
        <v>45009</v>
      </c>
      <c r="C532" s="238" t="s">
        <v>894</v>
      </c>
      <c r="D532" s="238" t="s">
        <v>896</v>
      </c>
      <c r="E532" s="239" t="s">
        <v>939</v>
      </c>
      <c r="F532" s="241">
        <v>-270.62</v>
      </c>
    </row>
    <row r="533" spans="1:6">
      <c r="A533" s="236"/>
      <c r="B533" s="244">
        <v>45008</v>
      </c>
      <c r="C533" s="238" t="s">
        <v>894</v>
      </c>
      <c r="D533" s="238" t="s">
        <v>1058</v>
      </c>
      <c r="E533" s="239" t="s">
        <v>895</v>
      </c>
      <c r="F533" s="240">
        <v>181.7</v>
      </c>
    </row>
    <row r="534" spans="1:6">
      <c r="A534" s="236"/>
      <c r="B534" s="244">
        <v>45008</v>
      </c>
      <c r="C534" s="238" t="s">
        <v>894</v>
      </c>
      <c r="D534" s="238" t="s">
        <v>899</v>
      </c>
      <c r="E534" s="239" t="s">
        <v>895</v>
      </c>
      <c r="F534" s="240">
        <v>88.92</v>
      </c>
    </row>
    <row r="535" spans="1:6">
      <c r="A535" s="236"/>
      <c r="B535" s="244">
        <v>45007</v>
      </c>
      <c r="C535" s="238" t="s">
        <v>894</v>
      </c>
      <c r="D535" s="238" t="s">
        <v>896</v>
      </c>
      <c r="E535" s="239" t="s">
        <v>939</v>
      </c>
      <c r="F535" s="241">
        <v>-193.86</v>
      </c>
    </row>
    <row r="536" spans="1:6">
      <c r="A536" s="236"/>
      <c r="B536" s="244">
        <v>45006</v>
      </c>
      <c r="C536" s="238" t="s">
        <v>894</v>
      </c>
      <c r="D536" s="238" t="s">
        <v>926</v>
      </c>
      <c r="E536" s="239" t="s">
        <v>927</v>
      </c>
      <c r="F536" s="241">
        <v>-2.15</v>
      </c>
    </row>
    <row r="537" spans="1:6">
      <c r="A537" s="236"/>
      <c r="B537" s="244">
        <v>45006</v>
      </c>
      <c r="C537" s="238" t="s">
        <v>894</v>
      </c>
      <c r="D537" s="238" t="s">
        <v>926</v>
      </c>
      <c r="E537" s="239" t="s">
        <v>929</v>
      </c>
      <c r="F537" s="240">
        <v>196.01</v>
      </c>
    </row>
    <row r="538" spans="1:6">
      <c r="A538" s="236"/>
      <c r="B538" s="244">
        <v>45001</v>
      </c>
      <c r="C538" s="238" t="s">
        <v>894</v>
      </c>
      <c r="D538" s="238" t="s">
        <v>931</v>
      </c>
      <c r="E538" s="239" t="s">
        <v>932</v>
      </c>
      <c r="F538" s="240">
        <v>146.22</v>
      </c>
    </row>
    <row r="539" spans="1:6">
      <c r="A539" s="236"/>
      <c r="B539" s="244">
        <v>45001</v>
      </c>
      <c r="C539" s="238" t="s">
        <v>894</v>
      </c>
      <c r="D539" s="238" t="s">
        <v>931</v>
      </c>
      <c r="E539" s="239" t="s">
        <v>952</v>
      </c>
      <c r="F539" s="241">
        <v>-146.22</v>
      </c>
    </row>
    <row r="540" spans="1:6">
      <c r="A540" s="236"/>
      <c r="B540" s="244">
        <v>44998</v>
      </c>
      <c r="C540" s="238" t="s">
        <v>894</v>
      </c>
      <c r="D540" s="238" t="s">
        <v>896</v>
      </c>
      <c r="E540" s="239" t="s">
        <v>939</v>
      </c>
      <c r="F540" s="241">
        <v>-45.36</v>
      </c>
    </row>
    <row r="541" spans="1:6">
      <c r="A541" s="236"/>
      <c r="B541" s="244">
        <v>44995</v>
      </c>
      <c r="C541" s="238" t="s">
        <v>894</v>
      </c>
      <c r="D541" s="238" t="s">
        <v>1048</v>
      </c>
      <c r="E541" s="239" t="s">
        <v>895</v>
      </c>
      <c r="F541" s="240">
        <v>45.36</v>
      </c>
    </row>
    <row r="542" spans="1:6">
      <c r="A542" s="236"/>
      <c r="B542" s="244">
        <v>44993</v>
      </c>
      <c r="C542" s="238" t="s">
        <v>894</v>
      </c>
      <c r="D542" s="238" t="s">
        <v>896</v>
      </c>
      <c r="E542" s="239" t="s">
        <v>939</v>
      </c>
      <c r="F542" s="241">
        <v>-111.18</v>
      </c>
    </row>
    <row r="543" spans="1:6">
      <c r="A543" s="236"/>
      <c r="B543" s="244">
        <v>44992</v>
      </c>
      <c r="C543" s="238" t="s">
        <v>894</v>
      </c>
      <c r="D543" s="238" t="s">
        <v>1012</v>
      </c>
      <c r="E543" s="239" t="s">
        <v>895</v>
      </c>
      <c r="F543" s="240">
        <v>119.78</v>
      </c>
    </row>
    <row r="544" spans="1:6">
      <c r="A544" s="236"/>
      <c r="B544" s="244">
        <v>44992</v>
      </c>
      <c r="C544" s="238" t="s">
        <v>894</v>
      </c>
      <c r="D544" s="238" t="s">
        <v>954</v>
      </c>
      <c r="E544" s="239" t="s">
        <v>895</v>
      </c>
      <c r="F544" s="240">
        <v>43.4</v>
      </c>
    </row>
    <row r="545" spans="1:6">
      <c r="A545" s="236"/>
      <c r="B545" s="244">
        <v>44992</v>
      </c>
      <c r="C545" s="238" t="s">
        <v>894</v>
      </c>
      <c r="D545" s="238" t="s">
        <v>1060</v>
      </c>
      <c r="E545" s="239" t="s">
        <v>1092</v>
      </c>
      <c r="F545" s="243">
        <v>45794</v>
      </c>
    </row>
    <row r="546" spans="1:6">
      <c r="A546" s="236"/>
      <c r="B546" s="244">
        <v>44992</v>
      </c>
      <c r="C546" s="238" t="s">
        <v>894</v>
      </c>
      <c r="D546" s="238" t="s">
        <v>937</v>
      </c>
      <c r="E546" s="239" t="s">
        <v>1093</v>
      </c>
      <c r="F546" s="242">
        <v>-45846</v>
      </c>
    </row>
    <row r="547" spans="1:6">
      <c r="A547" s="236"/>
      <c r="B547" s="244">
        <v>44991</v>
      </c>
      <c r="C547" s="238" t="s">
        <v>894</v>
      </c>
      <c r="D547" s="238" t="s">
        <v>1041</v>
      </c>
      <c r="E547" s="239" t="s">
        <v>1056</v>
      </c>
      <c r="F547" s="241">
        <v>-446.33</v>
      </c>
    </row>
    <row r="548" spans="1:6">
      <c r="A548" s="236"/>
      <c r="B548" s="244">
        <v>44991</v>
      </c>
      <c r="C548" s="238" t="s">
        <v>894</v>
      </c>
      <c r="D548" s="238" t="s">
        <v>1041</v>
      </c>
      <c r="E548" s="239" t="s">
        <v>895</v>
      </c>
      <c r="F548" s="240">
        <v>446.33</v>
      </c>
    </row>
    <row r="549" spans="1:6">
      <c r="A549" s="236"/>
      <c r="B549" s="244">
        <v>44988</v>
      </c>
      <c r="C549" s="238" t="s">
        <v>894</v>
      </c>
      <c r="D549" s="238" t="s">
        <v>896</v>
      </c>
      <c r="E549" s="239" t="s">
        <v>939</v>
      </c>
      <c r="F549" s="241">
        <v>-76.41</v>
      </c>
    </row>
    <row r="550" spans="1:6">
      <c r="A550" s="236"/>
      <c r="B550" s="244">
        <v>44987</v>
      </c>
      <c r="C550" s="238" t="s">
        <v>894</v>
      </c>
      <c r="D550" s="238" t="s">
        <v>940</v>
      </c>
      <c r="E550" s="239" t="s">
        <v>895</v>
      </c>
      <c r="F550" s="240">
        <v>76.41</v>
      </c>
    </row>
    <row r="551" spans="1:6">
      <c r="A551" s="236"/>
      <c r="B551" s="244">
        <v>44986</v>
      </c>
      <c r="C551" s="238" t="s">
        <v>894</v>
      </c>
      <c r="D551" s="238" t="s">
        <v>1060</v>
      </c>
      <c r="E551" s="239" t="s">
        <v>1094</v>
      </c>
      <c r="F551" s="241">
        <v>-704.2</v>
      </c>
    </row>
    <row r="552" spans="1:6">
      <c r="A552" s="236"/>
      <c r="B552" s="244">
        <v>44986</v>
      </c>
      <c r="C552" s="238" t="s">
        <v>894</v>
      </c>
      <c r="D552" s="238" t="s">
        <v>1060</v>
      </c>
      <c r="E552" s="239" t="s">
        <v>895</v>
      </c>
      <c r="F552" s="240">
        <v>704.2</v>
      </c>
    </row>
    <row r="553" spans="1:6">
      <c r="A553" s="236"/>
      <c r="B553" s="244">
        <v>44985</v>
      </c>
      <c r="C553" s="238" t="s">
        <v>894</v>
      </c>
      <c r="D553" s="238" t="s">
        <v>896</v>
      </c>
      <c r="E553" s="239" t="s">
        <v>939</v>
      </c>
      <c r="F553" s="241">
        <v>-27.65</v>
      </c>
    </row>
    <row r="554" spans="1:6">
      <c r="A554" s="236"/>
      <c r="B554" s="244">
        <v>44984</v>
      </c>
      <c r="C554" s="238" t="s">
        <v>894</v>
      </c>
      <c r="D554" s="238" t="s">
        <v>951</v>
      </c>
      <c r="E554" s="239" t="s">
        <v>895</v>
      </c>
      <c r="F554" s="240">
        <v>27.65</v>
      </c>
    </row>
    <row r="555" spans="1:6">
      <c r="A555" s="236"/>
      <c r="B555" s="244">
        <v>44984</v>
      </c>
      <c r="C555" s="238" t="s">
        <v>894</v>
      </c>
      <c r="D555" s="238" t="s">
        <v>896</v>
      </c>
      <c r="E555" s="239" t="s">
        <v>939</v>
      </c>
      <c r="F555" s="241">
        <v>-39.43</v>
      </c>
    </row>
    <row r="556" spans="1:6">
      <c r="A556" s="236"/>
      <c r="B556" s="244">
        <v>44981</v>
      </c>
      <c r="C556" s="238" t="s">
        <v>894</v>
      </c>
      <c r="D556" s="238" t="s">
        <v>898</v>
      </c>
      <c r="E556" s="239" t="s">
        <v>895</v>
      </c>
      <c r="F556" s="240">
        <v>39.43</v>
      </c>
    </row>
    <row r="557" spans="1:6">
      <c r="A557" s="236"/>
      <c r="B557" s="244">
        <v>44979</v>
      </c>
      <c r="C557" s="238" t="s">
        <v>894</v>
      </c>
      <c r="D557" s="238" t="s">
        <v>896</v>
      </c>
      <c r="E557" s="239" t="s">
        <v>939</v>
      </c>
      <c r="F557" s="241">
        <v>-275.11</v>
      </c>
    </row>
    <row r="558" spans="1:6">
      <c r="A558" s="236"/>
      <c r="B558" s="244">
        <v>44978</v>
      </c>
      <c r="C558" s="238" t="s">
        <v>894</v>
      </c>
      <c r="D558" s="238" t="s">
        <v>949</v>
      </c>
      <c r="E558" s="239" t="s">
        <v>950</v>
      </c>
      <c r="F558" s="240">
        <v>275.11</v>
      </c>
    </row>
    <row r="559" spans="1:6">
      <c r="A559" s="236"/>
      <c r="B559" s="244">
        <v>44973</v>
      </c>
      <c r="C559" s="238" t="s">
        <v>894</v>
      </c>
      <c r="D559" s="238" t="s">
        <v>896</v>
      </c>
      <c r="E559" s="239" t="s">
        <v>939</v>
      </c>
      <c r="F559" s="241">
        <v>-222</v>
      </c>
    </row>
    <row r="560" spans="1:6">
      <c r="A560" s="236"/>
      <c r="B560" s="244">
        <v>44973</v>
      </c>
      <c r="C560" s="238" t="s">
        <v>894</v>
      </c>
      <c r="D560" s="238" t="s">
        <v>931</v>
      </c>
      <c r="E560" s="239" t="s">
        <v>932</v>
      </c>
      <c r="F560" s="240">
        <v>149.03</v>
      </c>
    </row>
    <row r="561" spans="1:6">
      <c r="A561" s="236"/>
      <c r="B561" s="244">
        <v>44973</v>
      </c>
      <c r="C561" s="238" t="s">
        <v>894</v>
      </c>
      <c r="D561" s="238" t="s">
        <v>931</v>
      </c>
      <c r="E561" s="239" t="s">
        <v>952</v>
      </c>
      <c r="F561" s="241">
        <v>-149.03</v>
      </c>
    </row>
    <row r="562" spans="1:6">
      <c r="A562" s="236"/>
      <c r="B562" s="244">
        <v>44972</v>
      </c>
      <c r="C562" s="238" t="s">
        <v>894</v>
      </c>
      <c r="D562" s="238" t="s">
        <v>953</v>
      </c>
      <c r="E562" s="239" t="s">
        <v>895</v>
      </c>
      <c r="F562" s="240">
        <v>222</v>
      </c>
    </row>
    <row r="563" spans="1:6">
      <c r="A563" s="236"/>
      <c r="B563" s="244">
        <v>44963</v>
      </c>
      <c r="C563" s="238" t="s">
        <v>894</v>
      </c>
      <c r="D563" s="238" t="s">
        <v>1041</v>
      </c>
      <c r="E563" s="239" t="s">
        <v>1056</v>
      </c>
      <c r="F563" s="241">
        <v>-444.12</v>
      </c>
    </row>
    <row r="564" spans="1:6">
      <c r="A564" s="236"/>
      <c r="B564" s="244">
        <v>44963</v>
      </c>
      <c r="C564" s="238" t="s">
        <v>894</v>
      </c>
      <c r="D564" s="238" t="s">
        <v>1041</v>
      </c>
      <c r="E564" s="239" t="s">
        <v>895</v>
      </c>
      <c r="F564" s="240">
        <v>444.12</v>
      </c>
    </row>
    <row r="565" spans="1:6">
      <c r="A565" s="236"/>
      <c r="B565" s="244">
        <v>44959</v>
      </c>
      <c r="C565" s="238" t="s">
        <v>894</v>
      </c>
      <c r="D565" s="238" t="s">
        <v>896</v>
      </c>
      <c r="E565" s="239" t="s">
        <v>939</v>
      </c>
      <c r="F565" s="241">
        <v>-267.31</v>
      </c>
    </row>
    <row r="566" spans="1:6">
      <c r="A566" s="236"/>
      <c r="B566" s="244">
        <v>44958</v>
      </c>
      <c r="C566" s="238" t="s">
        <v>894</v>
      </c>
      <c r="D566" s="238" t="s">
        <v>1060</v>
      </c>
      <c r="E566" s="239" t="s">
        <v>1094</v>
      </c>
      <c r="F566" s="241">
        <v>-177.12</v>
      </c>
    </row>
    <row r="567" spans="1:6">
      <c r="A567" s="236"/>
      <c r="B567" s="244">
        <v>44958</v>
      </c>
      <c r="C567" s="238" t="s">
        <v>894</v>
      </c>
      <c r="D567" s="238" t="s">
        <v>1060</v>
      </c>
      <c r="E567" s="239" t="s">
        <v>895</v>
      </c>
      <c r="F567" s="240">
        <v>177.12</v>
      </c>
    </row>
    <row r="568" spans="1:6">
      <c r="A568" s="236"/>
      <c r="B568" s="244">
        <v>44958</v>
      </c>
      <c r="C568" s="238" t="s">
        <v>894</v>
      </c>
      <c r="D568" s="238" t="s">
        <v>935</v>
      </c>
      <c r="E568" s="239" t="s">
        <v>895</v>
      </c>
      <c r="F568" s="240">
        <v>267.31</v>
      </c>
    </row>
    <row r="569" spans="1:6">
      <c r="A569" s="236"/>
      <c r="B569" s="244">
        <v>44956</v>
      </c>
      <c r="C569" s="238" t="s">
        <v>894</v>
      </c>
      <c r="D569" s="238" t="s">
        <v>896</v>
      </c>
      <c r="E569" s="239" t="s">
        <v>939</v>
      </c>
      <c r="F569" s="241">
        <v>-41.16</v>
      </c>
    </row>
    <row r="570" spans="1:6">
      <c r="A570" s="236"/>
      <c r="B570" s="244">
        <v>44953</v>
      </c>
      <c r="C570" s="238" t="s">
        <v>894</v>
      </c>
      <c r="D570" s="238" t="s">
        <v>898</v>
      </c>
      <c r="E570" s="239" t="s">
        <v>895</v>
      </c>
      <c r="F570" s="240">
        <v>41.16</v>
      </c>
    </row>
    <row r="571" spans="1:6">
      <c r="A571" s="236"/>
      <c r="B571" s="244">
        <v>44951</v>
      </c>
      <c r="C571" s="238" t="s">
        <v>894</v>
      </c>
      <c r="D571" s="238" t="s">
        <v>896</v>
      </c>
      <c r="E571" s="239" t="s">
        <v>930</v>
      </c>
      <c r="F571" s="240">
        <v>4</v>
      </c>
    </row>
    <row r="572" spans="1:6">
      <c r="A572" s="236"/>
      <c r="B572" s="244">
        <v>44949</v>
      </c>
      <c r="C572" s="238" t="s">
        <v>894</v>
      </c>
      <c r="D572" s="238" t="s">
        <v>1054</v>
      </c>
      <c r="E572" s="239" t="s">
        <v>1095</v>
      </c>
      <c r="F572" s="242">
        <v>-28138</v>
      </c>
    </row>
    <row r="573" spans="1:6">
      <c r="A573" s="236"/>
      <c r="B573" s="244">
        <v>44949</v>
      </c>
      <c r="C573" s="238" t="s">
        <v>894</v>
      </c>
      <c r="D573" s="238" t="s">
        <v>1069</v>
      </c>
      <c r="E573" s="239" t="s">
        <v>1096</v>
      </c>
      <c r="F573" s="242">
        <v>-56275</v>
      </c>
    </row>
    <row r="574" spans="1:6">
      <c r="A574" s="236"/>
      <c r="B574" s="244">
        <v>44949</v>
      </c>
      <c r="C574" s="238" t="s">
        <v>894</v>
      </c>
      <c r="D574" s="238" t="s">
        <v>1072</v>
      </c>
      <c r="E574" s="239" t="s">
        <v>1097</v>
      </c>
      <c r="F574" s="243">
        <v>28138</v>
      </c>
    </row>
    <row r="575" spans="1:6">
      <c r="A575" s="236"/>
      <c r="B575" s="244">
        <v>44949</v>
      </c>
      <c r="C575" s="238" t="s">
        <v>894</v>
      </c>
      <c r="D575" s="238" t="s">
        <v>1074</v>
      </c>
      <c r="E575" s="239" t="s">
        <v>1098</v>
      </c>
      <c r="F575" s="243">
        <v>56275</v>
      </c>
    </row>
    <row r="576" spans="1:6">
      <c r="A576" s="236"/>
      <c r="B576" s="244">
        <v>44949</v>
      </c>
      <c r="C576" s="238" t="s">
        <v>894</v>
      </c>
      <c r="D576" s="238" t="s">
        <v>1076</v>
      </c>
      <c r="E576" s="239" t="s">
        <v>1099</v>
      </c>
      <c r="F576" s="243">
        <v>46132.95</v>
      </c>
    </row>
    <row r="577" spans="1:6">
      <c r="A577" s="236"/>
      <c r="B577" s="244">
        <v>44949</v>
      </c>
      <c r="C577" s="238" t="s">
        <v>894</v>
      </c>
      <c r="D577" s="238" t="s">
        <v>1041</v>
      </c>
      <c r="E577" s="239" t="s">
        <v>1100</v>
      </c>
      <c r="F577" s="242">
        <v>-41095.21</v>
      </c>
    </row>
    <row r="578" spans="1:6">
      <c r="A578" s="236"/>
      <c r="B578" s="244">
        <v>44949</v>
      </c>
      <c r="C578" s="238" t="s">
        <v>894</v>
      </c>
      <c r="D578" s="238" t="s">
        <v>1041</v>
      </c>
      <c r="E578" s="239" t="s">
        <v>1101</v>
      </c>
      <c r="F578" s="242">
        <v>-48874.16</v>
      </c>
    </row>
    <row r="579" spans="1:6">
      <c r="A579" s="236"/>
      <c r="B579" s="244">
        <v>44949</v>
      </c>
      <c r="C579" s="238" t="s">
        <v>894</v>
      </c>
      <c r="D579" s="238" t="s">
        <v>1102</v>
      </c>
      <c r="E579" s="239" t="s">
        <v>1103</v>
      </c>
      <c r="F579" s="243">
        <v>48874.16</v>
      </c>
    </row>
    <row r="580" spans="1:6">
      <c r="A580" s="236"/>
      <c r="B580" s="244">
        <v>44949</v>
      </c>
      <c r="C580" s="238" t="s">
        <v>894</v>
      </c>
      <c r="D580" s="238" t="s">
        <v>1060</v>
      </c>
      <c r="E580" s="239" t="s">
        <v>1104</v>
      </c>
      <c r="F580" s="242">
        <v>-77071.070000000007</v>
      </c>
    </row>
    <row r="581" spans="1:6">
      <c r="A581" s="236"/>
      <c r="B581" s="244">
        <v>44949</v>
      </c>
      <c r="C581" s="238" t="s">
        <v>894</v>
      </c>
      <c r="D581" s="238" t="s">
        <v>1060</v>
      </c>
      <c r="E581" s="239" t="s">
        <v>1105</v>
      </c>
      <c r="F581" s="242">
        <v>-104086.85</v>
      </c>
    </row>
    <row r="582" spans="1:6">
      <c r="A582" s="236"/>
      <c r="B582" s="244">
        <v>44949</v>
      </c>
      <c r="C582" s="238" t="s">
        <v>894</v>
      </c>
      <c r="D582" s="238" t="s">
        <v>1081</v>
      </c>
      <c r="E582" s="239" t="s">
        <v>1106</v>
      </c>
      <c r="F582" s="242">
        <v>-46132.95</v>
      </c>
    </row>
    <row r="583" spans="1:6">
      <c r="A583" s="236"/>
      <c r="B583" s="244">
        <v>44949</v>
      </c>
      <c r="C583" s="238" t="s">
        <v>894</v>
      </c>
      <c r="D583" s="238" t="s">
        <v>1107</v>
      </c>
      <c r="E583" s="239" t="s">
        <v>1108</v>
      </c>
      <c r="F583" s="243">
        <v>41095.21</v>
      </c>
    </row>
    <row r="584" spans="1:6">
      <c r="A584" s="236"/>
      <c r="B584" s="244">
        <v>44949</v>
      </c>
      <c r="C584" s="238" t="s">
        <v>894</v>
      </c>
      <c r="D584" s="238" t="s">
        <v>1109</v>
      </c>
      <c r="E584" s="239" t="s">
        <v>1110</v>
      </c>
      <c r="F584" s="243">
        <v>77071.070000000007</v>
      </c>
    </row>
    <row r="585" spans="1:6">
      <c r="A585" s="236"/>
      <c r="B585" s="244">
        <v>44949</v>
      </c>
      <c r="C585" s="238" t="s">
        <v>894</v>
      </c>
      <c r="D585" s="238" t="s">
        <v>935</v>
      </c>
      <c r="E585" s="239" t="s">
        <v>1111</v>
      </c>
      <c r="F585" s="243">
        <v>104082.85</v>
      </c>
    </row>
    <row r="586" spans="1:6">
      <c r="A586" s="236"/>
      <c r="B586" s="244">
        <v>44949</v>
      </c>
      <c r="C586" s="238" t="s">
        <v>894</v>
      </c>
      <c r="D586" s="238" t="s">
        <v>896</v>
      </c>
      <c r="E586" s="239" t="s">
        <v>939</v>
      </c>
      <c r="F586" s="241">
        <v>-138.19999999999999</v>
      </c>
    </row>
    <row r="587" spans="1:6">
      <c r="A587" s="236"/>
      <c r="B587" s="244">
        <v>44946</v>
      </c>
      <c r="C587" s="238" t="s">
        <v>894</v>
      </c>
      <c r="D587" s="238" t="s">
        <v>1109</v>
      </c>
      <c r="E587" s="239" t="s">
        <v>895</v>
      </c>
      <c r="F587" s="240">
        <v>138.19999999999999</v>
      </c>
    </row>
    <row r="588" spans="1:6">
      <c r="A588" s="236"/>
      <c r="B588" s="244">
        <v>44944</v>
      </c>
      <c r="C588" s="238" t="s">
        <v>894</v>
      </c>
      <c r="D588" s="238" t="s">
        <v>896</v>
      </c>
      <c r="E588" s="239" t="s">
        <v>939</v>
      </c>
      <c r="F588" s="241">
        <v>-42.9</v>
      </c>
    </row>
    <row r="589" spans="1:6">
      <c r="A589" s="236"/>
      <c r="B589" s="244">
        <v>44943</v>
      </c>
      <c r="C589" s="238" t="s">
        <v>894</v>
      </c>
      <c r="D589" s="238" t="s">
        <v>357</v>
      </c>
      <c r="E589" s="239" t="s">
        <v>895</v>
      </c>
      <c r="F589" s="240">
        <v>42.9</v>
      </c>
    </row>
    <row r="590" spans="1:6">
      <c r="A590" s="236"/>
      <c r="B590" s="244">
        <v>44943</v>
      </c>
      <c r="C590" s="238" t="s">
        <v>894</v>
      </c>
      <c r="D590" s="238" t="s">
        <v>931</v>
      </c>
      <c r="E590" s="239" t="s">
        <v>932</v>
      </c>
      <c r="F590" s="240">
        <v>150.4</v>
      </c>
    </row>
    <row r="591" spans="1:6">
      <c r="A591" s="236"/>
      <c r="B591" s="244">
        <v>44943</v>
      </c>
      <c r="C591" s="238" t="s">
        <v>894</v>
      </c>
      <c r="D591" s="238" t="s">
        <v>931</v>
      </c>
      <c r="E591" s="239" t="s">
        <v>952</v>
      </c>
      <c r="F591" s="241">
        <v>-150.4</v>
      </c>
    </row>
    <row r="592" spans="1:6">
      <c r="A592" s="236"/>
      <c r="B592" s="244">
        <v>44939</v>
      </c>
      <c r="C592" s="238" t="s">
        <v>894</v>
      </c>
      <c r="D592" s="238" t="s">
        <v>896</v>
      </c>
      <c r="E592" s="239" t="s">
        <v>930</v>
      </c>
      <c r="F592" s="243">
        <v>1912</v>
      </c>
    </row>
    <row r="593" spans="1:6">
      <c r="A593" s="236"/>
      <c r="B593" s="244">
        <v>44939</v>
      </c>
      <c r="C593" s="238" t="s">
        <v>894</v>
      </c>
      <c r="D593" s="238" t="s">
        <v>896</v>
      </c>
      <c r="E593" s="239" t="s">
        <v>967</v>
      </c>
      <c r="F593" s="242">
        <v>-1912</v>
      </c>
    </row>
    <row r="594" spans="1:6">
      <c r="A594" s="236"/>
      <c r="B594" s="244">
        <v>44936</v>
      </c>
      <c r="C594" s="238" t="s">
        <v>894</v>
      </c>
      <c r="D594" s="238" t="s">
        <v>896</v>
      </c>
      <c r="E594" s="239" t="s">
        <v>939</v>
      </c>
      <c r="F594" s="241">
        <v>-197.88</v>
      </c>
    </row>
    <row r="595" spans="1:6">
      <c r="A595" s="236"/>
      <c r="B595" s="244">
        <v>44935</v>
      </c>
      <c r="C595" s="238" t="s">
        <v>894</v>
      </c>
      <c r="D595" s="238" t="s">
        <v>968</v>
      </c>
      <c r="E595" s="239" t="s">
        <v>895</v>
      </c>
      <c r="F595" s="240">
        <v>98.55</v>
      </c>
    </row>
    <row r="596" spans="1:6">
      <c r="A596" s="236"/>
      <c r="B596" s="244">
        <v>44935</v>
      </c>
      <c r="C596" s="238" t="s">
        <v>894</v>
      </c>
      <c r="D596" s="238" t="s">
        <v>1026</v>
      </c>
      <c r="E596" s="239" t="s">
        <v>895</v>
      </c>
      <c r="F596" s="240">
        <v>99.33</v>
      </c>
    </row>
    <row r="597" spans="1:6">
      <c r="A597" s="236"/>
      <c r="B597" s="244">
        <v>44935</v>
      </c>
      <c r="C597" s="238" t="s">
        <v>894</v>
      </c>
      <c r="D597" s="238" t="s">
        <v>896</v>
      </c>
      <c r="E597" s="239" t="s">
        <v>939</v>
      </c>
      <c r="F597" s="241">
        <v>-311.54000000000002</v>
      </c>
    </row>
    <row r="598" spans="1:6">
      <c r="A598" s="236"/>
      <c r="B598" s="244">
        <v>44932</v>
      </c>
      <c r="C598" s="238" t="s">
        <v>894</v>
      </c>
      <c r="D598" s="238" t="s">
        <v>1102</v>
      </c>
      <c r="E598" s="239" t="s">
        <v>895</v>
      </c>
      <c r="F598" s="240">
        <v>311.54000000000002</v>
      </c>
    </row>
    <row r="599" spans="1:6">
      <c r="A599" s="236"/>
      <c r="B599" s="244">
        <v>44930</v>
      </c>
      <c r="C599" s="238" t="s">
        <v>894</v>
      </c>
      <c r="D599" s="238" t="s">
        <v>896</v>
      </c>
      <c r="E599" s="239" t="s">
        <v>939</v>
      </c>
      <c r="F599" s="241">
        <v>-339.69</v>
      </c>
    </row>
    <row r="600" spans="1:6">
      <c r="A600" s="236"/>
      <c r="B600" s="244">
        <v>44929</v>
      </c>
      <c r="C600" s="238" t="s">
        <v>894</v>
      </c>
      <c r="D600" s="238" t="s">
        <v>935</v>
      </c>
      <c r="E600" s="239" t="s">
        <v>895</v>
      </c>
      <c r="F600" s="240">
        <v>339.69</v>
      </c>
    </row>
  </sheetData>
  <mergeCells count="2">
    <mergeCell ref="A1:B1"/>
    <mergeCell ref="A34:G3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V56"/>
  <sheetViews>
    <sheetView workbookViewId="0"/>
  </sheetViews>
  <sheetFormatPr defaultColWidth="12.7109375" defaultRowHeight="12.75" customHeight="1"/>
  <cols>
    <col min="1" max="1" width="2.28515625" customWidth="1"/>
    <col min="2" max="2" width="19.85546875" customWidth="1"/>
    <col min="3" max="14" width="9.85546875" customWidth="1"/>
    <col min="15" max="15" width="9.28515625" customWidth="1"/>
    <col min="16" max="16" width="2.42578125" customWidth="1"/>
    <col min="17" max="17" width="8.28515625" customWidth="1"/>
    <col min="18" max="18" width="23.28515625" customWidth="1"/>
    <col min="19" max="19" width="5.28515625" customWidth="1"/>
    <col min="20" max="20" width="4.7109375" customWidth="1"/>
    <col min="21" max="21" width="6.28515625" customWidth="1"/>
  </cols>
  <sheetData>
    <row r="1" spans="1:22">
      <c r="B1" s="660"/>
      <c r="C1" s="660"/>
      <c r="D1" s="660"/>
      <c r="E1" s="660"/>
      <c r="F1" s="660"/>
      <c r="G1" s="660"/>
      <c r="H1" s="660"/>
      <c r="I1" s="660"/>
      <c r="J1" s="660"/>
      <c r="K1" s="660"/>
      <c r="L1" s="660"/>
      <c r="M1" s="660"/>
      <c r="N1" s="660"/>
      <c r="O1" s="660"/>
      <c r="P1" s="660"/>
      <c r="R1" s="9" t="s">
        <v>4386</v>
      </c>
      <c r="T1" s="9" t="s">
        <v>4387</v>
      </c>
    </row>
    <row r="2" spans="1:22">
      <c r="B2" s="660"/>
      <c r="C2" s="660"/>
      <c r="D2" s="660"/>
      <c r="E2" s="660"/>
      <c r="F2" s="660"/>
      <c r="G2" s="660"/>
      <c r="H2" s="660"/>
      <c r="I2" s="660"/>
      <c r="J2" s="660"/>
      <c r="K2" s="660"/>
      <c r="L2" s="660"/>
      <c r="M2" s="660"/>
      <c r="N2" s="660"/>
      <c r="O2" s="660"/>
      <c r="P2" s="660"/>
      <c r="V2" s="9" t="s">
        <v>4388</v>
      </c>
    </row>
    <row r="3" spans="1:22" ht="25.5">
      <c r="A3" s="714"/>
      <c r="B3" s="2126" t="s">
        <v>4389</v>
      </c>
      <c r="C3" s="2127"/>
      <c r="D3" s="2127"/>
      <c r="E3" s="2127"/>
      <c r="F3" s="2127"/>
      <c r="G3" s="2127"/>
      <c r="H3" s="2127"/>
      <c r="I3" s="2127"/>
      <c r="J3" s="2127"/>
      <c r="K3" s="2127"/>
      <c r="L3" s="2127"/>
      <c r="M3" s="2127"/>
      <c r="N3" s="2127"/>
      <c r="O3" s="2128"/>
      <c r="P3" s="661"/>
      <c r="R3" s="9" t="s">
        <v>4390</v>
      </c>
      <c r="S3" s="9">
        <v>2.99</v>
      </c>
      <c r="T3" s="9">
        <v>27</v>
      </c>
      <c r="U3" s="9" t="s">
        <v>116</v>
      </c>
      <c r="V3" s="9" t="s">
        <v>1114</v>
      </c>
    </row>
    <row r="4" spans="1:22" ht="25.5">
      <c r="A4" s="714"/>
      <c r="B4" s="662" t="s">
        <v>4437</v>
      </c>
      <c r="C4" s="663" t="s">
        <v>143</v>
      </c>
      <c r="D4" s="663" t="s">
        <v>26</v>
      </c>
      <c r="E4" s="663" t="s">
        <v>25</v>
      </c>
      <c r="F4" s="663" t="s">
        <v>24</v>
      </c>
      <c r="G4" s="663" t="s">
        <v>23</v>
      </c>
      <c r="H4" s="663" t="s">
        <v>22</v>
      </c>
      <c r="I4" s="663" t="s">
        <v>21</v>
      </c>
      <c r="J4" s="663" t="s">
        <v>20</v>
      </c>
      <c r="K4" s="663" t="s">
        <v>256</v>
      </c>
      <c r="L4" s="663" t="s">
        <v>18</v>
      </c>
      <c r="M4" s="663" t="s">
        <v>17</v>
      </c>
      <c r="N4" s="663" t="s">
        <v>86</v>
      </c>
      <c r="O4" s="664" t="s">
        <v>67</v>
      </c>
      <c r="P4" s="665"/>
      <c r="Q4" s="69" t="s">
        <v>4392</v>
      </c>
      <c r="R4" s="18" t="s">
        <v>4393</v>
      </c>
      <c r="S4" s="9">
        <v>9.9499999999999993</v>
      </c>
      <c r="T4" s="9">
        <v>28</v>
      </c>
      <c r="U4" s="9" t="s">
        <v>116</v>
      </c>
      <c r="V4" s="9" t="s">
        <v>4394</v>
      </c>
    </row>
    <row r="5" spans="1:22">
      <c r="A5" s="714"/>
      <c r="B5" s="666" t="s">
        <v>4395</v>
      </c>
      <c r="C5" s="667"/>
      <c r="D5" s="667"/>
      <c r="E5" s="667"/>
      <c r="F5" s="667"/>
      <c r="G5" s="667"/>
      <c r="H5" s="667"/>
      <c r="I5" s="667"/>
      <c r="J5" s="667"/>
      <c r="K5" s="667"/>
      <c r="L5" s="667"/>
      <c r="M5" s="667"/>
      <c r="N5" s="667"/>
      <c r="O5" s="668">
        <f>SUM(C5:N5)</f>
        <v>0</v>
      </c>
      <c r="P5" s="669"/>
      <c r="Q5" s="69"/>
      <c r="R5" s="670" t="s">
        <v>4396</v>
      </c>
      <c r="S5" s="9">
        <v>5.99</v>
      </c>
      <c r="U5" s="9" t="s">
        <v>116</v>
      </c>
      <c r="V5" s="9" t="s">
        <v>1114</v>
      </c>
    </row>
    <row r="6" spans="1:22" ht="21.75">
      <c r="A6" s="714"/>
      <c r="B6" s="666" t="s">
        <v>4397</v>
      </c>
      <c r="C6" s="671"/>
      <c r="D6" s="671"/>
      <c r="E6" s="671"/>
      <c r="F6" s="671"/>
      <c r="G6" s="671"/>
      <c r="H6" s="671"/>
      <c r="I6" s="671"/>
      <c r="J6" s="671"/>
      <c r="K6" s="671"/>
      <c r="L6" s="671"/>
      <c r="M6" s="671"/>
      <c r="N6" s="671"/>
      <c r="O6" s="668"/>
      <c r="P6" s="672"/>
      <c r="Q6" s="69"/>
      <c r="R6" s="673" t="s">
        <v>4398</v>
      </c>
      <c r="S6" s="9">
        <v>6.5</v>
      </c>
      <c r="T6" s="9">
        <v>26</v>
      </c>
      <c r="U6" s="9" t="s">
        <v>116</v>
      </c>
      <c r="V6" s="9" t="s">
        <v>1114</v>
      </c>
    </row>
    <row r="7" spans="1:22">
      <c r="A7" s="714"/>
      <c r="B7" s="674" t="s">
        <v>4399</v>
      </c>
      <c r="C7" s="675"/>
      <c r="D7" s="675"/>
      <c r="E7" s="675"/>
      <c r="F7" s="675"/>
      <c r="G7" s="675"/>
      <c r="H7" s="675"/>
      <c r="I7" s="675"/>
      <c r="J7" s="675"/>
      <c r="K7" s="675"/>
      <c r="L7" s="675"/>
      <c r="M7" s="676">
        <v>2331.1</v>
      </c>
      <c r="N7" s="675"/>
      <c r="O7" s="677">
        <f t="shared" ref="O7:O19" si="0">SUM(C7:N7)</f>
        <v>2331.1</v>
      </c>
      <c r="P7" s="672"/>
      <c r="Q7" s="678">
        <v>0</v>
      </c>
      <c r="R7" s="679" t="s">
        <v>4400</v>
      </c>
      <c r="S7" s="9">
        <v>4.9000000000000004</v>
      </c>
      <c r="T7" s="9">
        <v>26</v>
      </c>
      <c r="U7" s="9" t="s">
        <v>116</v>
      </c>
      <c r="V7" s="9" t="s">
        <v>1114</v>
      </c>
    </row>
    <row r="8" spans="1:22">
      <c r="A8" s="714"/>
      <c r="B8" s="680" t="s">
        <v>4401</v>
      </c>
      <c r="C8" s="680">
        <v>3.75</v>
      </c>
      <c r="D8" s="680">
        <v>3.75</v>
      </c>
      <c r="E8" s="680">
        <v>3.75</v>
      </c>
      <c r="F8" s="680">
        <v>3.75</v>
      </c>
      <c r="G8" s="680">
        <v>3.75</v>
      </c>
      <c r="H8" s="680">
        <v>3.75</v>
      </c>
      <c r="I8" s="680">
        <v>3.75</v>
      </c>
      <c r="J8" s="680">
        <v>3.75</v>
      </c>
      <c r="K8" s="680">
        <v>3.75</v>
      </c>
      <c r="L8" s="680">
        <v>3.75</v>
      </c>
      <c r="M8" s="680">
        <v>3.75</v>
      </c>
      <c r="N8" s="680">
        <v>3.75</v>
      </c>
      <c r="O8" s="677">
        <f t="shared" si="0"/>
        <v>45</v>
      </c>
      <c r="P8" s="681"/>
      <c r="Q8" s="682">
        <f>AVERAGE(D8:L8)</f>
        <v>3.75</v>
      </c>
      <c r="R8" s="9" t="s">
        <v>4402</v>
      </c>
      <c r="S8" s="82">
        <v>15</v>
      </c>
      <c r="T8" s="9">
        <v>19</v>
      </c>
      <c r="U8" s="9" t="s">
        <v>116</v>
      </c>
      <c r="V8" s="9" t="s">
        <v>1114</v>
      </c>
    </row>
    <row r="9" spans="1:22" ht="22.5">
      <c r="A9" s="714"/>
      <c r="B9" s="683" t="s">
        <v>4403</v>
      </c>
      <c r="C9" s="683">
        <v>270.79000000000002</v>
      </c>
      <c r="D9" s="683">
        <v>229.64</v>
      </c>
      <c r="E9" s="683">
        <v>135.27000000000001</v>
      </c>
      <c r="F9" s="683">
        <v>126.83</v>
      </c>
      <c r="G9" s="683">
        <v>100.31</v>
      </c>
      <c r="H9" s="683">
        <v>79.2</v>
      </c>
      <c r="I9" s="683">
        <v>128.59</v>
      </c>
      <c r="J9" s="683">
        <v>53.28</v>
      </c>
      <c r="K9" s="683">
        <v>73.41</v>
      </c>
      <c r="L9" s="683">
        <v>113.57</v>
      </c>
      <c r="M9" s="683">
        <v>149.22</v>
      </c>
      <c r="N9" s="683">
        <v>212.26</v>
      </c>
      <c r="O9" s="677">
        <f t="shared" si="0"/>
        <v>1672.3700000000001</v>
      </c>
      <c r="P9" s="681"/>
      <c r="Q9" s="682">
        <f t="shared" ref="Q9:Q17" si="1">AVERAGE(C9:N9)</f>
        <v>139.36416666666668</v>
      </c>
      <c r="R9" s="684" t="s">
        <v>4404</v>
      </c>
      <c r="S9" s="9" t="s">
        <v>3592</v>
      </c>
      <c r="T9" s="9">
        <v>13</v>
      </c>
      <c r="U9" s="9" t="s">
        <v>4405</v>
      </c>
    </row>
    <row r="10" spans="1:22" ht="25.5">
      <c r="A10" s="714"/>
      <c r="B10" s="675" t="s">
        <v>4406</v>
      </c>
      <c r="C10" s="675">
        <v>100.58</v>
      </c>
      <c r="D10" s="675">
        <v>85.08</v>
      </c>
      <c r="E10" s="675">
        <v>48.68</v>
      </c>
      <c r="F10" s="675">
        <v>45.41</v>
      </c>
      <c r="G10" s="675">
        <v>35.53</v>
      </c>
      <c r="H10" s="675">
        <v>27.34</v>
      </c>
      <c r="I10" s="675">
        <v>45.23</v>
      </c>
      <c r="J10" s="675">
        <v>16.47</v>
      </c>
      <c r="K10" s="675">
        <v>21.59</v>
      </c>
      <c r="L10" s="675">
        <v>33.06</v>
      </c>
      <c r="M10" s="675">
        <v>41.96</v>
      </c>
      <c r="N10" s="675">
        <v>61.68</v>
      </c>
      <c r="O10" s="677">
        <f t="shared" si="0"/>
        <v>562.6099999999999</v>
      </c>
      <c r="P10" s="681"/>
      <c r="Q10" s="682">
        <f t="shared" si="1"/>
        <v>46.884166666666658</v>
      </c>
      <c r="R10" s="9" t="s">
        <v>3888</v>
      </c>
      <c r="S10" s="9">
        <v>5.41</v>
      </c>
      <c r="T10" s="9">
        <v>13</v>
      </c>
      <c r="U10" s="9" t="s">
        <v>4407</v>
      </c>
      <c r="V10" s="9" t="s">
        <v>1114</v>
      </c>
    </row>
    <row r="11" spans="1:22" ht="25.5">
      <c r="A11" s="714"/>
      <c r="B11" s="685" t="s">
        <v>4408</v>
      </c>
      <c r="C11" s="685">
        <v>8.75</v>
      </c>
      <c r="D11" s="685">
        <v>8.75</v>
      </c>
      <c r="E11" s="685">
        <v>8.75</v>
      </c>
      <c r="F11" s="685">
        <v>8.75</v>
      </c>
      <c r="G11" s="685">
        <v>8.75</v>
      </c>
      <c r="H11" s="685">
        <v>8.75</v>
      </c>
      <c r="I11" s="685">
        <v>8.75</v>
      </c>
      <c r="J11" s="685">
        <v>8.75</v>
      </c>
      <c r="K11" s="685">
        <v>8.75</v>
      </c>
      <c r="L11" s="685">
        <v>8.75</v>
      </c>
      <c r="M11" s="685">
        <v>8.75</v>
      </c>
      <c r="N11" s="685">
        <v>8.75</v>
      </c>
      <c r="O11" s="677">
        <f t="shared" si="0"/>
        <v>105</v>
      </c>
      <c r="P11" s="681"/>
      <c r="Q11" s="682">
        <f t="shared" si="1"/>
        <v>8.75</v>
      </c>
      <c r="R11" s="9" t="s">
        <v>4409</v>
      </c>
      <c r="S11" s="9">
        <v>190</v>
      </c>
      <c r="T11" s="9">
        <v>12</v>
      </c>
      <c r="U11" s="3" t="s">
        <v>4405</v>
      </c>
      <c r="V11" s="9" t="s">
        <v>4410</v>
      </c>
    </row>
    <row r="12" spans="1:22">
      <c r="A12" s="714"/>
      <c r="B12" s="675" t="s">
        <v>4411</v>
      </c>
      <c r="C12" s="675">
        <v>23.29</v>
      </c>
      <c r="D12" s="675">
        <v>23.29</v>
      </c>
      <c r="E12" s="675">
        <v>23.29</v>
      </c>
      <c r="F12" s="675">
        <v>24.91</v>
      </c>
      <c r="G12" s="675">
        <v>24.91</v>
      </c>
      <c r="H12" s="675">
        <v>24.91</v>
      </c>
      <c r="I12" s="675">
        <v>24.91</v>
      </c>
      <c r="J12" s="675">
        <v>24.91</v>
      </c>
      <c r="K12" s="675">
        <v>24.91</v>
      </c>
      <c r="L12" s="675">
        <v>24.91</v>
      </c>
      <c r="M12" s="675">
        <v>24.91</v>
      </c>
      <c r="N12" s="675">
        <v>24.91</v>
      </c>
      <c r="O12" s="677">
        <f t="shared" si="0"/>
        <v>294.06</v>
      </c>
      <c r="P12" s="681"/>
      <c r="Q12" s="682">
        <f t="shared" si="1"/>
        <v>24.504999999999999</v>
      </c>
      <c r="R12" s="9" t="s">
        <v>4412</v>
      </c>
      <c r="S12" s="9">
        <v>10</v>
      </c>
      <c r="T12" s="9">
        <v>10</v>
      </c>
      <c r="U12" s="9" t="s">
        <v>116</v>
      </c>
      <c r="V12" s="9" t="s">
        <v>4413</v>
      </c>
    </row>
    <row r="13" spans="1:22">
      <c r="A13" s="714"/>
      <c r="B13" s="683" t="s">
        <v>4414</v>
      </c>
      <c r="C13" s="683">
        <v>21.15</v>
      </c>
      <c r="D13" s="683">
        <v>21.25</v>
      </c>
      <c r="E13" s="683">
        <v>21.15</v>
      </c>
      <c r="F13" s="683">
        <v>21.15</v>
      </c>
      <c r="G13" s="683">
        <v>30.85</v>
      </c>
      <c r="H13" s="683">
        <v>37.1</v>
      </c>
      <c r="I13" s="683">
        <v>33.44</v>
      </c>
      <c r="J13" s="683">
        <v>32.83</v>
      </c>
      <c r="K13" s="683">
        <v>33.14</v>
      </c>
      <c r="L13" s="683">
        <v>34.36</v>
      </c>
      <c r="M13" s="683">
        <v>28.87</v>
      </c>
      <c r="N13" s="683">
        <v>24.22</v>
      </c>
      <c r="O13" s="677">
        <f t="shared" si="0"/>
        <v>339.51</v>
      </c>
      <c r="P13" s="681"/>
      <c r="Q13" s="682">
        <f t="shared" si="1"/>
        <v>28.2925</v>
      </c>
      <c r="R13" s="9" t="s">
        <v>4415</v>
      </c>
      <c r="S13" s="9">
        <v>120</v>
      </c>
      <c r="T13" s="9">
        <v>11</v>
      </c>
      <c r="U13" s="9" t="s">
        <v>116</v>
      </c>
      <c r="V13" s="9" t="s">
        <v>1114</v>
      </c>
    </row>
    <row r="14" spans="1:22" ht="25.5">
      <c r="A14" s="714"/>
      <c r="B14" s="675" t="s">
        <v>4416</v>
      </c>
      <c r="C14" s="675">
        <v>0.06</v>
      </c>
      <c r="D14" s="675">
        <v>0.06</v>
      </c>
      <c r="E14" s="675">
        <v>0.06</v>
      </c>
      <c r="F14" s="675">
        <v>0.06</v>
      </c>
      <c r="G14" s="675">
        <v>0.2</v>
      </c>
      <c r="H14" s="675">
        <v>0.22</v>
      </c>
      <c r="I14" s="675">
        <v>0.19</v>
      </c>
      <c r="J14" s="675">
        <v>0.18</v>
      </c>
      <c r="K14" s="675">
        <v>0.18</v>
      </c>
      <c r="L14" s="675">
        <v>0.2</v>
      </c>
      <c r="M14" s="675">
        <v>0.14000000000000001</v>
      </c>
      <c r="N14" s="675">
        <v>0.04</v>
      </c>
      <c r="O14" s="677">
        <f t="shared" si="0"/>
        <v>1.5899999999999999</v>
      </c>
      <c r="P14" s="681"/>
      <c r="Q14" s="682">
        <f t="shared" si="1"/>
        <v>0.13249999999999998</v>
      </c>
      <c r="R14" s="9" t="s">
        <v>1120</v>
      </c>
      <c r="S14" s="9" t="s">
        <v>135</v>
      </c>
      <c r="T14" s="9" t="s">
        <v>135</v>
      </c>
      <c r="U14" s="9" t="s">
        <v>135</v>
      </c>
      <c r="V14" s="9" t="s">
        <v>135</v>
      </c>
    </row>
    <row r="15" spans="1:22">
      <c r="A15" s="714"/>
      <c r="B15" s="685" t="s">
        <v>4417</v>
      </c>
      <c r="C15" s="685">
        <v>7.42</v>
      </c>
      <c r="D15" s="685">
        <v>6.3</v>
      </c>
      <c r="E15" s="685">
        <v>3.68</v>
      </c>
      <c r="F15" s="685">
        <v>3.44</v>
      </c>
      <c r="G15" s="685">
        <v>2.72</v>
      </c>
      <c r="H15" s="685">
        <v>2.14</v>
      </c>
      <c r="I15" s="685">
        <v>3.48</v>
      </c>
      <c r="J15" s="685">
        <v>1.4</v>
      </c>
      <c r="K15" s="685">
        <v>1.9</v>
      </c>
      <c r="L15" s="685">
        <v>2.94</v>
      </c>
      <c r="M15" s="685">
        <v>3.82</v>
      </c>
      <c r="N15" s="685">
        <v>5.48</v>
      </c>
      <c r="O15" s="677">
        <f t="shared" si="0"/>
        <v>44.72</v>
      </c>
      <c r="P15" s="681"/>
      <c r="Q15" s="682">
        <f t="shared" si="1"/>
        <v>3.7266666666666666</v>
      </c>
    </row>
    <row r="16" spans="1:22" ht="25.5">
      <c r="A16" s="714"/>
      <c r="B16" s="686" t="s">
        <v>4438</v>
      </c>
      <c r="C16" s="686">
        <f t="shared" ref="C16:N16" si="2">SUM(C8:C15)</f>
        <v>435.79</v>
      </c>
      <c r="D16" s="686">
        <f t="shared" si="2"/>
        <v>378.12</v>
      </c>
      <c r="E16" s="686">
        <f t="shared" si="2"/>
        <v>244.63000000000002</v>
      </c>
      <c r="F16" s="686">
        <f t="shared" si="2"/>
        <v>234.29999999999998</v>
      </c>
      <c r="G16" s="686">
        <f t="shared" si="2"/>
        <v>207.01999999999998</v>
      </c>
      <c r="H16" s="686">
        <f t="shared" si="2"/>
        <v>183.41</v>
      </c>
      <c r="I16" s="686">
        <f t="shared" si="2"/>
        <v>248.33999999999997</v>
      </c>
      <c r="J16" s="686">
        <f t="shared" si="2"/>
        <v>141.57000000000002</v>
      </c>
      <c r="K16" s="686">
        <f t="shared" si="2"/>
        <v>167.63000000000002</v>
      </c>
      <c r="L16" s="686">
        <f t="shared" si="2"/>
        <v>221.53999999999996</v>
      </c>
      <c r="M16" s="686">
        <f t="shared" si="2"/>
        <v>261.41999999999996</v>
      </c>
      <c r="N16" s="686">
        <f t="shared" si="2"/>
        <v>341.09000000000009</v>
      </c>
      <c r="O16" s="677">
        <f t="shared" si="0"/>
        <v>3064.8600000000006</v>
      </c>
      <c r="P16" s="681"/>
      <c r="Q16" s="682">
        <f t="shared" si="1"/>
        <v>255.40500000000006</v>
      </c>
    </row>
    <row r="17" spans="1:19" ht="25.5">
      <c r="A17" s="714"/>
      <c r="B17" s="674" t="s">
        <v>4419</v>
      </c>
      <c r="C17" s="675">
        <v>337.18</v>
      </c>
      <c r="D17" s="675">
        <v>402.86</v>
      </c>
      <c r="E17" s="675">
        <v>278.02999999999997</v>
      </c>
      <c r="F17" s="675">
        <v>77.14</v>
      </c>
      <c r="G17" s="675">
        <v>33.47</v>
      </c>
      <c r="H17" s="675">
        <v>34.65</v>
      </c>
      <c r="I17" s="675"/>
      <c r="J17" s="675">
        <v>24.79</v>
      </c>
      <c r="K17" s="675">
        <v>33.549999999999997</v>
      </c>
      <c r="L17" s="675">
        <v>117.63</v>
      </c>
      <c r="M17" s="675">
        <v>211.12</v>
      </c>
      <c r="N17" s="675">
        <v>259.25</v>
      </c>
      <c r="O17" s="677">
        <f t="shared" si="0"/>
        <v>1809.67</v>
      </c>
      <c r="P17" s="672"/>
      <c r="Q17" s="682">
        <f t="shared" si="1"/>
        <v>164.51545454545456</v>
      </c>
    </row>
    <row r="18" spans="1:19" ht="25.5">
      <c r="A18" s="714"/>
      <c r="B18" s="674" t="s">
        <v>4420</v>
      </c>
      <c r="C18" s="687"/>
      <c r="D18" s="687"/>
      <c r="E18" s="687"/>
      <c r="F18" s="687"/>
      <c r="G18" s="687"/>
      <c r="H18" s="687"/>
      <c r="I18" s="687"/>
      <c r="J18" s="687"/>
      <c r="K18" s="687"/>
      <c r="L18" s="687"/>
      <c r="M18" s="688">
        <v>2877</v>
      </c>
      <c r="N18" s="687"/>
      <c r="O18" s="677">
        <f t="shared" si="0"/>
        <v>2877</v>
      </c>
      <c r="P18" s="672"/>
      <c r="Q18" s="682"/>
    </row>
    <row r="19" spans="1:19">
      <c r="A19" s="714"/>
      <c r="B19" s="666" t="s">
        <v>4421</v>
      </c>
      <c r="C19" s="677">
        <f t="shared" ref="C19:N19" si="3">SUM(C16:C18)</f>
        <v>772.97</v>
      </c>
      <c r="D19" s="677">
        <f t="shared" si="3"/>
        <v>780.98</v>
      </c>
      <c r="E19" s="677">
        <f t="shared" si="3"/>
        <v>522.66</v>
      </c>
      <c r="F19" s="677">
        <f t="shared" si="3"/>
        <v>311.44</v>
      </c>
      <c r="G19" s="677">
        <f t="shared" si="3"/>
        <v>240.48999999999998</v>
      </c>
      <c r="H19" s="677">
        <f t="shared" si="3"/>
        <v>218.06</v>
      </c>
      <c r="I19" s="677">
        <f t="shared" si="3"/>
        <v>248.33999999999997</v>
      </c>
      <c r="J19" s="677">
        <f t="shared" si="3"/>
        <v>166.36</v>
      </c>
      <c r="K19" s="677">
        <f t="shared" si="3"/>
        <v>201.18</v>
      </c>
      <c r="L19" s="677">
        <f t="shared" si="3"/>
        <v>339.16999999999996</v>
      </c>
      <c r="M19" s="677">
        <f t="shared" si="3"/>
        <v>3349.54</v>
      </c>
      <c r="N19" s="677">
        <f t="shared" si="3"/>
        <v>600.34000000000015</v>
      </c>
      <c r="O19" s="668">
        <f t="shared" si="0"/>
        <v>7751.5300000000007</v>
      </c>
      <c r="P19" s="669"/>
      <c r="Q19" s="682">
        <f>AVERAGE(D19:L19)</f>
        <v>336.52000000000004</v>
      </c>
    </row>
    <row r="20" spans="1:19">
      <c r="A20" s="714"/>
      <c r="B20" s="689" t="s">
        <v>1126</v>
      </c>
      <c r="C20" s="690">
        <f t="shared" ref="C20:N20" si="4">C19</f>
        <v>772.97</v>
      </c>
      <c r="D20" s="690">
        <f t="shared" si="4"/>
        <v>780.98</v>
      </c>
      <c r="E20" s="690">
        <f t="shared" si="4"/>
        <v>522.66</v>
      </c>
      <c r="F20" s="690">
        <f t="shared" si="4"/>
        <v>311.44</v>
      </c>
      <c r="G20" s="690">
        <f t="shared" si="4"/>
        <v>240.48999999999998</v>
      </c>
      <c r="H20" s="690">
        <f t="shared" si="4"/>
        <v>218.06</v>
      </c>
      <c r="I20" s="690">
        <f t="shared" si="4"/>
        <v>248.33999999999997</v>
      </c>
      <c r="J20" s="690">
        <f t="shared" si="4"/>
        <v>166.36</v>
      </c>
      <c r="K20" s="690">
        <f t="shared" si="4"/>
        <v>201.18</v>
      </c>
      <c r="L20" s="690">
        <f t="shared" si="4"/>
        <v>339.16999999999996</v>
      </c>
      <c r="M20" s="690">
        <f t="shared" si="4"/>
        <v>3349.54</v>
      </c>
      <c r="N20" s="690">
        <f t="shared" si="4"/>
        <v>600.34000000000015</v>
      </c>
      <c r="O20" s="690">
        <f>SUM(O7:O18)</f>
        <v>13147.490000000002</v>
      </c>
      <c r="P20" s="691"/>
      <c r="Q20" s="682">
        <f>AVERAGE(D20:L20)</f>
        <v>336.52000000000004</v>
      </c>
    </row>
    <row r="21" spans="1:19">
      <c r="A21" s="715"/>
      <c r="B21" s="692"/>
      <c r="C21" s="693"/>
      <c r="D21" s="693"/>
      <c r="E21" s="693"/>
      <c r="F21" s="693"/>
      <c r="G21" s="693"/>
      <c r="H21" s="693"/>
      <c r="I21" s="693"/>
      <c r="J21" s="693"/>
      <c r="K21" s="693"/>
      <c r="L21" s="693"/>
      <c r="M21" s="693"/>
      <c r="N21" s="693"/>
      <c r="O21" s="693"/>
      <c r="P21" s="694"/>
    </row>
    <row r="22" spans="1:19" ht="25.5">
      <c r="B22" s="9"/>
      <c r="C22" s="9"/>
      <c r="D22" s="9"/>
      <c r="E22" s="9"/>
      <c r="F22" s="9"/>
      <c r="G22" s="9"/>
      <c r="H22" s="9"/>
      <c r="I22" s="9"/>
      <c r="J22" s="9"/>
      <c r="K22" s="9"/>
      <c r="L22" s="9"/>
      <c r="R22" s="9" t="s">
        <v>4422</v>
      </c>
      <c r="S22" s="695"/>
    </row>
    <row r="23" spans="1:19">
      <c r="R23" s="11">
        <f>M7*1.5/100</f>
        <v>34.966499999999996</v>
      </c>
    </row>
    <row r="24" spans="1:19">
      <c r="B24" s="660"/>
      <c r="C24" s="660"/>
      <c r="D24" s="660"/>
      <c r="E24" s="660"/>
      <c r="F24" s="660"/>
      <c r="G24" s="660"/>
      <c r="H24" s="660"/>
      <c r="I24" s="660"/>
      <c r="J24" s="660"/>
      <c r="K24" s="660"/>
      <c r="L24" s="660"/>
      <c r="M24" s="660"/>
      <c r="N24" s="660"/>
      <c r="O24" s="660"/>
      <c r="P24" s="660"/>
      <c r="S24" s="43"/>
    </row>
    <row r="25" spans="1:19">
      <c r="A25" s="714"/>
      <c r="B25" s="2126" t="s">
        <v>4423</v>
      </c>
      <c r="C25" s="2127"/>
      <c r="D25" s="2127"/>
      <c r="E25" s="2127"/>
      <c r="F25" s="2127"/>
      <c r="G25" s="2127"/>
      <c r="H25" s="2127"/>
      <c r="I25" s="2127"/>
      <c r="J25" s="2127"/>
      <c r="K25" s="2127"/>
      <c r="L25" s="2127"/>
      <c r="M25" s="2127"/>
      <c r="N25" s="2127"/>
      <c r="O25" s="2128"/>
      <c r="P25" s="661"/>
    </row>
    <row r="26" spans="1:19">
      <c r="A26" s="714"/>
      <c r="B26" s="662" t="s">
        <v>4437</v>
      </c>
      <c r="C26" s="663" t="s">
        <v>143</v>
      </c>
      <c r="D26" s="663" t="s">
        <v>26</v>
      </c>
      <c r="E26" s="663" t="s">
        <v>25</v>
      </c>
      <c r="F26" s="663" t="s">
        <v>24</v>
      </c>
      <c r="G26" s="663" t="s">
        <v>23</v>
      </c>
      <c r="H26" s="663" t="s">
        <v>22</v>
      </c>
      <c r="I26" s="663" t="s">
        <v>21</v>
      </c>
      <c r="J26" s="663" t="s">
        <v>20</v>
      </c>
      <c r="K26" s="663" t="s">
        <v>256</v>
      </c>
      <c r="L26" s="663" t="s">
        <v>18</v>
      </c>
      <c r="M26" s="663" t="s">
        <v>17</v>
      </c>
      <c r="N26" s="663" t="s">
        <v>86</v>
      </c>
      <c r="O26" s="664" t="s">
        <v>67</v>
      </c>
      <c r="P26" s="665"/>
      <c r="R26" s="40">
        <f>175.6-88.84</f>
        <v>86.759999999999991</v>
      </c>
    </row>
    <row r="27" spans="1:19">
      <c r="A27" s="714"/>
      <c r="B27" s="666" t="s">
        <v>4424</v>
      </c>
      <c r="C27" s="671"/>
      <c r="D27" s="671"/>
      <c r="E27" s="671"/>
      <c r="F27" s="671"/>
      <c r="G27" s="671"/>
      <c r="H27" s="671"/>
      <c r="I27" s="671"/>
      <c r="J27" s="671"/>
      <c r="K27" s="671"/>
      <c r="L27" s="671"/>
      <c r="M27" s="671"/>
      <c r="N27" s="671"/>
      <c r="O27" s="668"/>
      <c r="P27" s="672"/>
    </row>
    <row r="28" spans="1:19">
      <c r="A28" s="714"/>
      <c r="B28" s="674" t="s">
        <v>4439</v>
      </c>
      <c r="C28" s="696">
        <v>0</v>
      </c>
      <c r="D28" s="697"/>
      <c r="E28" s="697"/>
      <c r="F28" s="698"/>
      <c r="G28" s="697"/>
      <c r="H28" s="697"/>
      <c r="I28" s="697"/>
      <c r="J28" s="697"/>
      <c r="K28" s="697"/>
      <c r="L28" s="697"/>
      <c r="M28" s="697"/>
      <c r="N28" s="697"/>
      <c r="O28" s="668">
        <f>SUM(C28:N28)</f>
        <v>0</v>
      </c>
      <c r="P28" s="672"/>
    </row>
    <row r="29" spans="1:19">
      <c r="A29" s="714"/>
      <c r="B29" s="674" t="s">
        <v>4426</v>
      </c>
      <c r="C29" s="699">
        <v>115</v>
      </c>
      <c r="D29" s="697"/>
      <c r="E29" s="697"/>
      <c r="F29" s="698"/>
      <c r="G29" s="697"/>
      <c r="H29" s="697"/>
      <c r="I29" s="697"/>
      <c r="J29" s="697"/>
      <c r="K29" s="697"/>
      <c r="L29" s="697"/>
      <c r="M29" s="697"/>
      <c r="N29" s="697"/>
      <c r="O29" s="668">
        <f>SUM(C29:N29)</f>
        <v>115</v>
      </c>
      <c r="P29" s="672"/>
    </row>
    <row r="30" spans="1:19">
      <c r="A30" s="714"/>
      <c r="B30" s="674" t="s">
        <v>4427</v>
      </c>
      <c r="C30" s="696">
        <v>0</v>
      </c>
      <c r="D30" s="675"/>
      <c r="E30" s="697"/>
      <c r="F30" s="698"/>
      <c r="G30" s="697"/>
      <c r="H30" s="697"/>
      <c r="I30" s="697"/>
      <c r="J30" s="697"/>
      <c r="K30" s="697"/>
      <c r="L30" s="697"/>
      <c r="M30" s="697"/>
      <c r="N30" s="697"/>
      <c r="O30" s="668">
        <f>SUM(C30:N30)</f>
        <v>0</v>
      </c>
      <c r="P30" s="672"/>
    </row>
    <row r="31" spans="1:19">
      <c r="A31" s="714"/>
      <c r="B31" s="674" t="s">
        <v>4440</v>
      </c>
      <c r="C31" s="699">
        <v>130</v>
      </c>
      <c r="D31" s="697"/>
      <c r="E31" s="697"/>
      <c r="F31" s="698"/>
      <c r="G31" s="697"/>
      <c r="H31" s="697"/>
      <c r="I31" s="697"/>
      <c r="J31" s="697"/>
      <c r="K31" s="697"/>
      <c r="L31" s="697"/>
      <c r="M31" s="697"/>
      <c r="N31" s="697"/>
      <c r="O31" s="668">
        <f>SUM(J31:N31)</f>
        <v>0</v>
      </c>
      <c r="P31" s="672"/>
    </row>
    <row r="32" spans="1:19">
      <c r="A32" s="714"/>
      <c r="B32" s="674" t="s">
        <v>4429</v>
      </c>
      <c r="C32" s="700">
        <v>0</v>
      </c>
      <c r="D32" s="697"/>
      <c r="E32" s="697"/>
      <c r="F32" s="698"/>
      <c r="G32" s="697"/>
      <c r="H32" s="697"/>
      <c r="I32" s="697"/>
      <c r="J32" s="697"/>
      <c r="K32" s="697"/>
      <c r="L32" s="697"/>
      <c r="M32" s="697"/>
      <c r="N32" s="697"/>
      <c r="O32" s="668">
        <f>SUM(C32:N32)</f>
        <v>0</v>
      </c>
      <c r="P32" s="672"/>
    </row>
    <row r="33" spans="1:18" ht="25.5">
      <c r="A33" s="714"/>
      <c r="B33" s="674" t="s">
        <v>4441</v>
      </c>
      <c r="C33" s="701">
        <v>398</v>
      </c>
      <c r="D33" s="697"/>
      <c r="E33" s="702" t="s">
        <v>4430</v>
      </c>
      <c r="F33" s="698"/>
      <c r="G33" s="697"/>
      <c r="H33" s="697"/>
      <c r="I33" s="697"/>
      <c r="J33" s="697"/>
      <c r="K33" s="697"/>
      <c r="L33" s="697"/>
      <c r="M33" s="697"/>
      <c r="N33" s="697"/>
      <c r="O33" s="668">
        <f>SUM(C33:N33)</f>
        <v>398</v>
      </c>
      <c r="P33" s="672"/>
      <c r="Q33" s="2088" t="s">
        <v>4431</v>
      </c>
      <c r="R33" s="2087"/>
    </row>
    <row r="34" spans="1:18">
      <c r="A34" s="714"/>
      <c r="B34" s="703"/>
      <c r="C34" s="696"/>
      <c r="D34" s="697"/>
      <c r="E34" s="697"/>
      <c r="F34" s="698"/>
      <c r="G34" s="697"/>
      <c r="H34" s="697"/>
      <c r="I34" s="704"/>
      <c r="J34" s="697"/>
      <c r="K34" s="697"/>
      <c r="L34" s="697"/>
      <c r="M34" s="697"/>
      <c r="N34" s="697"/>
      <c r="O34" s="668">
        <f>SUM(C34:N34)</f>
        <v>0</v>
      </c>
      <c r="P34" s="672"/>
    </row>
    <row r="35" spans="1:18">
      <c r="A35" s="714"/>
      <c r="B35" s="674" t="s">
        <v>4432</v>
      </c>
      <c r="C35" s="699">
        <v>174</v>
      </c>
      <c r="D35" s="697"/>
      <c r="E35" s="697"/>
      <c r="F35" s="698"/>
      <c r="G35" s="697"/>
      <c r="H35" s="697"/>
      <c r="I35" s="697"/>
      <c r="J35" s="697"/>
      <c r="K35" s="697"/>
      <c r="L35" s="697"/>
      <c r="M35" s="697"/>
      <c r="N35" s="697"/>
      <c r="O35" s="668">
        <f>SUM(C35:N35)</f>
        <v>174</v>
      </c>
      <c r="P35" s="672"/>
    </row>
    <row r="36" spans="1:18">
      <c r="A36" s="714"/>
      <c r="B36" s="674"/>
      <c r="C36" s="700"/>
      <c r="D36" s="697"/>
      <c r="E36" s="697"/>
      <c r="F36" s="698"/>
      <c r="G36" s="697"/>
      <c r="H36" s="697"/>
      <c r="I36" s="697"/>
      <c r="J36" s="697"/>
      <c r="K36" s="697"/>
      <c r="L36" s="697"/>
      <c r="M36" s="697"/>
      <c r="N36" s="697"/>
      <c r="O36" s="668">
        <f>SUM(C36:N36)</f>
        <v>0</v>
      </c>
      <c r="P36" s="672"/>
    </row>
    <row r="37" spans="1:18">
      <c r="A37" s="714"/>
      <c r="B37" s="674" t="s">
        <v>4323</v>
      </c>
      <c r="C37" s="685">
        <v>97</v>
      </c>
      <c r="D37" s="705"/>
      <c r="E37" s="705"/>
      <c r="F37" s="706"/>
      <c r="G37" s="705"/>
      <c r="H37" s="705"/>
      <c r="I37" s="705"/>
      <c r="J37" s="705"/>
      <c r="K37" s="705"/>
      <c r="L37" s="705"/>
      <c r="M37" s="705"/>
      <c r="N37" s="705"/>
      <c r="O37" s="668"/>
      <c r="P37" s="672"/>
    </row>
    <row r="38" spans="1:18">
      <c r="A38" s="714"/>
      <c r="B38" s="674" t="s">
        <v>4433</v>
      </c>
      <c r="C38" s="700"/>
      <c r="D38" s="705"/>
      <c r="E38" s="705"/>
      <c r="F38" s="705"/>
      <c r="G38" s="705"/>
      <c r="H38" s="705"/>
      <c r="I38" s="705"/>
      <c r="J38" s="705"/>
      <c r="K38" s="705"/>
      <c r="L38" s="705"/>
      <c r="M38" s="705"/>
      <c r="N38" s="705">
        <f>72.06+23.24</f>
        <v>95.3</v>
      </c>
      <c r="O38" s="668"/>
      <c r="P38" s="672"/>
      <c r="Q38" s="707">
        <f>SUM(O28:O36)</f>
        <v>687</v>
      </c>
    </row>
    <row r="39" spans="1:18" ht="25.5">
      <c r="A39" s="714"/>
      <c r="B39" s="674" t="s">
        <v>4434</v>
      </c>
      <c r="C39" s="701">
        <v>-35</v>
      </c>
      <c r="D39" s="685">
        <v>-35</v>
      </c>
      <c r="E39" s="685">
        <v>-35</v>
      </c>
      <c r="F39" s="708">
        <v>-35</v>
      </c>
      <c r="G39" s="708">
        <v>-35</v>
      </c>
      <c r="H39" s="708">
        <v>-35</v>
      </c>
      <c r="I39" s="708">
        <v>-35</v>
      </c>
      <c r="J39" s="708">
        <v>-35</v>
      </c>
      <c r="K39" s="708">
        <v>-35</v>
      </c>
      <c r="L39" s="708">
        <v>-35</v>
      </c>
      <c r="M39" s="708">
        <v>-35</v>
      </c>
      <c r="N39" s="708">
        <v>-35</v>
      </c>
      <c r="O39" s="668">
        <f>SUM(C39:N39)</f>
        <v>-420</v>
      </c>
      <c r="P39" s="672"/>
    </row>
    <row r="40" spans="1:18">
      <c r="A40" s="715"/>
      <c r="B40" s="677" t="s">
        <v>4435</v>
      </c>
      <c r="C40" s="677">
        <f t="shared" ref="C40:O40" si="5">SUM(C28:C39)</f>
        <v>879</v>
      </c>
      <c r="D40" s="677">
        <f t="shared" si="5"/>
        <v>-35</v>
      </c>
      <c r="E40" s="677">
        <f t="shared" si="5"/>
        <v>-35</v>
      </c>
      <c r="F40" s="677">
        <f t="shared" si="5"/>
        <v>-35</v>
      </c>
      <c r="G40" s="677">
        <f t="shared" si="5"/>
        <v>-35</v>
      </c>
      <c r="H40" s="677">
        <f t="shared" si="5"/>
        <v>-35</v>
      </c>
      <c r="I40" s="677">
        <f t="shared" si="5"/>
        <v>-35</v>
      </c>
      <c r="J40" s="677">
        <f t="shared" si="5"/>
        <v>-35</v>
      </c>
      <c r="K40" s="677">
        <f t="shared" si="5"/>
        <v>-35</v>
      </c>
      <c r="L40" s="677">
        <f t="shared" si="5"/>
        <v>-35</v>
      </c>
      <c r="M40" s="677">
        <f t="shared" si="5"/>
        <v>-35</v>
      </c>
      <c r="N40" s="677">
        <f t="shared" si="5"/>
        <v>60.3</v>
      </c>
      <c r="O40" s="677">
        <f t="shared" si="5"/>
        <v>267</v>
      </c>
      <c r="P40" s="691"/>
    </row>
    <row r="41" spans="1:18">
      <c r="A41" s="715" t="s">
        <v>135</v>
      </c>
      <c r="B41" s="709" t="s">
        <v>135</v>
      </c>
      <c r="C41" s="709"/>
      <c r="D41" s="709"/>
      <c r="E41" s="709"/>
      <c r="F41" s="709"/>
      <c r="G41" s="709"/>
      <c r="H41" s="709"/>
      <c r="I41" s="709"/>
      <c r="J41" s="709"/>
      <c r="K41" s="709"/>
      <c r="L41" s="709"/>
      <c r="M41" s="709"/>
      <c r="N41" s="709"/>
      <c r="O41" s="709"/>
      <c r="P41" s="710"/>
    </row>
    <row r="42" spans="1:18">
      <c r="B42" s="578"/>
      <c r="C42" s="578"/>
      <c r="D42" s="578"/>
      <c r="E42" s="578"/>
      <c r="F42" s="578"/>
      <c r="G42" s="578"/>
      <c r="H42" s="578"/>
      <c r="I42" s="578"/>
      <c r="J42" s="578"/>
      <c r="K42" s="578"/>
      <c r="L42" s="578"/>
      <c r="M42" s="2129" t="s">
        <v>4436</v>
      </c>
      <c r="N42" s="2087"/>
      <c r="O42" s="711">
        <f>800/12</f>
        <v>66.666666666666671</v>
      </c>
      <c r="P42" s="712"/>
    </row>
    <row r="43" spans="1:18">
      <c r="B43" s="660" t="s">
        <v>1124</v>
      </c>
      <c r="C43" s="713">
        <f>SUM(C28:C38)</f>
        <v>914</v>
      </c>
      <c r="D43" s="660"/>
      <c r="E43" s="660"/>
      <c r="F43" s="660"/>
      <c r="G43" s="660"/>
      <c r="H43" s="660"/>
      <c r="I43" s="660"/>
      <c r="J43" s="660"/>
      <c r="K43" s="660"/>
      <c r="L43" s="660"/>
      <c r="M43" s="660"/>
      <c r="N43" s="660"/>
      <c r="O43" s="660"/>
      <c r="P43" s="660"/>
    </row>
    <row r="44" spans="1:18">
      <c r="B44" s="660"/>
      <c r="C44" s="660"/>
      <c r="D44" s="660"/>
      <c r="E44" s="660"/>
      <c r="F44" s="660"/>
      <c r="G44" s="660"/>
      <c r="H44" s="660"/>
      <c r="I44" s="660"/>
      <c r="J44" s="660"/>
      <c r="K44" s="660"/>
      <c r="L44" s="660"/>
      <c r="M44" s="660"/>
      <c r="N44" s="660"/>
      <c r="O44" s="660"/>
      <c r="P44" s="660"/>
    </row>
    <row r="47" spans="1:18">
      <c r="B47" s="2130"/>
      <c r="C47" s="2087"/>
      <c r="D47" s="2087"/>
      <c r="E47" s="2087"/>
      <c r="F47" s="2087"/>
      <c r="G47" s="2087"/>
      <c r="H47" s="2087"/>
      <c r="I47" s="2087"/>
      <c r="J47" s="2087"/>
      <c r="K47" s="2087"/>
      <c r="L47" s="2087"/>
      <c r="M47" s="2087"/>
      <c r="N47" s="2087"/>
      <c r="P47" s="712"/>
    </row>
    <row r="48" spans="1:18" ht="12.75" customHeight="1">
      <c r="B48" s="2087"/>
      <c r="C48" s="2087"/>
      <c r="D48" s="2087"/>
      <c r="E48" s="2087"/>
      <c r="F48" s="2087"/>
    </row>
    <row r="49" spans="2:16">
      <c r="B49" s="660"/>
      <c r="C49" s="660"/>
      <c r="D49" s="660"/>
      <c r="E49" s="660"/>
      <c r="F49" s="660"/>
      <c r="G49" s="660"/>
      <c r="H49" s="660"/>
      <c r="I49" s="660"/>
      <c r="J49" s="660"/>
      <c r="K49" s="660"/>
      <c r="L49" s="660"/>
      <c r="M49" s="660"/>
      <c r="N49" s="660"/>
      <c r="O49" s="660"/>
      <c r="P49" s="660"/>
    </row>
    <row r="53" spans="2:16">
      <c r="B53" s="3" t="s">
        <v>4442</v>
      </c>
    </row>
    <row r="54" spans="2:16">
      <c r="B54" s="253" t="s">
        <v>4443</v>
      </c>
      <c r="C54" s="9">
        <f>29.99*12</f>
        <v>359.88</v>
      </c>
    </row>
    <row r="55" spans="2:16" ht="25.5">
      <c r="B55" s="9" t="s">
        <v>4444</v>
      </c>
      <c r="C55" s="9">
        <v>39</v>
      </c>
    </row>
    <row r="56" spans="2:16">
      <c r="B56" s="9" t="s">
        <v>4445</v>
      </c>
      <c r="C56" s="9">
        <v>399</v>
      </c>
    </row>
  </sheetData>
  <mergeCells count="6">
    <mergeCell ref="B48:F48"/>
    <mergeCell ref="B3:O3"/>
    <mergeCell ref="B25:O25"/>
    <mergeCell ref="Q33:R33"/>
    <mergeCell ref="M42:N42"/>
    <mergeCell ref="B47:N47"/>
  </mergeCells>
  <hyperlinks>
    <hyperlink ref="B54" r:id="rId1" xr:uid="{00000000-0004-0000-0C00-000000000000}"/>
  </hyperlinks>
  <pageMargins left="0.7" right="0.7" top="0.75" bottom="0.75" header="0.3" footer="0.3"/>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pageSetUpPr fitToPage="1"/>
  </sheetPr>
  <dimension ref="A1:I853"/>
  <sheetViews>
    <sheetView workbookViewId="0"/>
  </sheetViews>
  <sheetFormatPr defaultColWidth="12.7109375" defaultRowHeight="12.75" customHeight="1"/>
  <cols>
    <col min="1" max="1" width="48.85546875" customWidth="1"/>
    <col min="2" max="2" width="9.28515625" customWidth="1"/>
    <col min="3" max="3" width="5.85546875" customWidth="1"/>
  </cols>
  <sheetData>
    <row r="1" spans="1:3">
      <c r="A1" s="716" t="s">
        <v>4446</v>
      </c>
      <c r="B1" s="717">
        <v>4.5</v>
      </c>
      <c r="C1" s="9">
        <v>20</v>
      </c>
    </row>
    <row r="2" spans="1:3">
      <c r="A2" s="718" t="s">
        <v>4447</v>
      </c>
      <c r="B2" s="717">
        <v>4.99</v>
      </c>
      <c r="C2" s="9">
        <v>21</v>
      </c>
    </row>
    <row r="3" spans="1:3">
      <c r="A3" s="718" t="s">
        <v>4448</v>
      </c>
      <c r="B3" s="717">
        <v>6.95</v>
      </c>
      <c r="C3" s="9">
        <v>22</v>
      </c>
    </row>
    <row r="4" spans="1:3">
      <c r="A4" s="718" t="s">
        <v>4449</v>
      </c>
      <c r="B4" s="717">
        <v>5.99</v>
      </c>
      <c r="C4" s="9">
        <v>30</v>
      </c>
    </row>
    <row r="5" spans="1:3">
      <c r="A5" s="718" t="s">
        <v>4450</v>
      </c>
      <c r="B5" s="717">
        <v>6.99</v>
      </c>
      <c r="C5" s="9">
        <v>31</v>
      </c>
    </row>
    <row r="6" spans="1:3">
      <c r="A6" s="718" t="s">
        <v>4451</v>
      </c>
      <c r="B6" s="717">
        <v>4.99</v>
      </c>
      <c r="C6" s="9">
        <v>32</v>
      </c>
    </row>
    <row r="7" spans="1:3">
      <c r="A7" s="718" t="s">
        <v>4452</v>
      </c>
      <c r="B7" s="717">
        <v>6.95</v>
      </c>
      <c r="C7" s="9">
        <v>33</v>
      </c>
    </row>
    <row r="8" spans="1:3">
      <c r="A8" s="716" t="s">
        <v>4453</v>
      </c>
      <c r="B8" s="717">
        <v>24.99</v>
      </c>
      <c r="C8" s="9">
        <v>34</v>
      </c>
    </row>
    <row r="9" spans="1:3">
      <c r="A9" s="716" t="s">
        <v>4454</v>
      </c>
      <c r="B9" s="717">
        <v>4.5</v>
      </c>
      <c r="C9" s="9">
        <v>35</v>
      </c>
    </row>
    <row r="10" spans="1:3">
      <c r="A10" s="716" t="s">
        <v>4455</v>
      </c>
      <c r="B10" s="717">
        <v>74</v>
      </c>
      <c r="C10" s="9">
        <v>36</v>
      </c>
    </row>
    <row r="11" spans="1:3">
      <c r="A11" s="716" t="s">
        <v>4456</v>
      </c>
      <c r="B11" s="717">
        <v>10</v>
      </c>
      <c r="C11" s="9">
        <v>37</v>
      </c>
    </row>
    <row r="12" spans="1:3">
      <c r="A12" s="716" t="s">
        <v>4457</v>
      </c>
      <c r="B12" s="717">
        <v>10</v>
      </c>
      <c r="C12" s="9">
        <v>38</v>
      </c>
    </row>
    <row r="13" spans="1:3">
      <c r="A13" s="718" t="s">
        <v>4458</v>
      </c>
      <c r="B13" s="717">
        <v>4.99</v>
      </c>
      <c r="C13" s="9">
        <v>39</v>
      </c>
    </row>
    <row r="14" spans="1:3">
      <c r="A14" s="716" t="s">
        <v>4459</v>
      </c>
      <c r="B14" s="717">
        <v>10</v>
      </c>
      <c r="C14" s="9">
        <v>40</v>
      </c>
    </row>
    <row r="15" spans="1:3">
      <c r="A15" s="718" t="s">
        <v>4460</v>
      </c>
      <c r="B15" s="717">
        <v>2.99</v>
      </c>
      <c r="C15" s="9">
        <v>41</v>
      </c>
    </row>
    <row r="16" spans="1:3">
      <c r="A16" s="716" t="s">
        <v>4461</v>
      </c>
      <c r="B16" s="717">
        <v>24</v>
      </c>
      <c r="C16" s="9">
        <v>42</v>
      </c>
    </row>
    <row r="17" spans="1:9">
      <c r="A17" s="716" t="s">
        <v>4462</v>
      </c>
      <c r="B17" s="717">
        <v>20</v>
      </c>
      <c r="C17" s="9">
        <v>43</v>
      </c>
    </row>
    <row r="18" spans="1:9">
      <c r="A18" s="716" t="s">
        <v>4462</v>
      </c>
      <c r="B18" s="717">
        <v>20</v>
      </c>
      <c r="C18" s="9">
        <v>44</v>
      </c>
    </row>
    <row r="19" spans="1:9">
      <c r="A19" s="718" t="s">
        <v>4463</v>
      </c>
      <c r="B19" s="717">
        <v>7.99</v>
      </c>
      <c r="C19" s="9">
        <v>45</v>
      </c>
    </row>
    <row r="20" spans="1:9">
      <c r="A20" s="716" t="s">
        <v>4464</v>
      </c>
      <c r="B20" s="717">
        <v>27</v>
      </c>
      <c r="C20" s="9">
        <v>46</v>
      </c>
      <c r="I20" s="3"/>
    </row>
    <row r="21" spans="1:9">
      <c r="A21" s="716" t="s">
        <v>4465</v>
      </c>
      <c r="B21" s="717">
        <v>14</v>
      </c>
      <c r="C21" s="9">
        <v>47</v>
      </c>
    </row>
    <row r="22" spans="1:9">
      <c r="A22" s="718" t="s">
        <v>4466</v>
      </c>
      <c r="B22" s="717">
        <v>19.95</v>
      </c>
      <c r="C22" s="9">
        <v>48</v>
      </c>
    </row>
    <row r="23" spans="1:9">
      <c r="A23" s="716" t="s">
        <v>4467</v>
      </c>
      <c r="B23" s="717">
        <v>29</v>
      </c>
      <c r="C23" s="9">
        <v>49</v>
      </c>
    </row>
    <row r="24" spans="1:9">
      <c r="A24" s="718" t="s">
        <v>4468</v>
      </c>
      <c r="B24" s="717">
        <v>6.95</v>
      </c>
      <c r="C24" s="9">
        <v>51</v>
      </c>
    </row>
    <row r="25" spans="1:9">
      <c r="A25" s="716" t="s">
        <v>4469</v>
      </c>
      <c r="B25" s="717">
        <v>27</v>
      </c>
      <c r="C25" s="9">
        <v>52</v>
      </c>
    </row>
    <row r="26" spans="1:9">
      <c r="A26" s="716" t="s">
        <v>4470</v>
      </c>
      <c r="B26" s="717">
        <v>14</v>
      </c>
      <c r="C26" s="9">
        <v>53</v>
      </c>
    </row>
    <row r="27" spans="1:9">
      <c r="A27" s="716" t="s">
        <v>4471</v>
      </c>
      <c r="B27" s="717">
        <v>10</v>
      </c>
      <c r="C27" s="9">
        <v>54</v>
      </c>
    </row>
    <row r="28" spans="1:9">
      <c r="A28" s="716" t="s">
        <v>4472</v>
      </c>
      <c r="B28" s="717">
        <v>20</v>
      </c>
      <c r="C28" s="9">
        <v>55</v>
      </c>
    </row>
    <row r="29" spans="1:9">
      <c r="A29" s="716" t="s">
        <v>4473</v>
      </c>
      <c r="B29" s="717">
        <v>5</v>
      </c>
      <c r="C29" s="9">
        <v>56</v>
      </c>
    </row>
    <row r="30" spans="1:9">
      <c r="A30" s="716" t="s">
        <v>4474</v>
      </c>
      <c r="B30" s="717">
        <v>10</v>
      </c>
      <c r="C30" s="9">
        <v>57</v>
      </c>
    </row>
    <row r="31" spans="1:9">
      <c r="A31" s="716" t="s">
        <v>4475</v>
      </c>
      <c r="B31" s="717">
        <v>5</v>
      </c>
      <c r="C31" s="9">
        <v>58</v>
      </c>
    </row>
    <row r="32" spans="1:9">
      <c r="A32" s="716" t="s">
        <v>4476</v>
      </c>
      <c r="B32" s="717">
        <v>14</v>
      </c>
      <c r="C32" s="9">
        <v>59</v>
      </c>
    </row>
    <row r="33" spans="1:3">
      <c r="A33" s="716" t="s">
        <v>4477</v>
      </c>
      <c r="B33" s="717">
        <v>19.899999999999999</v>
      </c>
      <c r="C33" s="9">
        <v>60</v>
      </c>
    </row>
    <row r="34" spans="1:3">
      <c r="A34" s="716" t="s">
        <v>4478</v>
      </c>
      <c r="B34" s="717">
        <v>4.99</v>
      </c>
      <c r="C34" s="9">
        <v>61</v>
      </c>
    </row>
    <row r="35" spans="1:3">
      <c r="A35" s="716" t="s">
        <v>4479</v>
      </c>
      <c r="B35" s="717">
        <v>20</v>
      </c>
      <c r="C35" s="9">
        <v>62</v>
      </c>
    </row>
    <row r="36" spans="1:3">
      <c r="A36" s="719" t="s">
        <v>4480</v>
      </c>
      <c r="B36" s="717">
        <v>4.99</v>
      </c>
      <c r="C36" s="9">
        <v>63</v>
      </c>
    </row>
    <row r="37" spans="1:3">
      <c r="A37" s="718" t="s">
        <v>4481</v>
      </c>
      <c r="B37" s="717">
        <v>5.99</v>
      </c>
      <c r="C37" s="9">
        <v>64</v>
      </c>
    </row>
    <row r="38" spans="1:3">
      <c r="A38" s="716" t="s">
        <v>4482</v>
      </c>
      <c r="B38" s="717">
        <v>5.99</v>
      </c>
      <c r="C38" s="9">
        <v>65</v>
      </c>
    </row>
    <row r="39" spans="1:3">
      <c r="A39" s="716" t="s">
        <v>4483</v>
      </c>
      <c r="B39" s="717">
        <v>17</v>
      </c>
      <c r="C39" s="9">
        <v>66</v>
      </c>
    </row>
    <row r="40" spans="1:3">
      <c r="A40" s="718" t="s">
        <v>4484</v>
      </c>
      <c r="B40" s="717">
        <v>4.99</v>
      </c>
      <c r="C40" s="9">
        <v>67</v>
      </c>
    </row>
    <row r="41" spans="1:3">
      <c r="A41" s="718" t="s">
        <v>4485</v>
      </c>
      <c r="B41" s="717">
        <v>3.99</v>
      </c>
      <c r="C41" s="9">
        <v>68</v>
      </c>
    </row>
    <row r="42" spans="1:3">
      <c r="A42" s="716" t="s">
        <v>4486</v>
      </c>
      <c r="B42" s="717">
        <v>5.99</v>
      </c>
      <c r="C42" s="9">
        <v>69</v>
      </c>
    </row>
    <row r="43" spans="1:3">
      <c r="A43" s="718" t="s">
        <v>4487</v>
      </c>
      <c r="B43" s="717">
        <v>5.99</v>
      </c>
      <c r="C43" s="9">
        <v>70</v>
      </c>
    </row>
    <row r="44" spans="1:3">
      <c r="A44" s="718" t="s">
        <v>4488</v>
      </c>
      <c r="B44" s="717">
        <v>5.99</v>
      </c>
      <c r="C44" s="9">
        <v>71</v>
      </c>
    </row>
    <row r="45" spans="1:3">
      <c r="A45" s="3" t="s">
        <v>1127</v>
      </c>
      <c r="B45" s="720" t="s">
        <v>41</v>
      </c>
      <c r="C45" s="9">
        <v>72</v>
      </c>
    </row>
    <row r="46" spans="1:3">
      <c r="A46" s="716" t="s">
        <v>4489</v>
      </c>
      <c r="B46" s="717">
        <v>13</v>
      </c>
      <c r="C46" s="9">
        <v>73</v>
      </c>
    </row>
    <row r="47" spans="1:3">
      <c r="A47" s="716" t="s">
        <v>4490</v>
      </c>
      <c r="B47" s="717">
        <v>19</v>
      </c>
      <c r="C47" s="9">
        <v>74</v>
      </c>
    </row>
    <row r="48" spans="1:3">
      <c r="A48" s="716" t="s">
        <v>4491</v>
      </c>
      <c r="B48" s="717">
        <v>4.5</v>
      </c>
      <c r="C48" s="9">
        <v>75</v>
      </c>
    </row>
    <row r="49" spans="1:3">
      <c r="A49" s="716" t="s">
        <v>4492</v>
      </c>
      <c r="B49" s="717">
        <v>12</v>
      </c>
      <c r="C49" s="9">
        <v>76</v>
      </c>
    </row>
    <row r="50" spans="1:3">
      <c r="A50" s="716" t="s">
        <v>4493</v>
      </c>
      <c r="B50" s="717">
        <v>6.95</v>
      </c>
      <c r="C50" s="9">
        <v>77</v>
      </c>
    </row>
    <row r="51" spans="1:3">
      <c r="A51" s="716" t="s">
        <v>4494</v>
      </c>
      <c r="B51" s="717">
        <v>29</v>
      </c>
      <c r="C51" s="9">
        <v>78</v>
      </c>
    </row>
    <row r="52" spans="1:3">
      <c r="A52" s="718" t="s">
        <v>4495</v>
      </c>
      <c r="B52" s="717">
        <v>6.99</v>
      </c>
      <c r="C52" s="9">
        <v>79</v>
      </c>
    </row>
    <row r="53" spans="1:3">
      <c r="A53" s="716" t="s">
        <v>4496</v>
      </c>
      <c r="B53" s="717">
        <v>10</v>
      </c>
      <c r="C53" s="9">
        <v>80</v>
      </c>
    </row>
    <row r="54" spans="1:3">
      <c r="A54" s="716" t="s">
        <v>4497</v>
      </c>
      <c r="B54" s="717">
        <v>9.9499999999999993</v>
      </c>
      <c r="C54" s="9">
        <v>81</v>
      </c>
    </row>
    <row r="55" spans="1:3">
      <c r="A55" s="718" t="s">
        <v>4498</v>
      </c>
      <c r="B55" s="717">
        <v>9.9499999999999993</v>
      </c>
      <c r="C55" s="9">
        <v>82</v>
      </c>
    </row>
    <row r="56" spans="1:3">
      <c r="A56" s="716" t="s">
        <v>4499</v>
      </c>
      <c r="B56" s="717">
        <v>29.95</v>
      </c>
      <c r="C56" s="9">
        <v>83</v>
      </c>
    </row>
    <row r="57" spans="1:3">
      <c r="A57" s="716" t="s">
        <v>4500</v>
      </c>
      <c r="B57" s="717">
        <v>9.99</v>
      </c>
      <c r="C57" s="9">
        <v>84</v>
      </c>
    </row>
    <row r="58" spans="1:3">
      <c r="A58" s="716" t="s">
        <v>4501</v>
      </c>
      <c r="B58" s="717">
        <v>5.99</v>
      </c>
      <c r="C58" s="9">
        <v>85</v>
      </c>
    </row>
    <row r="59" spans="1:3">
      <c r="A59" s="716" t="s">
        <v>4502</v>
      </c>
      <c r="B59" s="717">
        <v>17</v>
      </c>
      <c r="C59" s="9">
        <v>86</v>
      </c>
    </row>
    <row r="60" spans="1:3">
      <c r="A60" s="716" t="s">
        <v>4503</v>
      </c>
      <c r="B60" s="717">
        <v>28</v>
      </c>
      <c r="C60" s="9">
        <v>87</v>
      </c>
    </row>
    <row r="61" spans="1:3">
      <c r="A61" s="716" t="s">
        <v>4504</v>
      </c>
      <c r="B61" s="717">
        <v>14</v>
      </c>
      <c r="C61" s="9">
        <v>88</v>
      </c>
    </row>
    <row r="62" spans="1:3">
      <c r="A62" s="716" t="s">
        <v>4505</v>
      </c>
      <c r="B62" s="717">
        <v>29</v>
      </c>
      <c r="C62" s="9">
        <v>89</v>
      </c>
    </row>
    <row r="63" spans="1:3">
      <c r="A63" s="716" t="s">
        <v>4506</v>
      </c>
      <c r="B63" s="717">
        <v>15</v>
      </c>
      <c r="C63" s="9">
        <v>90</v>
      </c>
    </row>
    <row r="64" spans="1:3">
      <c r="A64" s="716" t="s">
        <v>4507</v>
      </c>
      <c r="B64" s="717">
        <v>9.99</v>
      </c>
      <c r="C64" s="9">
        <v>91</v>
      </c>
    </row>
    <row r="65" spans="1:3">
      <c r="A65" s="716" t="s">
        <v>4508</v>
      </c>
      <c r="B65" s="717">
        <v>19.989999999999998</v>
      </c>
      <c r="C65" s="9">
        <v>92</v>
      </c>
    </row>
    <row r="66" spans="1:3">
      <c r="A66" s="719" t="s">
        <v>4509</v>
      </c>
      <c r="B66" s="717">
        <v>6</v>
      </c>
      <c r="C66" s="9">
        <v>93</v>
      </c>
    </row>
    <row r="67" spans="1:3">
      <c r="A67" s="716" t="s">
        <v>4509</v>
      </c>
      <c r="B67" s="717">
        <v>5.99</v>
      </c>
      <c r="C67" s="9">
        <v>94</v>
      </c>
    </row>
    <row r="68" spans="1:3">
      <c r="A68" s="718" t="s">
        <v>4510</v>
      </c>
      <c r="B68" s="717">
        <v>5.99</v>
      </c>
      <c r="C68" s="9">
        <v>95</v>
      </c>
    </row>
    <row r="69" spans="1:3">
      <c r="A69" s="716" t="s">
        <v>4511</v>
      </c>
      <c r="B69" s="717">
        <v>10</v>
      </c>
      <c r="C69" s="9">
        <v>96</v>
      </c>
    </row>
    <row r="70" spans="1:3">
      <c r="A70" s="716" t="s">
        <v>4512</v>
      </c>
      <c r="B70" s="717">
        <v>6.95</v>
      </c>
      <c r="C70" s="9">
        <v>97</v>
      </c>
    </row>
    <row r="71" spans="1:3">
      <c r="A71" s="716" t="s">
        <v>4513</v>
      </c>
      <c r="B71" s="717">
        <v>4.5</v>
      </c>
      <c r="C71" s="9">
        <v>98</v>
      </c>
    </row>
    <row r="72" spans="1:3">
      <c r="A72" s="716" t="s">
        <v>4514</v>
      </c>
      <c r="B72" s="717">
        <v>4.5</v>
      </c>
      <c r="C72" s="9">
        <v>99</v>
      </c>
    </row>
    <row r="73" spans="1:3">
      <c r="A73" s="716" t="s">
        <v>4515</v>
      </c>
      <c r="B73" s="717">
        <v>28</v>
      </c>
      <c r="C73" s="82" t="s">
        <v>4516</v>
      </c>
    </row>
    <row r="74" spans="1:3">
      <c r="A74" s="716" t="s">
        <v>4517</v>
      </c>
      <c r="B74" s="717">
        <v>14</v>
      </c>
      <c r="C74" s="43" t="s">
        <v>4518</v>
      </c>
    </row>
    <row r="75" spans="1:3">
      <c r="A75" s="716"/>
      <c r="B75" s="717"/>
    </row>
    <row r="76" spans="1:3">
      <c r="A76" s="721"/>
      <c r="B76" s="717"/>
    </row>
    <row r="77" spans="1:3">
      <c r="A77" s="716"/>
      <c r="B77" s="717"/>
    </row>
    <row r="78" spans="1:3">
      <c r="A78" s="722"/>
      <c r="B78" s="717"/>
    </row>
    <row r="79" spans="1:3">
      <c r="A79" s="721"/>
      <c r="B79" s="717"/>
    </row>
    <row r="80" spans="1:3">
      <c r="A80" s="716"/>
      <c r="B80" s="717"/>
    </row>
    <row r="81" spans="1:2">
      <c r="A81" s="721"/>
      <c r="B81" s="717"/>
    </row>
    <row r="82" spans="1:2">
      <c r="B82" s="717"/>
    </row>
    <row r="83" spans="1:2">
      <c r="B83" s="717"/>
    </row>
    <row r="84" spans="1:2">
      <c r="B84" s="717"/>
    </row>
    <row r="85" spans="1:2">
      <c r="B85" s="717"/>
    </row>
    <row r="86" spans="1:2">
      <c r="B86" s="717"/>
    </row>
    <row r="87" spans="1:2">
      <c r="B87" s="717"/>
    </row>
    <row r="88" spans="1:2">
      <c r="B88" s="717"/>
    </row>
    <row r="89" spans="1:2">
      <c r="B89" s="717"/>
    </row>
    <row r="90" spans="1:2">
      <c r="B90" s="717"/>
    </row>
    <row r="91" spans="1:2">
      <c r="B91" s="717"/>
    </row>
    <row r="92" spans="1:2">
      <c r="B92" s="717"/>
    </row>
    <row r="93" spans="1:2">
      <c r="B93" s="717"/>
    </row>
    <row r="94" spans="1:2">
      <c r="B94" s="717"/>
    </row>
    <row r="95" spans="1:2">
      <c r="B95" s="717"/>
    </row>
    <row r="96" spans="1:2">
      <c r="B96" s="717"/>
    </row>
    <row r="97" spans="2:2">
      <c r="B97" s="717"/>
    </row>
    <row r="98" spans="2:2">
      <c r="B98" s="717"/>
    </row>
    <row r="99" spans="2:2">
      <c r="B99" s="717"/>
    </row>
    <row r="100" spans="2:2">
      <c r="B100" s="717"/>
    </row>
    <row r="101" spans="2:2">
      <c r="B101" s="717"/>
    </row>
    <row r="102" spans="2:2">
      <c r="B102" s="717"/>
    </row>
    <row r="103" spans="2:2">
      <c r="B103" s="717"/>
    </row>
    <row r="104" spans="2:2">
      <c r="B104" s="717"/>
    </row>
    <row r="105" spans="2:2">
      <c r="B105" s="717"/>
    </row>
    <row r="106" spans="2:2">
      <c r="B106" s="717"/>
    </row>
    <row r="107" spans="2:2">
      <c r="B107" s="717"/>
    </row>
    <row r="108" spans="2:2">
      <c r="B108" s="717"/>
    </row>
    <row r="109" spans="2:2">
      <c r="B109" s="717"/>
    </row>
    <row r="110" spans="2:2">
      <c r="B110" s="717"/>
    </row>
    <row r="111" spans="2:2">
      <c r="B111" s="717"/>
    </row>
    <row r="112" spans="2:2">
      <c r="B112" s="717"/>
    </row>
    <row r="113" spans="2:2">
      <c r="B113" s="717"/>
    </row>
    <row r="114" spans="2:2">
      <c r="B114" s="717"/>
    </row>
    <row r="115" spans="2:2">
      <c r="B115" s="717"/>
    </row>
    <row r="116" spans="2:2">
      <c r="B116" s="717"/>
    </row>
    <row r="117" spans="2:2">
      <c r="B117" s="717"/>
    </row>
    <row r="118" spans="2:2">
      <c r="B118" s="717"/>
    </row>
    <row r="119" spans="2:2">
      <c r="B119" s="717"/>
    </row>
    <row r="120" spans="2:2">
      <c r="B120" s="717"/>
    </row>
    <row r="121" spans="2:2">
      <c r="B121" s="717"/>
    </row>
    <row r="122" spans="2:2">
      <c r="B122" s="717"/>
    </row>
    <row r="123" spans="2:2">
      <c r="B123" s="717"/>
    </row>
    <row r="124" spans="2:2">
      <c r="B124" s="717"/>
    </row>
    <row r="125" spans="2:2">
      <c r="B125" s="717"/>
    </row>
    <row r="126" spans="2:2">
      <c r="B126" s="717"/>
    </row>
    <row r="127" spans="2:2">
      <c r="B127" s="717"/>
    </row>
    <row r="128" spans="2:2">
      <c r="B128" s="717"/>
    </row>
    <row r="129" spans="2:2">
      <c r="B129" s="717"/>
    </row>
    <row r="130" spans="2:2">
      <c r="B130" s="717"/>
    </row>
    <row r="131" spans="2:2">
      <c r="B131" s="717"/>
    </row>
    <row r="132" spans="2:2">
      <c r="B132" s="717"/>
    </row>
    <row r="133" spans="2:2">
      <c r="B133" s="717"/>
    </row>
    <row r="134" spans="2:2">
      <c r="B134" s="717"/>
    </row>
    <row r="135" spans="2:2">
      <c r="B135" s="717"/>
    </row>
    <row r="136" spans="2:2">
      <c r="B136" s="717"/>
    </row>
    <row r="137" spans="2:2">
      <c r="B137" s="717"/>
    </row>
    <row r="138" spans="2:2">
      <c r="B138" s="717"/>
    </row>
    <row r="139" spans="2:2">
      <c r="B139" s="717"/>
    </row>
    <row r="140" spans="2:2">
      <c r="B140" s="717"/>
    </row>
    <row r="141" spans="2:2">
      <c r="B141" s="717"/>
    </row>
    <row r="142" spans="2:2">
      <c r="B142" s="717"/>
    </row>
    <row r="143" spans="2:2">
      <c r="B143" s="717"/>
    </row>
    <row r="144" spans="2:2">
      <c r="B144" s="717"/>
    </row>
    <row r="145" spans="2:2">
      <c r="B145" s="717"/>
    </row>
    <row r="146" spans="2:2">
      <c r="B146" s="717"/>
    </row>
    <row r="147" spans="2:2">
      <c r="B147" s="717"/>
    </row>
    <row r="148" spans="2:2">
      <c r="B148" s="717"/>
    </row>
    <row r="149" spans="2:2">
      <c r="B149" s="717"/>
    </row>
    <row r="150" spans="2:2">
      <c r="B150" s="717"/>
    </row>
    <row r="151" spans="2:2">
      <c r="B151" s="717"/>
    </row>
    <row r="152" spans="2:2">
      <c r="B152" s="717"/>
    </row>
    <row r="153" spans="2:2">
      <c r="B153" s="717"/>
    </row>
    <row r="154" spans="2:2">
      <c r="B154" s="717"/>
    </row>
    <row r="155" spans="2:2">
      <c r="B155" s="717"/>
    </row>
    <row r="156" spans="2:2">
      <c r="B156" s="717"/>
    </row>
    <row r="157" spans="2:2">
      <c r="B157" s="717"/>
    </row>
    <row r="158" spans="2:2">
      <c r="B158" s="717"/>
    </row>
    <row r="159" spans="2:2">
      <c r="B159" s="717"/>
    </row>
    <row r="160" spans="2:2">
      <c r="B160" s="717"/>
    </row>
    <row r="161" spans="2:2">
      <c r="B161" s="717"/>
    </row>
    <row r="162" spans="2:2">
      <c r="B162" s="717"/>
    </row>
    <row r="163" spans="2:2">
      <c r="B163" s="717"/>
    </row>
    <row r="164" spans="2:2">
      <c r="B164" s="717"/>
    </row>
    <row r="165" spans="2:2">
      <c r="B165" s="717"/>
    </row>
    <row r="166" spans="2:2">
      <c r="B166" s="717"/>
    </row>
    <row r="167" spans="2:2">
      <c r="B167" s="717"/>
    </row>
    <row r="168" spans="2:2">
      <c r="B168" s="717"/>
    </row>
    <row r="169" spans="2:2">
      <c r="B169" s="717"/>
    </row>
    <row r="170" spans="2:2">
      <c r="B170" s="717"/>
    </row>
    <row r="171" spans="2:2">
      <c r="B171" s="717"/>
    </row>
    <row r="172" spans="2:2">
      <c r="B172" s="717"/>
    </row>
    <row r="173" spans="2:2">
      <c r="B173" s="717"/>
    </row>
    <row r="174" spans="2:2">
      <c r="B174" s="717"/>
    </row>
    <row r="175" spans="2:2">
      <c r="B175" s="717"/>
    </row>
    <row r="176" spans="2:2">
      <c r="B176" s="717"/>
    </row>
    <row r="177" spans="2:2">
      <c r="B177" s="717"/>
    </row>
    <row r="178" spans="2:2">
      <c r="B178" s="717"/>
    </row>
    <row r="179" spans="2:2">
      <c r="B179" s="717"/>
    </row>
    <row r="180" spans="2:2">
      <c r="B180" s="717"/>
    </row>
    <row r="181" spans="2:2">
      <c r="B181" s="717"/>
    </row>
    <row r="182" spans="2:2">
      <c r="B182" s="717"/>
    </row>
    <row r="183" spans="2:2">
      <c r="B183" s="717"/>
    </row>
    <row r="184" spans="2:2">
      <c r="B184" s="717"/>
    </row>
    <row r="185" spans="2:2">
      <c r="B185" s="717"/>
    </row>
    <row r="186" spans="2:2">
      <c r="B186" s="717"/>
    </row>
    <row r="187" spans="2:2">
      <c r="B187" s="717"/>
    </row>
    <row r="188" spans="2:2">
      <c r="B188" s="717"/>
    </row>
    <row r="189" spans="2:2">
      <c r="B189" s="717"/>
    </row>
    <row r="190" spans="2:2">
      <c r="B190" s="717"/>
    </row>
    <row r="191" spans="2:2">
      <c r="B191" s="717"/>
    </row>
    <row r="192" spans="2:2">
      <c r="B192" s="717"/>
    </row>
    <row r="193" spans="2:2">
      <c r="B193" s="717"/>
    </row>
    <row r="194" spans="2:2">
      <c r="B194" s="717"/>
    </row>
    <row r="195" spans="2:2">
      <c r="B195" s="717"/>
    </row>
    <row r="196" spans="2:2">
      <c r="B196" s="717"/>
    </row>
    <row r="197" spans="2:2">
      <c r="B197" s="717"/>
    </row>
    <row r="198" spans="2:2">
      <c r="B198" s="717"/>
    </row>
    <row r="199" spans="2:2">
      <c r="B199" s="717"/>
    </row>
    <row r="200" spans="2:2">
      <c r="B200" s="717"/>
    </row>
    <row r="201" spans="2:2">
      <c r="B201" s="717"/>
    </row>
    <row r="202" spans="2:2">
      <c r="B202" s="717"/>
    </row>
    <row r="203" spans="2:2">
      <c r="B203" s="717"/>
    </row>
    <row r="204" spans="2:2">
      <c r="B204" s="717"/>
    </row>
    <row r="205" spans="2:2">
      <c r="B205" s="717"/>
    </row>
    <row r="206" spans="2:2">
      <c r="B206" s="717"/>
    </row>
    <row r="207" spans="2:2">
      <c r="B207" s="717"/>
    </row>
    <row r="208" spans="2:2">
      <c r="B208" s="717"/>
    </row>
    <row r="209" spans="2:2">
      <c r="B209" s="717"/>
    </row>
    <row r="210" spans="2:2">
      <c r="B210" s="717"/>
    </row>
    <row r="211" spans="2:2">
      <c r="B211" s="717"/>
    </row>
    <row r="212" spans="2:2">
      <c r="B212" s="717"/>
    </row>
    <row r="213" spans="2:2">
      <c r="B213" s="717"/>
    </row>
    <row r="214" spans="2:2">
      <c r="B214" s="717"/>
    </row>
    <row r="215" spans="2:2">
      <c r="B215" s="717"/>
    </row>
    <row r="216" spans="2:2">
      <c r="B216" s="717"/>
    </row>
    <row r="217" spans="2:2">
      <c r="B217" s="717"/>
    </row>
    <row r="218" spans="2:2">
      <c r="B218" s="717"/>
    </row>
    <row r="219" spans="2:2">
      <c r="B219" s="717"/>
    </row>
    <row r="220" spans="2:2">
      <c r="B220" s="717"/>
    </row>
    <row r="221" spans="2:2">
      <c r="B221" s="717"/>
    </row>
    <row r="222" spans="2:2">
      <c r="B222" s="717"/>
    </row>
    <row r="223" spans="2:2">
      <c r="B223" s="717"/>
    </row>
    <row r="224" spans="2:2">
      <c r="B224" s="717"/>
    </row>
    <row r="225" spans="2:2">
      <c r="B225" s="717"/>
    </row>
    <row r="226" spans="2:2">
      <c r="B226" s="717"/>
    </row>
    <row r="227" spans="2:2">
      <c r="B227" s="717"/>
    </row>
    <row r="228" spans="2:2">
      <c r="B228" s="717"/>
    </row>
    <row r="229" spans="2:2">
      <c r="B229" s="717"/>
    </row>
    <row r="230" spans="2:2">
      <c r="B230" s="717"/>
    </row>
    <row r="231" spans="2:2">
      <c r="B231" s="717"/>
    </row>
    <row r="232" spans="2:2">
      <c r="B232" s="717"/>
    </row>
    <row r="233" spans="2:2">
      <c r="B233" s="717"/>
    </row>
    <row r="234" spans="2:2">
      <c r="B234" s="717"/>
    </row>
    <row r="235" spans="2:2">
      <c r="B235" s="717"/>
    </row>
    <row r="236" spans="2:2">
      <c r="B236" s="717"/>
    </row>
    <row r="237" spans="2:2">
      <c r="B237" s="717"/>
    </row>
    <row r="238" spans="2:2">
      <c r="B238" s="717"/>
    </row>
    <row r="239" spans="2:2">
      <c r="B239" s="717"/>
    </row>
    <row r="240" spans="2:2">
      <c r="B240" s="717"/>
    </row>
    <row r="241" spans="2:2">
      <c r="B241" s="717"/>
    </row>
    <row r="242" spans="2:2">
      <c r="B242" s="717"/>
    </row>
    <row r="243" spans="2:2">
      <c r="B243" s="717"/>
    </row>
    <row r="244" spans="2:2">
      <c r="B244" s="717"/>
    </row>
    <row r="245" spans="2:2">
      <c r="B245" s="717"/>
    </row>
    <row r="246" spans="2:2">
      <c r="B246" s="717"/>
    </row>
    <row r="247" spans="2:2">
      <c r="B247" s="717"/>
    </row>
    <row r="248" spans="2:2">
      <c r="B248" s="717"/>
    </row>
    <row r="249" spans="2:2">
      <c r="B249" s="717"/>
    </row>
    <row r="250" spans="2:2">
      <c r="B250" s="717"/>
    </row>
    <row r="251" spans="2:2">
      <c r="B251" s="717"/>
    </row>
    <row r="252" spans="2:2">
      <c r="B252" s="717"/>
    </row>
    <row r="253" spans="2:2">
      <c r="B253" s="717"/>
    </row>
    <row r="254" spans="2:2">
      <c r="B254" s="717"/>
    </row>
    <row r="255" spans="2:2">
      <c r="B255" s="717"/>
    </row>
    <row r="256" spans="2:2">
      <c r="B256" s="717"/>
    </row>
    <row r="257" spans="2:2">
      <c r="B257" s="717"/>
    </row>
    <row r="258" spans="2:2">
      <c r="B258" s="717"/>
    </row>
    <row r="259" spans="2:2">
      <c r="B259" s="717"/>
    </row>
    <row r="260" spans="2:2">
      <c r="B260" s="717"/>
    </row>
    <row r="261" spans="2:2">
      <c r="B261" s="717"/>
    </row>
    <row r="262" spans="2:2">
      <c r="B262" s="717"/>
    </row>
    <row r="263" spans="2:2">
      <c r="B263" s="717"/>
    </row>
    <row r="264" spans="2:2">
      <c r="B264" s="717"/>
    </row>
    <row r="265" spans="2:2">
      <c r="B265" s="717"/>
    </row>
    <row r="266" spans="2:2">
      <c r="B266" s="717"/>
    </row>
    <row r="267" spans="2:2">
      <c r="B267" s="717"/>
    </row>
    <row r="268" spans="2:2">
      <c r="B268" s="717"/>
    </row>
    <row r="269" spans="2:2">
      <c r="B269" s="717"/>
    </row>
    <row r="270" spans="2:2">
      <c r="B270" s="717"/>
    </row>
    <row r="271" spans="2:2">
      <c r="B271" s="717"/>
    </row>
    <row r="272" spans="2:2">
      <c r="B272" s="717"/>
    </row>
    <row r="273" spans="2:2">
      <c r="B273" s="717"/>
    </row>
    <row r="274" spans="2:2">
      <c r="B274" s="717"/>
    </row>
    <row r="275" spans="2:2">
      <c r="B275" s="717"/>
    </row>
    <row r="276" spans="2:2">
      <c r="B276" s="717"/>
    </row>
    <row r="277" spans="2:2">
      <c r="B277" s="717"/>
    </row>
    <row r="278" spans="2:2">
      <c r="B278" s="717"/>
    </row>
    <row r="279" spans="2:2">
      <c r="B279" s="717"/>
    </row>
    <row r="280" spans="2:2">
      <c r="B280" s="717"/>
    </row>
    <row r="281" spans="2:2">
      <c r="B281" s="717"/>
    </row>
    <row r="282" spans="2:2">
      <c r="B282" s="717"/>
    </row>
    <row r="283" spans="2:2">
      <c r="B283" s="717"/>
    </row>
    <row r="284" spans="2:2">
      <c r="B284" s="717"/>
    </row>
    <row r="285" spans="2:2">
      <c r="B285" s="717"/>
    </row>
    <row r="286" spans="2:2">
      <c r="B286" s="717"/>
    </row>
    <row r="287" spans="2:2">
      <c r="B287" s="717"/>
    </row>
    <row r="288" spans="2:2">
      <c r="B288" s="717"/>
    </row>
    <row r="289" spans="2:2">
      <c r="B289" s="717"/>
    </row>
    <row r="290" spans="2:2">
      <c r="B290" s="717"/>
    </row>
    <row r="291" spans="2:2">
      <c r="B291" s="717"/>
    </row>
    <row r="292" spans="2:2">
      <c r="B292" s="717"/>
    </row>
    <row r="293" spans="2:2">
      <c r="B293" s="717"/>
    </row>
    <row r="294" spans="2:2">
      <c r="B294" s="717"/>
    </row>
    <row r="295" spans="2:2">
      <c r="B295" s="717"/>
    </row>
    <row r="296" spans="2:2">
      <c r="B296" s="717"/>
    </row>
    <row r="297" spans="2:2">
      <c r="B297" s="717"/>
    </row>
    <row r="298" spans="2:2">
      <c r="B298" s="717"/>
    </row>
    <row r="299" spans="2:2">
      <c r="B299" s="717"/>
    </row>
    <row r="300" spans="2:2">
      <c r="B300" s="717"/>
    </row>
    <row r="301" spans="2:2">
      <c r="B301" s="717"/>
    </row>
    <row r="302" spans="2:2">
      <c r="B302" s="717"/>
    </row>
    <row r="303" spans="2:2">
      <c r="B303" s="717"/>
    </row>
    <row r="304" spans="2:2">
      <c r="B304" s="717"/>
    </row>
    <row r="305" spans="2:2">
      <c r="B305" s="717"/>
    </row>
    <row r="306" spans="2:2">
      <c r="B306" s="717"/>
    </row>
    <row r="307" spans="2:2">
      <c r="B307" s="717"/>
    </row>
    <row r="308" spans="2:2">
      <c r="B308" s="717"/>
    </row>
    <row r="309" spans="2:2">
      <c r="B309" s="717"/>
    </row>
    <row r="310" spans="2:2">
      <c r="B310" s="717"/>
    </row>
    <row r="311" spans="2:2">
      <c r="B311" s="717"/>
    </row>
    <row r="312" spans="2:2">
      <c r="B312" s="717"/>
    </row>
    <row r="313" spans="2:2">
      <c r="B313" s="717"/>
    </row>
    <row r="314" spans="2:2">
      <c r="B314" s="717"/>
    </row>
    <row r="315" spans="2:2">
      <c r="B315" s="717"/>
    </row>
    <row r="316" spans="2:2">
      <c r="B316" s="717"/>
    </row>
    <row r="317" spans="2:2">
      <c r="B317" s="717"/>
    </row>
    <row r="318" spans="2:2">
      <c r="B318" s="717"/>
    </row>
    <row r="319" spans="2:2">
      <c r="B319" s="717"/>
    </row>
    <row r="320" spans="2:2">
      <c r="B320" s="717"/>
    </row>
    <row r="321" spans="2:2">
      <c r="B321" s="717"/>
    </row>
    <row r="322" spans="2:2">
      <c r="B322" s="717"/>
    </row>
    <row r="323" spans="2:2">
      <c r="B323" s="717"/>
    </row>
    <row r="324" spans="2:2">
      <c r="B324" s="717"/>
    </row>
    <row r="325" spans="2:2">
      <c r="B325" s="717"/>
    </row>
    <row r="326" spans="2:2">
      <c r="B326" s="717"/>
    </row>
    <row r="327" spans="2:2">
      <c r="B327" s="717"/>
    </row>
    <row r="328" spans="2:2">
      <c r="B328" s="717"/>
    </row>
    <row r="329" spans="2:2">
      <c r="B329" s="717"/>
    </row>
    <row r="330" spans="2:2">
      <c r="B330" s="717"/>
    </row>
    <row r="331" spans="2:2">
      <c r="B331" s="717"/>
    </row>
    <row r="332" spans="2:2">
      <c r="B332" s="717"/>
    </row>
    <row r="333" spans="2:2">
      <c r="B333" s="717"/>
    </row>
    <row r="334" spans="2:2">
      <c r="B334" s="717"/>
    </row>
    <row r="335" spans="2:2">
      <c r="B335" s="717"/>
    </row>
    <row r="336" spans="2:2">
      <c r="B336" s="717"/>
    </row>
    <row r="337" spans="2:2">
      <c r="B337" s="717"/>
    </row>
    <row r="338" spans="2:2">
      <c r="B338" s="717"/>
    </row>
    <row r="339" spans="2:2">
      <c r="B339" s="717"/>
    </row>
    <row r="340" spans="2:2">
      <c r="B340" s="717"/>
    </row>
    <row r="341" spans="2:2">
      <c r="B341" s="717"/>
    </row>
    <row r="342" spans="2:2">
      <c r="B342" s="717"/>
    </row>
    <row r="343" spans="2:2">
      <c r="B343" s="717"/>
    </row>
    <row r="344" spans="2:2">
      <c r="B344" s="717"/>
    </row>
    <row r="345" spans="2:2">
      <c r="B345" s="717"/>
    </row>
    <row r="346" spans="2:2">
      <c r="B346" s="717"/>
    </row>
    <row r="347" spans="2:2">
      <c r="B347" s="717"/>
    </row>
    <row r="348" spans="2:2">
      <c r="B348" s="717"/>
    </row>
    <row r="349" spans="2:2">
      <c r="B349" s="717"/>
    </row>
    <row r="350" spans="2:2">
      <c r="B350" s="717"/>
    </row>
    <row r="351" spans="2:2">
      <c r="B351" s="717"/>
    </row>
    <row r="352" spans="2:2">
      <c r="B352" s="717"/>
    </row>
    <row r="353" spans="2:2">
      <c r="B353" s="717"/>
    </row>
    <row r="354" spans="2:2">
      <c r="B354" s="717"/>
    </row>
    <row r="355" spans="2:2">
      <c r="B355" s="717"/>
    </row>
    <row r="356" spans="2:2">
      <c r="B356" s="717"/>
    </row>
    <row r="357" spans="2:2">
      <c r="B357" s="717"/>
    </row>
    <row r="358" spans="2:2">
      <c r="B358" s="717"/>
    </row>
    <row r="359" spans="2:2">
      <c r="B359" s="717"/>
    </row>
    <row r="360" spans="2:2">
      <c r="B360" s="717"/>
    </row>
    <row r="361" spans="2:2">
      <c r="B361" s="717"/>
    </row>
    <row r="362" spans="2:2">
      <c r="B362" s="717"/>
    </row>
    <row r="363" spans="2:2">
      <c r="B363" s="717"/>
    </row>
    <row r="364" spans="2:2">
      <c r="B364" s="717"/>
    </row>
    <row r="365" spans="2:2">
      <c r="B365" s="717"/>
    </row>
    <row r="366" spans="2:2">
      <c r="B366" s="717"/>
    </row>
    <row r="367" spans="2:2">
      <c r="B367" s="717"/>
    </row>
    <row r="368" spans="2:2">
      <c r="B368" s="717"/>
    </row>
    <row r="369" spans="2:2">
      <c r="B369" s="717"/>
    </row>
    <row r="370" spans="2:2">
      <c r="B370" s="717"/>
    </row>
    <row r="371" spans="2:2">
      <c r="B371" s="717"/>
    </row>
    <row r="372" spans="2:2">
      <c r="B372" s="717"/>
    </row>
    <row r="373" spans="2:2">
      <c r="B373" s="717"/>
    </row>
    <row r="374" spans="2:2">
      <c r="B374" s="717"/>
    </row>
    <row r="375" spans="2:2">
      <c r="B375" s="717"/>
    </row>
    <row r="376" spans="2:2">
      <c r="B376" s="717"/>
    </row>
    <row r="377" spans="2:2">
      <c r="B377" s="717"/>
    </row>
    <row r="378" spans="2:2">
      <c r="B378" s="717"/>
    </row>
    <row r="379" spans="2:2">
      <c r="B379" s="717"/>
    </row>
    <row r="380" spans="2:2">
      <c r="B380" s="717"/>
    </row>
    <row r="381" spans="2:2">
      <c r="B381" s="717"/>
    </row>
    <row r="382" spans="2:2">
      <c r="B382" s="717"/>
    </row>
    <row r="383" spans="2:2">
      <c r="B383" s="717"/>
    </row>
    <row r="384" spans="2:2">
      <c r="B384" s="717"/>
    </row>
    <row r="385" spans="2:2">
      <c r="B385" s="717"/>
    </row>
    <row r="386" spans="2:2">
      <c r="B386" s="717"/>
    </row>
    <row r="387" spans="2:2">
      <c r="B387" s="717"/>
    </row>
    <row r="388" spans="2:2">
      <c r="B388" s="717"/>
    </row>
    <row r="389" spans="2:2">
      <c r="B389" s="717"/>
    </row>
    <row r="390" spans="2:2">
      <c r="B390" s="717"/>
    </row>
    <row r="391" spans="2:2">
      <c r="B391" s="717"/>
    </row>
    <row r="392" spans="2:2">
      <c r="B392" s="717"/>
    </row>
    <row r="393" spans="2:2">
      <c r="B393" s="717"/>
    </row>
    <row r="394" spans="2:2">
      <c r="B394" s="717"/>
    </row>
    <row r="395" spans="2:2">
      <c r="B395" s="717"/>
    </row>
    <row r="396" spans="2:2">
      <c r="B396" s="717"/>
    </row>
    <row r="397" spans="2:2">
      <c r="B397" s="717"/>
    </row>
    <row r="398" spans="2:2">
      <c r="B398" s="717"/>
    </row>
    <row r="399" spans="2:2">
      <c r="B399" s="717"/>
    </row>
    <row r="400" spans="2:2">
      <c r="B400" s="717"/>
    </row>
    <row r="401" spans="2:2">
      <c r="B401" s="717"/>
    </row>
    <row r="402" spans="2:2">
      <c r="B402" s="717"/>
    </row>
    <row r="403" spans="2:2">
      <c r="B403" s="717"/>
    </row>
    <row r="404" spans="2:2">
      <c r="B404" s="717"/>
    </row>
    <row r="405" spans="2:2">
      <c r="B405" s="717"/>
    </row>
    <row r="406" spans="2:2">
      <c r="B406" s="717"/>
    </row>
    <row r="407" spans="2:2">
      <c r="B407" s="717"/>
    </row>
    <row r="408" spans="2:2">
      <c r="B408" s="717"/>
    </row>
    <row r="409" spans="2:2">
      <c r="B409" s="717"/>
    </row>
    <row r="410" spans="2:2">
      <c r="B410" s="717"/>
    </row>
    <row r="411" spans="2:2">
      <c r="B411" s="717"/>
    </row>
    <row r="412" spans="2:2">
      <c r="B412" s="717"/>
    </row>
    <row r="413" spans="2:2">
      <c r="B413" s="717"/>
    </row>
    <row r="414" spans="2:2">
      <c r="B414" s="717"/>
    </row>
    <row r="415" spans="2:2">
      <c r="B415" s="717"/>
    </row>
    <row r="416" spans="2:2">
      <c r="B416" s="717"/>
    </row>
    <row r="417" spans="2:2">
      <c r="B417" s="717"/>
    </row>
    <row r="418" spans="2:2">
      <c r="B418" s="717"/>
    </row>
    <row r="419" spans="2:2">
      <c r="B419" s="717"/>
    </row>
    <row r="420" spans="2:2">
      <c r="B420" s="717"/>
    </row>
    <row r="421" spans="2:2">
      <c r="B421" s="717"/>
    </row>
    <row r="422" spans="2:2">
      <c r="B422" s="717"/>
    </row>
    <row r="423" spans="2:2">
      <c r="B423" s="717"/>
    </row>
    <row r="424" spans="2:2">
      <c r="B424" s="717"/>
    </row>
    <row r="425" spans="2:2">
      <c r="B425" s="717"/>
    </row>
    <row r="426" spans="2:2">
      <c r="B426" s="717"/>
    </row>
    <row r="427" spans="2:2">
      <c r="B427" s="717"/>
    </row>
    <row r="428" spans="2:2">
      <c r="B428" s="717"/>
    </row>
    <row r="429" spans="2:2">
      <c r="B429" s="717"/>
    </row>
    <row r="430" spans="2:2">
      <c r="B430" s="717"/>
    </row>
    <row r="431" spans="2:2">
      <c r="B431" s="717"/>
    </row>
    <row r="432" spans="2:2">
      <c r="B432" s="717"/>
    </row>
    <row r="433" spans="2:2">
      <c r="B433" s="717"/>
    </row>
    <row r="434" spans="2:2">
      <c r="B434" s="717"/>
    </row>
    <row r="435" spans="2:2">
      <c r="B435" s="717"/>
    </row>
    <row r="436" spans="2:2">
      <c r="B436" s="717"/>
    </row>
    <row r="437" spans="2:2">
      <c r="B437" s="717"/>
    </row>
    <row r="438" spans="2:2">
      <c r="B438" s="717"/>
    </row>
    <row r="439" spans="2:2">
      <c r="B439" s="717"/>
    </row>
    <row r="440" spans="2:2">
      <c r="B440" s="717"/>
    </row>
    <row r="441" spans="2:2">
      <c r="B441" s="717"/>
    </row>
    <row r="442" spans="2:2">
      <c r="B442" s="717"/>
    </row>
    <row r="443" spans="2:2">
      <c r="B443" s="717"/>
    </row>
    <row r="444" spans="2:2">
      <c r="B444" s="717"/>
    </row>
    <row r="445" spans="2:2">
      <c r="B445" s="717"/>
    </row>
    <row r="446" spans="2:2">
      <c r="B446" s="717"/>
    </row>
    <row r="447" spans="2:2">
      <c r="B447" s="717"/>
    </row>
    <row r="448" spans="2:2">
      <c r="B448" s="717"/>
    </row>
    <row r="449" spans="2:2">
      <c r="B449" s="717"/>
    </row>
    <row r="450" spans="2:2">
      <c r="B450" s="717"/>
    </row>
    <row r="451" spans="2:2">
      <c r="B451" s="717"/>
    </row>
    <row r="452" spans="2:2">
      <c r="B452" s="717"/>
    </row>
    <row r="453" spans="2:2">
      <c r="B453" s="717"/>
    </row>
    <row r="454" spans="2:2">
      <c r="B454" s="717"/>
    </row>
    <row r="455" spans="2:2">
      <c r="B455" s="717"/>
    </row>
    <row r="456" spans="2:2">
      <c r="B456" s="717"/>
    </row>
    <row r="457" spans="2:2">
      <c r="B457" s="717"/>
    </row>
    <row r="458" spans="2:2">
      <c r="B458" s="717"/>
    </row>
    <row r="459" spans="2:2">
      <c r="B459" s="717"/>
    </row>
    <row r="460" spans="2:2">
      <c r="B460" s="717"/>
    </row>
    <row r="461" spans="2:2">
      <c r="B461" s="717"/>
    </row>
    <row r="462" spans="2:2">
      <c r="B462" s="717"/>
    </row>
    <row r="463" spans="2:2">
      <c r="B463" s="717"/>
    </row>
    <row r="464" spans="2:2">
      <c r="B464" s="717"/>
    </row>
    <row r="465" spans="2:2">
      <c r="B465" s="717"/>
    </row>
    <row r="466" spans="2:2">
      <c r="B466" s="717"/>
    </row>
    <row r="467" spans="2:2">
      <c r="B467" s="717"/>
    </row>
    <row r="468" spans="2:2">
      <c r="B468" s="717"/>
    </row>
    <row r="469" spans="2:2">
      <c r="B469" s="717"/>
    </row>
    <row r="470" spans="2:2">
      <c r="B470" s="717"/>
    </row>
    <row r="471" spans="2:2">
      <c r="B471" s="717"/>
    </row>
    <row r="472" spans="2:2">
      <c r="B472" s="717"/>
    </row>
    <row r="473" spans="2:2">
      <c r="B473" s="717"/>
    </row>
    <row r="474" spans="2:2">
      <c r="B474" s="717"/>
    </row>
    <row r="475" spans="2:2">
      <c r="B475" s="717"/>
    </row>
    <row r="476" spans="2:2">
      <c r="B476" s="717"/>
    </row>
    <row r="477" spans="2:2">
      <c r="B477" s="717"/>
    </row>
    <row r="478" spans="2:2">
      <c r="B478" s="717"/>
    </row>
    <row r="479" spans="2:2">
      <c r="B479" s="717"/>
    </row>
    <row r="480" spans="2:2">
      <c r="B480" s="717"/>
    </row>
    <row r="481" spans="2:2">
      <c r="B481" s="717"/>
    </row>
    <row r="482" spans="2:2">
      <c r="B482" s="717"/>
    </row>
    <row r="483" spans="2:2">
      <c r="B483" s="717"/>
    </row>
    <row r="484" spans="2:2">
      <c r="B484" s="717"/>
    </row>
    <row r="485" spans="2:2">
      <c r="B485" s="717"/>
    </row>
    <row r="486" spans="2:2">
      <c r="B486" s="717"/>
    </row>
    <row r="487" spans="2:2">
      <c r="B487" s="717"/>
    </row>
    <row r="488" spans="2:2">
      <c r="B488" s="717"/>
    </row>
    <row r="489" spans="2:2">
      <c r="B489" s="717"/>
    </row>
    <row r="490" spans="2:2">
      <c r="B490" s="717"/>
    </row>
    <row r="491" spans="2:2">
      <c r="B491" s="717"/>
    </row>
    <row r="492" spans="2:2">
      <c r="B492" s="717"/>
    </row>
    <row r="493" spans="2:2">
      <c r="B493" s="717"/>
    </row>
    <row r="494" spans="2:2">
      <c r="B494" s="717"/>
    </row>
    <row r="495" spans="2:2">
      <c r="B495" s="717"/>
    </row>
    <row r="496" spans="2:2">
      <c r="B496" s="717"/>
    </row>
    <row r="497" spans="2:2">
      <c r="B497" s="717"/>
    </row>
    <row r="498" spans="2:2">
      <c r="B498" s="717"/>
    </row>
    <row r="499" spans="2:2">
      <c r="B499" s="717"/>
    </row>
    <row r="500" spans="2:2">
      <c r="B500" s="717"/>
    </row>
    <row r="501" spans="2:2">
      <c r="B501" s="717"/>
    </row>
    <row r="502" spans="2:2">
      <c r="B502" s="717"/>
    </row>
    <row r="503" spans="2:2">
      <c r="B503" s="717"/>
    </row>
    <row r="504" spans="2:2">
      <c r="B504" s="717"/>
    </row>
    <row r="505" spans="2:2">
      <c r="B505" s="717"/>
    </row>
    <row r="506" spans="2:2">
      <c r="B506" s="717"/>
    </row>
    <row r="507" spans="2:2">
      <c r="B507" s="717"/>
    </row>
    <row r="508" spans="2:2">
      <c r="B508" s="717"/>
    </row>
    <row r="509" spans="2:2">
      <c r="B509" s="717"/>
    </row>
    <row r="510" spans="2:2">
      <c r="B510" s="717"/>
    </row>
    <row r="511" spans="2:2">
      <c r="B511" s="717"/>
    </row>
    <row r="512" spans="2:2">
      <c r="B512" s="717"/>
    </row>
    <row r="513" spans="2:2">
      <c r="B513" s="717"/>
    </row>
    <row r="514" spans="2:2">
      <c r="B514" s="717"/>
    </row>
    <row r="515" spans="2:2">
      <c r="B515" s="717"/>
    </row>
    <row r="516" spans="2:2">
      <c r="B516" s="717"/>
    </row>
    <row r="517" spans="2:2">
      <c r="B517" s="717"/>
    </row>
    <row r="518" spans="2:2">
      <c r="B518" s="717"/>
    </row>
    <row r="519" spans="2:2">
      <c r="B519" s="717"/>
    </row>
    <row r="520" spans="2:2">
      <c r="B520" s="717"/>
    </row>
    <row r="521" spans="2:2">
      <c r="B521" s="717"/>
    </row>
    <row r="522" spans="2:2">
      <c r="B522" s="717"/>
    </row>
    <row r="523" spans="2:2">
      <c r="B523" s="717"/>
    </row>
    <row r="524" spans="2:2">
      <c r="B524" s="717"/>
    </row>
    <row r="525" spans="2:2">
      <c r="B525" s="717"/>
    </row>
    <row r="526" spans="2:2">
      <c r="B526" s="717"/>
    </row>
    <row r="527" spans="2:2">
      <c r="B527" s="717"/>
    </row>
    <row r="528" spans="2:2">
      <c r="B528" s="717"/>
    </row>
    <row r="529" spans="2:2">
      <c r="B529" s="717"/>
    </row>
    <row r="530" spans="2:2">
      <c r="B530" s="717"/>
    </row>
    <row r="531" spans="2:2">
      <c r="B531" s="717"/>
    </row>
    <row r="532" spans="2:2">
      <c r="B532" s="717"/>
    </row>
    <row r="533" spans="2:2">
      <c r="B533" s="717"/>
    </row>
    <row r="534" spans="2:2">
      <c r="B534" s="717"/>
    </row>
    <row r="535" spans="2:2">
      <c r="B535" s="717"/>
    </row>
    <row r="536" spans="2:2">
      <c r="B536" s="717"/>
    </row>
    <row r="537" spans="2:2">
      <c r="B537" s="717"/>
    </row>
    <row r="538" spans="2:2">
      <c r="B538" s="717"/>
    </row>
    <row r="539" spans="2:2">
      <c r="B539" s="717"/>
    </row>
    <row r="540" spans="2:2">
      <c r="B540" s="717"/>
    </row>
    <row r="541" spans="2:2">
      <c r="B541" s="717"/>
    </row>
    <row r="542" spans="2:2">
      <c r="B542" s="717"/>
    </row>
    <row r="543" spans="2:2">
      <c r="B543" s="717"/>
    </row>
    <row r="544" spans="2:2">
      <c r="B544" s="717"/>
    </row>
    <row r="545" spans="2:2">
      <c r="B545" s="717"/>
    </row>
    <row r="546" spans="2:2">
      <c r="B546" s="717"/>
    </row>
    <row r="547" spans="2:2">
      <c r="B547" s="717"/>
    </row>
    <row r="548" spans="2:2">
      <c r="B548" s="717"/>
    </row>
    <row r="549" spans="2:2">
      <c r="B549" s="717"/>
    </row>
    <row r="550" spans="2:2">
      <c r="B550" s="717"/>
    </row>
    <row r="551" spans="2:2">
      <c r="B551" s="717"/>
    </row>
    <row r="552" spans="2:2">
      <c r="B552" s="717"/>
    </row>
    <row r="553" spans="2:2">
      <c r="B553" s="717"/>
    </row>
    <row r="554" spans="2:2">
      <c r="B554" s="717"/>
    </row>
    <row r="555" spans="2:2">
      <c r="B555" s="717"/>
    </row>
    <row r="556" spans="2:2">
      <c r="B556" s="717"/>
    </row>
    <row r="557" spans="2:2">
      <c r="B557" s="717"/>
    </row>
    <row r="558" spans="2:2">
      <c r="B558" s="717"/>
    </row>
    <row r="559" spans="2:2">
      <c r="B559" s="717"/>
    </row>
    <row r="560" spans="2:2">
      <c r="B560" s="717"/>
    </row>
    <row r="561" spans="2:2">
      <c r="B561" s="717"/>
    </row>
    <row r="562" spans="2:2">
      <c r="B562" s="717"/>
    </row>
    <row r="563" spans="2:2">
      <c r="B563" s="717"/>
    </row>
    <row r="564" spans="2:2">
      <c r="B564" s="717"/>
    </row>
    <row r="565" spans="2:2">
      <c r="B565" s="717"/>
    </row>
    <row r="566" spans="2:2">
      <c r="B566" s="717"/>
    </row>
    <row r="567" spans="2:2">
      <c r="B567" s="717"/>
    </row>
    <row r="568" spans="2:2">
      <c r="B568" s="717"/>
    </row>
    <row r="569" spans="2:2">
      <c r="B569" s="717"/>
    </row>
    <row r="570" spans="2:2">
      <c r="B570" s="717"/>
    </row>
    <row r="571" spans="2:2">
      <c r="B571" s="717"/>
    </row>
    <row r="572" spans="2:2">
      <c r="B572" s="717"/>
    </row>
    <row r="573" spans="2:2">
      <c r="B573" s="717"/>
    </row>
    <row r="574" spans="2:2">
      <c r="B574" s="717"/>
    </row>
    <row r="575" spans="2:2">
      <c r="B575" s="717"/>
    </row>
    <row r="576" spans="2:2">
      <c r="B576" s="717"/>
    </row>
    <row r="577" spans="2:2">
      <c r="B577" s="717"/>
    </row>
    <row r="578" spans="2:2">
      <c r="B578" s="717"/>
    </row>
    <row r="579" spans="2:2">
      <c r="B579" s="717"/>
    </row>
    <row r="580" spans="2:2">
      <c r="B580" s="717"/>
    </row>
    <row r="581" spans="2:2">
      <c r="B581" s="717"/>
    </row>
    <row r="582" spans="2:2">
      <c r="B582" s="717"/>
    </row>
    <row r="583" spans="2:2">
      <c r="B583" s="717"/>
    </row>
    <row r="584" spans="2:2">
      <c r="B584" s="717"/>
    </row>
    <row r="585" spans="2:2">
      <c r="B585" s="717"/>
    </row>
    <row r="586" spans="2:2">
      <c r="B586" s="717"/>
    </row>
    <row r="587" spans="2:2">
      <c r="B587" s="717"/>
    </row>
    <row r="588" spans="2:2">
      <c r="B588" s="717"/>
    </row>
    <row r="589" spans="2:2">
      <c r="B589" s="717"/>
    </row>
    <row r="590" spans="2:2">
      <c r="B590" s="717"/>
    </row>
    <row r="591" spans="2:2">
      <c r="B591" s="717"/>
    </row>
    <row r="592" spans="2:2">
      <c r="B592" s="717"/>
    </row>
    <row r="593" spans="2:2">
      <c r="B593" s="717"/>
    </row>
    <row r="594" spans="2:2">
      <c r="B594" s="717"/>
    </row>
    <row r="595" spans="2:2">
      <c r="B595" s="717"/>
    </row>
    <row r="596" spans="2:2">
      <c r="B596" s="717"/>
    </row>
    <row r="597" spans="2:2">
      <c r="B597" s="717"/>
    </row>
    <row r="598" spans="2:2">
      <c r="B598" s="717"/>
    </row>
    <row r="599" spans="2:2">
      <c r="B599" s="717"/>
    </row>
    <row r="600" spans="2:2">
      <c r="B600" s="717"/>
    </row>
    <row r="601" spans="2:2">
      <c r="B601" s="717"/>
    </row>
    <row r="602" spans="2:2">
      <c r="B602" s="717"/>
    </row>
    <row r="603" spans="2:2">
      <c r="B603" s="717"/>
    </row>
    <row r="604" spans="2:2">
      <c r="B604" s="717"/>
    </row>
    <row r="605" spans="2:2">
      <c r="B605" s="717"/>
    </row>
    <row r="606" spans="2:2">
      <c r="B606" s="717"/>
    </row>
    <row r="607" spans="2:2">
      <c r="B607" s="717"/>
    </row>
    <row r="608" spans="2:2">
      <c r="B608" s="717"/>
    </row>
    <row r="609" spans="2:2">
      <c r="B609" s="717"/>
    </row>
    <row r="610" spans="2:2">
      <c r="B610" s="717"/>
    </row>
    <row r="611" spans="2:2">
      <c r="B611" s="717"/>
    </row>
    <row r="612" spans="2:2">
      <c r="B612" s="717"/>
    </row>
    <row r="613" spans="2:2">
      <c r="B613" s="717"/>
    </row>
    <row r="614" spans="2:2">
      <c r="B614" s="717"/>
    </row>
    <row r="615" spans="2:2">
      <c r="B615" s="717"/>
    </row>
    <row r="616" spans="2:2">
      <c r="B616" s="717"/>
    </row>
    <row r="617" spans="2:2">
      <c r="B617" s="717"/>
    </row>
    <row r="618" spans="2:2">
      <c r="B618" s="717"/>
    </row>
    <row r="619" spans="2:2">
      <c r="B619" s="717"/>
    </row>
    <row r="620" spans="2:2">
      <c r="B620" s="717"/>
    </row>
    <row r="621" spans="2:2">
      <c r="B621" s="717"/>
    </row>
    <row r="622" spans="2:2">
      <c r="B622" s="717"/>
    </row>
    <row r="623" spans="2:2">
      <c r="B623" s="717"/>
    </row>
    <row r="624" spans="2:2">
      <c r="B624" s="717"/>
    </row>
    <row r="625" spans="2:2">
      <c r="B625" s="717"/>
    </row>
    <row r="626" spans="2:2">
      <c r="B626" s="717"/>
    </row>
    <row r="627" spans="2:2">
      <c r="B627" s="717"/>
    </row>
    <row r="628" spans="2:2">
      <c r="B628" s="717"/>
    </row>
    <row r="629" spans="2:2">
      <c r="B629" s="717"/>
    </row>
    <row r="630" spans="2:2">
      <c r="B630" s="717"/>
    </row>
    <row r="631" spans="2:2">
      <c r="B631" s="717"/>
    </row>
    <row r="632" spans="2:2">
      <c r="B632" s="717"/>
    </row>
    <row r="633" spans="2:2">
      <c r="B633" s="717"/>
    </row>
    <row r="634" spans="2:2">
      <c r="B634" s="717"/>
    </row>
    <row r="635" spans="2:2">
      <c r="B635" s="717"/>
    </row>
    <row r="636" spans="2:2">
      <c r="B636" s="717"/>
    </row>
    <row r="637" spans="2:2">
      <c r="B637" s="717"/>
    </row>
    <row r="638" spans="2:2">
      <c r="B638" s="717"/>
    </row>
    <row r="639" spans="2:2">
      <c r="B639" s="717"/>
    </row>
    <row r="640" spans="2:2">
      <c r="B640" s="717"/>
    </row>
    <row r="641" spans="2:2">
      <c r="B641" s="717"/>
    </row>
    <row r="642" spans="2:2">
      <c r="B642" s="717"/>
    </row>
    <row r="643" spans="2:2">
      <c r="B643" s="717"/>
    </row>
    <row r="644" spans="2:2">
      <c r="B644" s="717"/>
    </row>
    <row r="645" spans="2:2">
      <c r="B645" s="717"/>
    </row>
    <row r="646" spans="2:2">
      <c r="B646" s="717"/>
    </row>
    <row r="647" spans="2:2">
      <c r="B647" s="717"/>
    </row>
    <row r="648" spans="2:2">
      <c r="B648" s="717"/>
    </row>
    <row r="649" spans="2:2">
      <c r="B649" s="717"/>
    </row>
    <row r="650" spans="2:2">
      <c r="B650" s="717"/>
    </row>
    <row r="651" spans="2:2">
      <c r="B651" s="717"/>
    </row>
    <row r="652" spans="2:2">
      <c r="B652" s="717"/>
    </row>
    <row r="653" spans="2:2">
      <c r="B653" s="717"/>
    </row>
    <row r="654" spans="2:2">
      <c r="B654" s="717"/>
    </row>
    <row r="655" spans="2:2">
      <c r="B655" s="717"/>
    </row>
    <row r="656" spans="2:2">
      <c r="B656" s="717"/>
    </row>
    <row r="657" spans="2:2">
      <c r="B657" s="717"/>
    </row>
    <row r="658" spans="2:2">
      <c r="B658" s="717"/>
    </row>
    <row r="659" spans="2:2">
      <c r="B659" s="717"/>
    </row>
    <row r="660" spans="2:2">
      <c r="B660" s="717"/>
    </row>
    <row r="661" spans="2:2">
      <c r="B661" s="717"/>
    </row>
    <row r="662" spans="2:2">
      <c r="B662" s="717"/>
    </row>
    <row r="663" spans="2:2">
      <c r="B663" s="717"/>
    </row>
    <row r="664" spans="2:2">
      <c r="B664" s="717"/>
    </row>
    <row r="665" spans="2:2">
      <c r="B665" s="717"/>
    </row>
    <row r="666" spans="2:2">
      <c r="B666" s="717"/>
    </row>
    <row r="667" spans="2:2">
      <c r="B667" s="717"/>
    </row>
    <row r="668" spans="2:2">
      <c r="B668" s="717"/>
    </row>
    <row r="669" spans="2:2">
      <c r="B669" s="717"/>
    </row>
    <row r="670" spans="2:2">
      <c r="B670" s="717"/>
    </row>
    <row r="671" spans="2:2">
      <c r="B671" s="717"/>
    </row>
    <row r="672" spans="2:2">
      <c r="B672" s="717"/>
    </row>
    <row r="673" spans="2:2">
      <c r="B673" s="717"/>
    </row>
    <row r="674" spans="2:2">
      <c r="B674" s="717"/>
    </row>
    <row r="675" spans="2:2">
      <c r="B675" s="717"/>
    </row>
    <row r="676" spans="2:2">
      <c r="B676" s="717"/>
    </row>
    <row r="677" spans="2:2">
      <c r="B677" s="717"/>
    </row>
    <row r="678" spans="2:2">
      <c r="B678" s="717"/>
    </row>
    <row r="679" spans="2:2">
      <c r="B679" s="717"/>
    </row>
    <row r="680" spans="2:2">
      <c r="B680" s="717"/>
    </row>
    <row r="681" spans="2:2">
      <c r="B681" s="717"/>
    </row>
    <row r="682" spans="2:2">
      <c r="B682" s="717"/>
    </row>
    <row r="683" spans="2:2">
      <c r="B683" s="717"/>
    </row>
    <row r="684" spans="2:2">
      <c r="B684" s="717"/>
    </row>
    <row r="685" spans="2:2">
      <c r="B685" s="717"/>
    </row>
    <row r="686" spans="2:2">
      <c r="B686" s="717"/>
    </row>
    <row r="687" spans="2:2">
      <c r="B687" s="717"/>
    </row>
    <row r="688" spans="2:2">
      <c r="B688" s="717"/>
    </row>
    <row r="689" spans="2:2">
      <c r="B689" s="717"/>
    </row>
    <row r="690" spans="2:2">
      <c r="B690" s="717"/>
    </row>
    <row r="691" spans="2:2">
      <c r="B691" s="717"/>
    </row>
    <row r="692" spans="2:2">
      <c r="B692" s="717"/>
    </row>
    <row r="693" spans="2:2">
      <c r="B693" s="717"/>
    </row>
    <row r="694" spans="2:2">
      <c r="B694" s="717"/>
    </row>
    <row r="695" spans="2:2">
      <c r="B695" s="717"/>
    </row>
    <row r="696" spans="2:2">
      <c r="B696" s="717"/>
    </row>
    <row r="697" spans="2:2">
      <c r="B697" s="717"/>
    </row>
    <row r="698" spans="2:2">
      <c r="B698" s="717"/>
    </row>
    <row r="699" spans="2:2">
      <c r="B699" s="717"/>
    </row>
    <row r="700" spans="2:2">
      <c r="B700" s="717"/>
    </row>
    <row r="701" spans="2:2">
      <c r="B701" s="717"/>
    </row>
    <row r="702" spans="2:2">
      <c r="B702" s="717"/>
    </row>
    <row r="703" spans="2:2">
      <c r="B703" s="717"/>
    </row>
    <row r="704" spans="2:2">
      <c r="B704" s="717"/>
    </row>
    <row r="705" spans="2:2">
      <c r="B705" s="717"/>
    </row>
    <row r="706" spans="2:2">
      <c r="B706" s="717"/>
    </row>
    <row r="707" spans="2:2">
      <c r="B707" s="717"/>
    </row>
    <row r="708" spans="2:2">
      <c r="B708" s="717"/>
    </row>
    <row r="709" spans="2:2">
      <c r="B709" s="717"/>
    </row>
    <row r="710" spans="2:2">
      <c r="B710" s="717"/>
    </row>
    <row r="711" spans="2:2">
      <c r="B711" s="717"/>
    </row>
    <row r="712" spans="2:2">
      <c r="B712" s="717"/>
    </row>
    <row r="713" spans="2:2">
      <c r="B713" s="717"/>
    </row>
    <row r="714" spans="2:2">
      <c r="B714" s="717"/>
    </row>
    <row r="715" spans="2:2">
      <c r="B715" s="717"/>
    </row>
    <row r="716" spans="2:2">
      <c r="B716" s="717"/>
    </row>
    <row r="717" spans="2:2">
      <c r="B717" s="717"/>
    </row>
    <row r="718" spans="2:2">
      <c r="B718" s="717"/>
    </row>
    <row r="719" spans="2:2">
      <c r="B719" s="717"/>
    </row>
    <row r="720" spans="2:2">
      <c r="B720" s="717"/>
    </row>
    <row r="721" spans="2:2">
      <c r="B721" s="717"/>
    </row>
    <row r="722" spans="2:2">
      <c r="B722" s="717"/>
    </row>
    <row r="723" spans="2:2">
      <c r="B723" s="717"/>
    </row>
    <row r="724" spans="2:2">
      <c r="B724" s="717"/>
    </row>
    <row r="725" spans="2:2">
      <c r="B725" s="717"/>
    </row>
    <row r="726" spans="2:2">
      <c r="B726" s="717"/>
    </row>
    <row r="727" spans="2:2">
      <c r="B727" s="717"/>
    </row>
    <row r="728" spans="2:2">
      <c r="B728" s="717"/>
    </row>
    <row r="729" spans="2:2">
      <c r="B729" s="717"/>
    </row>
    <row r="730" spans="2:2">
      <c r="B730" s="717"/>
    </row>
    <row r="731" spans="2:2">
      <c r="B731" s="717"/>
    </row>
    <row r="732" spans="2:2">
      <c r="B732" s="717"/>
    </row>
    <row r="733" spans="2:2">
      <c r="B733" s="717"/>
    </row>
    <row r="734" spans="2:2">
      <c r="B734" s="717"/>
    </row>
    <row r="735" spans="2:2">
      <c r="B735" s="717"/>
    </row>
    <row r="736" spans="2:2">
      <c r="B736" s="717"/>
    </row>
    <row r="737" spans="2:2">
      <c r="B737" s="717"/>
    </row>
    <row r="738" spans="2:2">
      <c r="B738" s="717"/>
    </row>
    <row r="739" spans="2:2">
      <c r="B739" s="717"/>
    </row>
    <row r="740" spans="2:2">
      <c r="B740" s="717"/>
    </row>
    <row r="741" spans="2:2">
      <c r="B741" s="717"/>
    </row>
    <row r="742" spans="2:2">
      <c r="B742" s="717"/>
    </row>
    <row r="743" spans="2:2">
      <c r="B743" s="717"/>
    </row>
    <row r="744" spans="2:2">
      <c r="B744" s="717"/>
    </row>
    <row r="745" spans="2:2">
      <c r="B745" s="717"/>
    </row>
    <row r="746" spans="2:2">
      <c r="B746" s="717"/>
    </row>
    <row r="747" spans="2:2">
      <c r="B747" s="717"/>
    </row>
    <row r="748" spans="2:2">
      <c r="B748" s="717"/>
    </row>
    <row r="749" spans="2:2">
      <c r="B749" s="717"/>
    </row>
    <row r="750" spans="2:2">
      <c r="B750" s="717"/>
    </row>
    <row r="751" spans="2:2">
      <c r="B751" s="717"/>
    </row>
    <row r="752" spans="2:2">
      <c r="B752" s="717"/>
    </row>
    <row r="753" spans="2:2">
      <c r="B753" s="717"/>
    </row>
    <row r="754" spans="2:2">
      <c r="B754" s="717"/>
    </row>
    <row r="755" spans="2:2">
      <c r="B755" s="717"/>
    </row>
    <row r="756" spans="2:2">
      <c r="B756" s="717"/>
    </row>
    <row r="757" spans="2:2">
      <c r="B757" s="717"/>
    </row>
    <row r="758" spans="2:2">
      <c r="B758" s="717"/>
    </row>
    <row r="759" spans="2:2">
      <c r="B759" s="717"/>
    </row>
    <row r="760" spans="2:2">
      <c r="B760" s="717"/>
    </row>
    <row r="761" spans="2:2">
      <c r="B761" s="717"/>
    </row>
    <row r="762" spans="2:2">
      <c r="B762" s="717"/>
    </row>
    <row r="763" spans="2:2">
      <c r="B763" s="717"/>
    </row>
    <row r="764" spans="2:2">
      <c r="B764" s="717"/>
    </row>
    <row r="765" spans="2:2">
      <c r="B765" s="717"/>
    </row>
    <row r="766" spans="2:2">
      <c r="B766" s="717"/>
    </row>
    <row r="767" spans="2:2">
      <c r="B767" s="717"/>
    </row>
    <row r="768" spans="2:2">
      <c r="B768" s="717"/>
    </row>
    <row r="769" spans="2:2">
      <c r="B769" s="717"/>
    </row>
    <row r="770" spans="2:2">
      <c r="B770" s="717"/>
    </row>
    <row r="771" spans="2:2">
      <c r="B771" s="717"/>
    </row>
    <row r="772" spans="2:2">
      <c r="B772" s="717"/>
    </row>
    <row r="773" spans="2:2">
      <c r="B773" s="717"/>
    </row>
    <row r="774" spans="2:2">
      <c r="B774" s="717"/>
    </row>
    <row r="775" spans="2:2">
      <c r="B775" s="717"/>
    </row>
    <row r="776" spans="2:2">
      <c r="B776" s="717"/>
    </row>
    <row r="777" spans="2:2">
      <c r="B777" s="717"/>
    </row>
    <row r="778" spans="2:2">
      <c r="B778" s="717"/>
    </row>
    <row r="779" spans="2:2">
      <c r="B779" s="717"/>
    </row>
    <row r="780" spans="2:2">
      <c r="B780" s="717"/>
    </row>
    <row r="781" spans="2:2">
      <c r="B781" s="717"/>
    </row>
    <row r="782" spans="2:2">
      <c r="B782" s="717"/>
    </row>
    <row r="783" spans="2:2">
      <c r="B783" s="717"/>
    </row>
    <row r="784" spans="2:2">
      <c r="B784" s="717"/>
    </row>
    <row r="785" spans="2:2">
      <c r="B785" s="717"/>
    </row>
    <row r="786" spans="2:2">
      <c r="B786" s="717"/>
    </row>
    <row r="787" spans="2:2">
      <c r="B787" s="717"/>
    </row>
    <row r="788" spans="2:2">
      <c r="B788" s="717"/>
    </row>
    <row r="789" spans="2:2">
      <c r="B789" s="717"/>
    </row>
    <row r="790" spans="2:2">
      <c r="B790" s="717"/>
    </row>
    <row r="791" spans="2:2">
      <c r="B791" s="717"/>
    </row>
    <row r="792" spans="2:2">
      <c r="B792" s="717"/>
    </row>
    <row r="793" spans="2:2">
      <c r="B793" s="717"/>
    </row>
    <row r="794" spans="2:2">
      <c r="B794" s="717"/>
    </row>
    <row r="795" spans="2:2">
      <c r="B795" s="717"/>
    </row>
    <row r="796" spans="2:2">
      <c r="B796" s="717"/>
    </row>
    <row r="797" spans="2:2">
      <c r="B797" s="717"/>
    </row>
    <row r="798" spans="2:2">
      <c r="B798" s="717"/>
    </row>
    <row r="799" spans="2:2">
      <c r="B799" s="717"/>
    </row>
    <row r="800" spans="2:2">
      <c r="B800" s="717"/>
    </row>
    <row r="801" spans="2:2">
      <c r="B801" s="717"/>
    </row>
    <row r="802" spans="2:2">
      <c r="B802" s="717"/>
    </row>
    <row r="803" spans="2:2">
      <c r="B803" s="717"/>
    </row>
    <row r="804" spans="2:2">
      <c r="B804" s="717"/>
    </row>
    <row r="805" spans="2:2">
      <c r="B805" s="717"/>
    </row>
    <row r="806" spans="2:2">
      <c r="B806" s="717"/>
    </row>
    <row r="807" spans="2:2">
      <c r="B807" s="717"/>
    </row>
    <row r="808" spans="2:2">
      <c r="B808" s="717"/>
    </row>
    <row r="809" spans="2:2">
      <c r="B809" s="717"/>
    </row>
    <row r="810" spans="2:2">
      <c r="B810" s="717"/>
    </row>
    <row r="811" spans="2:2">
      <c r="B811" s="717"/>
    </row>
    <row r="812" spans="2:2">
      <c r="B812" s="717"/>
    </row>
    <row r="813" spans="2:2">
      <c r="B813" s="717"/>
    </row>
    <row r="814" spans="2:2">
      <c r="B814" s="717"/>
    </row>
    <row r="815" spans="2:2">
      <c r="B815" s="717"/>
    </row>
    <row r="816" spans="2:2">
      <c r="B816" s="717"/>
    </row>
    <row r="817" spans="2:2">
      <c r="B817" s="717"/>
    </row>
    <row r="818" spans="2:2">
      <c r="B818" s="717"/>
    </row>
    <row r="819" spans="2:2">
      <c r="B819" s="717"/>
    </row>
    <row r="820" spans="2:2">
      <c r="B820" s="717"/>
    </row>
    <row r="821" spans="2:2">
      <c r="B821" s="717"/>
    </row>
    <row r="822" spans="2:2">
      <c r="B822" s="717"/>
    </row>
    <row r="823" spans="2:2">
      <c r="B823" s="717"/>
    </row>
    <row r="824" spans="2:2">
      <c r="B824" s="717"/>
    </row>
    <row r="825" spans="2:2">
      <c r="B825" s="717"/>
    </row>
    <row r="826" spans="2:2">
      <c r="B826" s="717"/>
    </row>
    <row r="827" spans="2:2">
      <c r="B827" s="717"/>
    </row>
    <row r="828" spans="2:2">
      <c r="B828" s="717"/>
    </row>
    <row r="829" spans="2:2">
      <c r="B829" s="717"/>
    </row>
    <row r="830" spans="2:2">
      <c r="B830" s="717"/>
    </row>
    <row r="831" spans="2:2">
      <c r="B831" s="717"/>
    </row>
    <row r="832" spans="2:2">
      <c r="B832" s="717"/>
    </row>
    <row r="833" spans="2:2">
      <c r="B833" s="717"/>
    </row>
    <row r="834" spans="2:2">
      <c r="B834" s="717"/>
    </row>
    <row r="835" spans="2:2">
      <c r="B835" s="717"/>
    </row>
    <row r="836" spans="2:2">
      <c r="B836" s="717"/>
    </row>
    <row r="837" spans="2:2">
      <c r="B837" s="717"/>
    </row>
    <row r="838" spans="2:2">
      <c r="B838" s="717"/>
    </row>
    <row r="839" spans="2:2">
      <c r="B839" s="717"/>
    </row>
    <row r="840" spans="2:2">
      <c r="B840" s="717"/>
    </row>
    <row r="841" spans="2:2">
      <c r="B841" s="717"/>
    </row>
    <row r="842" spans="2:2">
      <c r="B842" s="717"/>
    </row>
    <row r="843" spans="2:2">
      <c r="B843" s="717"/>
    </row>
    <row r="844" spans="2:2">
      <c r="B844" s="717"/>
    </row>
    <row r="845" spans="2:2">
      <c r="B845" s="717"/>
    </row>
    <row r="846" spans="2:2">
      <c r="B846" s="717"/>
    </row>
    <row r="847" spans="2:2">
      <c r="B847" s="717"/>
    </row>
    <row r="848" spans="2:2">
      <c r="B848" s="717"/>
    </row>
    <row r="849" spans="2:2">
      <c r="B849" s="717"/>
    </row>
    <row r="850" spans="2:2">
      <c r="B850" s="717"/>
    </row>
    <row r="851" spans="2:2">
      <c r="B851" s="717"/>
    </row>
    <row r="852" spans="2:2">
      <c r="B852" s="717"/>
    </row>
    <row r="853" spans="2:2">
      <c r="B853" s="717"/>
    </row>
  </sheetData>
  <printOptions horizontalCentered="1" gridLines="1"/>
  <pageMargins left="0.7" right="0.7" top="0.75" bottom="0.75" header="0" footer="0"/>
  <pageSetup fitToHeight="0" pageOrder="overThenDown" orientation="portrait" cellComments="atEnd"/>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H203"/>
  <sheetViews>
    <sheetView workbookViewId="0"/>
  </sheetViews>
  <sheetFormatPr defaultColWidth="12.7109375" defaultRowHeight="12.75" customHeight="1"/>
  <cols>
    <col min="1" max="1" width="6.7109375" customWidth="1"/>
    <col min="2" max="2" width="25.7109375" customWidth="1"/>
    <col min="3" max="3" width="14.5703125" customWidth="1"/>
    <col min="4" max="4" width="8.7109375" customWidth="1"/>
    <col min="5" max="5" width="10.7109375" customWidth="1"/>
    <col min="6" max="6" width="8" customWidth="1"/>
    <col min="7" max="7" width="5.42578125" customWidth="1"/>
    <col min="8" max="8" width="5.85546875" customWidth="1"/>
  </cols>
  <sheetData>
    <row r="1" spans="1:8" ht="12.75" customHeight="1">
      <c r="A1" s="723" t="s">
        <v>284</v>
      </c>
      <c r="B1" s="723" t="s">
        <v>4519</v>
      </c>
      <c r="C1" s="723" t="s">
        <v>4520</v>
      </c>
      <c r="D1" s="723" t="s">
        <v>4521</v>
      </c>
      <c r="E1" s="723" t="s">
        <v>4522</v>
      </c>
      <c r="F1" s="43" t="s">
        <v>4523</v>
      </c>
      <c r="G1" s="9">
        <v>2024</v>
      </c>
      <c r="H1" s="9">
        <v>2026</v>
      </c>
    </row>
    <row r="2" spans="1:8" ht="15">
      <c r="A2" s="724">
        <v>37</v>
      </c>
      <c r="B2" s="725" t="s">
        <v>4524</v>
      </c>
      <c r="C2" s="726">
        <v>38928346</v>
      </c>
      <c r="D2" s="724" t="s">
        <v>4525</v>
      </c>
      <c r="E2" s="727">
        <v>652860</v>
      </c>
    </row>
    <row r="3" spans="1:8" ht="15">
      <c r="A3" s="728">
        <v>138</v>
      </c>
      <c r="B3" s="729" t="s">
        <v>4526</v>
      </c>
      <c r="C3" s="730">
        <v>2877797</v>
      </c>
      <c r="D3" s="728" t="s">
        <v>4527</v>
      </c>
      <c r="E3" s="731">
        <v>27400</v>
      </c>
      <c r="F3" s="59">
        <v>1</v>
      </c>
    </row>
    <row r="4" spans="1:8" ht="15">
      <c r="A4" s="724">
        <v>33</v>
      </c>
      <c r="B4" s="725" t="s">
        <v>4528</v>
      </c>
      <c r="C4" s="726">
        <v>43851044</v>
      </c>
      <c r="D4" s="724" t="s">
        <v>4529</v>
      </c>
      <c r="E4" s="727">
        <v>2381740</v>
      </c>
    </row>
    <row r="5" spans="1:8" ht="15">
      <c r="A5" s="728">
        <v>185</v>
      </c>
      <c r="B5" s="729" t="s">
        <v>4530</v>
      </c>
      <c r="C5" s="730">
        <v>77265</v>
      </c>
      <c r="D5" s="728" t="s">
        <v>4527</v>
      </c>
      <c r="E5" s="728">
        <v>470</v>
      </c>
      <c r="F5" s="59">
        <v>1</v>
      </c>
    </row>
    <row r="6" spans="1:8" ht="15">
      <c r="A6" s="724">
        <v>44</v>
      </c>
      <c r="B6" s="725" t="s">
        <v>4531</v>
      </c>
      <c r="C6" s="726">
        <v>32866272</v>
      </c>
      <c r="D6" s="724" t="s">
        <v>4532</v>
      </c>
      <c r="E6" s="727">
        <v>1246700</v>
      </c>
    </row>
    <row r="7" spans="1:8" ht="15">
      <c r="A7" s="732">
        <v>184</v>
      </c>
      <c r="B7" s="725" t="s">
        <v>4533</v>
      </c>
      <c r="C7" s="733">
        <v>97929</v>
      </c>
      <c r="D7" s="732" t="s">
        <v>4527</v>
      </c>
      <c r="E7" s="732">
        <v>440</v>
      </c>
    </row>
    <row r="8" spans="1:8" ht="15">
      <c r="A8" s="724">
        <v>32</v>
      </c>
      <c r="B8" s="729" t="s">
        <v>4534</v>
      </c>
      <c r="C8" s="730">
        <v>45195774</v>
      </c>
      <c r="D8" s="728" t="s">
        <v>4529</v>
      </c>
      <c r="E8" s="731">
        <v>2736690</v>
      </c>
      <c r="F8" s="59"/>
      <c r="G8" s="59"/>
      <c r="H8" s="59">
        <v>1</v>
      </c>
    </row>
    <row r="9" spans="1:8" ht="15">
      <c r="A9" s="732">
        <v>135</v>
      </c>
      <c r="B9" s="725" t="s">
        <v>4535</v>
      </c>
      <c r="C9" s="733">
        <v>2963243</v>
      </c>
      <c r="D9" s="732" t="s">
        <v>4527</v>
      </c>
      <c r="E9" s="734">
        <v>28470</v>
      </c>
    </row>
    <row r="10" spans="1:8" ht="15">
      <c r="A10" s="728">
        <v>55</v>
      </c>
      <c r="B10" s="729" t="s">
        <v>4536</v>
      </c>
      <c r="C10" s="730">
        <v>25499884</v>
      </c>
      <c r="D10" s="728" t="s">
        <v>4537</v>
      </c>
      <c r="E10" s="731">
        <v>7682300</v>
      </c>
      <c r="F10" s="59">
        <v>1</v>
      </c>
    </row>
    <row r="11" spans="1:8" ht="15">
      <c r="A11" s="728">
        <v>96</v>
      </c>
      <c r="B11" s="729" t="s">
        <v>4538</v>
      </c>
      <c r="C11" s="730">
        <v>9006398</v>
      </c>
      <c r="D11" s="728" t="s">
        <v>4539</v>
      </c>
      <c r="E11" s="731">
        <v>82409</v>
      </c>
      <c r="F11" s="59">
        <v>1</v>
      </c>
    </row>
    <row r="12" spans="1:8" ht="15">
      <c r="A12" s="724">
        <v>89</v>
      </c>
      <c r="B12" s="725" t="s">
        <v>4540</v>
      </c>
      <c r="C12" s="726">
        <v>10139177</v>
      </c>
      <c r="D12" s="724" t="s">
        <v>4539</v>
      </c>
      <c r="E12" s="727">
        <v>82658</v>
      </c>
    </row>
    <row r="13" spans="1:8" ht="15">
      <c r="A13" s="728">
        <v>172</v>
      </c>
      <c r="B13" s="729" t="s">
        <v>4541</v>
      </c>
      <c r="C13" s="730">
        <v>393244</v>
      </c>
      <c r="D13" s="728" t="s">
        <v>4527</v>
      </c>
      <c r="E13" s="731">
        <v>10010</v>
      </c>
      <c r="F13" s="59">
        <v>1</v>
      </c>
    </row>
    <row r="14" spans="1:8" ht="15">
      <c r="A14" s="724">
        <v>149</v>
      </c>
      <c r="B14" s="725" t="s">
        <v>4542</v>
      </c>
      <c r="C14" s="726">
        <v>1701575</v>
      </c>
      <c r="D14" s="724" t="s">
        <v>4527</v>
      </c>
      <c r="E14" s="724">
        <v>760</v>
      </c>
    </row>
    <row r="15" spans="1:8" ht="15">
      <c r="A15" s="732">
        <v>8</v>
      </c>
      <c r="B15" s="725" t="s">
        <v>4543</v>
      </c>
      <c r="C15" s="733">
        <v>164689383</v>
      </c>
      <c r="D15" s="732" t="s">
        <v>4544</v>
      </c>
      <c r="E15" s="734">
        <v>130170</v>
      </c>
    </row>
    <row r="16" spans="1:8" ht="15">
      <c r="A16" s="728">
        <v>175</v>
      </c>
      <c r="B16" s="735" t="s">
        <v>4545</v>
      </c>
      <c r="C16" s="730">
        <v>287375</v>
      </c>
      <c r="D16" s="728" t="s">
        <v>4527</v>
      </c>
      <c r="E16" s="728">
        <v>430</v>
      </c>
      <c r="F16" s="59">
        <v>1</v>
      </c>
    </row>
    <row r="17" spans="1:8" ht="15">
      <c r="A17" s="732">
        <v>95</v>
      </c>
      <c r="B17" s="736" t="s">
        <v>4546</v>
      </c>
      <c r="C17" s="733">
        <v>9449323</v>
      </c>
      <c r="D17" s="732" t="s">
        <v>4539</v>
      </c>
      <c r="E17" s="734">
        <v>202910</v>
      </c>
    </row>
    <row r="18" spans="1:8" ht="15">
      <c r="A18" s="728">
        <v>80</v>
      </c>
      <c r="B18" s="729" t="s">
        <v>4547</v>
      </c>
      <c r="C18" s="730">
        <v>11589623</v>
      </c>
      <c r="D18" s="728" t="s">
        <v>4539</v>
      </c>
      <c r="E18" s="731">
        <v>30280</v>
      </c>
      <c r="F18" s="59">
        <v>1</v>
      </c>
    </row>
    <row r="19" spans="1:8" ht="15">
      <c r="A19" s="728">
        <v>171</v>
      </c>
      <c r="B19" s="729" t="s">
        <v>4548</v>
      </c>
      <c r="C19" s="730">
        <v>397628</v>
      </c>
      <c r="D19" s="728" t="s">
        <v>4527</v>
      </c>
      <c r="E19" s="731">
        <v>22810</v>
      </c>
      <c r="F19" s="59">
        <v>1</v>
      </c>
    </row>
    <row r="20" spans="1:8" ht="15">
      <c r="A20" s="724">
        <v>76</v>
      </c>
      <c r="B20" s="725" t="s">
        <v>4549</v>
      </c>
      <c r="C20" s="726">
        <v>12123200</v>
      </c>
      <c r="D20" s="724" t="s">
        <v>4550</v>
      </c>
      <c r="E20" s="727">
        <v>112760</v>
      </c>
    </row>
    <row r="21" spans="1:8" ht="15">
      <c r="A21" s="732">
        <v>161</v>
      </c>
      <c r="B21" s="725" t="s">
        <v>4551</v>
      </c>
      <c r="C21" s="733">
        <v>771608</v>
      </c>
      <c r="D21" s="732" t="s">
        <v>4527</v>
      </c>
      <c r="E21" s="734">
        <v>38117</v>
      </c>
    </row>
    <row r="22" spans="1:8" ht="15">
      <c r="A22" s="724">
        <v>79</v>
      </c>
      <c r="B22" s="725" t="s">
        <v>4552</v>
      </c>
      <c r="C22" s="726">
        <v>11673021</v>
      </c>
      <c r="D22" s="724" t="s">
        <v>4539</v>
      </c>
      <c r="E22" s="727">
        <v>1083300</v>
      </c>
    </row>
    <row r="23" spans="1:8" ht="30">
      <c r="A23" s="732">
        <v>133</v>
      </c>
      <c r="B23" s="725" t="s">
        <v>4553</v>
      </c>
      <c r="C23" s="733">
        <v>3280819</v>
      </c>
      <c r="D23" s="732" t="s">
        <v>4527</v>
      </c>
      <c r="E23" s="734">
        <v>51000</v>
      </c>
    </row>
    <row r="24" spans="1:8" ht="15">
      <c r="A24" s="724">
        <v>142</v>
      </c>
      <c r="B24" s="725" t="s">
        <v>4554</v>
      </c>
      <c r="C24" s="726">
        <v>2351627</v>
      </c>
      <c r="D24" s="724" t="s">
        <v>4527</v>
      </c>
      <c r="E24" s="727">
        <v>566730</v>
      </c>
    </row>
    <row r="25" spans="1:8" ht="15">
      <c r="A25" s="732">
        <v>6</v>
      </c>
      <c r="B25" s="729" t="s">
        <v>4555</v>
      </c>
      <c r="C25" s="730">
        <v>212559417</v>
      </c>
      <c r="D25" s="728" t="s">
        <v>4556</v>
      </c>
      <c r="E25" s="731">
        <v>8358140</v>
      </c>
      <c r="F25" s="59"/>
      <c r="G25" s="59"/>
      <c r="H25" s="59">
        <v>1</v>
      </c>
    </row>
    <row r="26" spans="1:8" ht="15">
      <c r="A26" s="724">
        <v>170</v>
      </c>
      <c r="B26" s="735" t="s">
        <v>4557</v>
      </c>
      <c r="C26" s="730">
        <v>437479</v>
      </c>
      <c r="D26" s="728" t="s">
        <v>4527</v>
      </c>
      <c r="E26" s="731">
        <v>5270</v>
      </c>
      <c r="F26" s="59"/>
      <c r="G26" s="59">
        <v>1</v>
      </c>
    </row>
    <row r="27" spans="1:8" ht="15">
      <c r="A27" s="732">
        <v>105</v>
      </c>
      <c r="B27" s="725" t="s">
        <v>4558</v>
      </c>
      <c r="C27" s="733">
        <v>6948445</v>
      </c>
      <c r="D27" s="732" t="s">
        <v>4539</v>
      </c>
      <c r="E27" s="734">
        <v>108560</v>
      </c>
    </row>
    <row r="28" spans="1:8" ht="15">
      <c r="A28" s="724">
        <v>58</v>
      </c>
      <c r="B28" s="725" t="s">
        <v>4559</v>
      </c>
      <c r="C28" s="726">
        <v>20903273</v>
      </c>
      <c r="D28" s="724" t="s">
        <v>4537</v>
      </c>
      <c r="E28" s="727">
        <v>273600</v>
      </c>
    </row>
    <row r="29" spans="1:8" ht="15">
      <c r="A29" s="732">
        <v>77</v>
      </c>
      <c r="B29" s="725" t="s">
        <v>4560</v>
      </c>
      <c r="C29" s="733">
        <v>11890784</v>
      </c>
      <c r="D29" s="732" t="s">
        <v>4550</v>
      </c>
      <c r="E29" s="734">
        <v>25680</v>
      </c>
    </row>
    <row r="30" spans="1:8" ht="15">
      <c r="A30" s="724">
        <v>166</v>
      </c>
      <c r="B30" s="725" t="s">
        <v>4561</v>
      </c>
      <c r="C30" s="726">
        <v>555987</v>
      </c>
      <c r="D30" s="724" t="s">
        <v>4527</v>
      </c>
      <c r="E30" s="727">
        <v>4030</v>
      </c>
    </row>
    <row r="31" spans="1:8" ht="15">
      <c r="A31" s="732">
        <v>70</v>
      </c>
      <c r="B31" s="725" t="s">
        <v>4562</v>
      </c>
      <c r="C31" s="733">
        <v>16718965</v>
      </c>
      <c r="D31" s="732" t="s">
        <v>4550</v>
      </c>
      <c r="E31" s="734">
        <v>176520</v>
      </c>
    </row>
    <row r="32" spans="1:8" ht="15">
      <c r="A32" s="724">
        <v>52</v>
      </c>
      <c r="B32" s="725" t="s">
        <v>4563</v>
      </c>
      <c r="C32" s="726">
        <v>26545863</v>
      </c>
      <c r="D32" s="724" t="s">
        <v>4537</v>
      </c>
      <c r="E32" s="727">
        <v>472710</v>
      </c>
    </row>
    <row r="33" spans="1:8" ht="15">
      <c r="A33" s="728">
        <v>39</v>
      </c>
      <c r="B33" s="729" t="s">
        <v>4564</v>
      </c>
      <c r="C33" s="730">
        <v>37742154</v>
      </c>
      <c r="D33" s="728" t="s">
        <v>4525</v>
      </c>
      <c r="E33" s="731">
        <v>9093510</v>
      </c>
      <c r="F33" s="59">
        <v>1</v>
      </c>
    </row>
    <row r="34" spans="1:8" ht="30">
      <c r="A34" s="724">
        <v>123</v>
      </c>
      <c r="B34" s="725" t="s">
        <v>4565</v>
      </c>
      <c r="C34" s="726">
        <v>4829767</v>
      </c>
      <c r="D34" s="724" t="s">
        <v>4539</v>
      </c>
      <c r="E34" s="727">
        <v>622980</v>
      </c>
    </row>
    <row r="35" spans="1:8" ht="15">
      <c r="A35" s="732">
        <v>71</v>
      </c>
      <c r="B35" s="725" t="s">
        <v>4566</v>
      </c>
      <c r="C35" s="733">
        <v>16425864</v>
      </c>
      <c r="D35" s="732" t="s">
        <v>4550</v>
      </c>
      <c r="E35" s="734">
        <v>1259200</v>
      </c>
    </row>
    <row r="36" spans="1:8" ht="15">
      <c r="A36" s="724">
        <v>62</v>
      </c>
      <c r="B36" s="729" t="s">
        <v>4567</v>
      </c>
      <c r="C36" s="730">
        <v>19116201</v>
      </c>
      <c r="D36" s="728" t="s">
        <v>4550</v>
      </c>
      <c r="E36" s="731">
        <v>743532</v>
      </c>
      <c r="F36" s="59"/>
      <c r="G36" s="59"/>
      <c r="H36" s="59">
        <v>1</v>
      </c>
    </row>
    <row r="37" spans="1:8" ht="15">
      <c r="A37" s="728">
        <v>1</v>
      </c>
      <c r="B37" s="729" t="s">
        <v>4568</v>
      </c>
      <c r="C37" s="730">
        <v>1439323776</v>
      </c>
      <c r="D37" s="728" t="s">
        <v>4569</v>
      </c>
      <c r="E37" s="731">
        <v>9388211</v>
      </c>
      <c r="F37" s="59">
        <v>1</v>
      </c>
    </row>
    <row r="38" spans="1:8" ht="15">
      <c r="A38" s="728">
        <v>29</v>
      </c>
      <c r="B38" s="729" t="s">
        <v>4570</v>
      </c>
      <c r="C38" s="730">
        <v>50882891</v>
      </c>
      <c r="D38" s="728" t="s">
        <v>4571</v>
      </c>
      <c r="E38" s="731">
        <v>1109500</v>
      </c>
      <c r="F38" s="59">
        <v>1</v>
      </c>
    </row>
    <row r="39" spans="1:8" ht="15">
      <c r="A39" s="732">
        <v>159</v>
      </c>
      <c r="B39" s="725" t="s">
        <v>4572</v>
      </c>
      <c r="C39" s="733">
        <v>869601</v>
      </c>
      <c r="D39" s="732" t="s">
        <v>4527</v>
      </c>
      <c r="E39" s="734">
        <v>1861</v>
      </c>
    </row>
    <row r="40" spans="1:8" ht="15">
      <c r="A40" s="724">
        <v>115</v>
      </c>
      <c r="B40" s="725" t="s">
        <v>4573</v>
      </c>
      <c r="C40" s="726">
        <v>5518087</v>
      </c>
      <c r="D40" s="724" t="s">
        <v>4539</v>
      </c>
      <c r="E40" s="727">
        <v>341500</v>
      </c>
    </row>
    <row r="41" spans="1:8" ht="15">
      <c r="A41" s="728">
        <v>120</v>
      </c>
      <c r="B41" s="729" t="s">
        <v>4574</v>
      </c>
      <c r="C41" s="730">
        <v>5094118</v>
      </c>
      <c r="D41" s="728" t="s">
        <v>4539</v>
      </c>
      <c r="E41" s="731">
        <v>51060</v>
      </c>
      <c r="F41" s="59">
        <v>1</v>
      </c>
    </row>
    <row r="42" spans="1:8" ht="15">
      <c r="A42" s="728">
        <v>128</v>
      </c>
      <c r="B42" s="729" t="s">
        <v>4575</v>
      </c>
      <c r="C42" s="730">
        <v>4105267</v>
      </c>
      <c r="D42" s="728" t="s">
        <v>4539</v>
      </c>
      <c r="E42" s="731">
        <v>55960</v>
      </c>
      <c r="F42" s="59">
        <v>1</v>
      </c>
    </row>
    <row r="43" spans="1:8" ht="15">
      <c r="A43" s="732">
        <v>82</v>
      </c>
      <c r="B43" s="725" t="s">
        <v>4576</v>
      </c>
      <c r="C43" s="733">
        <v>11326616</v>
      </c>
      <c r="D43" s="732" t="s">
        <v>4539</v>
      </c>
      <c r="E43" s="734">
        <v>106440</v>
      </c>
    </row>
    <row r="44" spans="1:8" ht="15">
      <c r="A44" s="724">
        <v>155</v>
      </c>
      <c r="B44" s="725" t="s">
        <v>4577</v>
      </c>
      <c r="C44" s="726">
        <v>1207359</v>
      </c>
      <c r="D44" s="724" t="s">
        <v>4527</v>
      </c>
      <c r="E44" s="727">
        <v>9240</v>
      </c>
      <c r="G44" s="9" t="s">
        <v>4578</v>
      </c>
    </row>
    <row r="45" spans="1:8" ht="30">
      <c r="A45" s="732">
        <v>85</v>
      </c>
      <c r="B45" s="725" t="s">
        <v>4579</v>
      </c>
      <c r="C45" s="733">
        <v>10708981</v>
      </c>
      <c r="D45" s="732" t="s">
        <v>4539</v>
      </c>
      <c r="E45" s="734">
        <v>77240</v>
      </c>
    </row>
    <row r="46" spans="1:8" ht="15">
      <c r="A46" s="724">
        <v>53</v>
      </c>
      <c r="B46" s="725" t="s">
        <v>4580</v>
      </c>
      <c r="C46" s="726">
        <v>26378274</v>
      </c>
      <c r="D46" s="724" t="s">
        <v>4537</v>
      </c>
      <c r="E46" s="727">
        <v>318000</v>
      </c>
    </row>
    <row r="47" spans="1:8" ht="15">
      <c r="A47" s="728">
        <v>113</v>
      </c>
      <c r="B47" s="729" t="s">
        <v>4581</v>
      </c>
      <c r="C47" s="730">
        <v>5792202</v>
      </c>
      <c r="D47" s="728" t="s">
        <v>4539</v>
      </c>
      <c r="E47" s="731">
        <v>42430</v>
      </c>
      <c r="F47" s="59">
        <v>1</v>
      </c>
    </row>
    <row r="48" spans="1:8" ht="15">
      <c r="A48" s="724">
        <v>157</v>
      </c>
      <c r="B48" s="725" t="s">
        <v>4582</v>
      </c>
      <c r="C48" s="726">
        <v>988000</v>
      </c>
      <c r="D48" s="724" t="s">
        <v>4527</v>
      </c>
      <c r="E48" s="727">
        <v>23180</v>
      </c>
    </row>
    <row r="49" spans="1:8" ht="15">
      <c r="A49" s="728">
        <v>186</v>
      </c>
      <c r="B49" s="729" t="s">
        <v>4583</v>
      </c>
      <c r="C49" s="730">
        <v>71986</v>
      </c>
      <c r="D49" s="728" t="s">
        <v>4527</v>
      </c>
      <c r="E49" s="728">
        <v>750</v>
      </c>
      <c r="F49" s="59">
        <v>1</v>
      </c>
      <c r="H49" s="9">
        <v>1</v>
      </c>
    </row>
    <row r="50" spans="1:8" ht="15">
      <c r="A50" s="728">
        <v>84</v>
      </c>
      <c r="B50" s="729" t="s">
        <v>4584</v>
      </c>
      <c r="C50" s="730">
        <v>10847910</v>
      </c>
      <c r="D50" s="728" t="s">
        <v>4539</v>
      </c>
      <c r="E50" s="731">
        <v>48320</v>
      </c>
      <c r="F50" s="59">
        <v>1</v>
      </c>
    </row>
    <row r="51" spans="1:8" ht="15">
      <c r="A51" s="732">
        <v>16</v>
      </c>
      <c r="B51" s="725" t="s">
        <v>4585</v>
      </c>
      <c r="C51" s="733">
        <v>89561403</v>
      </c>
      <c r="D51" s="732" t="s">
        <v>4586</v>
      </c>
      <c r="E51" s="734">
        <v>2267050</v>
      </c>
    </row>
    <row r="52" spans="1:8" ht="15">
      <c r="A52" s="724">
        <v>66</v>
      </c>
      <c r="B52" s="725" t="s">
        <v>4587</v>
      </c>
      <c r="C52" s="726">
        <v>17643054</v>
      </c>
      <c r="D52" s="724" t="s">
        <v>4550</v>
      </c>
      <c r="E52" s="727">
        <v>248360</v>
      </c>
    </row>
    <row r="53" spans="1:8" ht="15">
      <c r="A53" s="728">
        <v>14</v>
      </c>
      <c r="B53" s="729" t="s">
        <v>4588</v>
      </c>
      <c r="C53" s="730">
        <v>102334404</v>
      </c>
      <c r="D53" s="728" t="s">
        <v>4589</v>
      </c>
      <c r="E53" s="731">
        <v>995450</v>
      </c>
      <c r="F53" s="59">
        <v>1</v>
      </c>
    </row>
    <row r="54" spans="1:8" ht="15">
      <c r="A54" s="724">
        <v>110</v>
      </c>
      <c r="B54" s="725" t="s">
        <v>4590</v>
      </c>
      <c r="C54" s="726">
        <v>6486205</v>
      </c>
      <c r="D54" s="724" t="s">
        <v>4539</v>
      </c>
      <c r="E54" s="727">
        <v>20720</v>
      </c>
      <c r="H54" s="9">
        <v>1</v>
      </c>
    </row>
    <row r="55" spans="1:8" ht="15">
      <c r="A55" s="732">
        <v>150</v>
      </c>
      <c r="B55" s="725" t="s">
        <v>4591</v>
      </c>
      <c r="C55" s="733">
        <v>1402985</v>
      </c>
      <c r="D55" s="732" t="s">
        <v>4527</v>
      </c>
      <c r="E55" s="734">
        <v>28050</v>
      </c>
    </row>
    <row r="56" spans="1:8" ht="15">
      <c r="A56" s="724">
        <v>131</v>
      </c>
      <c r="B56" s="725" t="s">
        <v>4592</v>
      </c>
      <c r="C56" s="726">
        <v>3546421</v>
      </c>
      <c r="D56" s="724" t="s">
        <v>4527</v>
      </c>
      <c r="E56" s="727">
        <v>101000</v>
      </c>
    </row>
    <row r="57" spans="1:8" ht="15">
      <c r="A57" s="732">
        <v>152</v>
      </c>
      <c r="B57" s="729" t="s">
        <v>4593</v>
      </c>
      <c r="C57" s="730">
        <v>1326535</v>
      </c>
      <c r="D57" s="728" t="s">
        <v>4527</v>
      </c>
      <c r="E57" s="731">
        <v>42390</v>
      </c>
      <c r="F57" s="59">
        <v>1</v>
      </c>
    </row>
    <row r="58" spans="1:8" ht="15">
      <c r="A58" s="724">
        <v>156</v>
      </c>
      <c r="B58" s="725" t="s">
        <v>4594</v>
      </c>
      <c r="C58" s="726">
        <v>1160164</v>
      </c>
      <c r="D58" s="724" t="s">
        <v>4527</v>
      </c>
      <c r="E58" s="727">
        <v>17200</v>
      </c>
    </row>
    <row r="59" spans="1:8" ht="15">
      <c r="A59" s="732">
        <v>12</v>
      </c>
      <c r="B59" s="725" t="s">
        <v>4595</v>
      </c>
      <c r="C59" s="733">
        <v>114963588</v>
      </c>
      <c r="D59" s="732" t="s">
        <v>4596</v>
      </c>
      <c r="E59" s="734">
        <v>1000000</v>
      </c>
    </row>
    <row r="60" spans="1:8" ht="15">
      <c r="A60" s="728">
        <v>158</v>
      </c>
      <c r="B60" s="729" t="s">
        <v>4597</v>
      </c>
      <c r="C60" s="730">
        <v>896445</v>
      </c>
      <c r="D60" s="728" t="s">
        <v>4527</v>
      </c>
      <c r="E60" s="731">
        <v>18270</v>
      </c>
      <c r="F60" s="59">
        <v>1</v>
      </c>
    </row>
    <row r="61" spans="1:8" ht="15">
      <c r="A61" s="732">
        <v>114</v>
      </c>
      <c r="B61" s="729" t="s">
        <v>4598</v>
      </c>
      <c r="C61" s="730">
        <v>5540720</v>
      </c>
      <c r="D61" s="728" t="s">
        <v>4539</v>
      </c>
      <c r="E61" s="731">
        <v>303890</v>
      </c>
      <c r="F61" s="59">
        <v>1</v>
      </c>
    </row>
    <row r="62" spans="1:8" ht="15">
      <c r="A62" s="728">
        <v>22</v>
      </c>
      <c r="B62" s="729" t="s">
        <v>4599</v>
      </c>
      <c r="C62" s="730">
        <v>65273511</v>
      </c>
      <c r="D62" s="728" t="s">
        <v>4600</v>
      </c>
      <c r="E62" s="731">
        <v>547557</v>
      </c>
      <c r="F62" s="59">
        <v>1</v>
      </c>
    </row>
    <row r="63" spans="1:8" ht="15">
      <c r="A63" s="732">
        <v>143</v>
      </c>
      <c r="B63" s="725" t="s">
        <v>4601</v>
      </c>
      <c r="C63" s="733">
        <v>2225734</v>
      </c>
      <c r="D63" s="732" t="s">
        <v>4527</v>
      </c>
      <c r="E63" s="734">
        <v>257670</v>
      </c>
    </row>
    <row r="64" spans="1:8" ht="15">
      <c r="A64" s="724">
        <v>141</v>
      </c>
      <c r="B64" s="725" t="s">
        <v>4602</v>
      </c>
      <c r="C64" s="726">
        <v>2416668</v>
      </c>
      <c r="D64" s="724" t="s">
        <v>4527</v>
      </c>
      <c r="E64" s="727">
        <v>10120</v>
      </c>
    </row>
    <row r="65" spans="1:8" ht="15">
      <c r="A65" s="732">
        <v>130</v>
      </c>
      <c r="B65" s="725" t="s">
        <v>4603</v>
      </c>
      <c r="C65" s="733">
        <v>3989167</v>
      </c>
      <c r="D65" s="732" t="s">
        <v>4539</v>
      </c>
      <c r="E65" s="734">
        <v>69490</v>
      </c>
    </row>
    <row r="66" spans="1:8" ht="15">
      <c r="A66" s="728">
        <v>19</v>
      </c>
      <c r="B66" s="729" t="s">
        <v>4604</v>
      </c>
      <c r="C66" s="730">
        <v>83783942</v>
      </c>
      <c r="D66" s="728" t="s">
        <v>4586</v>
      </c>
      <c r="E66" s="731">
        <v>348560</v>
      </c>
      <c r="F66" s="59">
        <v>1</v>
      </c>
    </row>
    <row r="67" spans="1:8" ht="15">
      <c r="A67" s="732">
        <v>47</v>
      </c>
      <c r="B67" s="725" t="s">
        <v>4605</v>
      </c>
      <c r="C67" s="733">
        <v>31072940</v>
      </c>
      <c r="D67" s="732" t="s">
        <v>4532</v>
      </c>
      <c r="E67" s="734">
        <v>227540</v>
      </c>
    </row>
    <row r="68" spans="1:8" ht="15">
      <c r="A68" s="728">
        <v>86</v>
      </c>
      <c r="B68" s="729" t="s">
        <v>4606</v>
      </c>
      <c r="C68" s="730">
        <v>10423054</v>
      </c>
      <c r="D68" s="728" t="s">
        <v>4539</v>
      </c>
      <c r="E68" s="731">
        <v>128900</v>
      </c>
      <c r="F68" s="59">
        <v>1</v>
      </c>
    </row>
    <row r="69" spans="1:8" ht="15">
      <c r="A69" s="732">
        <v>180</v>
      </c>
      <c r="B69" s="725" t="s">
        <v>4607</v>
      </c>
      <c r="C69" s="733">
        <v>112523</v>
      </c>
      <c r="D69" s="732" t="s">
        <v>4527</v>
      </c>
      <c r="E69" s="732">
        <v>340</v>
      </c>
    </row>
    <row r="70" spans="1:8" ht="15">
      <c r="A70" s="728">
        <v>65</v>
      </c>
      <c r="B70" s="729" t="s">
        <v>4608</v>
      </c>
      <c r="C70" s="730">
        <v>17915568</v>
      </c>
      <c r="D70" s="728" t="s">
        <v>4550</v>
      </c>
      <c r="E70" s="731">
        <v>107160</v>
      </c>
      <c r="F70" s="59">
        <v>1</v>
      </c>
    </row>
    <row r="71" spans="1:8" ht="15">
      <c r="A71" s="732">
        <v>74</v>
      </c>
      <c r="B71" s="725" t="s">
        <v>4609</v>
      </c>
      <c r="C71" s="733">
        <v>13132795</v>
      </c>
      <c r="D71" s="732" t="s">
        <v>4550</v>
      </c>
      <c r="E71" s="734">
        <v>245720</v>
      </c>
      <c r="H71" s="9">
        <v>1</v>
      </c>
    </row>
    <row r="72" spans="1:8" ht="15">
      <c r="A72" s="724">
        <v>147</v>
      </c>
      <c r="B72" s="725" t="s">
        <v>4610</v>
      </c>
      <c r="C72" s="726">
        <v>1968001</v>
      </c>
      <c r="D72" s="724" t="s">
        <v>4527</v>
      </c>
      <c r="E72" s="727">
        <v>28120</v>
      </c>
    </row>
    <row r="73" spans="1:8" ht="15">
      <c r="A73" s="732">
        <v>160</v>
      </c>
      <c r="B73" s="725" t="s">
        <v>4611</v>
      </c>
      <c r="C73" s="733">
        <v>786552</v>
      </c>
      <c r="D73" s="732" t="s">
        <v>4527</v>
      </c>
      <c r="E73" s="734">
        <v>196850</v>
      </c>
    </row>
    <row r="74" spans="1:8" ht="15">
      <c r="A74" s="728">
        <v>81</v>
      </c>
      <c r="B74" s="729" t="s">
        <v>4612</v>
      </c>
      <c r="C74" s="730">
        <v>11402528</v>
      </c>
      <c r="D74" s="728" t="s">
        <v>4539</v>
      </c>
      <c r="E74" s="731">
        <v>27560</v>
      </c>
      <c r="F74" s="59">
        <v>1</v>
      </c>
    </row>
    <row r="75" spans="1:8" ht="15">
      <c r="A75" s="732">
        <v>195</v>
      </c>
      <c r="B75" s="725" t="s">
        <v>4613</v>
      </c>
      <c r="C75" s="737">
        <v>801</v>
      </c>
      <c r="D75" s="732" t="s">
        <v>4527</v>
      </c>
      <c r="E75" s="732">
        <v>0</v>
      </c>
    </row>
    <row r="76" spans="1:8" ht="15">
      <c r="A76" s="728">
        <v>91</v>
      </c>
      <c r="B76" s="729" t="s">
        <v>4614</v>
      </c>
      <c r="C76" s="730">
        <v>9904607</v>
      </c>
      <c r="D76" s="728" t="s">
        <v>4539</v>
      </c>
      <c r="E76" s="731">
        <v>111890</v>
      </c>
      <c r="F76" s="59">
        <v>1</v>
      </c>
    </row>
    <row r="77" spans="1:8" ht="15">
      <c r="A77" s="732">
        <v>93</v>
      </c>
      <c r="B77" s="725" t="s">
        <v>4615</v>
      </c>
      <c r="C77" s="733">
        <v>9660351</v>
      </c>
      <c r="D77" s="732" t="s">
        <v>4539</v>
      </c>
      <c r="E77" s="734">
        <v>90530</v>
      </c>
      <c r="G77" s="9">
        <v>1</v>
      </c>
    </row>
    <row r="78" spans="1:8" ht="15">
      <c r="A78" s="728">
        <v>173</v>
      </c>
      <c r="B78" s="729" t="s">
        <v>4616</v>
      </c>
      <c r="C78" s="730">
        <v>341243</v>
      </c>
      <c r="D78" s="728" t="s">
        <v>4527</v>
      </c>
      <c r="E78" s="731">
        <v>100250</v>
      </c>
      <c r="F78" s="59">
        <v>1</v>
      </c>
    </row>
    <row r="79" spans="1:8" ht="15">
      <c r="A79" s="732">
        <v>2</v>
      </c>
      <c r="B79" s="725" t="s">
        <v>4617</v>
      </c>
      <c r="C79" s="733">
        <v>1380004385</v>
      </c>
      <c r="D79" s="732" t="s">
        <v>4618</v>
      </c>
      <c r="E79" s="734">
        <v>2973190</v>
      </c>
      <c r="G79" s="9">
        <v>1</v>
      </c>
    </row>
    <row r="80" spans="1:8" ht="15">
      <c r="A80" s="728">
        <v>4</v>
      </c>
      <c r="B80" s="729" t="s">
        <v>4619</v>
      </c>
      <c r="C80" s="730">
        <v>273523615</v>
      </c>
      <c r="D80" s="728" t="s">
        <v>4620</v>
      </c>
      <c r="E80" s="731">
        <v>1811570</v>
      </c>
      <c r="F80" s="59"/>
      <c r="G80" s="59">
        <v>1</v>
      </c>
    </row>
    <row r="81" spans="1:7" ht="15">
      <c r="A81" s="732">
        <v>18</v>
      </c>
      <c r="B81" s="725" t="s">
        <v>4621</v>
      </c>
      <c r="C81" s="733">
        <v>83992949</v>
      </c>
      <c r="D81" s="732" t="s">
        <v>4586</v>
      </c>
      <c r="E81" s="734">
        <v>1628550</v>
      </c>
    </row>
    <row r="82" spans="1:7" ht="15">
      <c r="A82" s="724">
        <v>36</v>
      </c>
      <c r="B82" s="725" t="s">
        <v>4622</v>
      </c>
      <c r="C82" s="726">
        <v>40222493</v>
      </c>
      <c r="D82" s="724" t="s">
        <v>4525</v>
      </c>
      <c r="E82" s="727">
        <v>434320</v>
      </c>
    </row>
    <row r="83" spans="1:7" ht="15">
      <c r="A83" s="728">
        <v>122</v>
      </c>
      <c r="B83" s="729" t="s">
        <v>4623</v>
      </c>
      <c r="C83" s="730">
        <v>4937786</v>
      </c>
      <c r="D83" s="728" t="s">
        <v>4539</v>
      </c>
      <c r="E83" s="731">
        <v>68890</v>
      </c>
      <c r="F83" s="59">
        <v>1</v>
      </c>
    </row>
    <row r="84" spans="1:7" ht="15">
      <c r="A84" s="728">
        <v>99</v>
      </c>
      <c r="B84" s="729" t="s">
        <v>4624</v>
      </c>
      <c r="C84" s="730">
        <v>8655535</v>
      </c>
      <c r="D84" s="728" t="s">
        <v>4539</v>
      </c>
      <c r="E84" s="731">
        <v>21640</v>
      </c>
      <c r="F84" s="59">
        <v>1</v>
      </c>
    </row>
    <row r="85" spans="1:7" ht="15">
      <c r="A85" s="728">
        <v>23</v>
      </c>
      <c r="B85" s="729" t="s">
        <v>4625</v>
      </c>
      <c r="C85" s="730">
        <v>60461826</v>
      </c>
      <c r="D85" s="728" t="s">
        <v>4600</v>
      </c>
      <c r="E85" s="731">
        <v>294140</v>
      </c>
      <c r="F85" s="59">
        <v>1</v>
      </c>
    </row>
    <row r="86" spans="1:7" ht="15">
      <c r="A86" s="728">
        <v>136</v>
      </c>
      <c r="B86" s="729" t="s">
        <v>4626</v>
      </c>
      <c r="C86" s="730">
        <v>2961167</v>
      </c>
      <c r="D86" s="728" t="s">
        <v>4527</v>
      </c>
      <c r="E86" s="731">
        <v>10830</v>
      </c>
      <c r="F86" s="59">
        <v>1</v>
      </c>
    </row>
    <row r="87" spans="1:7" ht="15">
      <c r="A87" s="732">
        <v>11</v>
      </c>
      <c r="B87" s="729" t="s">
        <v>1757</v>
      </c>
      <c r="C87" s="730">
        <v>126476461</v>
      </c>
      <c r="D87" s="728" t="s">
        <v>4627</v>
      </c>
      <c r="E87" s="731">
        <v>364555</v>
      </c>
      <c r="F87" s="59"/>
      <c r="G87" s="59">
        <v>1</v>
      </c>
    </row>
    <row r="88" spans="1:7" ht="15">
      <c r="A88" s="724">
        <v>87</v>
      </c>
      <c r="B88" s="725" t="s">
        <v>4628</v>
      </c>
      <c r="C88" s="726">
        <v>10203134</v>
      </c>
      <c r="D88" s="724" t="s">
        <v>4539</v>
      </c>
      <c r="E88" s="727">
        <v>88780</v>
      </c>
    </row>
    <row r="89" spans="1:7" ht="15">
      <c r="A89" s="732">
        <v>63</v>
      </c>
      <c r="B89" s="725" t="s">
        <v>4629</v>
      </c>
      <c r="C89" s="733">
        <v>18776707</v>
      </c>
      <c r="D89" s="732" t="s">
        <v>4550</v>
      </c>
      <c r="E89" s="734">
        <v>2699700</v>
      </c>
    </row>
    <row r="90" spans="1:7" ht="15">
      <c r="A90" s="724">
        <v>27</v>
      </c>
      <c r="B90" s="725" t="s">
        <v>4630</v>
      </c>
      <c r="C90" s="726">
        <v>53771296</v>
      </c>
      <c r="D90" s="724" t="s">
        <v>4571</v>
      </c>
      <c r="E90" s="727">
        <v>569140</v>
      </c>
    </row>
    <row r="91" spans="1:7" ht="15">
      <c r="A91" s="732">
        <v>179</v>
      </c>
      <c r="B91" s="725" t="s">
        <v>4631</v>
      </c>
      <c r="C91" s="733">
        <v>119449</v>
      </c>
      <c r="D91" s="732" t="s">
        <v>4527</v>
      </c>
      <c r="E91" s="732">
        <v>810</v>
      </c>
    </row>
    <row r="92" spans="1:7" ht="15">
      <c r="A92" s="724">
        <v>127</v>
      </c>
      <c r="B92" s="725" t="s">
        <v>4632</v>
      </c>
      <c r="C92" s="726">
        <v>4270571</v>
      </c>
      <c r="D92" s="724" t="s">
        <v>4539</v>
      </c>
      <c r="E92" s="727">
        <v>17820</v>
      </c>
    </row>
    <row r="93" spans="1:7" ht="15">
      <c r="A93" s="732">
        <v>109</v>
      </c>
      <c r="B93" s="725" t="s">
        <v>4633</v>
      </c>
      <c r="C93" s="733">
        <v>6524195</v>
      </c>
      <c r="D93" s="732" t="s">
        <v>4539</v>
      </c>
      <c r="E93" s="734">
        <v>191800</v>
      </c>
    </row>
    <row r="94" spans="1:7" ht="15">
      <c r="A94" s="724">
        <v>103</v>
      </c>
      <c r="B94" s="725" t="s">
        <v>4634</v>
      </c>
      <c r="C94" s="726">
        <v>7275560</v>
      </c>
      <c r="D94" s="724" t="s">
        <v>4539</v>
      </c>
      <c r="E94" s="727">
        <v>230800</v>
      </c>
    </row>
    <row r="95" spans="1:7" ht="15">
      <c r="A95" s="728">
        <v>148</v>
      </c>
      <c r="B95" s="729" t="s">
        <v>4635</v>
      </c>
      <c r="C95" s="730">
        <v>1886198</v>
      </c>
      <c r="D95" s="728" t="s">
        <v>4527</v>
      </c>
      <c r="E95" s="731">
        <v>62200</v>
      </c>
      <c r="F95" s="59">
        <v>1</v>
      </c>
    </row>
    <row r="96" spans="1:7" ht="15">
      <c r="A96" s="724">
        <v>107</v>
      </c>
      <c r="B96" s="725" t="s">
        <v>4636</v>
      </c>
      <c r="C96" s="726">
        <v>6825445</v>
      </c>
      <c r="D96" s="724" t="s">
        <v>4539</v>
      </c>
      <c r="E96" s="727">
        <v>10230</v>
      </c>
    </row>
    <row r="97" spans="1:7" ht="15">
      <c r="A97" s="732">
        <v>144</v>
      </c>
      <c r="B97" s="725" t="s">
        <v>4637</v>
      </c>
      <c r="C97" s="733">
        <v>2142249</v>
      </c>
      <c r="D97" s="732" t="s">
        <v>4527</v>
      </c>
      <c r="E97" s="734">
        <v>30360</v>
      </c>
    </row>
    <row r="98" spans="1:7" ht="15">
      <c r="A98" s="724">
        <v>121</v>
      </c>
      <c r="B98" s="725" t="s">
        <v>4638</v>
      </c>
      <c r="C98" s="726">
        <v>5057681</v>
      </c>
      <c r="D98" s="724" t="s">
        <v>4539</v>
      </c>
      <c r="E98" s="727">
        <v>96320</v>
      </c>
    </row>
    <row r="99" spans="1:7" ht="15">
      <c r="A99" s="732">
        <v>106</v>
      </c>
      <c r="B99" s="725" t="s">
        <v>4639</v>
      </c>
      <c r="C99" s="733">
        <v>6871292</v>
      </c>
      <c r="D99" s="732" t="s">
        <v>4539</v>
      </c>
      <c r="E99" s="734">
        <v>1759540</v>
      </c>
    </row>
    <row r="100" spans="1:7" ht="15">
      <c r="A100" s="724">
        <v>190</v>
      </c>
      <c r="B100" s="725" t="s">
        <v>4640</v>
      </c>
      <c r="C100" s="726">
        <v>38128</v>
      </c>
      <c r="D100" s="724" t="s">
        <v>4527</v>
      </c>
      <c r="E100" s="724">
        <v>160</v>
      </c>
    </row>
    <row r="101" spans="1:7" ht="15">
      <c r="A101" s="728">
        <v>139</v>
      </c>
      <c r="B101" s="729" t="s">
        <v>4641</v>
      </c>
      <c r="C101" s="730">
        <v>2722289</v>
      </c>
      <c r="D101" s="728" t="s">
        <v>4527</v>
      </c>
      <c r="E101" s="731">
        <v>62674</v>
      </c>
      <c r="F101" s="59">
        <v>1</v>
      </c>
    </row>
    <row r="102" spans="1:7" ht="15">
      <c r="A102" s="728">
        <v>164</v>
      </c>
      <c r="B102" s="735" t="s">
        <v>4642</v>
      </c>
      <c r="C102" s="730">
        <v>625978</v>
      </c>
      <c r="D102" s="728" t="s">
        <v>4527</v>
      </c>
      <c r="E102" s="731">
        <v>2590</v>
      </c>
      <c r="F102" s="59">
        <v>1</v>
      </c>
    </row>
    <row r="103" spans="1:7" ht="15">
      <c r="A103" s="732">
        <v>51</v>
      </c>
      <c r="B103" s="725" t="s">
        <v>4643</v>
      </c>
      <c r="C103" s="733">
        <v>27691018</v>
      </c>
      <c r="D103" s="732" t="s">
        <v>4532</v>
      </c>
      <c r="E103" s="734">
        <v>581795</v>
      </c>
    </row>
    <row r="104" spans="1:7" ht="15">
      <c r="A104" s="724">
        <v>61</v>
      </c>
      <c r="B104" s="725" t="s">
        <v>4644</v>
      </c>
      <c r="C104" s="726">
        <v>19129952</v>
      </c>
      <c r="D104" s="724" t="s">
        <v>4550</v>
      </c>
      <c r="E104" s="727">
        <v>94280</v>
      </c>
    </row>
    <row r="105" spans="1:7" ht="15">
      <c r="A105" s="732">
        <v>45</v>
      </c>
      <c r="B105" s="729" t="s">
        <v>4645</v>
      </c>
      <c r="C105" s="730">
        <v>32365999</v>
      </c>
      <c r="D105" s="728" t="s">
        <v>4532</v>
      </c>
      <c r="E105" s="731">
        <v>328550</v>
      </c>
      <c r="F105" s="59"/>
      <c r="G105" s="59">
        <v>1</v>
      </c>
    </row>
    <row r="106" spans="1:7" ht="15">
      <c r="A106" s="724">
        <v>168</v>
      </c>
      <c r="B106" s="725" t="s">
        <v>4646</v>
      </c>
      <c r="C106" s="726">
        <v>540544</v>
      </c>
      <c r="D106" s="724" t="s">
        <v>4527</v>
      </c>
      <c r="E106" s="724">
        <v>300</v>
      </c>
    </row>
    <row r="107" spans="1:7" ht="15">
      <c r="A107" s="732">
        <v>59</v>
      </c>
      <c r="B107" s="725" t="s">
        <v>4647</v>
      </c>
      <c r="C107" s="733">
        <v>20250833</v>
      </c>
      <c r="D107" s="732" t="s">
        <v>4537</v>
      </c>
      <c r="E107" s="734">
        <v>1220190</v>
      </c>
    </row>
    <row r="108" spans="1:7" ht="15">
      <c r="A108" s="724">
        <v>169</v>
      </c>
      <c r="B108" s="725" t="s">
        <v>4648</v>
      </c>
      <c r="C108" s="726">
        <v>441543</v>
      </c>
      <c r="D108" s="724" t="s">
        <v>4527</v>
      </c>
      <c r="E108" s="724">
        <v>320</v>
      </c>
    </row>
    <row r="109" spans="1:7" ht="15">
      <c r="A109" s="732">
        <v>187</v>
      </c>
      <c r="B109" s="725" t="s">
        <v>4649</v>
      </c>
      <c r="C109" s="733">
        <v>59190</v>
      </c>
      <c r="D109" s="732" t="s">
        <v>4527</v>
      </c>
      <c r="E109" s="732">
        <v>180</v>
      </c>
    </row>
    <row r="110" spans="1:7" ht="15">
      <c r="A110" s="724">
        <v>125</v>
      </c>
      <c r="B110" s="725" t="s">
        <v>4650</v>
      </c>
      <c r="C110" s="726">
        <v>4649658</v>
      </c>
      <c r="D110" s="724" t="s">
        <v>4539</v>
      </c>
      <c r="E110" s="727">
        <v>1030700</v>
      </c>
    </row>
    <row r="111" spans="1:7" ht="15">
      <c r="A111" s="732">
        <v>154</v>
      </c>
      <c r="B111" s="725" t="s">
        <v>4651</v>
      </c>
      <c r="C111" s="733">
        <v>1271768</v>
      </c>
      <c r="D111" s="732" t="s">
        <v>4527</v>
      </c>
      <c r="E111" s="734">
        <v>2030</v>
      </c>
    </row>
    <row r="112" spans="1:7" ht="15">
      <c r="A112" s="728">
        <v>10</v>
      </c>
      <c r="B112" s="729" t="s">
        <v>4652</v>
      </c>
      <c r="C112" s="730">
        <v>128932753</v>
      </c>
      <c r="D112" s="728" t="s">
        <v>4653</v>
      </c>
      <c r="E112" s="731">
        <v>1943950</v>
      </c>
      <c r="F112" s="59">
        <v>1</v>
      </c>
    </row>
    <row r="113" spans="1:8" ht="15">
      <c r="A113" s="732">
        <v>167</v>
      </c>
      <c r="B113" s="725" t="s">
        <v>4654</v>
      </c>
      <c r="C113" s="733">
        <v>548914</v>
      </c>
      <c r="D113" s="732" t="s">
        <v>4527</v>
      </c>
      <c r="E113" s="732">
        <v>700</v>
      </c>
    </row>
    <row r="114" spans="1:8" ht="15">
      <c r="A114" s="724">
        <v>129</v>
      </c>
      <c r="B114" s="725" t="s">
        <v>4655</v>
      </c>
      <c r="C114" s="726">
        <v>4033963</v>
      </c>
      <c r="D114" s="724" t="s">
        <v>4539</v>
      </c>
      <c r="E114" s="727">
        <v>32850</v>
      </c>
    </row>
    <row r="115" spans="1:8" ht="15">
      <c r="A115" s="728">
        <v>189</v>
      </c>
      <c r="B115" s="729" t="s">
        <v>4656</v>
      </c>
      <c r="C115" s="730">
        <v>39242</v>
      </c>
      <c r="D115" s="728" t="s">
        <v>4527</v>
      </c>
      <c r="E115" s="728">
        <v>1</v>
      </c>
      <c r="F115" s="59">
        <v>1</v>
      </c>
    </row>
    <row r="116" spans="1:8" ht="15">
      <c r="A116" s="724">
        <v>134</v>
      </c>
      <c r="B116" s="725" t="s">
        <v>4657</v>
      </c>
      <c r="C116" s="726">
        <v>3278290</v>
      </c>
      <c r="D116" s="724" t="s">
        <v>4527</v>
      </c>
      <c r="E116" s="727">
        <v>1553560</v>
      </c>
    </row>
    <row r="117" spans="1:8" ht="15">
      <c r="A117" s="728">
        <v>163</v>
      </c>
      <c r="B117" s="729" t="s">
        <v>4658</v>
      </c>
      <c r="C117" s="730">
        <v>628066</v>
      </c>
      <c r="D117" s="728" t="s">
        <v>4527</v>
      </c>
      <c r="E117" s="731">
        <v>13450</v>
      </c>
      <c r="F117" s="59">
        <v>1</v>
      </c>
    </row>
    <row r="118" spans="1:8" ht="15">
      <c r="A118" s="724">
        <v>40</v>
      </c>
      <c r="B118" s="736" t="s">
        <v>4659</v>
      </c>
      <c r="C118" s="726">
        <v>36910560</v>
      </c>
      <c r="D118" s="724" t="s">
        <v>4525</v>
      </c>
      <c r="E118" s="727">
        <v>446300</v>
      </c>
      <c r="H118" s="9">
        <v>1</v>
      </c>
    </row>
    <row r="119" spans="1:8" ht="15">
      <c r="A119" s="732">
        <v>46</v>
      </c>
      <c r="B119" s="725" t="s">
        <v>4660</v>
      </c>
      <c r="C119" s="733">
        <v>31255435</v>
      </c>
      <c r="D119" s="732" t="s">
        <v>4532</v>
      </c>
      <c r="E119" s="734">
        <v>786380</v>
      </c>
    </row>
    <row r="120" spans="1:8" ht="15">
      <c r="A120" s="724">
        <v>26</v>
      </c>
      <c r="B120" s="725" t="s">
        <v>4661</v>
      </c>
      <c r="C120" s="726">
        <v>54409800</v>
      </c>
      <c r="D120" s="724" t="s">
        <v>4571</v>
      </c>
      <c r="E120" s="727">
        <v>653290</v>
      </c>
      <c r="G120" s="9" t="s">
        <v>3518</v>
      </c>
    </row>
    <row r="121" spans="1:8" ht="15">
      <c r="A121" s="732">
        <v>140</v>
      </c>
      <c r="B121" s="725" t="s">
        <v>4662</v>
      </c>
      <c r="C121" s="733">
        <v>2540905</v>
      </c>
      <c r="D121" s="732" t="s">
        <v>4527</v>
      </c>
      <c r="E121" s="734">
        <v>823290</v>
      </c>
    </row>
    <row r="122" spans="1:8" ht="15">
      <c r="A122" s="724">
        <v>194</v>
      </c>
      <c r="B122" s="725" t="s">
        <v>4663</v>
      </c>
      <c r="C122" s="726">
        <v>10824</v>
      </c>
      <c r="D122" s="724" t="s">
        <v>4527</v>
      </c>
      <c r="E122" s="724">
        <v>20</v>
      </c>
    </row>
    <row r="123" spans="1:8" ht="15">
      <c r="A123" s="732">
        <v>49</v>
      </c>
      <c r="B123" s="725" t="s">
        <v>4664</v>
      </c>
      <c r="C123" s="733">
        <v>29136808</v>
      </c>
      <c r="D123" s="732" t="s">
        <v>4532</v>
      </c>
      <c r="E123" s="734">
        <v>143350</v>
      </c>
    </row>
    <row r="124" spans="1:8" ht="15">
      <c r="A124" s="728">
        <v>68</v>
      </c>
      <c r="B124" s="729" t="s">
        <v>4665</v>
      </c>
      <c r="C124" s="730">
        <v>17134872</v>
      </c>
      <c r="D124" s="728" t="s">
        <v>4550</v>
      </c>
      <c r="E124" s="731">
        <v>33720</v>
      </c>
      <c r="F124" s="59">
        <v>1</v>
      </c>
    </row>
    <row r="125" spans="1:8" ht="15">
      <c r="A125" s="728">
        <v>124</v>
      </c>
      <c r="B125" s="729" t="s">
        <v>4666</v>
      </c>
      <c r="C125" s="730">
        <v>4822233</v>
      </c>
      <c r="D125" s="728" t="s">
        <v>4539</v>
      </c>
      <c r="E125" s="731">
        <v>263310</v>
      </c>
      <c r="F125" s="59">
        <v>1</v>
      </c>
    </row>
    <row r="126" spans="1:8" ht="15">
      <c r="A126" s="728">
        <v>108</v>
      </c>
      <c r="B126" s="729" t="s">
        <v>4667</v>
      </c>
      <c r="C126" s="730">
        <v>6624554</v>
      </c>
      <c r="D126" s="728" t="s">
        <v>4539</v>
      </c>
      <c r="E126" s="731">
        <v>120340</v>
      </c>
      <c r="F126" s="59">
        <v>1</v>
      </c>
    </row>
    <row r="127" spans="1:8" ht="15">
      <c r="A127" s="732">
        <v>56</v>
      </c>
      <c r="B127" s="725" t="s">
        <v>4668</v>
      </c>
      <c r="C127" s="733">
        <v>24206644</v>
      </c>
      <c r="D127" s="732" t="s">
        <v>4537</v>
      </c>
      <c r="E127" s="734">
        <v>1266700</v>
      </c>
    </row>
    <row r="128" spans="1:8" ht="15">
      <c r="A128" s="724">
        <v>7</v>
      </c>
      <c r="B128" s="725" t="s">
        <v>4669</v>
      </c>
      <c r="C128" s="726">
        <v>206139589</v>
      </c>
      <c r="D128" s="724" t="s">
        <v>4670</v>
      </c>
      <c r="E128" s="727">
        <v>910770</v>
      </c>
    </row>
    <row r="129" spans="1:7" ht="15">
      <c r="A129" s="732">
        <v>54</v>
      </c>
      <c r="B129" s="725" t="s">
        <v>4671</v>
      </c>
      <c r="C129" s="733">
        <v>25778816</v>
      </c>
      <c r="D129" s="732" t="s">
        <v>4537</v>
      </c>
      <c r="E129" s="734">
        <v>120410</v>
      </c>
    </row>
    <row r="130" spans="1:7" ht="15">
      <c r="A130" s="724">
        <v>145</v>
      </c>
      <c r="B130" s="725" t="s">
        <v>4672</v>
      </c>
      <c r="C130" s="726">
        <v>2083374</v>
      </c>
      <c r="D130" s="724" t="s">
        <v>4527</v>
      </c>
      <c r="E130" s="727">
        <v>25220</v>
      </c>
    </row>
    <row r="131" spans="1:7" ht="15">
      <c r="A131" s="728">
        <v>117</v>
      </c>
      <c r="B131" s="729" t="s">
        <v>4673</v>
      </c>
      <c r="C131" s="730">
        <v>5421241</v>
      </c>
      <c r="D131" s="728" t="s">
        <v>4539</v>
      </c>
      <c r="E131" s="731">
        <v>365268</v>
      </c>
      <c r="F131" s="59">
        <v>1</v>
      </c>
    </row>
    <row r="132" spans="1:7" ht="15">
      <c r="A132" s="724">
        <v>118</v>
      </c>
      <c r="B132" s="725" t="s">
        <v>4674</v>
      </c>
      <c r="C132" s="726">
        <v>5106626</v>
      </c>
      <c r="D132" s="724" t="s">
        <v>4539</v>
      </c>
      <c r="E132" s="727">
        <v>309500</v>
      </c>
      <c r="G132" s="9">
        <v>1</v>
      </c>
    </row>
    <row r="133" spans="1:7" ht="15">
      <c r="A133" s="732">
        <v>5</v>
      </c>
      <c r="B133" s="725" t="s">
        <v>4675</v>
      </c>
      <c r="C133" s="733">
        <v>220892340</v>
      </c>
      <c r="D133" s="732" t="s">
        <v>4676</v>
      </c>
      <c r="E133" s="734">
        <v>770880</v>
      </c>
    </row>
    <row r="134" spans="1:7" ht="15">
      <c r="A134" s="724">
        <v>192</v>
      </c>
      <c r="B134" s="725" t="s">
        <v>4677</v>
      </c>
      <c r="C134" s="726">
        <v>18094</v>
      </c>
      <c r="D134" s="724" t="s">
        <v>4527</v>
      </c>
      <c r="E134" s="724">
        <v>460</v>
      </c>
    </row>
    <row r="135" spans="1:7" ht="15">
      <c r="A135" s="728">
        <v>126</v>
      </c>
      <c r="B135" s="729" t="s">
        <v>4678</v>
      </c>
      <c r="C135" s="730">
        <v>4314767</v>
      </c>
      <c r="D135" s="728" t="s">
        <v>4539</v>
      </c>
      <c r="E135" s="731">
        <v>74340</v>
      </c>
      <c r="F135" s="59">
        <v>1</v>
      </c>
    </row>
    <row r="136" spans="1:7" ht="15">
      <c r="A136" s="724">
        <v>97</v>
      </c>
      <c r="B136" s="725" t="s">
        <v>4679</v>
      </c>
      <c r="C136" s="726">
        <v>8947024</v>
      </c>
      <c r="D136" s="724" t="s">
        <v>4539</v>
      </c>
      <c r="E136" s="727">
        <v>452860</v>
      </c>
    </row>
    <row r="137" spans="1:7" ht="15">
      <c r="A137" s="732">
        <v>104</v>
      </c>
      <c r="B137" s="725" t="s">
        <v>4680</v>
      </c>
      <c r="C137" s="733">
        <v>7132538</v>
      </c>
      <c r="D137" s="732" t="s">
        <v>4539</v>
      </c>
      <c r="E137" s="734">
        <v>397300</v>
      </c>
    </row>
    <row r="138" spans="1:7" ht="15">
      <c r="A138" s="728">
        <v>43</v>
      </c>
      <c r="B138" s="729" t="s">
        <v>4681</v>
      </c>
      <c r="C138" s="730">
        <v>32971854</v>
      </c>
      <c r="D138" s="728" t="s">
        <v>4532</v>
      </c>
      <c r="E138" s="731">
        <v>1280000</v>
      </c>
      <c r="F138" s="59">
        <v>1</v>
      </c>
    </row>
    <row r="139" spans="1:7" ht="15">
      <c r="A139" s="728">
        <v>13</v>
      </c>
      <c r="B139" s="729" t="s">
        <v>4682</v>
      </c>
      <c r="C139" s="730">
        <v>109581078</v>
      </c>
      <c r="D139" s="728" t="s">
        <v>4683</v>
      </c>
      <c r="E139" s="731">
        <v>298170</v>
      </c>
      <c r="F139" s="59"/>
      <c r="G139" s="59">
        <v>1</v>
      </c>
    </row>
    <row r="140" spans="1:7" ht="15">
      <c r="A140" s="724">
        <v>38</v>
      </c>
      <c r="B140" s="729" t="s">
        <v>4684</v>
      </c>
      <c r="C140" s="730">
        <v>37846611</v>
      </c>
      <c r="D140" s="728" t="s">
        <v>4525</v>
      </c>
      <c r="E140" s="731">
        <v>306230</v>
      </c>
      <c r="F140" s="59">
        <v>1</v>
      </c>
    </row>
    <row r="141" spans="1:7" ht="15">
      <c r="A141" s="728">
        <v>88</v>
      </c>
      <c r="B141" s="729" t="s">
        <v>4685</v>
      </c>
      <c r="C141" s="730">
        <v>10196709</v>
      </c>
      <c r="D141" s="728" t="s">
        <v>4539</v>
      </c>
      <c r="E141" s="731">
        <v>91590</v>
      </c>
      <c r="F141" s="59">
        <v>1</v>
      </c>
    </row>
    <row r="142" spans="1:7" ht="15">
      <c r="A142" s="724">
        <v>137</v>
      </c>
      <c r="B142" s="725" t="s">
        <v>4686</v>
      </c>
      <c r="C142" s="726">
        <v>2881053</v>
      </c>
      <c r="D142" s="724" t="s">
        <v>4527</v>
      </c>
      <c r="E142" s="727">
        <v>11610</v>
      </c>
      <c r="G142" s="9">
        <v>1</v>
      </c>
    </row>
    <row r="143" spans="1:7" ht="15">
      <c r="A143" s="732">
        <v>60</v>
      </c>
      <c r="B143" s="725" t="s">
        <v>4687</v>
      </c>
      <c r="C143" s="733">
        <v>19237691</v>
      </c>
      <c r="D143" s="732" t="s">
        <v>4550</v>
      </c>
      <c r="E143" s="734">
        <v>230170</v>
      </c>
    </row>
    <row r="144" spans="1:7" ht="15">
      <c r="A144" s="724">
        <v>9</v>
      </c>
      <c r="B144" s="725" t="s">
        <v>4688</v>
      </c>
      <c r="C144" s="726">
        <v>145934462</v>
      </c>
      <c r="D144" s="724" t="s">
        <v>4689</v>
      </c>
      <c r="E144" s="727">
        <v>16376870</v>
      </c>
    </row>
    <row r="145" spans="1:8" ht="15">
      <c r="A145" s="732">
        <v>75</v>
      </c>
      <c r="B145" s="725" t="s">
        <v>4690</v>
      </c>
      <c r="C145" s="733">
        <v>12952218</v>
      </c>
      <c r="D145" s="732" t="s">
        <v>4550</v>
      </c>
      <c r="E145" s="734">
        <v>24670</v>
      </c>
    </row>
    <row r="146" spans="1:8" ht="15">
      <c r="A146" s="724">
        <v>188</v>
      </c>
      <c r="B146" s="735" t="s">
        <v>4691</v>
      </c>
      <c r="C146" s="730">
        <v>53199</v>
      </c>
      <c r="D146" s="728" t="s">
        <v>4527</v>
      </c>
      <c r="E146" s="728">
        <v>260</v>
      </c>
      <c r="F146" s="59">
        <v>1</v>
      </c>
    </row>
    <row r="147" spans="1:8" ht="15">
      <c r="A147" s="732">
        <v>178</v>
      </c>
      <c r="B147" s="735" t="s">
        <v>4692</v>
      </c>
      <c r="C147" s="730">
        <v>183627</v>
      </c>
      <c r="D147" s="728" t="s">
        <v>4527</v>
      </c>
      <c r="E147" s="728">
        <v>610</v>
      </c>
      <c r="F147" s="59">
        <v>1</v>
      </c>
    </row>
    <row r="148" spans="1:8" ht="15">
      <c r="A148" s="728">
        <v>177</v>
      </c>
      <c r="B148" s="729" t="s">
        <v>4693</v>
      </c>
      <c r="C148" s="730">
        <v>198414</v>
      </c>
      <c r="D148" s="728" t="s">
        <v>4527</v>
      </c>
      <c r="E148" s="731">
        <v>2830</v>
      </c>
      <c r="F148" s="59">
        <v>1</v>
      </c>
    </row>
    <row r="149" spans="1:8" ht="15">
      <c r="A149" s="732">
        <v>191</v>
      </c>
      <c r="B149" s="736" t="s">
        <v>4694</v>
      </c>
      <c r="C149" s="733">
        <v>33931</v>
      </c>
      <c r="D149" s="732" t="s">
        <v>4527</v>
      </c>
      <c r="E149" s="732">
        <v>60</v>
      </c>
    </row>
    <row r="150" spans="1:8" ht="15">
      <c r="A150" s="724">
        <v>176</v>
      </c>
      <c r="B150" s="725" t="s">
        <v>4695</v>
      </c>
      <c r="C150" s="726">
        <v>219159</v>
      </c>
      <c r="D150" s="724" t="s">
        <v>4527</v>
      </c>
      <c r="E150" s="724">
        <v>960</v>
      </c>
    </row>
    <row r="151" spans="1:8" ht="15">
      <c r="A151" s="732">
        <v>41</v>
      </c>
      <c r="B151" s="725" t="s">
        <v>4696</v>
      </c>
      <c r="C151" s="733">
        <v>34813871</v>
      </c>
      <c r="D151" s="732" t="s">
        <v>4532</v>
      </c>
      <c r="E151" s="734">
        <v>2149690</v>
      </c>
      <c r="H151" s="9">
        <v>1</v>
      </c>
    </row>
    <row r="152" spans="1:8" ht="15">
      <c r="A152" s="724">
        <v>69</v>
      </c>
      <c r="B152" s="725" t="s">
        <v>4697</v>
      </c>
      <c r="C152" s="726">
        <v>16743927</v>
      </c>
      <c r="D152" s="724" t="s">
        <v>4550</v>
      </c>
      <c r="E152" s="727">
        <v>192530</v>
      </c>
    </row>
    <row r="153" spans="1:8" ht="15">
      <c r="A153" s="732">
        <v>98</v>
      </c>
      <c r="B153" s="725" t="s">
        <v>4698</v>
      </c>
      <c r="C153" s="733">
        <v>8737371</v>
      </c>
      <c r="D153" s="732" t="s">
        <v>4539</v>
      </c>
      <c r="E153" s="734">
        <v>87460</v>
      </c>
    </row>
    <row r="154" spans="1:8" ht="15">
      <c r="A154" s="724">
        <v>183</v>
      </c>
      <c r="B154" s="725" t="s">
        <v>4699</v>
      </c>
      <c r="C154" s="726">
        <v>98347</v>
      </c>
      <c r="D154" s="724" t="s">
        <v>4527</v>
      </c>
      <c r="E154" s="724">
        <v>460</v>
      </c>
    </row>
    <row r="155" spans="1:8" ht="15">
      <c r="A155" s="732">
        <v>102</v>
      </c>
      <c r="B155" s="725" t="s">
        <v>4700</v>
      </c>
      <c r="C155" s="733">
        <v>7976983</v>
      </c>
      <c r="D155" s="732" t="s">
        <v>4539</v>
      </c>
      <c r="E155" s="734">
        <v>72180</v>
      </c>
    </row>
    <row r="156" spans="1:8" ht="15">
      <c r="A156" s="724">
        <v>112</v>
      </c>
      <c r="B156" s="725" t="s">
        <v>4701</v>
      </c>
      <c r="C156" s="726">
        <v>5850342</v>
      </c>
      <c r="D156" s="724" t="s">
        <v>4539</v>
      </c>
      <c r="E156" s="724">
        <v>700</v>
      </c>
      <c r="G156" s="9">
        <v>1</v>
      </c>
    </row>
    <row r="157" spans="1:8" ht="15">
      <c r="A157" s="732">
        <v>116</v>
      </c>
      <c r="B157" s="725" t="s">
        <v>4702</v>
      </c>
      <c r="C157" s="733">
        <v>5459642</v>
      </c>
      <c r="D157" s="732" t="s">
        <v>4539</v>
      </c>
      <c r="E157" s="734">
        <v>48088</v>
      </c>
      <c r="G157" s="9">
        <v>1</v>
      </c>
    </row>
    <row r="158" spans="1:8" ht="15">
      <c r="A158" s="728">
        <v>146</v>
      </c>
      <c r="B158" s="729" t="s">
        <v>4703</v>
      </c>
      <c r="C158" s="730">
        <v>2078938</v>
      </c>
      <c r="D158" s="728" t="s">
        <v>4527</v>
      </c>
      <c r="E158" s="731">
        <v>20140</v>
      </c>
      <c r="F158" s="59">
        <v>1</v>
      </c>
    </row>
    <row r="159" spans="1:8" ht="15">
      <c r="A159" s="732">
        <v>162</v>
      </c>
      <c r="B159" s="725" t="s">
        <v>4704</v>
      </c>
      <c r="C159" s="733">
        <v>686884</v>
      </c>
      <c r="D159" s="732" t="s">
        <v>4527</v>
      </c>
      <c r="E159" s="734">
        <v>27990</v>
      </c>
    </row>
    <row r="160" spans="1:8" ht="15">
      <c r="A160" s="724">
        <v>72</v>
      </c>
      <c r="B160" s="725" t="s">
        <v>4705</v>
      </c>
      <c r="C160" s="726">
        <v>15893222</v>
      </c>
      <c r="D160" s="724" t="s">
        <v>4550</v>
      </c>
      <c r="E160" s="727">
        <v>627340</v>
      </c>
    </row>
    <row r="161" spans="1:7" ht="15">
      <c r="A161" s="732">
        <v>25</v>
      </c>
      <c r="B161" s="725" t="s">
        <v>4706</v>
      </c>
      <c r="C161" s="733">
        <v>59308690</v>
      </c>
      <c r="D161" s="732" t="s">
        <v>4600</v>
      </c>
      <c r="E161" s="734">
        <v>1213090</v>
      </c>
    </row>
    <row r="162" spans="1:7" ht="15">
      <c r="A162" s="724">
        <v>28</v>
      </c>
      <c r="B162" s="729" t="s">
        <v>4707</v>
      </c>
      <c r="C162" s="730">
        <v>51269185</v>
      </c>
      <c r="D162" s="728" t="s">
        <v>4571</v>
      </c>
      <c r="E162" s="731">
        <v>97230</v>
      </c>
      <c r="F162" s="59"/>
      <c r="G162" s="59">
        <v>1</v>
      </c>
    </row>
    <row r="163" spans="1:7" ht="15">
      <c r="A163" s="732">
        <v>83</v>
      </c>
      <c r="B163" s="725" t="s">
        <v>4708</v>
      </c>
      <c r="C163" s="733">
        <v>11193725</v>
      </c>
      <c r="D163" s="732" t="s">
        <v>4539</v>
      </c>
      <c r="E163" s="734">
        <v>610952</v>
      </c>
    </row>
    <row r="164" spans="1:7" ht="15">
      <c r="A164" s="728">
        <v>30</v>
      </c>
      <c r="B164" s="729" t="s">
        <v>4709</v>
      </c>
      <c r="C164" s="730">
        <v>46754778</v>
      </c>
      <c r="D164" s="728" t="s">
        <v>4529</v>
      </c>
      <c r="E164" s="731">
        <v>498800</v>
      </c>
      <c r="F164" s="59">
        <v>1</v>
      </c>
    </row>
    <row r="165" spans="1:7" ht="15">
      <c r="A165" s="732">
        <v>57</v>
      </c>
      <c r="B165" s="725" t="s">
        <v>4710</v>
      </c>
      <c r="C165" s="733">
        <v>21413249</v>
      </c>
      <c r="D165" s="732" t="s">
        <v>4537</v>
      </c>
      <c r="E165" s="734">
        <v>62710</v>
      </c>
    </row>
    <row r="166" spans="1:7" ht="30">
      <c r="A166" s="728">
        <v>181</v>
      </c>
      <c r="B166" s="729" t="s">
        <v>4711</v>
      </c>
      <c r="C166" s="730">
        <v>110940</v>
      </c>
      <c r="D166" s="728" t="s">
        <v>4527</v>
      </c>
      <c r="E166" s="728">
        <v>390</v>
      </c>
      <c r="F166" s="59">
        <v>1</v>
      </c>
    </row>
    <row r="167" spans="1:7" ht="15">
      <c r="A167" s="728">
        <v>119</v>
      </c>
      <c r="B167" s="729" t="s">
        <v>4712</v>
      </c>
      <c r="C167" s="730">
        <v>5101414</v>
      </c>
      <c r="D167" s="728" t="s">
        <v>4539</v>
      </c>
      <c r="E167" s="731">
        <v>6020</v>
      </c>
      <c r="F167" s="59">
        <v>1</v>
      </c>
    </row>
    <row r="168" spans="1:7" ht="15">
      <c r="A168" s="724">
        <v>34</v>
      </c>
      <c r="B168" s="725" t="s">
        <v>4713</v>
      </c>
      <c r="C168" s="726">
        <v>43849260</v>
      </c>
      <c r="D168" s="724" t="s">
        <v>4529</v>
      </c>
      <c r="E168" s="727">
        <v>1765048</v>
      </c>
    </row>
    <row r="169" spans="1:7" ht="15">
      <c r="A169" s="732">
        <v>165</v>
      </c>
      <c r="B169" s="725" t="s">
        <v>4714</v>
      </c>
      <c r="C169" s="733">
        <v>586632</v>
      </c>
      <c r="D169" s="732" t="s">
        <v>4527</v>
      </c>
      <c r="E169" s="734">
        <v>156000</v>
      </c>
    </row>
    <row r="170" spans="1:7" ht="15">
      <c r="A170" s="724">
        <v>90</v>
      </c>
      <c r="B170" s="729" t="s">
        <v>4715</v>
      </c>
      <c r="C170" s="730">
        <v>10099265</v>
      </c>
      <c r="D170" s="728" t="s">
        <v>4539</v>
      </c>
      <c r="E170" s="731">
        <v>410340</v>
      </c>
      <c r="F170" s="59">
        <v>1</v>
      </c>
    </row>
    <row r="171" spans="1:7" ht="15">
      <c r="A171" s="728">
        <v>100</v>
      </c>
      <c r="B171" s="729" t="s">
        <v>4716</v>
      </c>
      <c r="C171" s="730">
        <v>8654622</v>
      </c>
      <c r="D171" s="728" t="s">
        <v>4539</v>
      </c>
      <c r="E171" s="731">
        <v>39516</v>
      </c>
      <c r="F171" s="59">
        <v>1</v>
      </c>
    </row>
    <row r="172" spans="1:7" ht="15">
      <c r="A172" s="724">
        <v>67</v>
      </c>
      <c r="B172" s="725" t="s">
        <v>4717</v>
      </c>
      <c r="C172" s="726">
        <v>17500658</v>
      </c>
      <c r="D172" s="724" t="s">
        <v>4550</v>
      </c>
      <c r="E172" s="727">
        <v>183630</v>
      </c>
    </row>
    <row r="173" spans="1:7" ht="15">
      <c r="A173" s="732">
        <v>94</v>
      </c>
      <c r="B173" s="725" t="s">
        <v>4718</v>
      </c>
      <c r="C173" s="733">
        <v>9537645</v>
      </c>
      <c r="D173" s="732" t="s">
        <v>4539</v>
      </c>
      <c r="E173" s="734">
        <v>139960</v>
      </c>
    </row>
    <row r="174" spans="1:7" ht="15">
      <c r="A174" s="724">
        <v>24</v>
      </c>
      <c r="B174" s="725" t="s">
        <v>4719</v>
      </c>
      <c r="C174" s="726">
        <v>59734218</v>
      </c>
      <c r="D174" s="724" t="s">
        <v>4600</v>
      </c>
      <c r="E174" s="727">
        <v>885800</v>
      </c>
    </row>
    <row r="175" spans="1:7" ht="15">
      <c r="A175" s="732">
        <v>20</v>
      </c>
      <c r="B175" s="729" t="s">
        <v>4720</v>
      </c>
      <c r="C175" s="730">
        <v>69799978</v>
      </c>
      <c r="D175" s="728" t="s">
        <v>4721</v>
      </c>
      <c r="E175" s="731">
        <v>510890</v>
      </c>
      <c r="F175" s="59"/>
      <c r="G175" s="59">
        <v>1</v>
      </c>
    </row>
    <row r="176" spans="1:7" ht="15">
      <c r="A176" s="724"/>
      <c r="B176" s="738" t="s">
        <v>4722</v>
      </c>
      <c r="C176" s="730"/>
      <c r="D176" s="728"/>
      <c r="E176" s="731"/>
      <c r="F176" s="59"/>
      <c r="G176" s="59">
        <v>1</v>
      </c>
    </row>
    <row r="177" spans="1:8" ht="15">
      <c r="A177" s="724">
        <v>153</v>
      </c>
      <c r="B177" s="725" t="s">
        <v>4723</v>
      </c>
      <c r="C177" s="726">
        <v>1318445</v>
      </c>
      <c r="D177" s="724" t="s">
        <v>4527</v>
      </c>
      <c r="E177" s="727">
        <v>14870</v>
      </c>
    </row>
    <row r="178" spans="1:8" ht="15">
      <c r="A178" s="732">
        <v>101</v>
      </c>
      <c r="B178" s="725" t="s">
        <v>4724</v>
      </c>
      <c r="C178" s="733">
        <v>8278724</v>
      </c>
      <c r="D178" s="732" t="s">
        <v>4539</v>
      </c>
      <c r="E178" s="734">
        <v>54390</v>
      </c>
    </row>
    <row r="179" spans="1:8" ht="15">
      <c r="A179" s="724">
        <v>182</v>
      </c>
      <c r="B179" s="729" t="s">
        <v>4725</v>
      </c>
      <c r="C179" s="730">
        <v>105695</v>
      </c>
      <c r="D179" s="728" t="s">
        <v>4527</v>
      </c>
      <c r="E179" s="728">
        <v>720</v>
      </c>
      <c r="F179" s="59">
        <v>1</v>
      </c>
    </row>
    <row r="180" spans="1:8" ht="15">
      <c r="A180" s="732">
        <v>151</v>
      </c>
      <c r="B180" s="735" t="s">
        <v>4726</v>
      </c>
      <c r="C180" s="730">
        <v>1399488</v>
      </c>
      <c r="D180" s="728" t="s">
        <v>4527</v>
      </c>
      <c r="E180" s="731">
        <v>5130</v>
      </c>
      <c r="F180" s="59">
        <v>1</v>
      </c>
    </row>
    <row r="181" spans="1:8" ht="15">
      <c r="A181" s="724">
        <v>78</v>
      </c>
      <c r="B181" s="725" t="s">
        <v>4727</v>
      </c>
      <c r="C181" s="726">
        <v>11818619</v>
      </c>
      <c r="D181" s="724" t="s">
        <v>4550</v>
      </c>
      <c r="E181" s="727">
        <v>155360</v>
      </c>
    </row>
    <row r="182" spans="1:8" ht="15">
      <c r="A182" s="728">
        <v>17</v>
      </c>
      <c r="B182" s="729" t="s">
        <v>4728</v>
      </c>
      <c r="C182" s="730">
        <v>84339067</v>
      </c>
      <c r="D182" s="728" t="s">
        <v>4586</v>
      </c>
      <c r="E182" s="731">
        <v>769630</v>
      </c>
      <c r="F182" s="59">
        <v>1</v>
      </c>
    </row>
    <row r="183" spans="1:8" ht="15">
      <c r="A183" s="724">
        <v>111</v>
      </c>
      <c r="B183" s="725" t="s">
        <v>4729</v>
      </c>
      <c r="C183" s="726">
        <v>6031200</v>
      </c>
      <c r="D183" s="724" t="s">
        <v>4539</v>
      </c>
      <c r="E183" s="727">
        <v>469930</v>
      </c>
    </row>
    <row r="184" spans="1:8" ht="15">
      <c r="A184" s="732">
        <v>193</v>
      </c>
      <c r="B184" s="725" t="s">
        <v>4730</v>
      </c>
      <c r="C184" s="733">
        <v>11792</v>
      </c>
      <c r="D184" s="732" t="s">
        <v>4527</v>
      </c>
      <c r="E184" s="732">
        <v>30</v>
      </c>
    </row>
    <row r="185" spans="1:8" ht="15">
      <c r="A185" s="724">
        <v>31</v>
      </c>
      <c r="B185" s="725" t="s">
        <v>4731</v>
      </c>
      <c r="C185" s="726">
        <v>45741007</v>
      </c>
      <c r="D185" s="724" t="s">
        <v>4529</v>
      </c>
      <c r="E185" s="727">
        <v>199810</v>
      </c>
    </row>
    <row r="186" spans="1:8" ht="15">
      <c r="A186" s="732">
        <v>35</v>
      </c>
      <c r="B186" s="725" t="s">
        <v>4732</v>
      </c>
      <c r="C186" s="733">
        <v>43733762</v>
      </c>
      <c r="D186" s="732" t="s">
        <v>4529</v>
      </c>
      <c r="E186" s="734">
        <v>579320</v>
      </c>
    </row>
    <row r="187" spans="1:8" ht="15">
      <c r="A187" s="724">
        <v>92</v>
      </c>
      <c r="B187" s="725" t="s">
        <v>4733</v>
      </c>
      <c r="C187" s="726">
        <v>9890402</v>
      </c>
      <c r="D187" s="724" t="s">
        <v>4539</v>
      </c>
      <c r="E187" s="727">
        <v>83600</v>
      </c>
      <c r="G187" s="9">
        <v>1</v>
      </c>
    </row>
    <row r="188" spans="1:8" ht="15">
      <c r="A188" s="728">
        <v>21</v>
      </c>
      <c r="B188" s="729" t="s">
        <v>4734</v>
      </c>
      <c r="C188" s="730">
        <v>67886011</v>
      </c>
      <c r="D188" s="728" t="s">
        <v>4721</v>
      </c>
      <c r="E188" s="731">
        <v>241930</v>
      </c>
      <c r="F188" s="59">
        <v>1</v>
      </c>
    </row>
    <row r="189" spans="1:8" ht="15">
      <c r="A189" s="728">
        <v>3</v>
      </c>
      <c r="B189" s="729" t="s">
        <v>4735</v>
      </c>
      <c r="C189" s="730">
        <v>331002651</v>
      </c>
      <c r="D189" s="728" t="s">
        <v>4736</v>
      </c>
      <c r="E189" s="731">
        <v>9147420</v>
      </c>
      <c r="F189" s="59">
        <v>1</v>
      </c>
    </row>
    <row r="190" spans="1:8" ht="15">
      <c r="A190" s="732">
        <v>132</v>
      </c>
      <c r="B190" s="725" t="s">
        <v>4737</v>
      </c>
      <c r="C190" s="733">
        <v>3473730</v>
      </c>
      <c r="D190" s="732" t="s">
        <v>4527</v>
      </c>
      <c r="E190" s="734">
        <v>175020</v>
      </c>
      <c r="H190" s="9">
        <v>1</v>
      </c>
    </row>
    <row r="191" spans="1:8" ht="15">
      <c r="A191" s="724">
        <v>42</v>
      </c>
      <c r="B191" s="725" t="s">
        <v>4738</v>
      </c>
      <c r="C191" s="726">
        <v>33469203</v>
      </c>
      <c r="D191" s="724" t="s">
        <v>4532</v>
      </c>
      <c r="E191" s="727">
        <v>425400</v>
      </c>
    </row>
    <row r="192" spans="1:8" ht="15">
      <c r="A192" s="728">
        <v>174</v>
      </c>
      <c r="B192" s="729" t="s">
        <v>4739</v>
      </c>
      <c r="C192" s="730">
        <v>307145</v>
      </c>
      <c r="D192" s="728" t="s">
        <v>4527</v>
      </c>
      <c r="E192" s="731">
        <v>12190</v>
      </c>
      <c r="F192" s="59">
        <v>1</v>
      </c>
    </row>
    <row r="193" spans="1:8" ht="15">
      <c r="A193" s="724"/>
      <c r="B193" s="739" t="s">
        <v>4740</v>
      </c>
      <c r="C193" s="726"/>
      <c r="D193" s="724"/>
      <c r="E193" s="727"/>
      <c r="F193" s="9">
        <v>1</v>
      </c>
    </row>
    <row r="194" spans="1:8" ht="15">
      <c r="A194" s="724">
        <v>50</v>
      </c>
      <c r="B194" s="725" t="s">
        <v>4741</v>
      </c>
      <c r="C194" s="726">
        <v>28435940</v>
      </c>
      <c r="D194" s="724" t="s">
        <v>4532</v>
      </c>
      <c r="E194" s="727">
        <v>882050</v>
      </c>
    </row>
    <row r="195" spans="1:8" ht="15">
      <c r="A195" s="732">
        <v>15</v>
      </c>
      <c r="B195" s="729" t="s">
        <v>4742</v>
      </c>
      <c r="C195" s="730">
        <v>97338579</v>
      </c>
      <c r="D195" s="728" t="s">
        <v>4743</v>
      </c>
      <c r="E195" s="731">
        <v>310070</v>
      </c>
      <c r="F195" s="59"/>
      <c r="G195" s="59">
        <v>1</v>
      </c>
    </row>
    <row r="196" spans="1:8" ht="15">
      <c r="A196" s="724">
        <v>48</v>
      </c>
      <c r="B196" s="725" t="s">
        <v>4744</v>
      </c>
      <c r="C196" s="726">
        <v>29825964</v>
      </c>
      <c r="D196" s="724" t="s">
        <v>4532</v>
      </c>
      <c r="E196" s="727">
        <v>527970</v>
      </c>
    </row>
    <row r="197" spans="1:8" ht="15">
      <c r="A197" s="732">
        <v>64</v>
      </c>
      <c r="B197" s="725" t="s">
        <v>4745</v>
      </c>
      <c r="C197" s="733">
        <v>18383955</v>
      </c>
      <c r="D197" s="732" t="s">
        <v>4550</v>
      </c>
      <c r="E197" s="734">
        <v>743390</v>
      </c>
    </row>
    <row r="198" spans="1:8" ht="15">
      <c r="A198" s="724">
        <v>73</v>
      </c>
      <c r="B198" s="725" t="s">
        <v>4746</v>
      </c>
      <c r="C198" s="726">
        <v>14862924</v>
      </c>
      <c r="D198" s="724" t="s">
        <v>4550</v>
      </c>
      <c r="E198" s="727">
        <v>386850</v>
      </c>
    </row>
    <row r="200" spans="1:8">
      <c r="E200" s="70" t="s">
        <v>4747</v>
      </c>
      <c r="F200" s="70">
        <f>SUM(F2:F198)</f>
        <v>61</v>
      </c>
      <c r="G200" s="9">
        <f>SUM(G2:G198)</f>
        <v>16</v>
      </c>
      <c r="H200" s="9">
        <f>SUM(H2:H198)</f>
        <v>9</v>
      </c>
    </row>
    <row r="203" spans="1:8" ht="25.5">
      <c r="F203" s="70" t="s">
        <v>4748</v>
      </c>
      <c r="G203" s="70">
        <f>F200+G200+H200</f>
        <v>86</v>
      </c>
    </row>
  </sheetData>
  <hyperlinks>
    <hyperlink ref="B2" r:id="rId1" xr:uid="{00000000-0004-0000-0E00-000000000000}"/>
    <hyperlink ref="B3" r:id="rId2" xr:uid="{00000000-0004-0000-0E00-000001000000}"/>
    <hyperlink ref="B4" r:id="rId3" xr:uid="{00000000-0004-0000-0E00-000002000000}"/>
    <hyperlink ref="B5" r:id="rId4" xr:uid="{00000000-0004-0000-0E00-000003000000}"/>
    <hyperlink ref="B6" r:id="rId5" xr:uid="{00000000-0004-0000-0E00-000004000000}"/>
    <hyperlink ref="B7" r:id="rId6" xr:uid="{00000000-0004-0000-0E00-000005000000}"/>
    <hyperlink ref="B8" r:id="rId7" xr:uid="{00000000-0004-0000-0E00-000006000000}"/>
    <hyperlink ref="B9" r:id="rId8" xr:uid="{00000000-0004-0000-0E00-000007000000}"/>
    <hyperlink ref="B10" r:id="rId9" xr:uid="{00000000-0004-0000-0E00-000008000000}"/>
    <hyperlink ref="B11" r:id="rId10" xr:uid="{00000000-0004-0000-0E00-000009000000}"/>
    <hyperlink ref="B12" r:id="rId11" xr:uid="{00000000-0004-0000-0E00-00000A000000}"/>
    <hyperlink ref="B13" r:id="rId12" xr:uid="{00000000-0004-0000-0E00-00000B000000}"/>
    <hyperlink ref="B14" r:id="rId13" xr:uid="{00000000-0004-0000-0E00-00000C000000}"/>
    <hyperlink ref="B15" r:id="rId14" xr:uid="{00000000-0004-0000-0E00-00000D000000}"/>
    <hyperlink ref="B16" r:id="rId15" xr:uid="{00000000-0004-0000-0E00-00000E000000}"/>
    <hyperlink ref="B17" r:id="rId16" xr:uid="{00000000-0004-0000-0E00-00000F000000}"/>
    <hyperlink ref="B18" r:id="rId17" xr:uid="{00000000-0004-0000-0E00-000010000000}"/>
    <hyperlink ref="B19" r:id="rId18" xr:uid="{00000000-0004-0000-0E00-000011000000}"/>
    <hyperlink ref="B20" r:id="rId19" xr:uid="{00000000-0004-0000-0E00-000012000000}"/>
    <hyperlink ref="B21" r:id="rId20" xr:uid="{00000000-0004-0000-0E00-000013000000}"/>
    <hyperlink ref="B22" r:id="rId21" xr:uid="{00000000-0004-0000-0E00-000014000000}"/>
    <hyperlink ref="B23" r:id="rId22" xr:uid="{00000000-0004-0000-0E00-000015000000}"/>
    <hyperlink ref="B24" r:id="rId23" xr:uid="{00000000-0004-0000-0E00-000016000000}"/>
    <hyperlink ref="B25" r:id="rId24" xr:uid="{00000000-0004-0000-0E00-000017000000}"/>
    <hyperlink ref="B26" r:id="rId25" xr:uid="{00000000-0004-0000-0E00-000018000000}"/>
    <hyperlink ref="B27" r:id="rId26" xr:uid="{00000000-0004-0000-0E00-000019000000}"/>
    <hyperlink ref="B28" r:id="rId27" xr:uid="{00000000-0004-0000-0E00-00001A000000}"/>
    <hyperlink ref="B29" r:id="rId28" xr:uid="{00000000-0004-0000-0E00-00001B000000}"/>
    <hyperlink ref="B30" r:id="rId29" xr:uid="{00000000-0004-0000-0E00-00001C000000}"/>
    <hyperlink ref="B31" r:id="rId30" xr:uid="{00000000-0004-0000-0E00-00001D000000}"/>
    <hyperlink ref="B32" r:id="rId31" xr:uid="{00000000-0004-0000-0E00-00001E000000}"/>
    <hyperlink ref="B33" r:id="rId32" xr:uid="{00000000-0004-0000-0E00-00001F000000}"/>
    <hyperlink ref="B34" r:id="rId33" xr:uid="{00000000-0004-0000-0E00-000020000000}"/>
    <hyperlink ref="B35" r:id="rId34" xr:uid="{00000000-0004-0000-0E00-000021000000}"/>
    <hyperlink ref="B36" r:id="rId35" xr:uid="{00000000-0004-0000-0E00-000022000000}"/>
    <hyperlink ref="B37" r:id="rId36" xr:uid="{00000000-0004-0000-0E00-000023000000}"/>
    <hyperlink ref="B38" r:id="rId37" xr:uid="{00000000-0004-0000-0E00-000024000000}"/>
    <hyperlink ref="B39" r:id="rId38" xr:uid="{00000000-0004-0000-0E00-000025000000}"/>
    <hyperlink ref="B40" r:id="rId39" xr:uid="{00000000-0004-0000-0E00-000026000000}"/>
    <hyperlink ref="B41" r:id="rId40" xr:uid="{00000000-0004-0000-0E00-000027000000}"/>
    <hyperlink ref="B42" r:id="rId41" xr:uid="{00000000-0004-0000-0E00-000028000000}"/>
    <hyperlink ref="B43" r:id="rId42" xr:uid="{00000000-0004-0000-0E00-000029000000}"/>
    <hyperlink ref="B44" r:id="rId43" xr:uid="{00000000-0004-0000-0E00-00002A000000}"/>
    <hyperlink ref="B45" r:id="rId44" xr:uid="{00000000-0004-0000-0E00-00002B000000}"/>
    <hyperlink ref="B46" r:id="rId45" xr:uid="{00000000-0004-0000-0E00-00002C000000}"/>
    <hyperlink ref="B47" r:id="rId46" xr:uid="{00000000-0004-0000-0E00-00002D000000}"/>
    <hyperlink ref="B48" r:id="rId47" xr:uid="{00000000-0004-0000-0E00-00002E000000}"/>
    <hyperlink ref="B49" r:id="rId48" xr:uid="{00000000-0004-0000-0E00-00002F000000}"/>
    <hyperlink ref="B50" r:id="rId49" xr:uid="{00000000-0004-0000-0E00-000030000000}"/>
    <hyperlink ref="B51" r:id="rId50" xr:uid="{00000000-0004-0000-0E00-000031000000}"/>
    <hyperlink ref="B52" r:id="rId51" xr:uid="{00000000-0004-0000-0E00-000032000000}"/>
    <hyperlink ref="B53" r:id="rId52" xr:uid="{00000000-0004-0000-0E00-000033000000}"/>
    <hyperlink ref="B54" r:id="rId53" xr:uid="{00000000-0004-0000-0E00-000034000000}"/>
    <hyperlink ref="B55" r:id="rId54" xr:uid="{00000000-0004-0000-0E00-000035000000}"/>
    <hyperlink ref="B56" r:id="rId55" xr:uid="{00000000-0004-0000-0E00-000036000000}"/>
    <hyperlink ref="B57" r:id="rId56" xr:uid="{00000000-0004-0000-0E00-000037000000}"/>
    <hyperlink ref="B58" r:id="rId57" xr:uid="{00000000-0004-0000-0E00-000038000000}"/>
    <hyperlink ref="B59" r:id="rId58" xr:uid="{00000000-0004-0000-0E00-000039000000}"/>
    <hyperlink ref="B60" r:id="rId59" xr:uid="{00000000-0004-0000-0E00-00003A000000}"/>
    <hyperlink ref="B61" r:id="rId60" xr:uid="{00000000-0004-0000-0E00-00003B000000}"/>
    <hyperlink ref="B62" r:id="rId61" xr:uid="{00000000-0004-0000-0E00-00003C000000}"/>
    <hyperlink ref="B63" r:id="rId62" xr:uid="{00000000-0004-0000-0E00-00003D000000}"/>
    <hyperlink ref="B64" r:id="rId63" xr:uid="{00000000-0004-0000-0E00-00003E000000}"/>
    <hyperlink ref="B65" r:id="rId64" xr:uid="{00000000-0004-0000-0E00-00003F000000}"/>
    <hyperlink ref="B66" r:id="rId65" xr:uid="{00000000-0004-0000-0E00-000040000000}"/>
    <hyperlink ref="B67" r:id="rId66" xr:uid="{00000000-0004-0000-0E00-000041000000}"/>
    <hyperlink ref="B68" r:id="rId67" xr:uid="{00000000-0004-0000-0E00-000042000000}"/>
    <hyperlink ref="B69" r:id="rId68" xr:uid="{00000000-0004-0000-0E00-000043000000}"/>
    <hyperlink ref="B70" r:id="rId69" xr:uid="{00000000-0004-0000-0E00-000044000000}"/>
    <hyperlink ref="B71" r:id="rId70" xr:uid="{00000000-0004-0000-0E00-000045000000}"/>
    <hyperlink ref="B72" r:id="rId71" xr:uid="{00000000-0004-0000-0E00-000046000000}"/>
    <hyperlink ref="B73" r:id="rId72" xr:uid="{00000000-0004-0000-0E00-000047000000}"/>
    <hyperlink ref="B74" r:id="rId73" xr:uid="{00000000-0004-0000-0E00-000048000000}"/>
    <hyperlink ref="B75" r:id="rId74" xr:uid="{00000000-0004-0000-0E00-000049000000}"/>
    <hyperlink ref="B76" r:id="rId75" xr:uid="{00000000-0004-0000-0E00-00004A000000}"/>
    <hyperlink ref="B77" r:id="rId76" xr:uid="{00000000-0004-0000-0E00-00004B000000}"/>
    <hyperlink ref="B78" r:id="rId77" xr:uid="{00000000-0004-0000-0E00-00004C000000}"/>
    <hyperlink ref="B79" r:id="rId78" xr:uid="{00000000-0004-0000-0E00-00004D000000}"/>
    <hyperlink ref="B80" r:id="rId79" xr:uid="{00000000-0004-0000-0E00-00004E000000}"/>
    <hyperlink ref="B81" r:id="rId80" xr:uid="{00000000-0004-0000-0E00-00004F000000}"/>
    <hyperlink ref="B82" r:id="rId81" xr:uid="{00000000-0004-0000-0E00-000050000000}"/>
    <hyperlink ref="B83" r:id="rId82" xr:uid="{00000000-0004-0000-0E00-000051000000}"/>
    <hyperlink ref="B84" r:id="rId83" xr:uid="{00000000-0004-0000-0E00-000052000000}"/>
    <hyperlink ref="B85" r:id="rId84" xr:uid="{00000000-0004-0000-0E00-000053000000}"/>
    <hyperlink ref="B86" r:id="rId85" xr:uid="{00000000-0004-0000-0E00-000054000000}"/>
    <hyperlink ref="B87" r:id="rId86" xr:uid="{00000000-0004-0000-0E00-000055000000}"/>
    <hyperlink ref="B88" r:id="rId87" xr:uid="{00000000-0004-0000-0E00-000056000000}"/>
    <hyperlink ref="B89" r:id="rId88" xr:uid="{00000000-0004-0000-0E00-000057000000}"/>
    <hyperlink ref="B90" r:id="rId89" xr:uid="{00000000-0004-0000-0E00-000058000000}"/>
    <hyperlink ref="B91" r:id="rId90" xr:uid="{00000000-0004-0000-0E00-000059000000}"/>
    <hyperlink ref="B92" r:id="rId91" xr:uid="{00000000-0004-0000-0E00-00005A000000}"/>
    <hyperlink ref="B93" r:id="rId92" xr:uid="{00000000-0004-0000-0E00-00005B000000}"/>
    <hyperlink ref="B94" r:id="rId93" xr:uid="{00000000-0004-0000-0E00-00005C000000}"/>
    <hyperlink ref="B95" r:id="rId94" xr:uid="{00000000-0004-0000-0E00-00005D000000}"/>
    <hyperlink ref="B96" r:id="rId95" xr:uid="{00000000-0004-0000-0E00-00005E000000}"/>
    <hyperlink ref="B97" r:id="rId96" xr:uid="{00000000-0004-0000-0E00-00005F000000}"/>
    <hyperlink ref="B98" r:id="rId97" xr:uid="{00000000-0004-0000-0E00-000060000000}"/>
    <hyperlink ref="B99" r:id="rId98" xr:uid="{00000000-0004-0000-0E00-000061000000}"/>
    <hyperlink ref="B100" r:id="rId99" xr:uid="{00000000-0004-0000-0E00-000062000000}"/>
    <hyperlink ref="B101" r:id="rId100" xr:uid="{00000000-0004-0000-0E00-000063000000}"/>
    <hyperlink ref="B102" r:id="rId101" xr:uid="{00000000-0004-0000-0E00-000064000000}"/>
    <hyperlink ref="B103" r:id="rId102" xr:uid="{00000000-0004-0000-0E00-000065000000}"/>
    <hyperlink ref="B104" r:id="rId103" xr:uid="{00000000-0004-0000-0E00-000066000000}"/>
    <hyperlink ref="B105" r:id="rId104" xr:uid="{00000000-0004-0000-0E00-000067000000}"/>
    <hyperlink ref="B106" r:id="rId105" xr:uid="{00000000-0004-0000-0E00-000068000000}"/>
    <hyperlink ref="B107" r:id="rId106" xr:uid="{00000000-0004-0000-0E00-000069000000}"/>
    <hyperlink ref="B108" r:id="rId107" xr:uid="{00000000-0004-0000-0E00-00006A000000}"/>
    <hyperlink ref="B109" r:id="rId108" xr:uid="{00000000-0004-0000-0E00-00006B000000}"/>
    <hyperlink ref="B110" r:id="rId109" xr:uid="{00000000-0004-0000-0E00-00006C000000}"/>
    <hyperlink ref="B111" r:id="rId110" xr:uid="{00000000-0004-0000-0E00-00006D000000}"/>
    <hyperlink ref="B112" r:id="rId111" xr:uid="{00000000-0004-0000-0E00-00006E000000}"/>
    <hyperlink ref="B113" r:id="rId112" xr:uid="{00000000-0004-0000-0E00-00006F000000}"/>
    <hyperlink ref="B114" r:id="rId113" xr:uid="{00000000-0004-0000-0E00-000070000000}"/>
    <hyperlink ref="B115" r:id="rId114" xr:uid="{00000000-0004-0000-0E00-000071000000}"/>
    <hyperlink ref="B116" r:id="rId115" xr:uid="{00000000-0004-0000-0E00-000072000000}"/>
    <hyperlink ref="B117" r:id="rId116" xr:uid="{00000000-0004-0000-0E00-000073000000}"/>
    <hyperlink ref="B118" r:id="rId117" xr:uid="{00000000-0004-0000-0E00-000074000000}"/>
    <hyperlink ref="B119" r:id="rId118" xr:uid="{00000000-0004-0000-0E00-000075000000}"/>
    <hyperlink ref="B120" r:id="rId119" xr:uid="{00000000-0004-0000-0E00-000076000000}"/>
    <hyperlink ref="B121" r:id="rId120" xr:uid="{00000000-0004-0000-0E00-000077000000}"/>
    <hyperlink ref="B122" r:id="rId121" xr:uid="{00000000-0004-0000-0E00-000078000000}"/>
    <hyperlink ref="B123" r:id="rId122" xr:uid="{00000000-0004-0000-0E00-000079000000}"/>
    <hyperlink ref="B124" r:id="rId123" xr:uid="{00000000-0004-0000-0E00-00007A000000}"/>
    <hyperlink ref="B125" r:id="rId124" xr:uid="{00000000-0004-0000-0E00-00007B000000}"/>
    <hyperlink ref="B126" r:id="rId125" xr:uid="{00000000-0004-0000-0E00-00007C000000}"/>
    <hyperlink ref="B127" r:id="rId126" xr:uid="{00000000-0004-0000-0E00-00007D000000}"/>
    <hyperlink ref="B128" r:id="rId127" xr:uid="{00000000-0004-0000-0E00-00007E000000}"/>
    <hyperlink ref="B129" r:id="rId128" xr:uid="{00000000-0004-0000-0E00-00007F000000}"/>
    <hyperlink ref="B130" r:id="rId129" xr:uid="{00000000-0004-0000-0E00-000080000000}"/>
    <hyperlink ref="B131" r:id="rId130" xr:uid="{00000000-0004-0000-0E00-000081000000}"/>
    <hyperlink ref="B132" r:id="rId131" xr:uid="{00000000-0004-0000-0E00-000082000000}"/>
    <hyperlink ref="B133" r:id="rId132" xr:uid="{00000000-0004-0000-0E00-000083000000}"/>
    <hyperlink ref="B134" r:id="rId133" xr:uid="{00000000-0004-0000-0E00-000084000000}"/>
    <hyperlink ref="B135" r:id="rId134" xr:uid="{00000000-0004-0000-0E00-000085000000}"/>
    <hyperlink ref="B136" r:id="rId135" xr:uid="{00000000-0004-0000-0E00-000086000000}"/>
    <hyperlink ref="B137" r:id="rId136" xr:uid="{00000000-0004-0000-0E00-000087000000}"/>
    <hyperlink ref="B138" r:id="rId137" xr:uid="{00000000-0004-0000-0E00-000088000000}"/>
    <hyperlink ref="B139" r:id="rId138" xr:uid="{00000000-0004-0000-0E00-000089000000}"/>
    <hyperlink ref="B140" r:id="rId139" xr:uid="{00000000-0004-0000-0E00-00008A000000}"/>
    <hyperlink ref="B141" r:id="rId140" xr:uid="{00000000-0004-0000-0E00-00008B000000}"/>
    <hyperlink ref="B142" r:id="rId141" xr:uid="{00000000-0004-0000-0E00-00008C000000}"/>
    <hyperlink ref="B143" r:id="rId142" xr:uid="{00000000-0004-0000-0E00-00008D000000}"/>
    <hyperlink ref="B144" r:id="rId143" xr:uid="{00000000-0004-0000-0E00-00008E000000}"/>
    <hyperlink ref="B145" r:id="rId144" xr:uid="{00000000-0004-0000-0E00-00008F000000}"/>
    <hyperlink ref="B146" r:id="rId145" xr:uid="{00000000-0004-0000-0E00-000090000000}"/>
    <hyperlink ref="B147" r:id="rId146" xr:uid="{00000000-0004-0000-0E00-000091000000}"/>
    <hyperlink ref="B148" r:id="rId147" xr:uid="{00000000-0004-0000-0E00-000092000000}"/>
    <hyperlink ref="B149" r:id="rId148" xr:uid="{00000000-0004-0000-0E00-000093000000}"/>
    <hyperlink ref="B150" r:id="rId149" xr:uid="{00000000-0004-0000-0E00-000094000000}"/>
    <hyperlink ref="B151" r:id="rId150" xr:uid="{00000000-0004-0000-0E00-000095000000}"/>
    <hyperlink ref="B152" r:id="rId151" xr:uid="{00000000-0004-0000-0E00-000096000000}"/>
    <hyperlink ref="B153" r:id="rId152" xr:uid="{00000000-0004-0000-0E00-000097000000}"/>
    <hyperlink ref="B154" r:id="rId153" xr:uid="{00000000-0004-0000-0E00-000098000000}"/>
    <hyperlink ref="B155" r:id="rId154" xr:uid="{00000000-0004-0000-0E00-000099000000}"/>
    <hyperlink ref="B156" r:id="rId155" xr:uid="{00000000-0004-0000-0E00-00009A000000}"/>
    <hyperlink ref="B157" r:id="rId156" xr:uid="{00000000-0004-0000-0E00-00009B000000}"/>
    <hyperlink ref="B158" r:id="rId157" xr:uid="{00000000-0004-0000-0E00-00009C000000}"/>
    <hyperlink ref="B159" r:id="rId158" xr:uid="{00000000-0004-0000-0E00-00009D000000}"/>
    <hyperlink ref="B160" r:id="rId159" xr:uid="{00000000-0004-0000-0E00-00009E000000}"/>
    <hyperlink ref="B161" r:id="rId160" xr:uid="{00000000-0004-0000-0E00-00009F000000}"/>
    <hyperlink ref="B162" r:id="rId161" xr:uid="{00000000-0004-0000-0E00-0000A0000000}"/>
    <hyperlink ref="B163" r:id="rId162" xr:uid="{00000000-0004-0000-0E00-0000A1000000}"/>
    <hyperlink ref="B164" r:id="rId163" xr:uid="{00000000-0004-0000-0E00-0000A2000000}"/>
    <hyperlink ref="B165" r:id="rId164" xr:uid="{00000000-0004-0000-0E00-0000A3000000}"/>
    <hyperlink ref="B166" r:id="rId165" xr:uid="{00000000-0004-0000-0E00-0000A4000000}"/>
    <hyperlink ref="B167" r:id="rId166" xr:uid="{00000000-0004-0000-0E00-0000A5000000}"/>
    <hyperlink ref="B168" r:id="rId167" xr:uid="{00000000-0004-0000-0E00-0000A6000000}"/>
    <hyperlink ref="B169" r:id="rId168" xr:uid="{00000000-0004-0000-0E00-0000A7000000}"/>
    <hyperlink ref="B170" r:id="rId169" xr:uid="{00000000-0004-0000-0E00-0000A8000000}"/>
    <hyperlink ref="B171" r:id="rId170" xr:uid="{00000000-0004-0000-0E00-0000A9000000}"/>
    <hyperlink ref="B172" r:id="rId171" xr:uid="{00000000-0004-0000-0E00-0000AA000000}"/>
    <hyperlink ref="B173" r:id="rId172" xr:uid="{00000000-0004-0000-0E00-0000AB000000}"/>
    <hyperlink ref="B174" r:id="rId173" xr:uid="{00000000-0004-0000-0E00-0000AC000000}"/>
    <hyperlink ref="B175" r:id="rId174" xr:uid="{00000000-0004-0000-0E00-0000AD000000}"/>
    <hyperlink ref="B177" r:id="rId175" xr:uid="{00000000-0004-0000-0E00-0000AE000000}"/>
    <hyperlink ref="B178" r:id="rId176" xr:uid="{00000000-0004-0000-0E00-0000AF000000}"/>
    <hyperlink ref="B179" r:id="rId177" xr:uid="{00000000-0004-0000-0E00-0000B0000000}"/>
    <hyperlink ref="B180" r:id="rId178" xr:uid="{00000000-0004-0000-0E00-0000B1000000}"/>
    <hyperlink ref="B181" r:id="rId179" xr:uid="{00000000-0004-0000-0E00-0000B2000000}"/>
    <hyperlink ref="B182" r:id="rId180" xr:uid="{00000000-0004-0000-0E00-0000B3000000}"/>
    <hyperlink ref="B183" r:id="rId181" xr:uid="{00000000-0004-0000-0E00-0000B4000000}"/>
    <hyperlink ref="B184" r:id="rId182" xr:uid="{00000000-0004-0000-0E00-0000B5000000}"/>
    <hyperlink ref="B185" r:id="rId183" xr:uid="{00000000-0004-0000-0E00-0000B6000000}"/>
    <hyperlink ref="B186" r:id="rId184" xr:uid="{00000000-0004-0000-0E00-0000B7000000}"/>
    <hyperlink ref="B187" r:id="rId185" xr:uid="{00000000-0004-0000-0E00-0000B8000000}"/>
    <hyperlink ref="B188" r:id="rId186" xr:uid="{00000000-0004-0000-0E00-0000B9000000}"/>
    <hyperlink ref="B189" r:id="rId187" xr:uid="{00000000-0004-0000-0E00-0000BA000000}"/>
    <hyperlink ref="B190" r:id="rId188" xr:uid="{00000000-0004-0000-0E00-0000BB000000}"/>
    <hyperlink ref="B191" r:id="rId189" xr:uid="{00000000-0004-0000-0E00-0000BC000000}"/>
    <hyperlink ref="B192" r:id="rId190" xr:uid="{00000000-0004-0000-0E00-0000BD000000}"/>
    <hyperlink ref="B194" r:id="rId191" xr:uid="{00000000-0004-0000-0E00-0000BE000000}"/>
    <hyperlink ref="B195" r:id="rId192" xr:uid="{00000000-0004-0000-0E00-0000BF000000}"/>
    <hyperlink ref="B196" r:id="rId193" xr:uid="{00000000-0004-0000-0E00-0000C0000000}"/>
    <hyperlink ref="B197" r:id="rId194" xr:uid="{00000000-0004-0000-0E00-0000C1000000}"/>
    <hyperlink ref="B198" r:id="rId195" xr:uid="{00000000-0004-0000-0E00-0000C2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pageSetUpPr fitToPage="1"/>
  </sheetPr>
  <dimension ref="A1:Y135"/>
  <sheetViews>
    <sheetView workbookViewId="0"/>
  </sheetViews>
  <sheetFormatPr defaultColWidth="12.7109375" defaultRowHeight="12.75" customHeight="1"/>
  <cols>
    <col min="1" max="1" width="18.140625" customWidth="1"/>
    <col min="2" max="2" width="17.28515625" customWidth="1"/>
    <col min="3" max="3" width="14.140625" customWidth="1"/>
    <col min="4" max="4" width="13.85546875" customWidth="1"/>
    <col min="5" max="5" width="21.28515625" customWidth="1"/>
    <col min="6" max="6" width="15.7109375" customWidth="1"/>
    <col min="7" max="7" width="20.85546875" customWidth="1"/>
    <col min="8" max="8" width="20.140625" customWidth="1"/>
    <col min="9" max="9" width="14.28515625" customWidth="1"/>
    <col min="10" max="10" width="5" customWidth="1"/>
    <col min="11" max="11" width="20" customWidth="1"/>
    <col min="12" max="12" width="15.28515625" customWidth="1"/>
    <col min="13" max="13" width="7.28515625" customWidth="1"/>
    <col min="14" max="14" width="11.7109375" customWidth="1"/>
    <col min="15" max="15" width="8.140625" customWidth="1"/>
    <col min="16" max="16" width="8.7109375" customWidth="1"/>
  </cols>
  <sheetData>
    <row r="1" spans="1:25" ht="12.75" customHeight="1">
      <c r="A1" s="3" t="s">
        <v>4749</v>
      </c>
      <c r="B1" s="393"/>
      <c r="C1" s="393"/>
      <c r="D1" s="3" t="s">
        <v>4750</v>
      </c>
      <c r="E1" s="3" t="s">
        <v>4751</v>
      </c>
      <c r="F1" s="3" t="s">
        <v>4752</v>
      </c>
      <c r="G1" s="43" t="s">
        <v>4753</v>
      </c>
      <c r="H1" s="740" t="s">
        <v>4754</v>
      </c>
      <c r="I1" s="740" t="s">
        <v>4755</v>
      </c>
      <c r="J1" s="9" t="s">
        <v>4756</v>
      </c>
      <c r="K1" s="3" t="s">
        <v>4757</v>
      </c>
      <c r="L1" s="741" t="s">
        <v>4758</v>
      </c>
      <c r="N1" s="43" t="s">
        <v>4759</v>
      </c>
      <c r="O1" s="43" t="s">
        <v>4760</v>
      </c>
    </row>
    <row r="2" spans="1:25" ht="12.75" customHeight="1">
      <c r="A2" s="9" t="s">
        <v>4761</v>
      </c>
      <c r="B2" s="742"/>
      <c r="C2" s="742">
        <f>B2</f>
        <v>0</v>
      </c>
      <c r="D2" s="9" t="s">
        <v>3194</v>
      </c>
      <c r="E2" s="9" t="s">
        <v>4762</v>
      </c>
      <c r="F2" s="9" t="s">
        <v>4763</v>
      </c>
      <c r="G2" s="743" t="s">
        <v>4764</v>
      </c>
      <c r="H2" s="741" t="s">
        <v>4765</v>
      </c>
      <c r="I2" s="744" t="s">
        <v>4766</v>
      </c>
      <c r="J2" s="336" t="s">
        <v>4764</v>
      </c>
      <c r="K2" s="741" t="s">
        <v>1566</v>
      </c>
      <c r="L2" s="741" t="s">
        <v>4767</v>
      </c>
      <c r="M2" s="3"/>
      <c r="N2" s="30">
        <v>44429</v>
      </c>
      <c r="O2" s="12">
        <v>367.5</v>
      </c>
      <c r="Q2" s="3"/>
    </row>
    <row r="3" spans="1:25" ht="12.75" customHeight="1">
      <c r="A3" s="25" t="s">
        <v>4768</v>
      </c>
      <c r="B3" s="377"/>
      <c r="C3" s="377"/>
      <c r="D3" s="9" t="s">
        <v>4769</v>
      </c>
      <c r="E3" s="9" t="s">
        <v>4770</v>
      </c>
      <c r="F3" s="9" t="s">
        <v>4771</v>
      </c>
      <c r="G3" s="743" t="s">
        <v>4764</v>
      </c>
      <c r="H3" s="9" t="s">
        <v>4772</v>
      </c>
      <c r="I3" s="744" t="s">
        <v>4773</v>
      </c>
      <c r="J3" s="336" t="s">
        <v>4764</v>
      </c>
      <c r="K3" s="741" t="s">
        <v>4774</v>
      </c>
      <c r="L3" s="741" t="s">
        <v>4775</v>
      </c>
      <c r="N3" s="30">
        <v>44307</v>
      </c>
      <c r="O3" s="12">
        <v>494.8</v>
      </c>
    </row>
    <row r="4" spans="1:25" ht="12.75" customHeight="1">
      <c r="A4" s="9" t="s">
        <v>4776</v>
      </c>
      <c r="B4" s="377"/>
      <c r="C4" s="377"/>
      <c r="D4" s="9" t="s">
        <v>4777</v>
      </c>
      <c r="E4" s="40" t="s">
        <v>4778</v>
      </c>
      <c r="F4" s="9" t="s">
        <v>4779</v>
      </c>
      <c r="G4" s="743" t="s">
        <v>4764</v>
      </c>
      <c r="H4" s="741" t="s">
        <v>4780</v>
      </c>
      <c r="I4" s="744" t="s">
        <v>4781</v>
      </c>
      <c r="J4" s="336" t="s">
        <v>4764</v>
      </c>
      <c r="K4" s="9" t="s">
        <v>4782</v>
      </c>
      <c r="N4" s="30">
        <v>44550</v>
      </c>
      <c r="O4" s="12">
        <v>683.5</v>
      </c>
    </row>
    <row r="5" spans="1:25" ht="12.75" customHeight="1">
      <c r="A5" s="745" t="s">
        <v>4783</v>
      </c>
      <c r="B5" s="377"/>
      <c r="C5" s="377"/>
      <c r="D5" s="9" t="s">
        <v>4784</v>
      </c>
      <c r="E5" s="9" t="s">
        <v>1665</v>
      </c>
      <c r="F5" s="9" t="s">
        <v>4785</v>
      </c>
      <c r="G5" s="82"/>
      <c r="H5" s="741" t="s">
        <v>4786</v>
      </c>
      <c r="I5" s="744" t="s">
        <v>4787</v>
      </c>
      <c r="J5" s="336" t="s">
        <v>4764</v>
      </c>
      <c r="K5" s="9" t="s">
        <v>4788</v>
      </c>
      <c r="L5" s="336" t="s">
        <v>4764</v>
      </c>
      <c r="N5" s="82" t="s">
        <v>4789</v>
      </c>
      <c r="O5" s="12">
        <v>1900</v>
      </c>
    </row>
    <row r="6" spans="1:25" ht="12.75" customHeight="1">
      <c r="B6" s="377"/>
      <c r="C6" s="377"/>
      <c r="E6" s="18"/>
      <c r="F6" s="9" t="s">
        <v>1611</v>
      </c>
      <c r="G6" s="743" t="s">
        <v>4764</v>
      </c>
      <c r="H6" s="741" t="s">
        <v>4790</v>
      </c>
      <c r="I6" s="741" t="s">
        <v>4791</v>
      </c>
      <c r="K6" s="25" t="s">
        <v>4792</v>
      </c>
      <c r="N6" s="82"/>
    </row>
    <row r="7" spans="1:25" ht="25.5">
      <c r="A7" s="3" t="s">
        <v>4793</v>
      </c>
      <c r="B7" s="3" t="s">
        <v>4794</v>
      </c>
      <c r="C7" s="3" t="s">
        <v>4795</v>
      </c>
      <c r="D7" s="3" t="s">
        <v>4796</v>
      </c>
      <c r="E7" s="18"/>
      <c r="F7" s="9" t="s">
        <v>4797</v>
      </c>
      <c r="G7" s="743"/>
      <c r="H7" s="741" t="s">
        <v>4798</v>
      </c>
      <c r="I7" s="744" t="s">
        <v>4799</v>
      </c>
      <c r="K7" s="25" t="s">
        <v>4800</v>
      </c>
      <c r="N7" s="82" t="s">
        <v>67</v>
      </c>
      <c r="O7" s="65">
        <f>SUM(O2:O6)</f>
        <v>3445.8</v>
      </c>
    </row>
    <row r="8" spans="1:25">
      <c r="A8" s="3" t="s">
        <v>210</v>
      </c>
      <c r="B8" s="746" t="s">
        <v>4801</v>
      </c>
      <c r="C8" s="9" t="s">
        <v>4802</v>
      </c>
      <c r="D8" s="3" t="s">
        <v>2959</v>
      </c>
      <c r="E8" s="445"/>
      <c r="F8" s="69" t="s">
        <v>4803</v>
      </c>
      <c r="G8" s="743" t="s">
        <v>4764</v>
      </c>
      <c r="H8" s="9" t="s">
        <v>4804</v>
      </c>
      <c r="I8" s="741" t="s">
        <v>4805</v>
      </c>
      <c r="J8" s="336" t="s">
        <v>4764</v>
      </c>
      <c r="K8" s="9" t="s">
        <v>1623</v>
      </c>
      <c r="L8" s="336" t="s">
        <v>4764</v>
      </c>
    </row>
    <row r="9" spans="1:25" ht="12.75" customHeight="1">
      <c r="A9" s="746" t="s">
        <v>4806</v>
      </c>
      <c r="B9" s="746" t="s">
        <v>4807</v>
      </c>
      <c r="C9" s="9" t="s">
        <v>4808</v>
      </c>
      <c r="D9" s="9" t="s">
        <v>4809</v>
      </c>
      <c r="E9" s="377"/>
      <c r="F9" s="376" t="s">
        <v>4810</v>
      </c>
      <c r="G9" s="743" t="s">
        <v>4764</v>
      </c>
      <c r="H9" s="9" t="s">
        <v>4811</v>
      </c>
      <c r="I9" s="9" t="s">
        <v>4812</v>
      </c>
      <c r="J9" s="9"/>
      <c r="K9" s="9" t="s">
        <v>4813</v>
      </c>
      <c r="L9" s="336" t="s">
        <v>4764</v>
      </c>
      <c r="M9" s="9"/>
      <c r="N9" s="9" t="s">
        <v>4814</v>
      </c>
      <c r="O9" s="9"/>
      <c r="P9" s="9"/>
      <c r="Q9" s="9"/>
      <c r="R9" s="9"/>
      <c r="S9" s="9"/>
      <c r="T9" s="9"/>
      <c r="U9" s="9"/>
      <c r="V9" s="9"/>
      <c r="W9" s="9"/>
      <c r="X9" s="9"/>
      <c r="Y9" s="9"/>
    </row>
    <row r="10" spans="1:25" ht="12.75" customHeight="1">
      <c r="A10" s="746" t="s">
        <v>4815</v>
      </c>
      <c r="B10" s="746" t="s">
        <v>4816</v>
      </c>
      <c r="C10" s="9" t="s">
        <v>4817</v>
      </c>
      <c r="D10" s="9" t="s">
        <v>4818</v>
      </c>
      <c r="E10" s="377"/>
      <c r="F10" s="376" t="s">
        <v>4819</v>
      </c>
      <c r="G10" s="743" t="s">
        <v>4764</v>
      </c>
      <c r="H10" s="9" t="s">
        <v>1623</v>
      </c>
      <c r="I10" s="744" t="s">
        <v>4820</v>
      </c>
      <c r="K10" s="9" t="s">
        <v>4821</v>
      </c>
      <c r="N10" s="9" t="s">
        <v>4822</v>
      </c>
    </row>
    <row r="11" spans="1:25" ht="12.75" customHeight="1">
      <c r="A11" s="746" t="s">
        <v>4823</v>
      </c>
      <c r="B11" s="9" t="s">
        <v>4824</v>
      </c>
      <c r="C11" s="9" t="s">
        <v>4825</v>
      </c>
      <c r="D11" s="9" t="s">
        <v>4826</v>
      </c>
      <c r="E11" s="377"/>
      <c r="F11" s="740"/>
      <c r="G11" s="743" t="s">
        <v>4764</v>
      </c>
      <c r="H11" s="9" t="s">
        <v>4827</v>
      </c>
      <c r="K11" s="741" t="s">
        <v>4828</v>
      </c>
      <c r="N11" s="40" t="s">
        <v>4829</v>
      </c>
    </row>
    <row r="12" spans="1:25" ht="12.75" customHeight="1">
      <c r="A12" s="746" t="s">
        <v>4830</v>
      </c>
      <c r="B12" s="9" t="s">
        <v>4831</v>
      </c>
      <c r="C12" s="9" t="s">
        <v>4832</v>
      </c>
      <c r="D12" s="9" t="s">
        <v>4833</v>
      </c>
      <c r="E12" s="377"/>
      <c r="F12" s="40"/>
      <c r="G12" s="743" t="s">
        <v>4764</v>
      </c>
      <c r="H12" s="9" t="s">
        <v>4834</v>
      </c>
      <c r="K12" s="9" t="s">
        <v>4835</v>
      </c>
      <c r="M12" s="747"/>
      <c r="O12" s="9"/>
      <c r="P12" s="9"/>
      <c r="Q12" s="9"/>
    </row>
    <row r="13" spans="1:25">
      <c r="A13" s="746" t="s">
        <v>4836</v>
      </c>
      <c r="B13" s="9" t="s">
        <v>4837</v>
      </c>
      <c r="C13" s="9" t="s">
        <v>4838</v>
      </c>
      <c r="D13" s="9" t="s">
        <v>4839</v>
      </c>
      <c r="F13" s="447" t="s">
        <v>4840</v>
      </c>
      <c r="G13" s="82"/>
      <c r="H13" s="9" t="s">
        <v>4841</v>
      </c>
      <c r="J13" s="9" t="s">
        <v>3518</v>
      </c>
      <c r="K13" s="9" t="s">
        <v>4842</v>
      </c>
    </row>
    <row r="14" spans="1:25">
      <c r="A14" s="746" t="s">
        <v>4843</v>
      </c>
      <c r="C14" s="9" t="s">
        <v>4844</v>
      </c>
      <c r="D14" s="18" t="s">
        <v>4845</v>
      </c>
      <c r="F14" s="40" t="s">
        <v>4846</v>
      </c>
      <c r="G14" s="82"/>
      <c r="H14" s="9" t="s">
        <v>4847</v>
      </c>
      <c r="I14" s="748"/>
      <c r="K14" s="9" t="s">
        <v>4848</v>
      </c>
    </row>
    <row r="15" spans="1:25">
      <c r="A15" s="746" t="s">
        <v>4849</v>
      </c>
      <c r="B15" s="18"/>
      <c r="C15" s="9" t="s">
        <v>4850</v>
      </c>
      <c r="D15" s="18" t="s">
        <v>4851</v>
      </c>
      <c r="E15" s="3"/>
      <c r="F15" s="40" t="s">
        <v>4852</v>
      </c>
      <c r="G15" s="82"/>
      <c r="I15" s="748" t="s">
        <v>1453</v>
      </c>
      <c r="K15" s="9" t="s">
        <v>4853</v>
      </c>
      <c r="L15" s="336" t="s">
        <v>4764</v>
      </c>
    </row>
    <row r="16" spans="1:25" ht="25.5">
      <c r="A16" s="749" t="s">
        <v>4854</v>
      </c>
      <c r="B16" s="18"/>
      <c r="C16" s="9" t="s">
        <v>4855</v>
      </c>
      <c r="D16" s="9" t="s">
        <v>4856</v>
      </c>
      <c r="F16" s="9" t="s">
        <v>4857</v>
      </c>
      <c r="G16" s="43"/>
      <c r="H16" s="750" t="s">
        <v>4858</v>
      </c>
      <c r="I16" s="744" t="s">
        <v>4859</v>
      </c>
      <c r="K16" s="9">
        <v>42</v>
      </c>
      <c r="L16" s="9">
        <v>26</v>
      </c>
      <c r="M16" s="16">
        <f>K16*L16</f>
        <v>1092</v>
      </c>
    </row>
    <row r="17" spans="1:25" ht="25.5">
      <c r="A17" s="746" t="s">
        <v>4860</v>
      </c>
      <c r="C17" s="9" t="s">
        <v>4861</v>
      </c>
      <c r="D17" s="9" t="s">
        <v>4862</v>
      </c>
      <c r="G17" s="82"/>
      <c r="H17" s="750"/>
      <c r="I17" s="744"/>
      <c r="J17" s="9" t="s">
        <v>3518</v>
      </c>
      <c r="K17" s="9">
        <v>40</v>
      </c>
      <c r="L17" s="9">
        <v>26</v>
      </c>
      <c r="M17" s="16">
        <f>K17*L17</f>
        <v>1040</v>
      </c>
    </row>
    <row r="18" spans="1:25" ht="25.5">
      <c r="A18" s="746" t="s">
        <v>4863</v>
      </c>
      <c r="C18" s="9" t="s">
        <v>4864</v>
      </c>
      <c r="D18" s="9" t="s">
        <v>4865</v>
      </c>
      <c r="F18" s="6"/>
      <c r="G18" s="43"/>
      <c r="K18" s="9">
        <v>151</v>
      </c>
      <c r="L18" s="9">
        <v>26</v>
      </c>
      <c r="M18" s="16">
        <f>K18*L18</f>
        <v>3926</v>
      </c>
    </row>
    <row r="19" spans="1:25" ht="12.75" customHeight="1">
      <c r="A19" s="746" t="s">
        <v>4866</v>
      </c>
      <c r="B19" s="746"/>
      <c r="C19" s="9" t="s">
        <v>4867</v>
      </c>
      <c r="D19" s="9" t="s">
        <v>4868</v>
      </c>
      <c r="E19" s="377"/>
      <c r="F19" s="394"/>
      <c r="H19" s="750"/>
      <c r="K19" s="9">
        <v>40</v>
      </c>
      <c r="L19" s="9">
        <v>26</v>
      </c>
      <c r="M19" s="16">
        <f>K19*L19</f>
        <v>1040</v>
      </c>
    </row>
    <row r="20" spans="1:25" ht="12.75" customHeight="1">
      <c r="A20" s="746" t="s">
        <v>4869</v>
      </c>
      <c r="C20" s="9" t="s">
        <v>4870</v>
      </c>
      <c r="D20" s="9" t="s">
        <v>4871</v>
      </c>
      <c r="E20" s="377"/>
      <c r="G20" s="751" t="s">
        <v>4872</v>
      </c>
      <c r="H20" s="39"/>
      <c r="I20" s="748"/>
      <c r="L20" s="9" t="s">
        <v>4873</v>
      </c>
      <c r="M20" s="16">
        <f>SUM(M16:M19)</f>
        <v>7098</v>
      </c>
    </row>
    <row r="21" spans="1:25" ht="25.5">
      <c r="A21" s="746" t="s">
        <v>4874</v>
      </c>
      <c r="C21" s="9" t="s">
        <v>4875</v>
      </c>
      <c r="D21" s="9" t="s">
        <v>4876</v>
      </c>
      <c r="E21" s="752"/>
      <c r="G21" s="41" t="s">
        <v>4877</v>
      </c>
      <c r="H21" s="44">
        <v>1.64</v>
      </c>
      <c r="I21" s="753" t="s">
        <v>192</v>
      </c>
      <c r="L21" s="9" t="s">
        <v>4878</v>
      </c>
      <c r="M21" s="16">
        <f>M20/144</f>
        <v>49.291666666666664</v>
      </c>
    </row>
    <row r="22" spans="1:25" ht="25.5">
      <c r="A22" s="746" t="s">
        <v>4879</v>
      </c>
      <c r="C22" s="9" t="s">
        <v>4880</v>
      </c>
      <c r="D22" s="9" t="s">
        <v>135</v>
      </c>
      <c r="G22" s="41" t="s">
        <v>4881</v>
      </c>
      <c r="H22" s="754">
        <f>H21/0.264</f>
        <v>6.212121212121211</v>
      </c>
      <c r="I22" s="744"/>
      <c r="L22" s="9" t="s">
        <v>4882</v>
      </c>
      <c r="M22" s="16">
        <f>M21*29</f>
        <v>1429.4583333333333</v>
      </c>
    </row>
    <row r="23" spans="1:25" ht="25.5">
      <c r="A23" s="746" t="s">
        <v>4883</v>
      </c>
      <c r="C23" s="9" t="s">
        <v>4884</v>
      </c>
      <c r="G23" s="77" t="s">
        <v>4885</v>
      </c>
      <c r="H23" s="755">
        <f>H22/1.2</f>
        <v>5.1767676767676765</v>
      </c>
      <c r="I23" s="756"/>
      <c r="L23" s="9" t="s">
        <v>391</v>
      </c>
      <c r="M23" s="16">
        <f>M21*50</f>
        <v>2464.583333333333</v>
      </c>
    </row>
    <row r="24" spans="1:25">
      <c r="A24" s="746" t="s">
        <v>4886</v>
      </c>
      <c r="C24" s="9" t="s">
        <v>4887</v>
      </c>
      <c r="E24" s="22"/>
      <c r="G24" s="9" t="s">
        <v>4888</v>
      </c>
      <c r="H24" s="9">
        <v>2.89</v>
      </c>
    </row>
    <row r="25" spans="1:25">
      <c r="A25" s="746" t="s">
        <v>4889</v>
      </c>
      <c r="C25" s="9" t="s">
        <v>4890</v>
      </c>
      <c r="E25" s="11"/>
      <c r="G25" s="9" t="s">
        <v>4891</v>
      </c>
      <c r="H25" s="9">
        <f>H23/H24</f>
        <v>1.7912690923071544</v>
      </c>
      <c r="K25" s="9" t="s">
        <v>4892</v>
      </c>
    </row>
    <row r="26" spans="1:25">
      <c r="A26" s="9" t="s">
        <v>4893</v>
      </c>
      <c r="C26" s="9" t="s">
        <v>4894</v>
      </c>
      <c r="E26" s="11"/>
      <c r="G26" s="9" t="s">
        <v>4895</v>
      </c>
      <c r="H26" s="741">
        <f>H21/H25</f>
        <v>0.91555200000000003</v>
      </c>
      <c r="K26" s="9">
        <f>42+40+151+40</f>
        <v>273</v>
      </c>
      <c r="L26" s="9">
        <v>4</v>
      </c>
      <c r="M26" s="9">
        <f>K26*L26</f>
        <v>1092</v>
      </c>
    </row>
    <row r="27" spans="1:25">
      <c r="A27" s="9" t="s">
        <v>4896</v>
      </c>
      <c r="C27" s="9" t="s">
        <v>4897</v>
      </c>
      <c r="E27" s="155"/>
      <c r="H27" s="9">
        <f>H24*0.264</f>
        <v>0.76296000000000008</v>
      </c>
      <c r="M27" s="9">
        <f>M26/144</f>
        <v>7.583333333333333</v>
      </c>
    </row>
    <row r="28" spans="1:25">
      <c r="A28" s="9" t="s">
        <v>4898</v>
      </c>
      <c r="C28" s="9" t="s">
        <v>4899</v>
      </c>
      <c r="E28" s="155"/>
      <c r="F28" s="9"/>
      <c r="G28" s="9"/>
      <c r="H28" s="9"/>
      <c r="I28" s="9"/>
      <c r="J28" s="9" t="s">
        <v>3518</v>
      </c>
      <c r="K28" s="9"/>
      <c r="L28" s="9"/>
      <c r="M28" s="9">
        <f>M27*29</f>
        <v>219.91666666666666</v>
      </c>
      <c r="N28" s="9"/>
      <c r="O28" s="9"/>
      <c r="P28" s="9"/>
      <c r="Q28" s="9"/>
      <c r="R28" s="9"/>
      <c r="S28" s="9"/>
      <c r="T28" s="9"/>
      <c r="U28" s="9"/>
      <c r="V28" s="9"/>
      <c r="W28" s="9"/>
      <c r="X28" s="9"/>
      <c r="Y28" s="9"/>
    </row>
    <row r="29" spans="1:25">
      <c r="C29" s="9" t="s">
        <v>4900</v>
      </c>
      <c r="E29" s="11"/>
      <c r="G29" s="16">
        <v>7800000000</v>
      </c>
      <c r="H29" s="18"/>
      <c r="I29" s="18"/>
    </row>
    <row r="30" spans="1:25" ht="25.5">
      <c r="C30" s="9" t="s">
        <v>4901</v>
      </c>
      <c r="G30" s="16">
        <f>G29/80/365/24/60/2</f>
        <v>92.751141552511413</v>
      </c>
      <c r="H30" s="18"/>
      <c r="I30" s="18"/>
    </row>
    <row r="31" spans="1:25">
      <c r="C31" s="16"/>
      <c r="D31" s="9" t="s">
        <v>4902</v>
      </c>
      <c r="E31" s="11"/>
      <c r="F31" s="9"/>
      <c r="G31" s="757"/>
      <c r="H31" s="18" t="s">
        <v>4903</v>
      </c>
      <c r="I31" s="9" t="s">
        <v>4904</v>
      </c>
    </row>
    <row r="32" spans="1:25" ht="25.5">
      <c r="B32" s="758"/>
      <c r="C32" s="759"/>
      <c r="D32" s="9" t="s">
        <v>4905</v>
      </c>
      <c r="F32" s="9"/>
      <c r="G32" s="757"/>
      <c r="H32" s="18"/>
      <c r="I32" s="9" t="s">
        <v>4906</v>
      </c>
    </row>
    <row r="33" spans="1:14">
      <c r="C33" s="16"/>
      <c r="D33" s="9" t="s">
        <v>4907</v>
      </c>
      <c r="F33" s="9"/>
      <c r="G33" s="757"/>
      <c r="H33" s="18"/>
      <c r="J33" s="9" t="s">
        <v>3518</v>
      </c>
    </row>
    <row r="34" spans="1:14">
      <c r="A34" s="35"/>
      <c r="C34" s="16"/>
      <c r="D34" s="9" t="s">
        <v>4908</v>
      </c>
      <c r="E34" s="11"/>
      <c r="F34" s="9"/>
      <c r="G34" s="757"/>
    </row>
    <row r="35" spans="1:14" ht="25.5">
      <c r="A35" s="20"/>
      <c r="C35" s="16"/>
      <c r="D35" s="9" t="s">
        <v>4909</v>
      </c>
      <c r="E35" s="11"/>
      <c r="F35" s="9"/>
      <c r="G35" s="757"/>
    </row>
    <row r="36" spans="1:14">
      <c r="A36" s="20"/>
      <c r="B36" s="758"/>
      <c r="C36" s="759"/>
      <c r="D36" s="9" t="s">
        <v>4910</v>
      </c>
      <c r="E36" s="9"/>
      <c r="F36" s="9"/>
      <c r="G36" s="757"/>
    </row>
    <row r="37" spans="1:14">
      <c r="A37" s="20"/>
      <c r="B37" s="760"/>
      <c r="C37" s="761"/>
      <c r="D37" s="2088" t="s">
        <v>4911</v>
      </c>
      <c r="E37" s="2087"/>
      <c r="F37" s="9"/>
      <c r="G37" s="757"/>
      <c r="K37" s="3" t="s">
        <v>4912</v>
      </c>
    </row>
    <row r="38" spans="1:14">
      <c r="A38" s="20"/>
      <c r="B38" s="758"/>
      <c r="C38" s="759"/>
      <c r="D38" s="9" t="s">
        <v>4913</v>
      </c>
      <c r="E38" s="9"/>
      <c r="F38" s="9"/>
      <c r="G38" s="757"/>
      <c r="K38" s="18" t="s">
        <v>4914</v>
      </c>
    </row>
    <row r="39" spans="1:14">
      <c r="A39" s="20"/>
      <c r="C39" s="16"/>
      <c r="D39" s="9" t="s">
        <v>4915</v>
      </c>
      <c r="E39" s="9"/>
      <c r="F39" s="9"/>
      <c r="G39" s="757"/>
      <c r="K39" s="18" t="s">
        <v>4916</v>
      </c>
    </row>
    <row r="40" spans="1:14">
      <c r="C40" s="16"/>
      <c r="D40" s="9" t="s">
        <v>4917</v>
      </c>
      <c r="E40" s="3" t="s">
        <v>4918</v>
      </c>
      <c r="F40" s="9"/>
      <c r="G40" s="757"/>
      <c r="K40" s="18" t="s">
        <v>4919</v>
      </c>
      <c r="M40" s="82" t="s">
        <v>4920</v>
      </c>
    </row>
    <row r="41" spans="1:14">
      <c r="A41" s="20"/>
      <c r="C41" s="16"/>
      <c r="D41" s="9" t="s">
        <v>4908</v>
      </c>
      <c r="E41" s="9" t="s">
        <v>4921</v>
      </c>
      <c r="F41" s="196">
        <v>429.61</v>
      </c>
      <c r="G41" s="757"/>
      <c r="H41" s="445" t="s">
        <v>4922</v>
      </c>
      <c r="K41" s="445" t="s">
        <v>4923</v>
      </c>
      <c r="L41" s="25" t="s">
        <v>4924</v>
      </c>
    </row>
    <row r="42" spans="1:14">
      <c r="C42" s="16"/>
      <c r="D42" s="9" t="s">
        <v>4925</v>
      </c>
      <c r="E42" s="40" t="s">
        <v>4926</v>
      </c>
      <c r="F42" s="196">
        <v>748.9</v>
      </c>
      <c r="G42" s="757"/>
      <c r="H42" s="762" t="s">
        <v>4927</v>
      </c>
      <c r="K42" s="18" t="s">
        <v>4928</v>
      </c>
    </row>
    <row r="43" spans="1:14">
      <c r="A43" s="3"/>
      <c r="C43" s="16"/>
      <c r="E43" s="40" t="s">
        <v>4929</v>
      </c>
      <c r="F43" s="196">
        <v>389.99</v>
      </c>
      <c r="G43" s="757"/>
      <c r="H43" s="762" t="s">
        <v>4930</v>
      </c>
      <c r="K43" s="18" t="s">
        <v>4931</v>
      </c>
      <c r="L43" s="18" t="s">
        <v>4932</v>
      </c>
    </row>
    <row r="44" spans="1:14">
      <c r="C44" s="16"/>
      <c r="E44" s="40" t="s">
        <v>4811</v>
      </c>
      <c r="F44" s="196">
        <v>154.99</v>
      </c>
      <c r="G44" s="757"/>
      <c r="H44" s="763" t="s">
        <v>4933</v>
      </c>
      <c r="K44" s="18" t="s">
        <v>4934</v>
      </c>
      <c r="L44" s="18" t="s">
        <v>4935</v>
      </c>
    </row>
    <row r="45" spans="1:14">
      <c r="C45" s="16"/>
      <c r="E45" s="9" t="s">
        <v>4936</v>
      </c>
      <c r="F45" s="196">
        <v>276.51</v>
      </c>
      <c r="G45" s="16"/>
      <c r="H45" s="764"/>
      <c r="K45" s="18" t="s">
        <v>4937</v>
      </c>
    </row>
    <row r="46" spans="1:14">
      <c r="C46" s="427"/>
      <c r="F46" s="196"/>
      <c r="H46" s="18" t="s">
        <v>4938</v>
      </c>
      <c r="I46" s="16"/>
      <c r="K46" s="18" t="s">
        <v>4939</v>
      </c>
      <c r="L46" s="18" t="s">
        <v>4940</v>
      </c>
      <c r="N46" s="9" t="s">
        <v>1324</v>
      </c>
    </row>
    <row r="47" spans="1:14">
      <c r="E47" s="9" t="s">
        <v>67</v>
      </c>
      <c r="F47" s="765">
        <f>SUM(F41:F46)</f>
        <v>2000</v>
      </c>
      <c r="I47" s="16"/>
      <c r="K47" s="18" t="s">
        <v>4941</v>
      </c>
      <c r="L47" s="18" t="s">
        <v>4942</v>
      </c>
      <c r="M47" s="9">
        <v>0</v>
      </c>
      <c r="N47" s="9" t="s">
        <v>1324</v>
      </c>
    </row>
    <row r="48" spans="1:14">
      <c r="I48" s="16"/>
      <c r="K48" s="445" t="s">
        <v>4943</v>
      </c>
      <c r="L48" s="9" t="s">
        <v>4944</v>
      </c>
      <c r="M48" s="9">
        <v>0</v>
      </c>
      <c r="N48" s="9" t="s">
        <v>4945</v>
      </c>
    </row>
    <row r="49" spans="1:14">
      <c r="I49" s="16"/>
      <c r="K49" s="18" t="s">
        <v>4946</v>
      </c>
      <c r="L49" s="18" t="s">
        <v>4947</v>
      </c>
      <c r="M49" s="9">
        <v>0</v>
      </c>
      <c r="N49" s="9" t="s">
        <v>1324</v>
      </c>
    </row>
    <row r="50" spans="1:14">
      <c r="H50" s="3" t="s">
        <v>1123</v>
      </c>
    </row>
    <row r="51" spans="1:14">
      <c r="H51" s="9" t="s">
        <v>4948</v>
      </c>
      <c r="K51" s="18" t="s">
        <v>4949</v>
      </c>
      <c r="L51" s="18" t="s">
        <v>4950</v>
      </c>
      <c r="M51" s="9">
        <v>0</v>
      </c>
      <c r="N51" s="9" t="s">
        <v>1324</v>
      </c>
    </row>
    <row r="52" spans="1:14">
      <c r="H52" s="9" t="s">
        <v>4951</v>
      </c>
    </row>
    <row r="53" spans="1:14">
      <c r="H53" s="9" t="s">
        <v>4952</v>
      </c>
      <c r="K53" s="445" t="s">
        <v>4953</v>
      </c>
      <c r="L53" s="9" t="s">
        <v>4950</v>
      </c>
      <c r="M53" s="9">
        <v>0</v>
      </c>
      <c r="N53" s="9" t="s">
        <v>4945</v>
      </c>
    </row>
    <row r="54" spans="1:14">
      <c r="H54" s="9" t="s">
        <v>4954</v>
      </c>
      <c r="K54" s="445" t="s">
        <v>4955</v>
      </c>
      <c r="L54" s="445" t="s">
        <v>4950</v>
      </c>
      <c r="M54" s="9">
        <v>0</v>
      </c>
      <c r="N54" s="9" t="s">
        <v>4945</v>
      </c>
    </row>
    <row r="55" spans="1:14">
      <c r="H55" s="9" t="s">
        <v>4956</v>
      </c>
      <c r="K55" s="18" t="s">
        <v>4957</v>
      </c>
      <c r="L55" s="9" t="s">
        <v>4950</v>
      </c>
      <c r="M55" s="9">
        <v>10</v>
      </c>
      <c r="N55" s="9" t="s">
        <v>1324</v>
      </c>
    </row>
    <row r="56" spans="1:14">
      <c r="H56" s="9" t="s">
        <v>3312</v>
      </c>
      <c r="K56" s="9" t="s">
        <v>2305</v>
      </c>
      <c r="M56" s="9">
        <v>5</v>
      </c>
      <c r="N56" s="9" t="s">
        <v>1324</v>
      </c>
    </row>
    <row r="57" spans="1:14">
      <c r="H57" s="9" t="s">
        <v>4958</v>
      </c>
      <c r="K57" s="9" t="s">
        <v>4959</v>
      </c>
      <c r="L57" s="9" t="s">
        <v>4960</v>
      </c>
      <c r="M57" s="9">
        <v>15</v>
      </c>
      <c r="N57" s="9" t="s">
        <v>1324</v>
      </c>
    </row>
    <row r="58" spans="1:14">
      <c r="B58" s="766"/>
      <c r="H58" s="9" t="s">
        <v>4961</v>
      </c>
    </row>
    <row r="59" spans="1:14">
      <c r="H59" s="9" t="s">
        <v>4962</v>
      </c>
      <c r="M59" s="9">
        <f>SUM(M45:M57)</f>
        <v>30</v>
      </c>
    </row>
    <row r="60" spans="1:14">
      <c r="H60" s="9" t="s">
        <v>4963</v>
      </c>
      <c r="K60" s="9" t="s">
        <v>4964</v>
      </c>
      <c r="M60" s="767">
        <f>M59/60</f>
        <v>0.5</v>
      </c>
    </row>
    <row r="61" spans="1:14">
      <c r="A61" s="3"/>
      <c r="B61" s="43"/>
      <c r="C61" s="43"/>
      <c r="D61" s="43"/>
      <c r="E61" s="3"/>
      <c r="H61" s="9" t="s">
        <v>4965</v>
      </c>
      <c r="K61" s="9" t="s">
        <v>4966</v>
      </c>
    </row>
    <row r="62" spans="1:14">
      <c r="B62" s="16"/>
      <c r="C62" s="16"/>
      <c r="H62" s="9" t="s">
        <v>4967</v>
      </c>
      <c r="K62" s="336" t="s">
        <v>4968</v>
      </c>
    </row>
    <row r="63" spans="1:14">
      <c r="B63" s="16"/>
      <c r="C63" s="16"/>
      <c r="H63" s="9" t="s">
        <v>4969</v>
      </c>
    </row>
    <row r="64" spans="1:14">
      <c r="B64" s="16"/>
      <c r="C64" s="16"/>
      <c r="H64" s="9" t="s">
        <v>4970</v>
      </c>
    </row>
    <row r="65" spans="1:11">
      <c r="B65" s="16"/>
      <c r="C65" s="16"/>
      <c r="H65" s="9" t="s">
        <v>4971</v>
      </c>
      <c r="K65" s="9" t="s">
        <v>1460</v>
      </c>
    </row>
    <row r="66" spans="1:11" ht="25.5">
      <c r="B66" s="16"/>
      <c r="C66" s="16"/>
      <c r="H66" s="9" t="s">
        <v>4972</v>
      </c>
      <c r="K66" s="9" t="s">
        <v>4973</v>
      </c>
    </row>
    <row r="67" spans="1:11">
      <c r="B67" s="16"/>
      <c r="C67" s="16"/>
      <c r="H67" s="9" t="s">
        <v>4974</v>
      </c>
      <c r="K67" s="9" t="s">
        <v>4975</v>
      </c>
    </row>
    <row r="68" spans="1:11">
      <c r="B68" s="16"/>
      <c r="C68" s="16"/>
      <c r="H68" s="9" t="s">
        <v>4976</v>
      </c>
      <c r="K68" s="9" t="s">
        <v>3194</v>
      </c>
    </row>
    <row r="69" spans="1:11">
      <c r="B69" s="16"/>
      <c r="C69" s="16"/>
      <c r="H69" s="9" t="s">
        <v>4977</v>
      </c>
    </row>
    <row r="70" spans="1:11">
      <c r="B70" s="16"/>
      <c r="C70" s="16"/>
      <c r="H70" s="9" t="s">
        <v>4978</v>
      </c>
    </row>
    <row r="71" spans="1:11" ht="25.5">
      <c r="B71" s="16"/>
      <c r="C71" s="16"/>
      <c r="H71" s="9" t="s">
        <v>4979</v>
      </c>
    </row>
    <row r="72" spans="1:11">
      <c r="B72" s="16"/>
      <c r="C72" s="16"/>
      <c r="H72" s="9" t="s">
        <v>4980</v>
      </c>
    </row>
    <row r="73" spans="1:11">
      <c r="H73" s="9" t="s">
        <v>4981</v>
      </c>
    </row>
    <row r="74" spans="1:11">
      <c r="B74" s="16"/>
      <c r="C74" s="16"/>
      <c r="H74" s="9" t="s">
        <v>4982</v>
      </c>
    </row>
    <row r="75" spans="1:11">
      <c r="A75" s="3"/>
      <c r="B75" s="34"/>
      <c r="C75" s="34"/>
      <c r="D75" s="34"/>
      <c r="E75" s="34"/>
      <c r="H75" s="9" t="s">
        <v>4983</v>
      </c>
    </row>
    <row r="76" spans="1:11">
      <c r="A76" s="3"/>
      <c r="B76" s="49"/>
      <c r="C76" s="34"/>
      <c r="D76" s="34"/>
      <c r="E76" s="34"/>
    </row>
    <row r="77" spans="1:11">
      <c r="B77" s="82"/>
    </row>
    <row r="79" spans="1:11">
      <c r="E79" s="3" t="s">
        <v>4984</v>
      </c>
      <c r="F79" s="3" t="s">
        <v>4985</v>
      </c>
      <c r="G79" s="3" t="s">
        <v>4986</v>
      </c>
      <c r="H79" s="3" t="s">
        <v>4987</v>
      </c>
    </row>
    <row r="80" spans="1:11">
      <c r="E80" s="3"/>
      <c r="F80" s="9" t="s">
        <v>4988</v>
      </c>
      <c r="G80" s="9" t="s">
        <v>4989</v>
      </c>
      <c r="H80" s="9" t="s">
        <v>4990</v>
      </c>
      <c r="I80" s="40">
        <v>1</v>
      </c>
    </row>
    <row r="81" spans="6:25" ht="25.5">
      <c r="F81" s="768" t="s">
        <v>4991</v>
      </c>
      <c r="G81" s="9" t="s">
        <v>4992</v>
      </c>
      <c r="H81" s="9" t="s">
        <v>4993</v>
      </c>
      <c r="I81" s="40">
        <v>2</v>
      </c>
    </row>
    <row r="82" spans="6:25">
      <c r="G82" s="18" t="s">
        <v>4994</v>
      </c>
      <c r="H82" s="9" t="s">
        <v>4995</v>
      </c>
      <c r="I82" s="40">
        <v>3</v>
      </c>
    </row>
    <row r="83" spans="6:25">
      <c r="G83" s="9" t="s">
        <v>4996</v>
      </c>
      <c r="H83" s="9" t="s">
        <v>4997</v>
      </c>
      <c r="I83" s="40">
        <v>4</v>
      </c>
    </row>
    <row r="84" spans="6:25">
      <c r="G84" s="9" t="s">
        <v>4998</v>
      </c>
      <c r="H84" s="9" t="s">
        <v>4999</v>
      </c>
      <c r="I84" s="40">
        <v>5</v>
      </c>
    </row>
    <row r="85" spans="6:25" ht="25.5">
      <c r="G85" s="18" t="s">
        <v>5000</v>
      </c>
      <c r="H85" s="9" t="s">
        <v>5001</v>
      </c>
      <c r="I85" s="40">
        <v>6</v>
      </c>
    </row>
    <row r="86" spans="6:25">
      <c r="G86" s="9" t="s">
        <v>5002</v>
      </c>
      <c r="H86" s="9" t="s">
        <v>5003</v>
      </c>
      <c r="I86" s="40">
        <v>7</v>
      </c>
      <c r="L86" s="3"/>
      <c r="M86" s="3"/>
      <c r="N86" s="3"/>
      <c r="O86" s="3"/>
      <c r="P86" s="3"/>
      <c r="Q86" s="3"/>
      <c r="R86" s="3"/>
      <c r="S86" s="3"/>
      <c r="T86" s="3"/>
      <c r="U86" s="3"/>
      <c r="V86" s="3"/>
      <c r="W86" s="3"/>
      <c r="X86" s="3"/>
      <c r="Y86" s="3"/>
    </row>
    <row r="87" spans="6:25" ht="25.5">
      <c r="G87" s="9" t="s">
        <v>5004</v>
      </c>
      <c r="H87" s="9" t="s">
        <v>5005</v>
      </c>
      <c r="I87" s="40">
        <v>8</v>
      </c>
      <c r="L87" s="3"/>
      <c r="M87" s="3"/>
      <c r="N87" s="3"/>
      <c r="O87" s="3"/>
      <c r="P87" s="3"/>
      <c r="Q87" s="3"/>
      <c r="R87" s="3"/>
      <c r="S87" s="3"/>
      <c r="T87" s="3"/>
      <c r="U87" s="3"/>
      <c r="V87" s="3"/>
      <c r="W87" s="3"/>
      <c r="X87" s="3"/>
      <c r="Y87" s="3"/>
    </row>
    <row r="88" spans="6:25">
      <c r="G88" s="341" t="s">
        <v>5006</v>
      </c>
      <c r="H88" s="9" t="s">
        <v>5007</v>
      </c>
      <c r="I88" s="40">
        <v>9</v>
      </c>
    </row>
    <row r="89" spans="6:25">
      <c r="G89" s="9" t="s">
        <v>5008</v>
      </c>
    </row>
    <row r="90" spans="6:25">
      <c r="G90" s="18" t="s">
        <v>5009</v>
      </c>
    </row>
    <row r="91" spans="6:25">
      <c r="G91" s="341" t="s">
        <v>5010</v>
      </c>
    </row>
    <row r="92" spans="6:25">
      <c r="G92" s="9" t="s">
        <v>5011</v>
      </c>
    </row>
    <row r="93" spans="6:25">
      <c r="G93" s="9" t="s">
        <v>5012</v>
      </c>
    </row>
    <row r="102" spans="7:10">
      <c r="G102" s="3" t="s">
        <v>5013</v>
      </c>
      <c r="H102" s="3" t="s">
        <v>5014</v>
      </c>
      <c r="I102" s="3" t="s">
        <v>5015</v>
      </c>
    </row>
    <row r="103" spans="7:10">
      <c r="G103" s="18" t="s">
        <v>5016</v>
      </c>
      <c r="H103" s="40">
        <v>1</v>
      </c>
      <c r="I103" s="40" t="s">
        <v>5017</v>
      </c>
      <c r="J103" s="9">
        <v>1</v>
      </c>
    </row>
    <row r="104" spans="7:10">
      <c r="G104" s="18" t="s">
        <v>5018</v>
      </c>
      <c r="H104" s="40">
        <v>1</v>
      </c>
      <c r="I104" s="40">
        <v>97048</v>
      </c>
      <c r="J104" s="9">
        <v>2</v>
      </c>
    </row>
    <row r="105" spans="7:10">
      <c r="G105" s="18" t="s">
        <v>5019</v>
      </c>
      <c r="H105" s="40">
        <v>1</v>
      </c>
      <c r="I105" s="40" t="s">
        <v>5020</v>
      </c>
      <c r="J105" s="9">
        <v>3</v>
      </c>
    </row>
    <row r="106" spans="7:10">
      <c r="G106" s="18" t="s">
        <v>5021</v>
      </c>
      <c r="H106" s="40">
        <v>2</v>
      </c>
      <c r="I106" s="40" t="s">
        <v>5022</v>
      </c>
      <c r="J106" s="9">
        <v>4</v>
      </c>
    </row>
    <row r="107" spans="7:10">
      <c r="G107" s="9" t="s">
        <v>5023</v>
      </c>
      <c r="H107" s="40">
        <v>2</v>
      </c>
      <c r="I107" s="40" t="s">
        <v>5024</v>
      </c>
      <c r="J107" s="9">
        <v>5</v>
      </c>
    </row>
    <row r="108" spans="7:10">
      <c r="G108" s="9" t="s">
        <v>5025</v>
      </c>
      <c r="H108" s="40">
        <v>3</v>
      </c>
      <c r="I108" s="40" t="s">
        <v>5026</v>
      </c>
      <c r="J108" s="9">
        <v>6</v>
      </c>
    </row>
    <row r="109" spans="7:10">
      <c r="G109" s="18" t="s">
        <v>30</v>
      </c>
      <c r="H109" s="40">
        <v>3</v>
      </c>
      <c r="I109" s="40" t="s">
        <v>32</v>
      </c>
      <c r="J109" s="9">
        <v>7</v>
      </c>
    </row>
    <row r="110" spans="7:10">
      <c r="G110" s="18" t="s">
        <v>5027</v>
      </c>
      <c r="H110" s="40">
        <v>4</v>
      </c>
      <c r="I110" s="40" t="s">
        <v>5028</v>
      </c>
      <c r="J110" s="9">
        <v>8</v>
      </c>
    </row>
    <row r="111" spans="7:10">
      <c r="G111" s="18" t="s">
        <v>5029</v>
      </c>
      <c r="H111" s="40">
        <v>5</v>
      </c>
      <c r="I111" s="40" t="s">
        <v>5030</v>
      </c>
    </row>
    <row r="112" spans="7:10" ht="25.5">
      <c r="G112" s="18" t="s">
        <v>5031</v>
      </c>
      <c r="H112" s="40">
        <v>6</v>
      </c>
      <c r="I112" s="40" t="s">
        <v>5032</v>
      </c>
    </row>
    <row r="113" spans="1:9">
      <c r="G113" s="9" t="s">
        <v>3916</v>
      </c>
      <c r="H113" s="40">
        <v>6</v>
      </c>
      <c r="I113" s="40" t="s">
        <v>5033</v>
      </c>
    </row>
    <row r="114" spans="1:9" ht="25.5">
      <c r="A114" s="3" t="s">
        <v>5034</v>
      </c>
      <c r="G114" s="9" t="s">
        <v>5035</v>
      </c>
      <c r="H114" s="40">
        <v>6</v>
      </c>
      <c r="I114" s="40" t="s">
        <v>5036</v>
      </c>
    </row>
    <row r="115" spans="1:9">
      <c r="A115" s="2088" t="s">
        <v>5037</v>
      </c>
      <c r="B115" s="2087"/>
      <c r="C115" s="2087"/>
      <c r="D115" s="2087"/>
      <c r="G115" s="9" t="s">
        <v>5038</v>
      </c>
      <c r="H115" s="40">
        <v>6</v>
      </c>
    </row>
    <row r="116" spans="1:9">
      <c r="A116" s="2088" t="s">
        <v>5039</v>
      </c>
      <c r="B116" s="2087"/>
      <c r="C116" s="2087"/>
      <c r="D116" s="2087"/>
      <c r="G116" s="18" t="s">
        <v>5040</v>
      </c>
      <c r="H116" s="40">
        <v>6</v>
      </c>
    </row>
    <row r="117" spans="1:9">
      <c r="A117" s="2088" t="s">
        <v>5041</v>
      </c>
      <c r="B117" s="2087"/>
      <c r="C117" s="2087"/>
      <c r="D117" s="2087"/>
      <c r="G117" s="18" t="s">
        <v>5042</v>
      </c>
      <c r="H117" s="40">
        <v>6</v>
      </c>
    </row>
    <row r="118" spans="1:9">
      <c r="A118" s="2088" t="s">
        <v>5043</v>
      </c>
      <c r="B118" s="2087"/>
      <c r="C118" s="2087"/>
      <c r="D118" s="2087"/>
      <c r="G118" s="9" t="s">
        <v>5044</v>
      </c>
      <c r="H118" s="40">
        <v>6</v>
      </c>
    </row>
    <row r="119" spans="1:9">
      <c r="A119" s="2088" t="s">
        <v>5045</v>
      </c>
      <c r="B119" s="2087"/>
      <c r="C119" s="2087"/>
      <c r="D119" s="2087"/>
      <c r="G119" s="9" t="s">
        <v>5046</v>
      </c>
      <c r="H119" s="40">
        <v>6</v>
      </c>
    </row>
    <row r="120" spans="1:9">
      <c r="A120" s="2088" t="s">
        <v>5047</v>
      </c>
      <c r="B120" s="2087"/>
      <c r="C120" s="2087"/>
      <c r="D120" s="2087"/>
      <c r="G120" s="9" t="s">
        <v>5048</v>
      </c>
      <c r="H120" s="40">
        <v>7</v>
      </c>
    </row>
    <row r="121" spans="1:9">
      <c r="A121" s="2088" t="s">
        <v>5049</v>
      </c>
      <c r="B121" s="2087"/>
      <c r="C121" s="2087"/>
      <c r="D121" s="2087"/>
      <c r="G121" s="9" t="s">
        <v>5050</v>
      </c>
      <c r="H121" s="40">
        <v>7</v>
      </c>
    </row>
    <row r="122" spans="1:9">
      <c r="A122" s="2087"/>
      <c r="B122" s="2087"/>
      <c r="C122" s="2087"/>
      <c r="D122" s="2087"/>
      <c r="G122" s="9" t="s">
        <v>5051</v>
      </c>
      <c r="H122" s="40">
        <v>7</v>
      </c>
    </row>
    <row r="123" spans="1:9">
      <c r="A123" s="2087"/>
      <c r="B123" s="2087"/>
      <c r="C123" s="2087"/>
      <c r="D123" s="2087"/>
      <c r="G123" s="9" t="s">
        <v>5052</v>
      </c>
      <c r="H123" s="40">
        <v>7</v>
      </c>
    </row>
    <row r="124" spans="1:9">
      <c r="A124" s="2087"/>
      <c r="B124" s="2087"/>
      <c r="C124" s="2087"/>
      <c r="D124" s="2087"/>
      <c r="G124" s="9" t="s">
        <v>5053</v>
      </c>
      <c r="H124" s="40">
        <v>7</v>
      </c>
    </row>
    <row r="125" spans="1:9" ht="12.75" customHeight="1">
      <c r="A125" s="2087"/>
      <c r="B125" s="2087"/>
      <c r="C125" s="2087"/>
      <c r="D125" s="2087"/>
    </row>
    <row r="126" spans="1:9" ht="12.75" customHeight="1">
      <c r="A126" s="2087"/>
      <c r="B126" s="2087"/>
      <c r="C126" s="2087"/>
      <c r="D126" s="2087"/>
    </row>
    <row r="127" spans="1:9" ht="12.75" customHeight="1">
      <c r="A127" s="2087"/>
      <c r="B127" s="2087"/>
      <c r="C127" s="2087"/>
      <c r="D127" s="2087"/>
    </row>
    <row r="128" spans="1:9" ht="12.75" customHeight="1">
      <c r="A128" s="2087"/>
      <c r="B128" s="2087"/>
      <c r="C128" s="2087"/>
      <c r="D128" s="2087"/>
    </row>
    <row r="129" spans="1:4" ht="12.75" customHeight="1">
      <c r="A129" s="2087"/>
      <c r="B129" s="2087"/>
      <c r="C129" s="2087"/>
      <c r="D129" s="2087"/>
    </row>
    <row r="130" spans="1:4" ht="12.75" customHeight="1">
      <c r="A130" s="2087"/>
      <c r="B130" s="2087"/>
      <c r="C130" s="2087"/>
      <c r="D130" s="2087"/>
    </row>
    <row r="131" spans="1:4" ht="12.75" customHeight="1">
      <c r="A131" s="2087"/>
      <c r="B131" s="2087"/>
      <c r="C131" s="2087"/>
      <c r="D131" s="2087"/>
    </row>
    <row r="132" spans="1:4" ht="12.75" customHeight="1">
      <c r="A132" s="2087"/>
      <c r="B132" s="2087"/>
      <c r="C132" s="2087"/>
      <c r="D132" s="2087"/>
    </row>
    <row r="133" spans="1:4" ht="12.75" customHeight="1">
      <c r="A133" s="2087"/>
      <c r="B133" s="2087"/>
      <c r="C133" s="2087"/>
      <c r="D133" s="2087"/>
    </row>
    <row r="134" spans="1:4" ht="12.75" customHeight="1">
      <c r="A134" s="2087"/>
      <c r="B134" s="2087"/>
      <c r="C134" s="2087"/>
      <c r="D134" s="2087"/>
    </row>
    <row r="135" spans="1:4" ht="12.75" customHeight="1">
      <c r="A135" s="2087"/>
      <c r="B135" s="2087"/>
      <c r="C135" s="2087"/>
      <c r="D135" s="2087"/>
    </row>
  </sheetData>
  <mergeCells count="22">
    <mergeCell ref="A131:D131"/>
    <mergeCell ref="A132:D132"/>
    <mergeCell ref="A133:D133"/>
    <mergeCell ref="A134:D134"/>
    <mergeCell ref="A135:D135"/>
    <mergeCell ref="A119:D119"/>
    <mergeCell ref="A120:D120"/>
    <mergeCell ref="A128:D128"/>
    <mergeCell ref="A129:D129"/>
    <mergeCell ref="A130:D130"/>
    <mergeCell ref="A121:D121"/>
    <mergeCell ref="A122:D122"/>
    <mergeCell ref="A123:D123"/>
    <mergeCell ref="A124:D124"/>
    <mergeCell ref="A125:D125"/>
    <mergeCell ref="A126:D126"/>
    <mergeCell ref="A127:D127"/>
    <mergeCell ref="D37:E37"/>
    <mergeCell ref="A115:D115"/>
    <mergeCell ref="A116:D116"/>
    <mergeCell ref="A117:D117"/>
    <mergeCell ref="A118:D118"/>
  </mergeCells>
  <hyperlinks>
    <hyperlink ref="A5" r:id="rId1" xr:uid="{00000000-0004-0000-0F00-000000000000}"/>
  </hyperlinks>
  <printOptions horizontalCentered="1" gridLines="1"/>
  <pageMargins left="0.7" right="0.7" top="0.75" bottom="0.75" header="0" footer="0"/>
  <pageSetup fitToHeight="0" pageOrder="overThenDown" orientation="portrait" cellComments="atEnd"/>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V56"/>
  <sheetViews>
    <sheetView workbookViewId="0"/>
  </sheetViews>
  <sheetFormatPr defaultColWidth="12.7109375" defaultRowHeight="12.75" customHeight="1"/>
  <cols>
    <col min="1" max="1" width="2.28515625" customWidth="1"/>
    <col min="2" max="2" width="19.85546875" customWidth="1"/>
    <col min="3" max="14" width="9.85546875" customWidth="1"/>
    <col min="15" max="15" width="9.28515625" customWidth="1"/>
    <col min="16" max="16" width="2.42578125" customWidth="1"/>
    <col min="17" max="17" width="8.28515625" customWidth="1"/>
    <col min="18" max="18" width="23.28515625" customWidth="1"/>
    <col min="19" max="19" width="5.28515625" customWidth="1"/>
    <col min="20" max="20" width="4.7109375" customWidth="1"/>
    <col min="21" max="21" width="6.28515625" customWidth="1"/>
  </cols>
  <sheetData>
    <row r="1" spans="1:22">
      <c r="B1" s="660"/>
      <c r="C1" s="660"/>
      <c r="D1" s="660"/>
      <c r="E1" s="660"/>
      <c r="F1" s="660"/>
      <c r="G1" s="660"/>
      <c r="H1" s="660"/>
      <c r="I1" s="660"/>
      <c r="J1" s="660"/>
      <c r="K1" s="660"/>
      <c r="L1" s="660"/>
      <c r="M1" s="660"/>
      <c r="N1" s="660"/>
      <c r="O1" s="660"/>
      <c r="P1" s="660"/>
      <c r="R1" s="9" t="s">
        <v>4386</v>
      </c>
      <c r="T1" s="9" t="s">
        <v>4387</v>
      </c>
    </row>
    <row r="2" spans="1:22">
      <c r="B2" s="660"/>
      <c r="C2" s="660"/>
      <c r="D2" s="660"/>
      <c r="E2" s="660"/>
      <c r="F2" s="660"/>
      <c r="G2" s="660"/>
      <c r="H2" s="660"/>
      <c r="I2" s="660"/>
      <c r="J2" s="660"/>
      <c r="K2" s="660"/>
      <c r="L2" s="660"/>
      <c r="M2" s="660"/>
      <c r="N2" s="660"/>
      <c r="O2" s="660"/>
      <c r="P2" s="660"/>
      <c r="V2" s="9" t="s">
        <v>4388</v>
      </c>
    </row>
    <row r="3" spans="1:22" ht="25.5">
      <c r="A3" s="714"/>
      <c r="B3" s="2126" t="s">
        <v>4389</v>
      </c>
      <c r="C3" s="2127"/>
      <c r="D3" s="2127"/>
      <c r="E3" s="2127"/>
      <c r="F3" s="2127"/>
      <c r="G3" s="2127"/>
      <c r="H3" s="2127"/>
      <c r="I3" s="2127"/>
      <c r="J3" s="2127"/>
      <c r="K3" s="2127"/>
      <c r="L3" s="2127"/>
      <c r="M3" s="2127"/>
      <c r="N3" s="2127"/>
      <c r="O3" s="2128"/>
      <c r="P3" s="661"/>
      <c r="R3" s="9" t="s">
        <v>4390</v>
      </c>
      <c r="S3" s="9">
        <v>2.99</v>
      </c>
      <c r="T3" s="9">
        <v>27</v>
      </c>
      <c r="U3" s="9" t="s">
        <v>116</v>
      </c>
      <c r="V3" s="9" t="s">
        <v>1114</v>
      </c>
    </row>
    <row r="4" spans="1:22" ht="25.5">
      <c r="A4" s="714"/>
      <c r="B4" s="662" t="s">
        <v>5054</v>
      </c>
      <c r="C4" s="663" t="s">
        <v>143</v>
      </c>
      <c r="D4" s="663" t="s">
        <v>26</v>
      </c>
      <c r="E4" s="663" t="s">
        <v>25</v>
      </c>
      <c r="F4" s="663" t="s">
        <v>24</v>
      </c>
      <c r="G4" s="663" t="s">
        <v>23</v>
      </c>
      <c r="H4" s="663" t="s">
        <v>22</v>
      </c>
      <c r="I4" s="663" t="s">
        <v>21</v>
      </c>
      <c r="J4" s="663" t="s">
        <v>20</v>
      </c>
      <c r="K4" s="663" t="s">
        <v>256</v>
      </c>
      <c r="L4" s="663" t="s">
        <v>18</v>
      </c>
      <c r="M4" s="663" t="s">
        <v>17</v>
      </c>
      <c r="N4" s="663" t="s">
        <v>86</v>
      </c>
      <c r="O4" s="664" t="s">
        <v>67</v>
      </c>
      <c r="P4" s="665"/>
      <c r="Q4" s="69" t="s">
        <v>4392</v>
      </c>
      <c r="R4" s="18" t="s">
        <v>4393</v>
      </c>
      <c r="S4" s="9">
        <v>9.9499999999999993</v>
      </c>
      <c r="T4" s="9">
        <v>28</v>
      </c>
      <c r="U4" s="9" t="s">
        <v>116</v>
      </c>
      <c r="V4" s="9" t="s">
        <v>4394</v>
      </c>
    </row>
    <row r="5" spans="1:22">
      <c r="A5" s="714"/>
      <c r="B5" s="666" t="s">
        <v>4395</v>
      </c>
      <c r="C5" s="667"/>
      <c r="D5" s="667"/>
      <c r="E5" s="667"/>
      <c r="F5" s="667"/>
      <c r="G5" s="667"/>
      <c r="H5" s="667"/>
      <c r="I5" s="667"/>
      <c r="J5" s="667"/>
      <c r="K5" s="667"/>
      <c r="L5" s="667"/>
      <c r="M5" s="667"/>
      <c r="N5" s="667"/>
      <c r="O5" s="668">
        <f>SUM(C5:N5)</f>
        <v>0</v>
      </c>
      <c r="P5" s="669"/>
      <c r="Q5" s="69"/>
      <c r="R5" s="670" t="s">
        <v>4396</v>
      </c>
      <c r="S5" s="9">
        <v>5.99</v>
      </c>
      <c r="U5" s="9" t="s">
        <v>116</v>
      </c>
      <c r="V5" s="9" t="s">
        <v>1114</v>
      </c>
    </row>
    <row r="6" spans="1:22" ht="21.75">
      <c r="A6" s="714"/>
      <c r="B6" s="666" t="s">
        <v>4397</v>
      </c>
      <c r="C6" s="671"/>
      <c r="D6" s="671"/>
      <c r="E6" s="671"/>
      <c r="F6" s="671"/>
      <c r="G6" s="671"/>
      <c r="H6" s="671"/>
      <c r="I6" s="671"/>
      <c r="J6" s="671"/>
      <c r="K6" s="671"/>
      <c r="L6" s="671"/>
      <c r="M6" s="671"/>
      <c r="N6" s="671"/>
      <c r="O6" s="668"/>
      <c r="P6" s="672"/>
      <c r="Q6" s="69"/>
      <c r="R6" s="673" t="s">
        <v>4398</v>
      </c>
      <c r="S6" s="9">
        <v>6.5</v>
      </c>
      <c r="T6" s="9">
        <v>26</v>
      </c>
      <c r="U6" s="9" t="s">
        <v>116</v>
      </c>
      <c r="V6" s="9" t="s">
        <v>1114</v>
      </c>
    </row>
    <row r="7" spans="1:22">
      <c r="A7" s="714"/>
      <c r="B7" s="674" t="s">
        <v>4399</v>
      </c>
      <c r="C7" s="675"/>
      <c r="D7" s="675"/>
      <c r="E7" s="675"/>
      <c r="F7" s="675"/>
      <c r="G7" s="675"/>
      <c r="H7" s="675"/>
      <c r="I7" s="675"/>
      <c r="J7" s="675"/>
      <c r="K7" s="675"/>
      <c r="L7" s="675"/>
      <c r="M7" s="676">
        <v>2331.1</v>
      </c>
      <c r="N7" s="675"/>
      <c r="O7" s="677">
        <f t="shared" ref="O7:O19" si="0">SUM(C7:N7)</f>
        <v>2331.1</v>
      </c>
      <c r="P7" s="672"/>
      <c r="Q7" s="678">
        <v>0</v>
      </c>
      <c r="R7" s="679" t="s">
        <v>4400</v>
      </c>
      <c r="S7" s="9">
        <v>4.9000000000000004</v>
      </c>
      <c r="T7" s="9">
        <v>26</v>
      </c>
      <c r="U7" s="9" t="s">
        <v>116</v>
      </c>
      <c r="V7" s="9" t="s">
        <v>1114</v>
      </c>
    </row>
    <row r="8" spans="1:22">
      <c r="A8" s="714"/>
      <c r="B8" s="680" t="s">
        <v>4401</v>
      </c>
      <c r="C8" s="680">
        <v>3.75</v>
      </c>
      <c r="D8" s="680">
        <v>3.75</v>
      </c>
      <c r="E8" s="680"/>
      <c r="F8" s="680"/>
      <c r="G8" s="680"/>
      <c r="H8" s="680"/>
      <c r="I8" s="680"/>
      <c r="J8" s="680">
        <v>3.75</v>
      </c>
      <c r="K8" s="680">
        <v>3.75</v>
      </c>
      <c r="L8" s="680">
        <v>3.75</v>
      </c>
      <c r="M8" s="680">
        <v>3.75</v>
      </c>
      <c r="N8" s="680">
        <v>3.75</v>
      </c>
      <c r="O8" s="677">
        <f t="shared" si="0"/>
        <v>26.25</v>
      </c>
      <c r="P8" s="681"/>
      <c r="Q8" s="682">
        <f t="shared" ref="Q8:Q17" si="1">AVERAGE(D8:L8)</f>
        <v>3.75</v>
      </c>
      <c r="R8" s="9" t="s">
        <v>4402</v>
      </c>
      <c r="S8" s="82">
        <v>15</v>
      </c>
      <c r="T8" s="9">
        <v>19</v>
      </c>
      <c r="U8" s="9" t="s">
        <v>116</v>
      </c>
      <c r="V8" s="9" t="s">
        <v>1114</v>
      </c>
    </row>
    <row r="9" spans="1:22" ht="22.5">
      <c r="A9" s="714"/>
      <c r="B9" s="683" t="s">
        <v>4403</v>
      </c>
      <c r="C9" s="683">
        <v>270.79000000000002</v>
      </c>
      <c r="D9" s="683">
        <v>229.64</v>
      </c>
      <c r="E9" s="683"/>
      <c r="F9" s="683"/>
      <c r="G9" s="683"/>
      <c r="H9" s="683"/>
      <c r="I9" s="683"/>
      <c r="J9" s="683">
        <v>97.47</v>
      </c>
      <c r="K9" s="683">
        <v>86.76</v>
      </c>
      <c r="L9" s="683">
        <v>53.47</v>
      </c>
      <c r="M9" s="683">
        <v>62.41</v>
      </c>
      <c r="N9" s="683">
        <v>150.79</v>
      </c>
      <c r="O9" s="677">
        <f t="shared" si="0"/>
        <v>951.32999999999993</v>
      </c>
      <c r="P9" s="681"/>
      <c r="Q9" s="682">
        <f t="shared" si="1"/>
        <v>116.83500000000001</v>
      </c>
      <c r="R9" s="684" t="s">
        <v>4404</v>
      </c>
      <c r="S9" s="9" t="s">
        <v>3592</v>
      </c>
      <c r="T9" s="9">
        <v>13</v>
      </c>
      <c r="U9" s="9" t="s">
        <v>4405</v>
      </c>
    </row>
    <row r="10" spans="1:22" ht="25.5">
      <c r="A10" s="714"/>
      <c r="B10" s="675" t="s">
        <v>4406</v>
      </c>
      <c r="C10" s="675">
        <v>100.58</v>
      </c>
      <c r="D10" s="675">
        <v>85.08</v>
      </c>
      <c r="E10" s="675"/>
      <c r="F10" s="675"/>
      <c r="G10" s="675"/>
      <c r="H10" s="675"/>
      <c r="I10" s="675"/>
      <c r="J10" s="675">
        <v>29.67</v>
      </c>
      <c r="K10" s="675">
        <v>27.31</v>
      </c>
      <c r="L10" s="675">
        <v>18.79</v>
      </c>
      <c r="M10" s="675">
        <v>22.74</v>
      </c>
      <c r="N10" s="675">
        <v>56.16</v>
      </c>
      <c r="O10" s="677">
        <f t="shared" si="0"/>
        <v>340.33000000000004</v>
      </c>
      <c r="P10" s="681"/>
      <c r="Q10" s="682">
        <f t="shared" si="1"/>
        <v>40.212499999999999</v>
      </c>
      <c r="R10" s="9" t="s">
        <v>3888</v>
      </c>
      <c r="S10" s="9">
        <v>5.41</v>
      </c>
      <c r="T10" s="9">
        <v>13</v>
      </c>
      <c r="U10" s="9" t="s">
        <v>4407</v>
      </c>
      <c r="V10" s="9" t="s">
        <v>1114</v>
      </c>
    </row>
    <row r="11" spans="1:22" ht="25.5">
      <c r="A11" s="714"/>
      <c r="B11" s="685" t="s">
        <v>4408</v>
      </c>
      <c r="C11" s="685">
        <v>8.75</v>
      </c>
      <c r="D11" s="685">
        <v>8.75</v>
      </c>
      <c r="E11" s="685"/>
      <c r="F11" s="685"/>
      <c r="G11" s="685"/>
      <c r="H11" s="685"/>
      <c r="I11" s="685"/>
      <c r="J11" s="685">
        <v>8.75</v>
      </c>
      <c r="K11" s="685">
        <v>8.75</v>
      </c>
      <c r="L11" s="685">
        <v>8.75</v>
      </c>
      <c r="M11" s="685">
        <v>8.75</v>
      </c>
      <c r="N11" s="685">
        <v>8.75</v>
      </c>
      <c r="O11" s="677">
        <f t="shared" si="0"/>
        <v>61.25</v>
      </c>
      <c r="P11" s="681"/>
      <c r="Q11" s="682">
        <f t="shared" si="1"/>
        <v>8.75</v>
      </c>
      <c r="R11" s="9" t="s">
        <v>4409</v>
      </c>
      <c r="S11" s="9">
        <v>190</v>
      </c>
      <c r="T11" s="9">
        <v>12</v>
      </c>
      <c r="U11" s="3" t="s">
        <v>4405</v>
      </c>
      <c r="V11" s="9" t="s">
        <v>4410</v>
      </c>
    </row>
    <row r="12" spans="1:22">
      <c r="A12" s="714"/>
      <c r="B12" s="675" t="s">
        <v>4411</v>
      </c>
      <c r="C12" s="675">
        <v>23.29</v>
      </c>
      <c r="D12" s="675">
        <v>23.29</v>
      </c>
      <c r="E12" s="675"/>
      <c r="F12" s="675"/>
      <c r="G12" s="675"/>
      <c r="H12" s="675"/>
      <c r="I12" s="675"/>
      <c r="J12" s="675">
        <v>23.29</v>
      </c>
      <c r="K12" s="675">
        <v>23.29</v>
      </c>
      <c r="L12" s="675">
        <v>23.29</v>
      </c>
      <c r="M12" s="675">
        <v>23.29</v>
      </c>
      <c r="N12" s="675">
        <v>23.29</v>
      </c>
      <c r="O12" s="677">
        <f t="shared" si="0"/>
        <v>163.02999999999997</v>
      </c>
      <c r="P12" s="681"/>
      <c r="Q12" s="682">
        <f t="shared" si="1"/>
        <v>23.29</v>
      </c>
      <c r="R12" s="9" t="s">
        <v>4412</v>
      </c>
      <c r="S12" s="9">
        <v>10</v>
      </c>
      <c r="T12" s="9">
        <v>10</v>
      </c>
      <c r="U12" s="9" t="s">
        <v>116</v>
      </c>
      <c r="V12" s="9" t="s">
        <v>4413</v>
      </c>
    </row>
    <row r="13" spans="1:22">
      <c r="A13" s="714"/>
      <c r="B13" s="683" t="s">
        <v>4414</v>
      </c>
      <c r="C13" s="683">
        <v>21.15</v>
      </c>
      <c r="D13" s="683">
        <v>21.25</v>
      </c>
      <c r="E13" s="683"/>
      <c r="F13" s="683"/>
      <c r="G13" s="683"/>
      <c r="H13" s="683"/>
      <c r="I13" s="683"/>
      <c r="J13" s="683">
        <v>20.75</v>
      </c>
      <c r="K13" s="683">
        <v>23.35</v>
      </c>
      <c r="L13" s="683">
        <v>23.35</v>
      </c>
      <c r="M13" s="683">
        <v>24.25</v>
      </c>
      <c r="N13" s="683">
        <v>21.55</v>
      </c>
      <c r="O13" s="677">
        <f t="shared" si="0"/>
        <v>155.65</v>
      </c>
      <c r="P13" s="681"/>
      <c r="Q13" s="682">
        <f t="shared" si="1"/>
        <v>22.174999999999997</v>
      </c>
      <c r="R13" s="9" t="s">
        <v>4415</v>
      </c>
      <c r="S13" s="9">
        <v>120</v>
      </c>
      <c r="T13" s="9">
        <v>11</v>
      </c>
      <c r="U13" s="9" t="s">
        <v>116</v>
      </c>
      <c r="V13" s="9" t="s">
        <v>1114</v>
      </c>
    </row>
    <row r="14" spans="1:22" ht="25.5">
      <c r="A14" s="714"/>
      <c r="B14" s="675" t="s">
        <v>4416</v>
      </c>
      <c r="C14" s="675">
        <v>0.06</v>
      </c>
      <c r="D14" s="675">
        <v>0.06</v>
      </c>
      <c r="E14" s="675"/>
      <c r="F14" s="675"/>
      <c r="G14" s="675"/>
      <c r="H14" s="675"/>
      <c r="I14" s="675"/>
      <c r="J14" s="675">
        <v>0.05</v>
      </c>
      <c r="K14" s="675">
        <v>0.11</v>
      </c>
      <c r="L14" s="675">
        <v>0.11</v>
      </c>
      <c r="M14" s="675">
        <v>0.13</v>
      </c>
      <c r="N14" s="675">
        <v>7.0000000000000007E-2</v>
      </c>
      <c r="O14" s="677">
        <f t="shared" si="0"/>
        <v>0.59000000000000008</v>
      </c>
      <c r="P14" s="681"/>
      <c r="Q14" s="682">
        <f t="shared" si="1"/>
        <v>8.2500000000000004E-2</v>
      </c>
      <c r="R14" s="9" t="s">
        <v>1120</v>
      </c>
      <c r="S14" s="9" t="s">
        <v>135</v>
      </c>
      <c r="T14" s="9" t="s">
        <v>135</v>
      </c>
      <c r="U14" s="9" t="s">
        <v>135</v>
      </c>
      <c r="V14" s="9" t="s">
        <v>135</v>
      </c>
    </row>
    <row r="15" spans="1:22">
      <c r="A15" s="714"/>
      <c r="B15" s="685" t="s">
        <v>4417</v>
      </c>
      <c r="C15" s="685">
        <v>7.42</v>
      </c>
      <c r="D15" s="685">
        <v>6.3</v>
      </c>
      <c r="E15" s="685"/>
      <c r="F15" s="685"/>
      <c r="G15" s="685"/>
      <c r="H15" s="685"/>
      <c r="I15" s="685"/>
      <c r="J15" s="685">
        <v>2.54</v>
      </c>
      <c r="K15" s="685">
        <v>2.2799999999999998</v>
      </c>
      <c r="L15" s="685">
        <v>1.44</v>
      </c>
      <c r="M15" s="685">
        <v>1.7</v>
      </c>
      <c r="N15" s="685">
        <v>4.1399999999999997</v>
      </c>
      <c r="O15" s="677">
        <f t="shared" si="0"/>
        <v>25.82</v>
      </c>
      <c r="P15" s="681"/>
      <c r="Q15" s="682">
        <f t="shared" si="1"/>
        <v>3.1399999999999997</v>
      </c>
    </row>
    <row r="16" spans="1:22" ht="25.5">
      <c r="A16" s="714"/>
      <c r="B16" s="686" t="s">
        <v>5055</v>
      </c>
      <c r="C16" s="686">
        <f t="shared" ref="C16:N16" si="2">SUM(C8:C15)</f>
        <v>435.79</v>
      </c>
      <c r="D16" s="686">
        <f t="shared" si="2"/>
        <v>378.12</v>
      </c>
      <c r="E16" s="686">
        <f t="shared" si="2"/>
        <v>0</v>
      </c>
      <c r="F16" s="686">
        <f t="shared" si="2"/>
        <v>0</v>
      </c>
      <c r="G16" s="686">
        <f t="shared" si="2"/>
        <v>0</v>
      </c>
      <c r="H16" s="686">
        <f t="shared" si="2"/>
        <v>0</v>
      </c>
      <c r="I16" s="686">
        <f t="shared" si="2"/>
        <v>0</v>
      </c>
      <c r="J16" s="686">
        <f t="shared" si="2"/>
        <v>186.26999999999998</v>
      </c>
      <c r="K16" s="686">
        <f t="shared" si="2"/>
        <v>175.60000000000002</v>
      </c>
      <c r="L16" s="686">
        <f t="shared" si="2"/>
        <v>132.94999999999999</v>
      </c>
      <c r="M16" s="686">
        <f t="shared" si="2"/>
        <v>147.01999999999998</v>
      </c>
      <c r="N16" s="686">
        <f t="shared" si="2"/>
        <v>268.49999999999994</v>
      </c>
      <c r="O16" s="677">
        <f t="shared" si="0"/>
        <v>1724.2500000000002</v>
      </c>
      <c r="P16" s="681"/>
      <c r="Q16" s="682">
        <f t="shared" si="1"/>
        <v>96.993333333333339</v>
      </c>
    </row>
    <row r="17" spans="1:19" ht="25.5">
      <c r="A17" s="714"/>
      <c r="B17" s="674" t="s">
        <v>4419</v>
      </c>
      <c r="C17" s="675">
        <v>337.18</v>
      </c>
      <c r="D17" s="675">
        <v>402.86</v>
      </c>
      <c r="E17" s="675">
        <v>238.19</v>
      </c>
      <c r="F17" s="675">
        <v>118.21</v>
      </c>
      <c r="G17" s="675">
        <v>30.98</v>
      </c>
      <c r="H17" s="675">
        <v>24.6</v>
      </c>
      <c r="I17" s="675">
        <v>18.72</v>
      </c>
      <c r="J17" s="675">
        <v>30.98</v>
      </c>
      <c r="K17" s="675">
        <v>24.6</v>
      </c>
      <c r="L17" s="675">
        <v>42.77</v>
      </c>
      <c r="M17" s="675">
        <v>184.88</v>
      </c>
      <c r="N17" s="675">
        <v>418.95</v>
      </c>
      <c r="O17" s="677">
        <f t="shared" si="0"/>
        <v>1872.9199999999998</v>
      </c>
      <c r="P17" s="672"/>
      <c r="Q17" s="682">
        <f t="shared" si="1"/>
        <v>103.54555555555557</v>
      </c>
    </row>
    <row r="18" spans="1:19" ht="25.5">
      <c r="A18" s="714"/>
      <c r="B18" s="674" t="s">
        <v>4420</v>
      </c>
      <c r="C18" s="687"/>
      <c r="D18" s="687"/>
      <c r="E18" s="687"/>
      <c r="F18" s="687"/>
      <c r="G18" s="687"/>
      <c r="H18" s="687"/>
      <c r="I18" s="687"/>
      <c r="J18" s="687"/>
      <c r="K18" s="687"/>
      <c r="L18" s="687"/>
      <c r="M18" s="688">
        <v>2877</v>
      </c>
      <c r="N18" s="687"/>
      <c r="O18" s="677">
        <f t="shared" si="0"/>
        <v>2877</v>
      </c>
      <c r="P18" s="672"/>
      <c r="Q18" s="682"/>
    </row>
    <row r="19" spans="1:19">
      <c r="A19" s="714"/>
      <c r="B19" s="666" t="s">
        <v>4421</v>
      </c>
      <c r="C19" s="677">
        <f t="shared" ref="C19:N19" si="3">SUM(C16:C18)</f>
        <v>772.97</v>
      </c>
      <c r="D19" s="677">
        <f t="shared" si="3"/>
        <v>780.98</v>
      </c>
      <c r="E19" s="677">
        <f t="shared" si="3"/>
        <v>238.19</v>
      </c>
      <c r="F19" s="677">
        <f t="shared" si="3"/>
        <v>118.21</v>
      </c>
      <c r="G19" s="677">
        <f t="shared" si="3"/>
        <v>30.98</v>
      </c>
      <c r="H19" s="677">
        <f t="shared" si="3"/>
        <v>24.6</v>
      </c>
      <c r="I19" s="677">
        <f t="shared" si="3"/>
        <v>18.72</v>
      </c>
      <c r="J19" s="677">
        <f t="shared" si="3"/>
        <v>217.24999999999997</v>
      </c>
      <c r="K19" s="677">
        <f t="shared" si="3"/>
        <v>200.20000000000002</v>
      </c>
      <c r="L19" s="677">
        <f t="shared" si="3"/>
        <v>175.72</v>
      </c>
      <c r="M19" s="677">
        <f t="shared" si="3"/>
        <v>3208.9</v>
      </c>
      <c r="N19" s="677">
        <f t="shared" si="3"/>
        <v>687.44999999999993</v>
      </c>
      <c r="O19" s="668">
        <f t="shared" si="0"/>
        <v>6474.1699999999992</v>
      </c>
      <c r="P19" s="669"/>
      <c r="Q19" s="682">
        <f>AVERAGE(D19:L19)</f>
        <v>200.53888888888889</v>
      </c>
    </row>
    <row r="20" spans="1:19">
      <c r="A20" s="714"/>
      <c r="B20" s="689" t="s">
        <v>1126</v>
      </c>
      <c r="C20" s="690">
        <f t="shared" ref="C20:N20" si="4">C19</f>
        <v>772.97</v>
      </c>
      <c r="D20" s="690">
        <f t="shared" si="4"/>
        <v>780.98</v>
      </c>
      <c r="E20" s="690">
        <f t="shared" si="4"/>
        <v>238.19</v>
      </c>
      <c r="F20" s="690">
        <f t="shared" si="4"/>
        <v>118.21</v>
      </c>
      <c r="G20" s="690">
        <f t="shared" si="4"/>
        <v>30.98</v>
      </c>
      <c r="H20" s="690">
        <f t="shared" si="4"/>
        <v>24.6</v>
      </c>
      <c r="I20" s="690">
        <f t="shared" si="4"/>
        <v>18.72</v>
      </c>
      <c r="J20" s="690">
        <f t="shared" si="4"/>
        <v>217.24999999999997</v>
      </c>
      <c r="K20" s="690">
        <f t="shared" si="4"/>
        <v>200.20000000000002</v>
      </c>
      <c r="L20" s="690">
        <f t="shared" si="4"/>
        <v>175.72</v>
      </c>
      <c r="M20" s="690">
        <f t="shared" si="4"/>
        <v>3208.9</v>
      </c>
      <c r="N20" s="690">
        <f t="shared" si="4"/>
        <v>687.44999999999993</v>
      </c>
      <c r="O20" s="690">
        <f>SUM(O7:O18)</f>
        <v>10529.52</v>
      </c>
      <c r="P20" s="691"/>
      <c r="Q20" s="682">
        <f>AVERAGE(D20:L20)</f>
        <v>200.53888888888889</v>
      </c>
    </row>
    <row r="21" spans="1:19">
      <c r="A21" s="715"/>
      <c r="B21" s="692"/>
      <c r="C21" s="693"/>
      <c r="D21" s="693"/>
      <c r="E21" s="693"/>
      <c r="F21" s="693"/>
      <c r="G21" s="693"/>
      <c r="H21" s="693"/>
      <c r="I21" s="693"/>
      <c r="J21" s="693"/>
      <c r="K21" s="693"/>
      <c r="L21" s="693"/>
      <c r="M21" s="693"/>
      <c r="N21" s="693"/>
      <c r="O21" s="693"/>
      <c r="P21" s="694"/>
    </row>
    <row r="22" spans="1:19" ht="25.5">
      <c r="B22" s="9"/>
      <c r="C22" s="9"/>
      <c r="D22" s="9"/>
      <c r="E22" s="9"/>
      <c r="F22" s="9"/>
      <c r="G22" s="9"/>
      <c r="H22" s="9"/>
      <c r="I22" s="9"/>
      <c r="J22" s="9"/>
      <c r="K22" s="9"/>
      <c r="L22" s="9"/>
      <c r="R22" s="9" t="s">
        <v>4422</v>
      </c>
      <c r="S22" s="695"/>
    </row>
    <row r="23" spans="1:19">
      <c r="R23" s="11">
        <f>M7*1.5/100</f>
        <v>34.966499999999996</v>
      </c>
    </row>
    <row r="24" spans="1:19">
      <c r="B24" s="660"/>
      <c r="C24" s="660"/>
      <c r="D24" s="660"/>
      <c r="E24" s="660"/>
      <c r="F24" s="660"/>
      <c r="G24" s="660"/>
      <c r="H24" s="660"/>
      <c r="I24" s="660"/>
      <c r="J24" s="660"/>
      <c r="K24" s="660"/>
      <c r="L24" s="660"/>
      <c r="M24" s="660"/>
      <c r="N24" s="660"/>
      <c r="O24" s="660"/>
      <c r="P24" s="660"/>
      <c r="S24" s="43"/>
    </row>
    <row r="25" spans="1:19">
      <c r="A25" s="714"/>
      <c r="B25" s="2126" t="s">
        <v>4423</v>
      </c>
      <c r="C25" s="2127"/>
      <c r="D25" s="2127"/>
      <c r="E25" s="2127"/>
      <c r="F25" s="2127"/>
      <c r="G25" s="2127"/>
      <c r="H25" s="2127"/>
      <c r="I25" s="2127"/>
      <c r="J25" s="2127"/>
      <c r="K25" s="2127"/>
      <c r="L25" s="2127"/>
      <c r="M25" s="2127"/>
      <c r="N25" s="2127"/>
      <c r="O25" s="2128"/>
      <c r="P25" s="661"/>
    </row>
    <row r="26" spans="1:19">
      <c r="A26" s="714"/>
      <c r="B26" s="662" t="s">
        <v>5054</v>
      </c>
      <c r="C26" s="663" t="s">
        <v>143</v>
      </c>
      <c r="D26" s="663" t="s">
        <v>26</v>
      </c>
      <c r="E26" s="663" t="s">
        <v>25</v>
      </c>
      <c r="F26" s="663" t="s">
        <v>24</v>
      </c>
      <c r="G26" s="663" t="s">
        <v>23</v>
      </c>
      <c r="H26" s="663" t="s">
        <v>22</v>
      </c>
      <c r="I26" s="663" t="s">
        <v>21</v>
      </c>
      <c r="J26" s="663" t="s">
        <v>20</v>
      </c>
      <c r="K26" s="663" t="s">
        <v>256</v>
      </c>
      <c r="L26" s="663" t="s">
        <v>18</v>
      </c>
      <c r="M26" s="663" t="s">
        <v>17</v>
      </c>
      <c r="N26" s="663" t="s">
        <v>86</v>
      </c>
      <c r="O26" s="664" t="s">
        <v>67</v>
      </c>
      <c r="P26" s="665"/>
      <c r="R26" s="40">
        <f>175.6-88.84</f>
        <v>86.759999999999991</v>
      </c>
    </row>
    <row r="27" spans="1:19">
      <c r="A27" s="714"/>
      <c r="B27" s="666" t="s">
        <v>4424</v>
      </c>
      <c r="C27" s="671"/>
      <c r="D27" s="671"/>
      <c r="E27" s="671"/>
      <c r="F27" s="671"/>
      <c r="G27" s="671"/>
      <c r="H27" s="671"/>
      <c r="I27" s="671"/>
      <c r="J27" s="671"/>
      <c r="K27" s="671"/>
      <c r="L27" s="671"/>
      <c r="M27" s="671"/>
      <c r="N27" s="671"/>
      <c r="O27" s="668"/>
      <c r="P27" s="672"/>
    </row>
    <row r="28" spans="1:19">
      <c r="A28" s="714"/>
      <c r="B28" s="703" t="s">
        <v>5056</v>
      </c>
      <c r="C28" s="701"/>
      <c r="D28" s="697"/>
      <c r="E28" s="697"/>
      <c r="F28" s="698"/>
      <c r="G28" s="697"/>
      <c r="H28" s="697"/>
      <c r="I28" s="697"/>
      <c r="J28" s="697"/>
      <c r="K28" s="697"/>
      <c r="L28" s="697"/>
      <c r="M28" s="697"/>
      <c r="N28" s="697"/>
      <c r="O28" s="668">
        <f>SUM(C28:N28)</f>
        <v>0</v>
      </c>
      <c r="P28" s="672"/>
    </row>
    <row r="29" spans="1:19">
      <c r="A29" s="714"/>
      <c r="B29" s="674" t="s">
        <v>4426</v>
      </c>
      <c r="C29" s="769">
        <v>110</v>
      </c>
      <c r="D29" s="697"/>
      <c r="E29" s="697"/>
      <c r="F29" s="698"/>
      <c r="G29" s="697"/>
      <c r="H29" s="697"/>
      <c r="I29" s="697"/>
      <c r="J29" s="697"/>
      <c r="K29" s="697"/>
      <c r="L29" s="697"/>
      <c r="M29" s="697"/>
      <c r="N29" s="697"/>
      <c r="O29" s="668">
        <f>SUM(C29:N29)</f>
        <v>110</v>
      </c>
      <c r="P29" s="672"/>
    </row>
    <row r="30" spans="1:19">
      <c r="A30" s="714"/>
      <c r="B30" s="770" t="s">
        <v>5057</v>
      </c>
      <c r="C30" s="771">
        <v>165</v>
      </c>
      <c r="D30" s="675" t="s">
        <v>5058</v>
      </c>
      <c r="E30" s="697"/>
      <c r="F30" s="698"/>
      <c r="G30" s="697"/>
      <c r="H30" s="697"/>
      <c r="I30" s="697"/>
      <c r="J30" s="697"/>
      <c r="K30" s="697"/>
      <c r="L30" s="697"/>
      <c r="M30" s="697"/>
      <c r="N30" s="697"/>
      <c r="O30" s="668">
        <f>SUM(C30:N30)</f>
        <v>165</v>
      </c>
      <c r="P30" s="672"/>
    </row>
    <row r="31" spans="1:19">
      <c r="A31" s="714"/>
      <c r="B31" s="674" t="s">
        <v>4440</v>
      </c>
      <c r="C31" s="769">
        <v>130</v>
      </c>
      <c r="D31" s="697"/>
      <c r="E31" s="697"/>
      <c r="F31" s="698"/>
      <c r="G31" s="697"/>
      <c r="H31" s="697"/>
      <c r="I31" s="697"/>
      <c r="J31" s="697"/>
      <c r="K31" s="697"/>
      <c r="L31" s="697"/>
      <c r="M31" s="697"/>
      <c r="N31" s="697"/>
      <c r="O31" s="668">
        <f>SUM(J31:N31)</f>
        <v>0</v>
      </c>
      <c r="P31" s="672"/>
    </row>
    <row r="32" spans="1:19">
      <c r="A32" s="714"/>
      <c r="B32" s="674" t="s">
        <v>4429</v>
      </c>
      <c r="C32" s="772"/>
      <c r="D32" s="697"/>
      <c r="E32" s="697"/>
      <c r="F32" s="698"/>
      <c r="G32" s="697"/>
      <c r="H32" s="697"/>
      <c r="I32" s="697"/>
      <c r="J32" s="697"/>
      <c r="K32" s="697"/>
      <c r="L32" s="697"/>
      <c r="M32" s="697"/>
      <c r="N32" s="697"/>
      <c r="O32" s="668">
        <f>SUM(C32:N32)</f>
        <v>0</v>
      </c>
      <c r="P32" s="672"/>
    </row>
    <row r="33" spans="1:18" ht="25.5">
      <c r="A33" s="714"/>
      <c r="B33" s="674" t="s">
        <v>4441</v>
      </c>
      <c r="C33" s="769">
        <v>398</v>
      </c>
      <c r="D33" s="697"/>
      <c r="E33" s="702" t="s">
        <v>4430</v>
      </c>
      <c r="F33" s="698"/>
      <c r="G33" s="697"/>
      <c r="H33" s="697"/>
      <c r="I33" s="697"/>
      <c r="J33" s="697"/>
      <c r="K33" s="697"/>
      <c r="L33" s="697"/>
      <c r="M33" s="697"/>
      <c r="N33" s="697"/>
      <c r="O33" s="668">
        <f>SUM(C33:N33)</f>
        <v>398</v>
      </c>
      <c r="P33" s="672"/>
      <c r="Q33" s="2088" t="s">
        <v>4431</v>
      </c>
      <c r="R33" s="2087"/>
    </row>
    <row r="34" spans="1:18">
      <c r="A34" s="714"/>
      <c r="B34" s="703"/>
      <c r="C34" s="701"/>
      <c r="D34" s="697"/>
      <c r="E34" s="697"/>
      <c r="F34" s="698"/>
      <c r="G34" s="697"/>
      <c r="H34" s="697"/>
      <c r="I34" s="704"/>
      <c r="J34" s="697"/>
      <c r="K34" s="697"/>
      <c r="L34" s="697"/>
      <c r="M34" s="697"/>
      <c r="N34" s="697"/>
      <c r="O34" s="668">
        <f>SUM(C34:N34)</f>
        <v>0</v>
      </c>
      <c r="P34" s="672"/>
    </row>
    <row r="35" spans="1:18">
      <c r="A35" s="714"/>
      <c r="B35" s="674" t="s">
        <v>4432</v>
      </c>
      <c r="C35" s="769">
        <v>132</v>
      </c>
      <c r="D35" s="697"/>
      <c r="E35" s="697"/>
      <c r="F35" s="698"/>
      <c r="G35" s="697"/>
      <c r="H35" s="697"/>
      <c r="I35" s="697"/>
      <c r="J35" s="697"/>
      <c r="K35" s="697"/>
      <c r="L35" s="697"/>
      <c r="M35" s="697"/>
      <c r="N35" s="697"/>
      <c r="O35" s="668">
        <f>SUM(C35:N35)</f>
        <v>132</v>
      </c>
      <c r="P35" s="672"/>
    </row>
    <row r="36" spans="1:18">
      <c r="A36" s="714"/>
      <c r="B36" s="674"/>
      <c r="C36" s="772"/>
      <c r="D36" s="697"/>
      <c r="E36" s="697"/>
      <c r="F36" s="698"/>
      <c r="G36" s="697"/>
      <c r="H36" s="697"/>
      <c r="I36" s="697"/>
      <c r="J36" s="697"/>
      <c r="K36" s="697"/>
      <c r="L36" s="697"/>
      <c r="M36" s="697"/>
      <c r="N36" s="697"/>
      <c r="O36" s="668">
        <f>SUM(C36:N36)</f>
        <v>0</v>
      </c>
      <c r="P36" s="672"/>
    </row>
    <row r="37" spans="1:18">
      <c r="A37" s="714"/>
      <c r="B37" s="674" t="s">
        <v>4323</v>
      </c>
      <c r="C37" s="685">
        <v>60</v>
      </c>
      <c r="D37" s="705"/>
      <c r="E37" s="705"/>
      <c r="F37" s="706"/>
      <c r="G37" s="705"/>
      <c r="H37" s="705"/>
      <c r="I37" s="705"/>
      <c r="J37" s="705"/>
      <c r="K37" s="705"/>
      <c r="L37" s="705"/>
      <c r="M37" s="705"/>
      <c r="N37" s="705"/>
      <c r="O37" s="668"/>
      <c r="P37" s="672"/>
    </row>
    <row r="38" spans="1:18">
      <c r="A38" s="714"/>
      <c r="B38" s="674" t="s">
        <v>4433</v>
      </c>
      <c r="C38" s="772"/>
      <c r="D38" s="705"/>
      <c r="E38" s="705"/>
      <c r="F38" s="705"/>
      <c r="G38" s="705"/>
      <c r="H38" s="705"/>
      <c r="I38" s="705"/>
      <c r="J38" s="705"/>
      <c r="K38" s="705"/>
      <c r="L38" s="705"/>
      <c r="M38" s="705"/>
      <c r="N38" s="705">
        <f>72.06+23.24</f>
        <v>95.3</v>
      </c>
      <c r="O38" s="668"/>
      <c r="P38" s="672"/>
      <c r="Q38" s="707">
        <f>SUM(O28:O36)</f>
        <v>805</v>
      </c>
    </row>
    <row r="39" spans="1:18" ht="25.5">
      <c r="A39" s="714"/>
      <c r="B39" s="674" t="s">
        <v>4434</v>
      </c>
      <c r="C39" s="701">
        <v>-35</v>
      </c>
      <c r="D39" s="685">
        <v>-35</v>
      </c>
      <c r="E39" s="685">
        <v>-35</v>
      </c>
      <c r="F39" s="708">
        <v>-35</v>
      </c>
      <c r="G39" s="708">
        <v>-35</v>
      </c>
      <c r="H39" s="708">
        <v>-35</v>
      </c>
      <c r="I39" s="708">
        <v>-35</v>
      </c>
      <c r="J39" s="708">
        <v>-35</v>
      </c>
      <c r="K39" s="708">
        <v>-35</v>
      </c>
      <c r="L39" s="708">
        <v>-35</v>
      </c>
      <c r="M39" s="708">
        <v>-35</v>
      </c>
      <c r="N39" s="708">
        <v>-35</v>
      </c>
      <c r="O39" s="668">
        <f>SUM(C39:N39)</f>
        <v>-420</v>
      </c>
      <c r="P39" s="672"/>
    </row>
    <row r="40" spans="1:18">
      <c r="A40" s="715"/>
      <c r="B40" s="677" t="s">
        <v>4435</v>
      </c>
      <c r="C40" s="677">
        <f t="shared" ref="C40:O40" si="5">SUM(C28:C39)</f>
        <v>960</v>
      </c>
      <c r="D40" s="677">
        <f t="shared" si="5"/>
        <v>-35</v>
      </c>
      <c r="E40" s="677">
        <f t="shared" si="5"/>
        <v>-35</v>
      </c>
      <c r="F40" s="677">
        <f t="shared" si="5"/>
        <v>-35</v>
      </c>
      <c r="G40" s="677">
        <f t="shared" si="5"/>
        <v>-35</v>
      </c>
      <c r="H40" s="677">
        <f t="shared" si="5"/>
        <v>-35</v>
      </c>
      <c r="I40" s="677">
        <f t="shared" si="5"/>
        <v>-35</v>
      </c>
      <c r="J40" s="677">
        <f t="shared" si="5"/>
        <v>-35</v>
      </c>
      <c r="K40" s="677">
        <f t="shared" si="5"/>
        <v>-35</v>
      </c>
      <c r="L40" s="677">
        <f t="shared" si="5"/>
        <v>-35</v>
      </c>
      <c r="M40" s="677">
        <f t="shared" si="5"/>
        <v>-35</v>
      </c>
      <c r="N40" s="677">
        <f t="shared" si="5"/>
        <v>60.3</v>
      </c>
      <c r="O40" s="677">
        <f t="shared" si="5"/>
        <v>385</v>
      </c>
      <c r="P40" s="691"/>
    </row>
    <row r="41" spans="1:18">
      <c r="A41" s="715" t="s">
        <v>135</v>
      </c>
      <c r="B41" s="709" t="s">
        <v>135</v>
      </c>
      <c r="C41" s="709"/>
      <c r="D41" s="709"/>
      <c r="E41" s="709"/>
      <c r="F41" s="709"/>
      <c r="G41" s="709"/>
      <c r="H41" s="709"/>
      <c r="I41" s="709"/>
      <c r="J41" s="709"/>
      <c r="K41" s="709"/>
      <c r="L41" s="709"/>
      <c r="M41" s="709"/>
      <c r="N41" s="709"/>
      <c r="O41" s="709"/>
      <c r="P41" s="710"/>
    </row>
    <row r="42" spans="1:18">
      <c r="B42" s="578"/>
      <c r="C42" s="578"/>
      <c r="D42" s="578"/>
      <c r="E42" s="578"/>
      <c r="F42" s="578"/>
      <c r="G42" s="578"/>
      <c r="H42" s="578"/>
      <c r="I42" s="578"/>
      <c r="J42" s="578"/>
      <c r="K42" s="578"/>
      <c r="L42" s="578"/>
      <c r="M42" s="2129" t="s">
        <v>4436</v>
      </c>
      <c r="N42" s="2087"/>
      <c r="O42" s="711">
        <f>800/12</f>
        <v>66.666666666666671</v>
      </c>
      <c r="P42" s="712"/>
    </row>
    <row r="43" spans="1:18">
      <c r="B43" s="660"/>
      <c r="C43" s="660"/>
      <c r="D43" s="660"/>
      <c r="E43" s="660"/>
      <c r="F43" s="660"/>
      <c r="G43" s="660"/>
      <c r="H43" s="660"/>
      <c r="I43" s="660"/>
      <c r="J43" s="660"/>
      <c r="K43" s="660"/>
      <c r="L43" s="660"/>
      <c r="M43" s="660"/>
      <c r="N43" s="660"/>
      <c r="O43" s="660"/>
      <c r="P43" s="660"/>
    </row>
    <row r="44" spans="1:18">
      <c r="B44" s="660"/>
      <c r="C44" s="660"/>
      <c r="D44" s="660"/>
      <c r="E44" s="660"/>
      <c r="F44" s="660"/>
      <c r="G44" s="660"/>
      <c r="H44" s="660"/>
      <c r="I44" s="660"/>
      <c r="J44" s="660"/>
      <c r="K44" s="660"/>
      <c r="L44" s="660"/>
      <c r="M44" s="660"/>
      <c r="N44" s="660"/>
      <c r="O44" s="660"/>
      <c r="P44" s="660"/>
    </row>
    <row r="47" spans="1:18">
      <c r="B47" s="2130"/>
      <c r="C47" s="2087"/>
      <c r="D47" s="2087"/>
      <c r="E47" s="2087"/>
      <c r="F47" s="2087"/>
      <c r="G47" s="2087"/>
      <c r="H47" s="2087"/>
      <c r="I47" s="2087"/>
      <c r="J47" s="2087"/>
      <c r="K47" s="2087"/>
      <c r="L47" s="2087"/>
      <c r="M47" s="2087"/>
      <c r="N47" s="2087"/>
      <c r="P47" s="712"/>
    </row>
    <row r="48" spans="1:18" ht="12.75" customHeight="1">
      <c r="B48" s="2087"/>
      <c r="C48" s="2087"/>
      <c r="D48" s="2087"/>
      <c r="E48" s="2087"/>
      <c r="F48" s="2087"/>
    </row>
    <row r="49" spans="2:16">
      <c r="B49" s="660"/>
      <c r="C49" s="660"/>
      <c r="D49" s="660"/>
      <c r="E49" s="660"/>
      <c r="F49" s="660"/>
      <c r="G49" s="660"/>
      <c r="H49" s="660"/>
      <c r="I49" s="660"/>
      <c r="J49" s="660"/>
      <c r="K49" s="660"/>
      <c r="L49" s="660"/>
      <c r="M49" s="660"/>
      <c r="N49" s="660"/>
      <c r="O49" s="660"/>
      <c r="P49" s="660"/>
    </row>
    <row r="53" spans="2:16">
      <c r="B53" s="3" t="s">
        <v>4442</v>
      </c>
    </row>
    <row r="54" spans="2:16">
      <c r="B54" s="253" t="s">
        <v>4443</v>
      </c>
      <c r="C54" s="9">
        <f>29.99*12</f>
        <v>359.88</v>
      </c>
    </row>
    <row r="55" spans="2:16" ht="25.5">
      <c r="B55" s="9" t="s">
        <v>4444</v>
      </c>
      <c r="C55" s="9">
        <v>39</v>
      </c>
    </row>
    <row r="56" spans="2:16">
      <c r="B56" s="9" t="s">
        <v>4445</v>
      </c>
      <c r="C56" s="9">
        <v>399</v>
      </c>
    </row>
  </sheetData>
  <mergeCells count="6">
    <mergeCell ref="B48:F48"/>
    <mergeCell ref="B3:O3"/>
    <mergeCell ref="B25:O25"/>
    <mergeCell ref="Q33:R33"/>
    <mergeCell ref="M42:N42"/>
    <mergeCell ref="B47:N47"/>
  </mergeCells>
  <hyperlinks>
    <hyperlink ref="B54" r:id="rId1" xr:uid="{00000000-0004-0000-1000-000000000000}"/>
  </hyperlinks>
  <pageMargins left="0.7" right="0.7" top="0.75" bottom="0.75" header="0.3" footer="0.3"/>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AA982"/>
  <sheetViews>
    <sheetView workbookViewId="0">
      <pane ySplit="1" topLeftCell="A2" activePane="bottomLeft" state="frozen"/>
      <selection pane="bottomLeft" activeCell="B3" sqref="B3"/>
    </sheetView>
  </sheetViews>
  <sheetFormatPr defaultColWidth="12.7109375" defaultRowHeight="12.75" customHeight="1"/>
  <cols>
    <col min="1" max="1" width="28.42578125" customWidth="1"/>
    <col min="2" max="2" width="7.7109375" customWidth="1"/>
    <col min="3" max="14" width="7" customWidth="1"/>
  </cols>
  <sheetData>
    <row r="1" spans="1:27" ht="12.75" customHeight="1">
      <c r="A1" s="773"/>
      <c r="B1" s="472" t="s">
        <v>5059</v>
      </c>
      <c r="C1" s="472" t="s">
        <v>5060</v>
      </c>
      <c r="D1" s="6" t="s">
        <v>5061</v>
      </c>
      <c r="E1" s="774" t="s">
        <v>5062</v>
      </c>
      <c r="F1" s="774" t="s">
        <v>5063</v>
      </c>
      <c r="G1" s="472" t="s">
        <v>5064</v>
      </c>
      <c r="H1" s="472" t="s">
        <v>5065</v>
      </c>
      <c r="I1" s="6" t="s">
        <v>5066</v>
      </c>
      <c r="J1" s="472" t="s">
        <v>5067</v>
      </c>
      <c r="K1" s="472" t="s">
        <v>5068</v>
      </c>
      <c r="L1" s="6" t="s">
        <v>3325</v>
      </c>
      <c r="M1" s="6" t="s">
        <v>1117</v>
      </c>
      <c r="O1" s="6"/>
      <c r="P1" s="3"/>
      <c r="Q1" s="3"/>
      <c r="R1" s="3"/>
      <c r="S1" s="3"/>
      <c r="T1" s="3"/>
      <c r="U1" s="3"/>
      <c r="V1" s="3"/>
      <c r="W1" s="3"/>
      <c r="X1" s="3"/>
      <c r="Y1" s="3"/>
      <c r="Z1" s="3"/>
      <c r="AA1" s="3"/>
    </row>
    <row r="2" spans="1:27" ht="12.75" customHeight="1">
      <c r="A2" s="457" t="s">
        <v>3367</v>
      </c>
      <c r="B2" s="347">
        <v>1</v>
      </c>
      <c r="C2" s="347">
        <v>1</v>
      </c>
      <c r="D2" s="9">
        <v>1</v>
      </c>
      <c r="E2" s="581">
        <v>1</v>
      </c>
      <c r="F2" s="581">
        <v>1</v>
      </c>
      <c r="G2" s="347">
        <v>1</v>
      </c>
      <c r="H2" s="347">
        <v>1</v>
      </c>
      <c r="I2" s="347">
        <v>1</v>
      </c>
      <c r="J2" s="347">
        <v>1</v>
      </c>
      <c r="K2" s="347">
        <v>1</v>
      </c>
      <c r="M2" s="347" t="s">
        <v>5069</v>
      </c>
    </row>
    <row r="3" spans="1:27" ht="12.75" customHeight="1">
      <c r="A3" s="457" t="s">
        <v>5070</v>
      </c>
      <c r="B3" s="347">
        <v>1</v>
      </c>
      <c r="C3" s="347"/>
      <c r="D3" s="9"/>
      <c r="E3" s="581"/>
      <c r="F3" s="581"/>
      <c r="G3" s="347">
        <v>1</v>
      </c>
      <c r="H3" s="347">
        <v>1</v>
      </c>
      <c r="I3" s="347">
        <v>1</v>
      </c>
      <c r="J3" s="347"/>
      <c r="K3" s="347"/>
      <c r="M3" s="347"/>
    </row>
    <row r="4" spans="1:27" ht="12.75" customHeight="1">
      <c r="A4" s="457" t="s">
        <v>3382</v>
      </c>
      <c r="B4" s="347">
        <v>1</v>
      </c>
      <c r="C4" s="347">
        <v>1</v>
      </c>
      <c r="D4" s="9">
        <v>1</v>
      </c>
      <c r="E4" s="581">
        <v>1</v>
      </c>
      <c r="F4" s="581">
        <v>1</v>
      </c>
      <c r="G4" s="347">
        <v>1</v>
      </c>
      <c r="H4" s="347">
        <v>1</v>
      </c>
      <c r="I4" s="347">
        <v>1</v>
      </c>
      <c r="J4" s="347"/>
      <c r="K4" s="347"/>
      <c r="M4" s="347" t="s">
        <v>5069</v>
      </c>
    </row>
    <row r="5" spans="1:27" ht="12.75" customHeight="1">
      <c r="A5" s="457" t="s">
        <v>5071</v>
      </c>
      <c r="B5" s="347">
        <v>1</v>
      </c>
      <c r="C5" s="347"/>
      <c r="D5" s="9"/>
      <c r="E5" s="581"/>
      <c r="F5" s="581"/>
      <c r="G5" s="347">
        <v>1</v>
      </c>
      <c r="H5" s="347">
        <v>1</v>
      </c>
      <c r="I5" s="347">
        <v>1</v>
      </c>
      <c r="J5" s="347"/>
      <c r="K5" s="347"/>
      <c r="M5" s="347"/>
    </row>
    <row r="6" spans="1:27" ht="12.75" customHeight="1">
      <c r="A6" s="457" t="s">
        <v>3392</v>
      </c>
      <c r="B6" s="347">
        <v>1</v>
      </c>
      <c r="C6" s="347">
        <v>1</v>
      </c>
      <c r="D6" s="9">
        <v>1</v>
      </c>
      <c r="E6" s="581">
        <v>1</v>
      </c>
      <c r="F6" s="581">
        <v>1</v>
      </c>
      <c r="G6" s="347">
        <v>1</v>
      </c>
      <c r="H6" s="347">
        <v>1</v>
      </c>
      <c r="I6" s="347">
        <v>1</v>
      </c>
      <c r="J6" s="347"/>
      <c r="K6" s="347"/>
      <c r="M6" s="347" t="s">
        <v>5069</v>
      </c>
    </row>
    <row r="7" spans="1:27" ht="12.75" customHeight="1">
      <c r="A7" s="457" t="s">
        <v>3399</v>
      </c>
      <c r="B7" s="347">
        <v>1</v>
      </c>
      <c r="C7" s="347">
        <v>1</v>
      </c>
      <c r="D7" s="9">
        <v>1</v>
      </c>
      <c r="E7" s="581">
        <v>1</v>
      </c>
      <c r="F7" s="581"/>
      <c r="G7" s="347">
        <v>1</v>
      </c>
      <c r="H7" s="347">
        <v>1</v>
      </c>
      <c r="I7" s="347">
        <v>1</v>
      </c>
      <c r="J7" s="347"/>
      <c r="K7" s="347"/>
      <c r="M7" s="347"/>
    </row>
    <row r="8" spans="1:27" ht="12.75" customHeight="1">
      <c r="A8" s="457" t="s">
        <v>3404</v>
      </c>
      <c r="B8" s="347">
        <v>1</v>
      </c>
      <c r="C8" s="347"/>
      <c r="D8" s="9">
        <v>1</v>
      </c>
      <c r="E8" s="581">
        <v>1</v>
      </c>
      <c r="F8" s="581"/>
      <c r="G8" s="347">
        <v>1</v>
      </c>
      <c r="H8" s="347">
        <v>1</v>
      </c>
      <c r="I8" s="347">
        <v>1</v>
      </c>
      <c r="J8" s="347"/>
      <c r="K8" s="347"/>
      <c r="M8" s="347"/>
    </row>
    <row r="9" spans="1:27" ht="12.75" customHeight="1">
      <c r="A9" s="457" t="s">
        <v>3409</v>
      </c>
      <c r="B9" s="347">
        <v>1</v>
      </c>
      <c r="C9" s="347">
        <v>1</v>
      </c>
      <c r="D9" s="9">
        <v>1</v>
      </c>
      <c r="E9" s="581">
        <v>1</v>
      </c>
      <c r="F9" s="581"/>
      <c r="G9" s="347">
        <v>1</v>
      </c>
      <c r="H9" s="347">
        <v>1</v>
      </c>
      <c r="I9" s="347">
        <v>1</v>
      </c>
      <c r="J9" s="347"/>
      <c r="K9" s="347"/>
      <c r="M9" s="347"/>
    </row>
    <row r="10" spans="1:27" ht="12.75" customHeight="1">
      <c r="A10" s="457" t="s">
        <v>3418</v>
      </c>
      <c r="B10" s="347">
        <v>1</v>
      </c>
      <c r="C10" s="347">
        <v>1</v>
      </c>
      <c r="D10" s="9">
        <v>1</v>
      </c>
      <c r="E10" s="581">
        <v>1</v>
      </c>
      <c r="F10" s="581"/>
      <c r="G10" s="347">
        <v>1</v>
      </c>
      <c r="H10" s="347">
        <v>1</v>
      </c>
      <c r="I10" s="347">
        <v>1</v>
      </c>
      <c r="J10" s="347"/>
      <c r="K10" s="347"/>
      <c r="M10" s="347"/>
    </row>
    <row r="11" spans="1:27" ht="12.75" customHeight="1">
      <c r="A11" s="775" t="s">
        <v>3438</v>
      </c>
      <c r="B11" s="776">
        <v>1</v>
      </c>
      <c r="C11" s="776">
        <v>1</v>
      </c>
      <c r="D11" s="38">
        <v>1</v>
      </c>
      <c r="E11" s="777"/>
      <c r="F11" s="777"/>
      <c r="G11" s="776">
        <v>1</v>
      </c>
      <c r="H11" s="776">
        <v>1</v>
      </c>
      <c r="I11" s="776"/>
      <c r="J11" s="776"/>
      <c r="K11" s="776"/>
      <c r="L11" s="38"/>
      <c r="M11" s="776"/>
      <c r="N11" s="38"/>
      <c r="O11" s="38"/>
      <c r="P11" s="38"/>
    </row>
    <row r="12" spans="1:27" ht="12.75" customHeight="1">
      <c r="A12" s="457" t="s">
        <v>3423</v>
      </c>
      <c r="B12" s="347">
        <v>1</v>
      </c>
      <c r="C12" s="347">
        <v>1</v>
      </c>
      <c r="E12" s="581"/>
      <c r="F12" s="581"/>
      <c r="G12" s="347"/>
      <c r="H12" s="347"/>
      <c r="I12" s="347"/>
      <c r="J12" s="347"/>
      <c r="K12" s="347"/>
      <c r="M12" s="347"/>
    </row>
    <row r="13" spans="1:27" ht="12.75" customHeight="1">
      <c r="A13" s="457" t="s">
        <v>3448</v>
      </c>
      <c r="B13" s="347">
        <v>1</v>
      </c>
      <c r="C13" s="347"/>
      <c r="E13" s="581"/>
      <c r="F13" s="581"/>
      <c r="G13" s="347">
        <v>1</v>
      </c>
      <c r="H13" s="347">
        <v>1</v>
      </c>
      <c r="I13" s="347">
        <v>1</v>
      </c>
      <c r="J13" s="347">
        <v>1</v>
      </c>
      <c r="K13" s="347">
        <v>1</v>
      </c>
      <c r="M13" s="347"/>
    </row>
    <row r="14" spans="1:27" ht="12.75" customHeight="1">
      <c r="A14" s="457" t="s">
        <v>5072</v>
      </c>
      <c r="B14" s="347">
        <v>1</v>
      </c>
      <c r="C14" s="347">
        <v>1</v>
      </c>
      <c r="E14" s="581"/>
      <c r="F14" s="581"/>
      <c r="G14" s="347">
        <v>1</v>
      </c>
      <c r="H14" s="347">
        <v>1</v>
      </c>
      <c r="I14" s="347"/>
      <c r="J14" s="347"/>
      <c r="K14" s="347"/>
      <c r="M14" s="347"/>
    </row>
    <row r="15" spans="1:27" ht="12.75" customHeight="1">
      <c r="A15" s="457" t="s">
        <v>3456</v>
      </c>
      <c r="B15" s="347">
        <v>1</v>
      </c>
      <c r="C15" s="347">
        <v>1</v>
      </c>
      <c r="D15" s="9">
        <v>1</v>
      </c>
      <c r="E15" s="581"/>
      <c r="F15" s="581"/>
      <c r="G15" s="347">
        <v>1</v>
      </c>
      <c r="H15" s="347">
        <v>1</v>
      </c>
      <c r="I15" s="347">
        <v>1</v>
      </c>
      <c r="J15" s="347"/>
      <c r="K15" s="347"/>
      <c r="M15" s="347"/>
    </row>
    <row r="16" spans="1:27" ht="12.75" customHeight="1">
      <c r="A16" s="457" t="s">
        <v>3462</v>
      </c>
      <c r="B16" s="347">
        <v>1</v>
      </c>
      <c r="C16" s="347">
        <v>1</v>
      </c>
      <c r="D16" s="9">
        <v>1</v>
      </c>
      <c r="E16" s="581"/>
      <c r="F16" s="581"/>
      <c r="G16" s="347">
        <v>1</v>
      </c>
      <c r="H16" s="347" t="s">
        <v>3350</v>
      </c>
      <c r="I16" s="347">
        <v>1</v>
      </c>
      <c r="J16" s="347"/>
      <c r="K16" s="347"/>
      <c r="M16" s="347"/>
    </row>
    <row r="17" spans="1:13" ht="12.75" customHeight="1">
      <c r="A17" s="457" t="s">
        <v>3466</v>
      </c>
      <c r="B17" s="347">
        <v>1</v>
      </c>
      <c r="C17" s="347"/>
      <c r="D17" s="9">
        <v>1</v>
      </c>
      <c r="E17" s="581"/>
      <c r="F17" s="581"/>
      <c r="G17" s="347">
        <v>1</v>
      </c>
      <c r="H17" s="347" t="s">
        <v>3350</v>
      </c>
      <c r="I17" s="347">
        <v>1</v>
      </c>
      <c r="J17" s="347"/>
      <c r="K17" s="347"/>
      <c r="M17" s="347"/>
    </row>
    <row r="18" spans="1:13" ht="12.75" customHeight="1">
      <c r="A18" s="457" t="s">
        <v>3468</v>
      </c>
      <c r="B18" s="347">
        <v>0</v>
      </c>
      <c r="C18" s="347"/>
      <c r="D18" s="9">
        <v>1</v>
      </c>
      <c r="E18" s="581"/>
      <c r="F18" s="581"/>
      <c r="G18" s="347">
        <v>1</v>
      </c>
      <c r="H18" s="347" t="s">
        <v>3350</v>
      </c>
      <c r="I18" s="347">
        <v>1</v>
      </c>
      <c r="J18" s="347"/>
      <c r="K18" s="347"/>
      <c r="M18" s="347"/>
    </row>
    <row r="19" spans="1:13" ht="12.75" customHeight="1">
      <c r="A19" s="457" t="s">
        <v>3470</v>
      </c>
      <c r="B19" s="347">
        <v>0</v>
      </c>
      <c r="C19" s="347"/>
      <c r="D19" s="9">
        <v>1</v>
      </c>
      <c r="E19" s="581"/>
      <c r="F19" s="581"/>
      <c r="G19" s="347">
        <v>1</v>
      </c>
      <c r="H19" s="347">
        <v>1</v>
      </c>
      <c r="I19" s="347">
        <v>1</v>
      </c>
      <c r="J19" s="347"/>
      <c r="K19" s="347"/>
      <c r="M19" s="347"/>
    </row>
    <row r="20" spans="1:13" ht="12.75" customHeight="1">
      <c r="A20" s="457" t="s">
        <v>3474</v>
      </c>
      <c r="B20" s="347"/>
      <c r="C20" s="347"/>
      <c r="D20" s="9">
        <v>1</v>
      </c>
      <c r="E20" s="581"/>
      <c r="F20" s="581"/>
      <c r="G20" s="347">
        <v>1</v>
      </c>
      <c r="H20" s="347">
        <v>1</v>
      </c>
      <c r="I20" s="347"/>
      <c r="J20" s="347"/>
      <c r="K20" s="347"/>
      <c r="M20" s="347"/>
    </row>
    <row r="21" spans="1:13" ht="12.75" customHeight="1">
      <c r="A21" s="457" t="s">
        <v>3477</v>
      </c>
      <c r="B21" s="347">
        <v>1</v>
      </c>
      <c r="C21" s="347"/>
      <c r="D21" s="9">
        <v>1</v>
      </c>
      <c r="E21" s="581"/>
      <c r="F21" s="581"/>
      <c r="G21" s="347"/>
      <c r="H21" s="347"/>
      <c r="I21" s="347"/>
      <c r="J21" s="347"/>
      <c r="K21" s="347"/>
      <c r="M21" s="347"/>
    </row>
    <row r="22" spans="1:13" ht="12.75" customHeight="1">
      <c r="A22" s="457" t="s">
        <v>3481</v>
      </c>
      <c r="B22" s="347">
        <v>1</v>
      </c>
      <c r="C22" s="347"/>
      <c r="D22" s="9">
        <v>1</v>
      </c>
      <c r="E22" s="581"/>
      <c r="F22" s="581"/>
      <c r="G22" s="347" t="s">
        <v>135</v>
      </c>
      <c r="H22" s="347" t="s">
        <v>135</v>
      </c>
      <c r="I22" s="347"/>
      <c r="J22" s="347"/>
      <c r="K22" s="347"/>
      <c r="M22" s="347"/>
    </row>
    <row r="23" spans="1:13" ht="12.75" customHeight="1">
      <c r="A23" s="457" t="s">
        <v>3484</v>
      </c>
      <c r="B23" s="347"/>
      <c r="C23" s="347"/>
      <c r="E23" s="581"/>
      <c r="F23" s="581"/>
      <c r="G23" s="347" t="s">
        <v>135</v>
      </c>
      <c r="H23" s="347" t="s">
        <v>135</v>
      </c>
      <c r="I23" s="347"/>
      <c r="J23" s="347"/>
      <c r="K23" s="347"/>
      <c r="M23" s="347"/>
    </row>
    <row r="24" spans="1:13" ht="12.75" customHeight="1">
      <c r="A24" s="457" t="s">
        <v>3488</v>
      </c>
      <c r="B24" s="347">
        <v>0</v>
      </c>
      <c r="C24" s="347"/>
      <c r="E24" s="581"/>
      <c r="F24" s="581"/>
      <c r="G24" s="347"/>
      <c r="H24" s="347"/>
      <c r="I24" s="347"/>
      <c r="J24" s="347"/>
      <c r="K24" s="347"/>
      <c r="M24" s="347"/>
    </row>
    <row r="25" spans="1:13" ht="12.75" customHeight="1">
      <c r="A25" s="457" t="s">
        <v>3491</v>
      </c>
      <c r="B25" s="347">
        <v>1</v>
      </c>
      <c r="C25" s="347"/>
      <c r="E25" s="581"/>
      <c r="F25" s="581"/>
      <c r="G25" s="347"/>
      <c r="H25" s="347"/>
      <c r="I25" s="347"/>
      <c r="J25" s="347"/>
      <c r="K25" s="347"/>
      <c r="M25" s="347"/>
    </row>
    <row r="26" spans="1:13" ht="12.75" customHeight="1">
      <c r="A26" s="457" t="s">
        <v>3494</v>
      </c>
      <c r="B26" s="347">
        <v>1</v>
      </c>
      <c r="C26" s="347"/>
      <c r="E26" s="581"/>
      <c r="F26" s="581"/>
      <c r="G26" s="347"/>
      <c r="H26" s="347"/>
      <c r="I26" s="347"/>
      <c r="J26" s="347"/>
      <c r="K26" s="347"/>
      <c r="M26" s="347"/>
    </row>
    <row r="27" spans="1:13" ht="12.75" customHeight="1">
      <c r="A27" s="457" t="s">
        <v>3497</v>
      </c>
      <c r="B27" s="347"/>
      <c r="C27" s="347"/>
      <c r="E27" s="581"/>
      <c r="F27" s="581"/>
      <c r="G27" s="347"/>
      <c r="H27" s="347"/>
      <c r="I27" s="347"/>
      <c r="J27" s="347"/>
      <c r="K27" s="347"/>
      <c r="M27" s="347"/>
    </row>
    <row r="28" spans="1:13" ht="12.75" customHeight="1">
      <c r="A28" s="457" t="s">
        <v>3499</v>
      </c>
      <c r="B28" s="347">
        <v>1</v>
      </c>
      <c r="C28" s="347"/>
      <c r="D28" s="9">
        <v>1</v>
      </c>
      <c r="E28" s="581"/>
      <c r="F28" s="581"/>
      <c r="G28" s="347">
        <v>1</v>
      </c>
      <c r="H28" s="347">
        <v>1</v>
      </c>
      <c r="I28" s="347"/>
      <c r="J28" s="347">
        <v>1</v>
      </c>
      <c r="K28" s="347">
        <v>1</v>
      </c>
      <c r="M28" s="347"/>
    </row>
    <row r="29" spans="1:13" ht="12.75" customHeight="1">
      <c r="A29" s="457" t="s">
        <v>3504</v>
      </c>
      <c r="B29" s="347">
        <v>1</v>
      </c>
      <c r="C29" s="347"/>
      <c r="E29" s="581"/>
      <c r="F29" s="581"/>
      <c r="G29" s="347"/>
      <c r="H29" s="347"/>
      <c r="I29" s="347"/>
      <c r="J29" s="347"/>
      <c r="K29" s="347"/>
      <c r="M29" s="347"/>
    </row>
    <row r="30" spans="1:13">
      <c r="B30" s="347"/>
      <c r="C30" s="347"/>
      <c r="E30" s="581"/>
      <c r="F30" s="581"/>
      <c r="G30" s="347"/>
      <c r="H30" s="347"/>
      <c r="I30" s="347"/>
      <c r="J30" s="347"/>
      <c r="K30" s="347"/>
      <c r="M30" s="347"/>
    </row>
    <row r="31" spans="1:13">
      <c r="B31" s="347"/>
      <c r="C31" s="347"/>
      <c r="E31" s="581"/>
      <c r="F31" s="581"/>
      <c r="G31" s="347"/>
      <c r="H31" s="347"/>
      <c r="J31" s="347"/>
      <c r="K31" s="347"/>
      <c r="M31" s="347"/>
    </row>
    <row r="32" spans="1:13">
      <c r="B32" s="347"/>
      <c r="C32" s="347"/>
      <c r="E32" s="581"/>
      <c r="F32" s="581"/>
      <c r="G32" s="347"/>
      <c r="H32" s="347"/>
      <c r="J32" s="347"/>
      <c r="K32" s="347"/>
      <c r="M32" s="347"/>
    </row>
    <row r="33" spans="2:13">
      <c r="B33" s="347"/>
      <c r="C33" s="347"/>
      <c r="E33" s="581"/>
      <c r="F33" s="581"/>
      <c r="G33" s="347"/>
      <c r="H33" s="347"/>
      <c r="J33" s="347"/>
      <c r="K33" s="347"/>
      <c r="M33" s="347"/>
    </row>
    <row r="34" spans="2:13">
      <c r="B34" s="347"/>
      <c r="C34" s="347"/>
      <c r="E34" s="581"/>
      <c r="F34" s="581"/>
      <c r="G34" s="347"/>
      <c r="H34" s="347"/>
      <c r="J34" s="347"/>
      <c r="K34" s="347"/>
      <c r="M34" s="347"/>
    </row>
    <row r="35" spans="2:13">
      <c r="B35" s="347"/>
      <c r="C35" s="347"/>
      <c r="E35" s="581"/>
      <c r="F35" s="581"/>
      <c r="G35" s="347"/>
      <c r="H35" s="347"/>
      <c r="J35" s="347"/>
      <c r="K35" s="347"/>
      <c r="M35" s="347"/>
    </row>
    <row r="36" spans="2:13">
      <c r="B36" s="347"/>
      <c r="C36" s="347"/>
      <c r="E36" s="581"/>
      <c r="F36" s="581"/>
      <c r="G36" s="347"/>
      <c r="H36" s="347"/>
      <c r="J36" s="347"/>
      <c r="K36" s="347"/>
      <c r="M36" s="347"/>
    </row>
    <row r="37" spans="2:13">
      <c r="B37" s="347"/>
      <c r="C37" s="347"/>
      <c r="E37" s="581"/>
      <c r="F37" s="581"/>
      <c r="G37" s="347"/>
      <c r="H37" s="347"/>
      <c r="J37" s="347"/>
      <c r="K37" s="347"/>
      <c r="M37" s="347"/>
    </row>
    <row r="38" spans="2:13">
      <c r="B38" s="347"/>
      <c r="C38" s="347"/>
      <c r="E38" s="581"/>
      <c r="F38" s="581"/>
      <c r="G38" s="347"/>
      <c r="H38" s="347"/>
      <c r="J38" s="347"/>
      <c r="K38" s="347"/>
      <c r="M38" s="347"/>
    </row>
    <row r="39" spans="2:13">
      <c r="B39" s="347"/>
      <c r="C39" s="347"/>
      <c r="E39" s="581"/>
      <c r="F39" s="581"/>
      <c r="G39" s="347"/>
      <c r="H39" s="347"/>
      <c r="J39" s="347"/>
      <c r="K39" s="347"/>
      <c r="M39" s="347"/>
    </row>
    <row r="40" spans="2:13">
      <c r="B40" s="347"/>
      <c r="C40" s="347"/>
      <c r="E40" s="581"/>
      <c r="F40" s="581"/>
      <c r="G40" s="347"/>
      <c r="H40" s="347"/>
      <c r="J40" s="347"/>
      <c r="K40" s="347"/>
      <c r="M40" s="347"/>
    </row>
    <row r="41" spans="2:13">
      <c r="B41" s="347"/>
      <c r="C41" s="347"/>
      <c r="E41" s="581"/>
      <c r="F41" s="581"/>
      <c r="G41" s="347"/>
      <c r="H41" s="347"/>
      <c r="J41" s="347"/>
      <c r="K41" s="347"/>
      <c r="M41" s="347"/>
    </row>
    <row r="42" spans="2:13">
      <c r="B42" s="347"/>
      <c r="C42" s="347"/>
      <c r="E42" s="581"/>
      <c r="F42" s="581"/>
      <c r="G42" s="347"/>
      <c r="H42" s="347"/>
      <c r="J42" s="347"/>
      <c r="K42" s="347"/>
      <c r="M42" s="347"/>
    </row>
    <row r="43" spans="2:13">
      <c r="B43" s="347"/>
      <c r="C43" s="347"/>
      <c r="E43" s="581"/>
      <c r="F43" s="581"/>
      <c r="G43" s="347"/>
      <c r="H43" s="347"/>
      <c r="J43" s="347"/>
      <c r="K43" s="347"/>
      <c r="M43" s="347"/>
    </row>
    <row r="44" spans="2:13">
      <c r="B44" s="347"/>
      <c r="C44" s="347"/>
      <c r="E44" s="581"/>
      <c r="F44" s="581"/>
      <c r="G44" s="347"/>
      <c r="H44" s="347"/>
      <c r="J44" s="347"/>
      <c r="K44" s="347"/>
      <c r="M44" s="347"/>
    </row>
    <row r="45" spans="2:13">
      <c r="B45" s="347"/>
      <c r="C45" s="347"/>
      <c r="E45" s="581"/>
      <c r="F45" s="581"/>
      <c r="G45" s="347"/>
      <c r="H45" s="347"/>
      <c r="J45" s="347"/>
      <c r="K45" s="347"/>
      <c r="M45" s="347"/>
    </row>
    <row r="46" spans="2:13">
      <c r="B46" s="347"/>
      <c r="C46" s="347"/>
      <c r="E46" s="581"/>
      <c r="F46" s="581"/>
      <c r="G46" s="347"/>
      <c r="H46" s="347"/>
      <c r="J46" s="347"/>
      <c r="K46" s="347"/>
      <c r="M46" s="347"/>
    </row>
    <row r="47" spans="2:13">
      <c r="B47" s="347"/>
      <c r="C47" s="347"/>
      <c r="E47" s="581"/>
      <c r="F47" s="581"/>
      <c r="G47" s="347"/>
      <c r="H47" s="347"/>
      <c r="J47" s="347"/>
      <c r="K47" s="347"/>
      <c r="M47" s="347"/>
    </row>
    <row r="48" spans="2:13">
      <c r="B48" s="347"/>
      <c r="C48" s="347"/>
      <c r="E48" s="581"/>
      <c r="F48" s="581"/>
      <c r="G48" s="347"/>
      <c r="H48" s="347"/>
      <c r="J48" s="347"/>
      <c r="K48" s="347"/>
      <c r="M48" s="347"/>
    </row>
    <row r="49" spans="2:13">
      <c r="B49" s="347"/>
      <c r="C49" s="347"/>
      <c r="E49" s="581"/>
      <c r="F49" s="581"/>
      <c r="G49" s="347"/>
      <c r="H49" s="347"/>
      <c r="J49" s="347"/>
      <c r="K49" s="347"/>
      <c r="M49" s="347"/>
    </row>
    <row r="50" spans="2:13">
      <c r="B50" s="347"/>
      <c r="C50" s="347"/>
      <c r="E50" s="581"/>
      <c r="F50" s="581"/>
      <c r="G50" s="347"/>
      <c r="H50" s="347"/>
      <c r="J50" s="347"/>
      <c r="K50" s="347"/>
      <c r="M50" s="347"/>
    </row>
    <row r="51" spans="2:13">
      <c r="B51" s="347"/>
      <c r="C51" s="347"/>
      <c r="E51" s="581"/>
      <c r="F51" s="581"/>
      <c r="G51" s="347"/>
      <c r="H51" s="347"/>
      <c r="J51" s="347"/>
      <c r="K51" s="347"/>
      <c r="M51" s="347"/>
    </row>
    <row r="52" spans="2:13">
      <c r="B52" s="347"/>
      <c r="C52" s="347"/>
      <c r="E52" s="581"/>
      <c r="F52" s="581"/>
      <c r="G52" s="347"/>
      <c r="H52" s="347"/>
      <c r="J52" s="347"/>
      <c r="K52" s="347"/>
      <c r="M52" s="347"/>
    </row>
    <row r="53" spans="2:13">
      <c r="B53" s="347"/>
      <c r="C53" s="347"/>
      <c r="E53" s="581"/>
      <c r="F53" s="581"/>
      <c r="G53" s="347"/>
      <c r="H53" s="347"/>
      <c r="J53" s="347"/>
      <c r="K53" s="347"/>
      <c r="M53" s="347"/>
    </row>
    <row r="54" spans="2:13">
      <c r="B54" s="347"/>
      <c r="C54" s="347"/>
      <c r="E54" s="581"/>
      <c r="F54" s="581"/>
      <c r="G54" s="347"/>
      <c r="H54" s="347"/>
      <c r="J54" s="347"/>
      <c r="K54" s="347"/>
      <c r="M54" s="347"/>
    </row>
    <row r="55" spans="2:13">
      <c r="B55" s="347"/>
      <c r="C55" s="347"/>
      <c r="E55" s="581"/>
      <c r="F55" s="581"/>
      <c r="G55" s="347"/>
      <c r="H55" s="347"/>
      <c r="J55" s="347"/>
      <c r="K55" s="347"/>
      <c r="M55" s="347"/>
    </row>
    <row r="56" spans="2:13">
      <c r="B56" s="347"/>
      <c r="C56" s="347"/>
      <c r="E56" s="581"/>
      <c r="F56" s="581"/>
      <c r="G56" s="347"/>
      <c r="H56" s="347"/>
      <c r="J56" s="347"/>
      <c r="K56" s="347"/>
      <c r="M56" s="347"/>
    </row>
    <row r="57" spans="2:13">
      <c r="B57" s="347"/>
      <c r="C57" s="347"/>
      <c r="E57" s="581"/>
      <c r="F57" s="581"/>
      <c r="G57" s="347"/>
      <c r="H57" s="347"/>
      <c r="J57" s="347"/>
      <c r="K57" s="347"/>
      <c r="M57" s="347"/>
    </row>
    <row r="58" spans="2:13">
      <c r="B58" s="347"/>
      <c r="C58" s="347"/>
      <c r="E58" s="581"/>
      <c r="F58" s="581"/>
      <c r="G58" s="347"/>
      <c r="H58" s="347"/>
      <c r="J58" s="347"/>
      <c r="K58" s="347"/>
      <c r="M58" s="347"/>
    </row>
    <row r="59" spans="2:13">
      <c r="B59" s="347"/>
      <c r="C59" s="347"/>
      <c r="E59" s="581"/>
      <c r="F59" s="581"/>
      <c r="G59" s="347"/>
      <c r="H59" s="347"/>
      <c r="J59" s="347"/>
      <c r="K59" s="347"/>
      <c r="M59" s="347"/>
    </row>
    <row r="60" spans="2:13">
      <c r="B60" s="347"/>
      <c r="C60" s="347"/>
      <c r="E60" s="581"/>
      <c r="F60" s="581"/>
      <c r="G60" s="347"/>
      <c r="H60" s="347"/>
      <c r="J60" s="347"/>
      <c r="K60" s="347"/>
      <c r="M60" s="347"/>
    </row>
    <row r="61" spans="2:13">
      <c r="B61" s="347"/>
      <c r="C61" s="347"/>
      <c r="E61" s="581"/>
      <c r="F61" s="581"/>
      <c r="G61" s="347"/>
      <c r="H61" s="347"/>
      <c r="J61" s="347"/>
      <c r="K61" s="347"/>
      <c r="M61" s="347"/>
    </row>
    <row r="62" spans="2:13">
      <c r="B62" s="347"/>
      <c r="C62" s="347"/>
      <c r="E62" s="581"/>
      <c r="F62" s="581"/>
      <c r="G62" s="347"/>
      <c r="H62" s="347"/>
      <c r="J62" s="347"/>
      <c r="K62" s="347"/>
      <c r="M62" s="347"/>
    </row>
    <row r="63" spans="2:13">
      <c r="B63" s="347"/>
      <c r="C63" s="347"/>
      <c r="E63" s="581"/>
      <c r="F63" s="581"/>
      <c r="G63" s="347"/>
      <c r="H63" s="347"/>
      <c r="J63" s="347"/>
      <c r="K63" s="347"/>
      <c r="M63" s="347"/>
    </row>
    <row r="64" spans="2:13">
      <c r="B64" s="347"/>
      <c r="C64" s="347"/>
      <c r="E64" s="581"/>
      <c r="F64" s="581"/>
      <c r="G64" s="347"/>
      <c r="H64" s="347"/>
      <c r="J64" s="347"/>
      <c r="K64" s="347"/>
      <c r="M64" s="347"/>
    </row>
    <row r="65" spans="2:13">
      <c r="B65" s="347"/>
      <c r="C65" s="347"/>
      <c r="E65" s="581"/>
      <c r="F65" s="581"/>
      <c r="G65" s="347"/>
      <c r="H65" s="347"/>
      <c r="J65" s="347"/>
      <c r="K65" s="347"/>
      <c r="M65" s="347"/>
    </row>
    <row r="66" spans="2:13">
      <c r="B66" s="347"/>
      <c r="C66" s="347"/>
      <c r="E66" s="581"/>
      <c r="F66" s="581"/>
      <c r="G66" s="347"/>
      <c r="H66" s="347"/>
      <c r="J66" s="347"/>
      <c r="K66" s="347"/>
      <c r="M66" s="347"/>
    </row>
    <row r="67" spans="2:13">
      <c r="B67" s="347"/>
      <c r="C67" s="347"/>
      <c r="E67" s="581"/>
      <c r="F67" s="581"/>
      <c r="G67" s="347"/>
      <c r="H67" s="347"/>
      <c r="J67" s="347"/>
      <c r="K67" s="347"/>
      <c r="M67" s="347"/>
    </row>
    <row r="68" spans="2:13">
      <c r="B68" s="347"/>
      <c r="C68" s="347"/>
      <c r="E68" s="581"/>
      <c r="F68" s="581"/>
      <c r="G68" s="347"/>
      <c r="H68" s="347"/>
      <c r="J68" s="347"/>
      <c r="K68" s="347"/>
      <c r="M68" s="347"/>
    </row>
    <row r="69" spans="2:13">
      <c r="B69" s="347"/>
      <c r="C69" s="347"/>
      <c r="E69" s="581"/>
      <c r="F69" s="581"/>
      <c r="G69" s="347"/>
      <c r="H69" s="347"/>
      <c r="J69" s="347"/>
      <c r="K69" s="347"/>
      <c r="M69" s="347"/>
    </row>
    <row r="70" spans="2:13">
      <c r="B70" s="347"/>
      <c r="C70" s="347"/>
      <c r="E70" s="581"/>
      <c r="F70" s="581"/>
      <c r="G70" s="347"/>
      <c r="H70" s="347"/>
      <c r="J70" s="347"/>
      <c r="K70" s="347"/>
      <c r="M70" s="347"/>
    </row>
    <row r="71" spans="2:13">
      <c r="B71" s="347"/>
      <c r="C71" s="347"/>
      <c r="E71" s="581"/>
      <c r="F71" s="581"/>
      <c r="G71" s="347"/>
      <c r="H71" s="347"/>
      <c r="J71" s="347"/>
      <c r="K71" s="347"/>
      <c r="M71" s="347"/>
    </row>
    <row r="72" spans="2:13">
      <c r="B72" s="347"/>
      <c r="C72" s="347"/>
      <c r="E72" s="581"/>
      <c r="F72" s="581"/>
      <c r="G72" s="347"/>
      <c r="H72" s="347"/>
      <c r="J72" s="347"/>
      <c r="K72" s="347"/>
      <c r="M72" s="347"/>
    </row>
    <row r="73" spans="2:13">
      <c r="B73" s="347"/>
      <c r="C73" s="347"/>
      <c r="E73" s="581"/>
      <c r="F73" s="581"/>
      <c r="G73" s="347"/>
      <c r="H73" s="347"/>
      <c r="J73" s="347"/>
      <c r="K73" s="347"/>
      <c r="M73" s="347"/>
    </row>
    <row r="74" spans="2:13">
      <c r="B74" s="347"/>
      <c r="C74" s="347"/>
      <c r="E74" s="581"/>
      <c r="F74" s="581"/>
      <c r="G74" s="347"/>
      <c r="H74" s="347"/>
      <c r="J74" s="347"/>
      <c r="K74" s="347"/>
      <c r="M74" s="347"/>
    </row>
    <row r="75" spans="2:13">
      <c r="B75" s="347"/>
      <c r="C75" s="347"/>
      <c r="E75" s="581"/>
      <c r="F75" s="581"/>
      <c r="G75" s="347"/>
      <c r="H75" s="347"/>
      <c r="J75" s="347"/>
      <c r="K75" s="347"/>
      <c r="M75" s="347"/>
    </row>
    <row r="76" spans="2:13">
      <c r="B76" s="347"/>
      <c r="C76" s="347"/>
      <c r="E76" s="581"/>
      <c r="F76" s="581"/>
      <c r="G76" s="347"/>
      <c r="H76" s="347"/>
      <c r="J76" s="347"/>
      <c r="K76" s="347"/>
      <c r="M76" s="347"/>
    </row>
    <row r="77" spans="2:13">
      <c r="B77" s="347"/>
      <c r="C77" s="347"/>
      <c r="E77" s="581"/>
      <c r="F77" s="581"/>
      <c r="G77" s="347"/>
      <c r="H77" s="347"/>
      <c r="J77" s="347"/>
      <c r="K77" s="347"/>
      <c r="M77" s="347"/>
    </row>
    <row r="78" spans="2:13">
      <c r="B78" s="347"/>
      <c r="C78" s="347"/>
      <c r="E78" s="581"/>
      <c r="F78" s="581"/>
      <c r="G78" s="347"/>
      <c r="H78" s="347"/>
      <c r="J78" s="347"/>
      <c r="K78" s="347"/>
      <c r="M78" s="347"/>
    </row>
    <row r="79" spans="2:13">
      <c r="B79" s="347"/>
      <c r="C79" s="347"/>
      <c r="E79" s="581"/>
      <c r="F79" s="581"/>
      <c r="G79" s="347"/>
      <c r="H79" s="347"/>
      <c r="J79" s="347"/>
      <c r="K79" s="347"/>
      <c r="M79" s="347"/>
    </row>
    <row r="80" spans="2:13">
      <c r="B80" s="347"/>
      <c r="C80" s="347"/>
      <c r="E80" s="581"/>
      <c r="F80" s="581"/>
      <c r="G80" s="347"/>
      <c r="H80" s="347"/>
      <c r="J80" s="347"/>
      <c r="K80" s="347"/>
      <c r="M80" s="347"/>
    </row>
    <row r="81" spans="2:13">
      <c r="B81" s="347"/>
      <c r="C81" s="347"/>
      <c r="E81" s="581"/>
      <c r="F81" s="581"/>
      <c r="G81" s="347"/>
      <c r="H81" s="347"/>
      <c r="J81" s="347"/>
      <c r="K81" s="347"/>
      <c r="M81" s="347"/>
    </row>
    <row r="82" spans="2:13">
      <c r="B82" s="347"/>
      <c r="C82" s="347"/>
      <c r="E82" s="581"/>
      <c r="F82" s="581"/>
      <c r="G82" s="347"/>
      <c r="H82" s="347"/>
      <c r="J82" s="347"/>
      <c r="K82" s="347"/>
      <c r="M82" s="347"/>
    </row>
    <row r="83" spans="2:13">
      <c r="B83" s="347"/>
      <c r="C83" s="347"/>
      <c r="E83" s="581"/>
      <c r="F83" s="581"/>
      <c r="G83" s="347"/>
      <c r="H83" s="347"/>
      <c r="J83" s="347"/>
      <c r="K83" s="347"/>
      <c r="M83" s="347"/>
    </row>
    <row r="84" spans="2:13">
      <c r="B84" s="347"/>
      <c r="C84" s="347"/>
      <c r="E84" s="581"/>
      <c r="F84" s="581"/>
      <c r="G84" s="347"/>
      <c r="H84" s="347"/>
      <c r="J84" s="347"/>
      <c r="K84" s="347"/>
      <c r="M84" s="347"/>
    </row>
    <row r="85" spans="2:13">
      <c r="B85" s="347"/>
      <c r="C85" s="347"/>
      <c r="E85" s="581"/>
      <c r="F85" s="581"/>
      <c r="G85" s="347"/>
      <c r="H85" s="347"/>
      <c r="J85" s="347"/>
      <c r="K85" s="347"/>
      <c r="M85" s="347"/>
    </row>
    <row r="86" spans="2:13">
      <c r="B86" s="347"/>
      <c r="C86" s="347"/>
      <c r="E86" s="581"/>
      <c r="F86" s="581"/>
      <c r="G86" s="347"/>
      <c r="H86" s="347"/>
      <c r="J86" s="347"/>
      <c r="K86" s="347"/>
      <c r="M86" s="347"/>
    </row>
    <row r="87" spans="2:13">
      <c r="B87" s="347"/>
      <c r="C87" s="347"/>
      <c r="E87" s="581"/>
      <c r="F87" s="581"/>
      <c r="G87" s="347"/>
      <c r="H87" s="347"/>
      <c r="J87" s="347"/>
      <c r="K87" s="347"/>
      <c r="M87" s="347"/>
    </row>
    <row r="88" spans="2:13">
      <c r="B88" s="347"/>
      <c r="C88" s="347"/>
      <c r="E88" s="581"/>
      <c r="F88" s="581"/>
      <c r="G88" s="347"/>
      <c r="H88" s="347"/>
      <c r="J88" s="347"/>
      <c r="K88" s="347"/>
      <c r="M88" s="347"/>
    </row>
    <row r="89" spans="2:13">
      <c r="B89" s="347"/>
      <c r="C89" s="347"/>
      <c r="E89" s="581"/>
      <c r="F89" s="581"/>
      <c r="G89" s="347"/>
      <c r="H89" s="347"/>
      <c r="J89" s="347"/>
      <c r="K89" s="347"/>
      <c r="M89" s="347"/>
    </row>
    <row r="90" spans="2:13">
      <c r="B90" s="347"/>
      <c r="C90" s="347"/>
      <c r="E90" s="581"/>
      <c r="F90" s="581"/>
      <c r="G90" s="347"/>
      <c r="H90" s="347"/>
      <c r="J90" s="347"/>
      <c r="K90" s="347"/>
      <c r="M90" s="347"/>
    </row>
    <row r="91" spans="2:13">
      <c r="B91" s="347"/>
      <c r="C91" s="347"/>
      <c r="E91" s="581"/>
      <c r="F91" s="581"/>
      <c r="G91" s="347"/>
      <c r="H91" s="347"/>
      <c r="J91" s="347"/>
      <c r="K91" s="347"/>
      <c r="M91" s="347"/>
    </row>
    <row r="92" spans="2:13">
      <c r="B92" s="347"/>
      <c r="C92" s="347"/>
      <c r="E92" s="581"/>
      <c r="F92" s="581"/>
      <c r="G92" s="347"/>
      <c r="H92" s="347"/>
      <c r="J92" s="347"/>
      <c r="K92" s="347"/>
      <c r="M92" s="347"/>
    </row>
    <row r="93" spans="2:13">
      <c r="B93" s="347"/>
      <c r="C93" s="347"/>
      <c r="E93" s="581"/>
      <c r="F93" s="581"/>
      <c r="G93" s="347"/>
      <c r="H93" s="347"/>
      <c r="J93" s="347"/>
      <c r="K93" s="347"/>
      <c r="M93" s="347"/>
    </row>
    <row r="94" spans="2:13">
      <c r="B94" s="347"/>
      <c r="C94" s="347"/>
      <c r="E94" s="581"/>
      <c r="F94" s="581"/>
      <c r="G94" s="347"/>
      <c r="H94" s="347"/>
      <c r="J94" s="347"/>
      <c r="K94" s="347"/>
      <c r="M94" s="347"/>
    </row>
    <row r="95" spans="2:13">
      <c r="B95" s="347"/>
      <c r="C95" s="347"/>
      <c r="E95" s="581"/>
      <c r="F95" s="581"/>
      <c r="G95" s="347"/>
      <c r="H95" s="347"/>
      <c r="J95" s="347"/>
      <c r="K95" s="347"/>
      <c r="M95" s="347"/>
    </row>
    <row r="96" spans="2:13">
      <c r="B96" s="347"/>
      <c r="C96" s="347"/>
      <c r="E96" s="581"/>
      <c r="F96" s="581"/>
      <c r="G96" s="347"/>
      <c r="H96" s="347"/>
      <c r="J96" s="347"/>
      <c r="K96" s="347"/>
      <c r="M96" s="347"/>
    </row>
    <row r="97" spans="2:13">
      <c r="B97" s="347"/>
      <c r="C97" s="347"/>
      <c r="E97" s="581"/>
      <c r="F97" s="581"/>
      <c r="G97" s="347"/>
      <c r="H97" s="347"/>
      <c r="J97" s="347"/>
      <c r="K97" s="347"/>
      <c r="M97" s="347"/>
    </row>
    <row r="98" spans="2:13">
      <c r="B98" s="347"/>
      <c r="C98" s="347"/>
      <c r="E98" s="581"/>
      <c r="F98" s="581"/>
      <c r="G98" s="347"/>
      <c r="H98" s="347"/>
      <c r="J98" s="347"/>
      <c r="K98" s="347"/>
      <c r="M98" s="347"/>
    </row>
    <row r="99" spans="2:13">
      <c r="B99" s="347"/>
      <c r="C99" s="347"/>
      <c r="E99" s="581"/>
      <c r="F99" s="581"/>
      <c r="G99" s="347"/>
      <c r="H99" s="347"/>
      <c r="J99" s="347"/>
      <c r="K99" s="347"/>
      <c r="M99" s="347"/>
    </row>
    <row r="100" spans="2:13">
      <c r="B100" s="347"/>
      <c r="C100" s="347"/>
      <c r="E100" s="581"/>
      <c r="F100" s="581"/>
      <c r="G100" s="347"/>
      <c r="H100" s="347"/>
      <c r="J100" s="347"/>
      <c r="K100" s="347"/>
      <c r="M100" s="347"/>
    </row>
    <row r="101" spans="2:13">
      <c r="B101" s="347"/>
      <c r="C101" s="347"/>
      <c r="E101" s="581"/>
      <c r="F101" s="581"/>
      <c r="G101" s="347"/>
      <c r="H101" s="347"/>
      <c r="J101" s="347"/>
      <c r="K101" s="347"/>
      <c r="M101" s="347"/>
    </row>
    <row r="102" spans="2:13">
      <c r="B102" s="347"/>
      <c r="C102" s="347"/>
      <c r="E102" s="581"/>
      <c r="F102" s="581"/>
      <c r="G102" s="347"/>
      <c r="H102" s="347"/>
      <c r="J102" s="347"/>
      <c r="K102" s="347"/>
      <c r="M102" s="347"/>
    </row>
    <row r="103" spans="2:13">
      <c r="B103" s="347"/>
      <c r="C103" s="347"/>
      <c r="E103" s="581"/>
      <c r="F103" s="581"/>
      <c r="G103" s="347"/>
      <c r="H103" s="347"/>
      <c r="J103" s="347"/>
      <c r="K103" s="347"/>
      <c r="M103" s="347"/>
    </row>
    <row r="104" spans="2:13">
      <c r="B104" s="347"/>
      <c r="C104" s="347"/>
      <c r="E104" s="581"/>
      <c r="F104" s="581"/>
      <c r="G104" s="347"/>
      <c r="H104" s="347"/>
      <c r="J104" s="347"/>
      <c r="K104" s="347"/>
      <c r="M104" s="347"/>
    </row>
    <row r="105" spans="2:13">
      <c r="B105" s="347"/>
      <c r="C105" s="347"/>
      <c r="E105" s="581"/>
      <c r="F105" s="581"/>
      <c r="G105" s="347"/>
      <c r="H105" s="347"/>
      <c r="J105" s="347"/>
      <c r="K105" s="347"/>
      <c r="M105" s="347"/>
    </row>
    <row r="106" spans="2:13">
      <c r="B106" s="347"/>
      <c r="C106" s="347"/>
      <c r="E106" s="581"/>
      <c r="F106" s="581"/>
      <c r="G106" s="347"/>
      <c r="H106" s="347"/>
      <c r="J106" s="347"/>
      <c r="K106" s="347"/>
      <c r="M106" s="347"/>
    </row>
    <row r="107" spans="2:13">
      <c r="B107" s="347"/>
      <c r="C107" s="347"/>
      <c r="E107" s="581"/>
      <c r="F107" s="581"/>
      <c r="G107" s="347"/>
      <c r="H107" s="347"/>
      <c r="J107" s="347"/>
      <c r="K107" s="347"/>
      <c r="M107" s="347"/>
    </row>
    <row r="108" spans="2:13">
      <c r="B108" s="347"/>
      <c r="C108" s="347"/>
      <c r="E108" s="581"/>
      <c r="F108" s="581"/>
      <c r="G108" s="347"/>
      <c r="H108" s="347"/>
      <c r="J108" s="347"/>
      <c r="K108" s="347"/>
      <c r="M108" s="347"/>
    </row>
    <row r="109" spans="2:13">
      <c r="B109" s="347"/>
      <c r="C109" s="347"/>
      <c r="E109" s="581"/>
      <c r="F109" s="581"/>
      <c r="G109" s="347"/>
      <c r="H109" s="347"/>
      <c r="J109" s="347"/>
      <c r="K109" s="347"/>
      <c r="M109" s="347"/>
    </row>
    <row r="110" spans="2:13">
      <c r="B110" s="347"/>
      <c r="C110" s="347"/>
      <c r="E110" s="581"/>
      <c r="F110" s="581"/>
      <c r="G110" s="347"/>
      <c r="H110" s="347"/>
      <c r="J110" s="347"/>
      <c r="K110" s="347"/>
      <c r="M110" s="347"/>
    </row>
    <row r="111" spans="2:13">
      <c r="B111" s="347"/>
      <c r="C111" s="347"/>
      <c r="E111" s="581"/>
      <c r="F111" s="581"/>
      <c r="G111" s="347"/>
      <c r="H111" s="347"/>
      <c r="J111" s="347"/>
      <c r="K111" s="347"/>
      <c r="M111" s="347"/>
    </row>
    <row r="112" spans="2:13">
      <c r="B112" s="347"/>
      <c r="C112" s="347"/>
      <c r="E112" s="581"/>
      <c r="F112" s="581"/>
      <c r="G112" s="347"/>
      <c r="H112" s="347"/>
      <c r="J112" s="347"/>
      <c r="K112" s="347"/>
      <c r="M112" s="347"/>
    </row>
    <row r="113" spans="2:13">
      <c r="B113" s="347"/>
      <c r="C113" s="347"/>
      <c r="E113" s="581"/>
      <c r="F113" s="581"/>
      <c r="G113" s="347"/>
      <c r="H113" s="347"/>
      <c r="J113" s="347"/>
      <c r="K113" s="347"/>
      <c r="M113" s="347"/>
    </row>
    <row r="114" spans="2:13">
      <c r="B114" s="347"/>
      <c r="C114" s="347"/>
      <c r="E114" s="581"/>
      <c r="F114" s="581"/>
      <c r="G114" s="347"/>
      <c r="H114" s="347"/>
      <c r="J114" s="347"/>
      <c r="K114" s="347"/>
      <c r="M114" s="347"/>
    </row>
    <row r="115" spans="2:13">
      <c r="B115" s="347"/>
      <c r="C115" s="347"/>
      <c r="E115" s="581"/>
      <c r="F115" s="581"/>
      <c r="G115" s="347"/>
      <c r="H115" s="347"/>
      <c r="J115" s="347"/>
      <c r="K115" s="347"/>
      <c r="M115" s="347"/>
    </row>
    <row r="116" spans="2:13">
      <c r="B116" s="347"/>
      <c r="C116" s="347"/>
      <c r="E116" s="581"/>
      <c r="F116" s="581"/>
      <c r="G116" s="347"/>
      <c r="H116" s="347"/>
      <c r="J116" s="347"/>
      <c r="K116" s="347"/>
      <c r="M116" s="347"/>
    </row>
    <row r="117" spans="2:13">
      <c r="B117" s="347"/>
      <c r="C117" s="347"/>
      <c r="E117" s="581"/>
      <c r="F117" s="581"/>
      <c r="G117" s="347"/>
      <c r="H117" s="347"/>
      <c r="J117" s="347"/>
      <c r="K117" s="347"/>
      <c r="M117" s="347"/>
    </row>
    <row r="118" spans="2:13">
      <c r="B118" s="347"/>
      <c r="C118" s="347"/>
      <c r="E118" s="581"/>
      <c r="F118" s="581"/>
      <c r="G118" s="347"/>
      <c r="H118" s="347"/>
      <c r="J118" s="347"/>
      <c r="K118" s="347"/>
      <c r="M118" s="347"/>
    </row>
    <row r="119" spans="2:13">
      <c r="B119" s="347"/>
      <c r="C119" s="347"/>
      <c r="E119" s="581"/>
      <c r="F119" s="581"/>
      <c r="G119" s="347"/>
      <c r="H119" s="347"/>
      <c r="J119" s="347"/>
      <c r="K119" s="347"/>
      <c r="M119" s="347"/>
    </row>
    <row r="120" spans="2:13">
      <c r="B120" s="347"/>
      <c r="C120" s="347"/>
      <c r="E120" s="581"/>
      <c r="F120" s="581"/>
      <c r="G120" s="347"/>
      <c r="H120" s="347"/>
      <c r="J120" s="347"/>
      <c r="K120" s="347"/>
      <c r="M120" s="347"/>
    </row>
    <row r="121" spans="2:13">
      <c r="B121" s="347"/>
      <c r="C121" s="347"/>
      <c r="E121" s="581"/>
      <c r="F121" s="581"/>
      <c r="G121" s="347"/>
      <c r="H121" s="347"/>
      <c r="J121" s="347"/>
      <c r="K121" s="347"/>
      <c r="M121" s="347"/>
    </row>
    <row r="122" spans="2:13">
      <c r="B122" s="347"/>
      <c r="C122" s="347"/>
      <c r="E122" s="581"/>
      <c r="F122" s="581"/>
      <c r="G122" s="347"/>
      <c r="H122" s="347"/>
      <c r="J122" s="347"/>
      <c r="K122" s="347"/>
      <c r="M122" s="347"/>
    </row>
    <row r="123" spans="2:13">
      <c r="B123" s="347"/>
      <c r="C123" s="347"/>
      <c r="E123" s="581"/>
      <c r="F123" s="581"/>
      <c r="G123" s="347"/>
      <c r="H123" s="347"/>
      <c r="J123" s="347"/>
      <c r="K123" s="347"/>
      <c r="M123" s="347"/>
    </row>
    <row r="124" spans="2:13">
      <c r="B124" s="347"/>
      <c r="C124" s="347"/>
      <c r="E124" s="581"/>
      <c r="F124" s="581"/>
      <c r="G124" s="347"/>
      <c r="H124" s="347"/>
      <c r="J124" s="347"/>
      <c r="K124" s="347"/>
      <c r="M124" s="347"/>
    </row>
    <row r="125" spans="2:13">
      <c r="B125" s="347"/>
      <c r="C125" s="347"/>
      <c r="E125" s="581"/>
      <c r="F125" s="581"/>
      <c r="G125" s="347"/>
      <c r="H125" s="347"/>
      <c r="J125" s="347"/>
      <c r="K125" s="347"/>
      <c r="M125" s="347"/>
    </row>
    <row r="126" spans="2:13">
      <c r="B126" s="347"/>
      <c r="C126" s="347"/>
      <c r="E126" s="581"/>
      <c r="F126" s="581"/>
      <c r="G126" s="347"/>
      <c r="H126" s="347"/>
      <c r="J126" s="347"/>
      <c r="K126" s="347"/>
      <c r="M126" s="347"/>
    </row>
    <row r="127" spans="2:13">
      <c r="B127" s="347"/>
      <c r="C127" s="347"/>
      <c r="E127" s="581"/>
      <c r="F127" s="581"/>
      <c r="G127" s="347"/>
      <c r="H127" s="347"/>
      <c r="J127" s="347"/>
      <c r="K127" s="347"/>
      <c r="M127" s="347"/>
    </row>
    <row r="128" spans="2:13">
      <c r="B128" s="347"/>
      <c r="C128" s="347"/>
      <c r="E128" s="581"/>
      <c r="F128" s="581"/>
      <c r="G128" s="347"/>
      <c r="H128" s="347"/>
      <c r="J128" s="347"/>
      <c r="K128" s="347"/>
      <c r="M128" s="347"/>
    </row>
    <row r="129" spans="2:13">
      <c r="B129" s="347"/>
      <c r="C129" s="347"/>
      <c r="E129" s="581"/>
      <c r="F129" s="581"/>
      <c r="G129" s="347"/>
      <c r="H129" s="347"/>
      <c r="J129" s="347"/>
      <c r="K129" s="347"/>
      <c r="M129" s="347"/>
    </row>
    <row r="130" spans="2:13">
      <c r="B130" s="347"/>
      <c r="C130" s="347"/>
      <c r="E130" s="581"/>
      <c r="F130" s="581"/>
      <c r="G130" s="347"/>
      <c r="H130" s="347"/>
      <c r="J130" s="347"/>
      <c r="K130" s="347"/>
      <c r="M130" s="347"/>
    </row>
    <row r="131" spans="2:13">
      <c r="B131" s="347"/>
      <c r="C131" s="347"/>
      <c r="E131" s="581"/>
      <c r="F131" s="581"/>
      <c r="G131" s="347"/>
      <c r="H131" s="347"/>
      <c r="J131" s="347"/>
      <c r="K131" s="347"/>
      <c r="M131" s="347"/>
    </row>
    <row r="132" spans="2:13">
      <c r="B132" s="347"/>
      <c r="C132" s="347"/>
      <c r="E132" s="581"/>
      <c r="F132" s="581"/>
      <c r="G132" s="347"/>
      <c r="H132" s="347"/>
      <c r="J132" s="347"/>
      <c r="K132" s="347"/>
      <c r="M132" s="347"/>
    </row>
    <row r="133" spans="2:13">
      <c r="B133" s="347"/>
      <c r="C133" s="347"/>
      <c r="E133" s="581"/>
      <c r="F133" s="581"/>
      <c r="G133" s="347"/>
      <c r="H133" s="347"/>
      <c r="J133" s="347"/>
      <c r="K133" s="347"/>
      <c r="M133" s="347"/>
    </row>
    <row r="134" spans="2:13">
      <c r="B134" s="347"/>
      <c r="C134" s="347"/>
      <c r="E134" s="581"/>
      <c r="F134" s="581"/>
      <c r="G134" s="347"/>
      <c r="H134" s="347"/>
      <c r="J134" s="347"/>
      <c r="K134" s="347"/>
      <c r="M134" s="347"/>
    </row>
    <row r="135" spans="2:13">
      <c r="B135" s="347"/>
      <c r="C135" s="347"/>
      <c r="E135" s="581"/>
      <c r="F135" s="581"/>
      <c r="G135" s="347"/>
      <c r="H135" s="347"/>
      <c r="J135" s="347"/>
      <c r="K135" s="347"/>
      <c r="M135" s="347"/>
    </row>
    <row r="136" spans="2:13">
      <c r="B136" s="347"/>
      <c r="C136" s="347"/>
      <c r="E136" s="581"/>
      <c r="F136" s="581"/>
      <c r="G136" s="347"/>
      <c r="H136" s="347"/>
      <c r="J136" s="347"/>
      <c r="K136" s="347"/>
      <c r="M136" s="347"/>
    </row>
    <row r="137" spans="2:13">
      <c r="B137" s="347"/>
      <c r="C137" s="347"/>
      <c r="E137" s="581"/>
      <c r="F137" s="581"/>
      <c r="G137" s="347"/>
      <c r="H137" s="347"/>
      <c r="J137" s="347"/>
      <c r="K137" s="347"/>
      <c r="M137" s="347"/>
    </row>
    <row r="138" spans="2:13">
      <c r="B138" s="347"/>
      <c r="C138" s="347"/>
      <c r="E138" s="581"/>
      <c r="F138" s="581"/>
      <c r="G138" s="347"/>
      <c r="H138" s="347"/>
      <c r="J138" s="347"/>
      <c r="K138" s="347"/>
      <c r="M138" s="347"/>
    </row>
    <row r="139" spans="2:13">
      <c r="B139" s="347"/>
      <c r="C139" s="347"/>
      <c r="E139" s="581"/>
      <c r="F139" s="581"/>
      <c r="G139" s="347"/>
      <c r="H139" s="347"/>
      <c r="J139" s="347"/>
      <c r="K139" s="347"/>
      <c r="M139" s="347"/>
    </row>
    <row r="140" spans="2:13">
      <c r="B140" s="347"/>
      <c r="C140" s="347"/>
      <c r="E140" s="581"/>
      <c r="F140" s="581"/>
      <c r="G140" s="347"/>
      <c r="H140" s="347"/>
      <c r="J140" s="347"/>
      <c r="K140" s="347"/>
      <c r="M140" s="347"/>
    </row>
    <row r="141" spans="2:13">
      <c r="B141" s="347"/>
      <c r="C141" s="347"/>
      <c r="E141" s="581"/>
      <c r="F141" s="581"/>
      <c r="G141" s="347"/>
      <c r="H141" s="347"/>
      <c r="J141" s="347"/>
      <c r="K141" s="347"/>
      <c r="M141" s="347"/>
    </row>
    <row r="142" spans="2:13">
      <c r="B142" s="347"/>
      <c r="C142" s="347"/>
      <c r="E142" s="581"/>
      <c r="F142" s="581"/>
      <c r="G142" s="347"/>
      <c r="H142" s="347"/>
      <c r="J142" s="347"/>
      <c r="K142" s="347"/>
      <c r="M142" s="347"/>
    </row>
    <row r="143" spans="2:13">
      <c r="B143" s="347"/>
      <c r="C143" s="347"/>
      <c r="E143" s="581"/>
      <c r="F143" s="581"/>
      <c r="G143" s="347"/>
      <c r="H143" s="347"/>
      <c r="J143" s="347"/>
      <c r="K143" s="347"/>
      <c r="M143" s="347"/>
    </row>
    <row r="144" spans="2:13">
      <c r="B144" s="347"/>
      <c r="C144" s="347"/>
      <c r="E144" s="581"/>
      <c r="F144" s="581"/>
      <c r="G144" s="347"/>
      <c r="H144" s="347"/>
      <c r="J144" s="347"/>
      <c r="K144" s="347"/>
      <c r="M144" s="347"/>
    </row>
    <row r="145" spans="2:13">
      <c r="B145" s="347"/>
      <c r="C145" s="347"/>
      <c r="E145" s="581"/>
      <c r="F145" s="581"/>
      <c r="G145" s="347"/>
      <c r="H145" s="347"/>
      <c r="J145" s="347"/>
      <c r="K145" s="347"/>
      <c r="M145" s="347"/>
    </row>
    <row r="146" spans="2:13">
      <c r="B146" s="347"/>
      <c r="C146" s="347"/>
      <c r="E146" s="581"/>
      <c r="F146" s="581"/>
      <c r="G146" s="347"/>
      <c r="H146" s="347"/>
      <c r="J146" s="347"/>
      <c r="K146" s="347"/>
      <c r="M146" s="347"/>
    </row>
    <row r="147" spans="2:13">
      <c r="B147" s="347"/>
      <c r="C147" s="347"/>
      <c r="E147" s="581"/>
      <c r="F147" s="581"/>
      <c r="G147" s="347"/>
      <c r="H147" s="347"/>
      <c r="J147" s="347"/>
      <c r="K147" s="347"/>
      <c r="M147" s="347"/>
    </row>
    <row r="148" spans="2:13">
      <c r="B148" s="347"/>
      <c r="C148" s="347"/>
      <c r="E148" s="581"/>
      <c r="F148" s="581"/>
      <c r="G148" s="347"/>
      <c r="H148" s="347"/>
      <c r="J148" s="347"/>
      <c r="K148" s="347"/>
      <c r="M148" s="347"/>
    </row>
    <row r="149" spans="2:13">
      <c r="B149" s="347"/>
      <c r="C149" s="347"/>
      <c r="E149" s="581"/>
      <c r="F149" s="581"/>
      <c r="G149" s="347"/>
      <c r="H149" s="347"/>
      <c r="J149" s="347"/>
      <c r="K149" s="347"/>
      <c r="M149" s="347"/>
    </row>
    <row r="150" spans="2:13">
      <c r="B150" s="347"/>
      <c r="C150" s="347"/>
      <c r="E150" s="581"/>
      <c r="F150" s="581"/>
      <c r="G150" s="347"/>
      <c r="H150" s="347"/>
      <c r="J150" s="347"/>
      <c r="K150" s="347"/>
      <c r="M150" s="347"/>
    </row>
    <row r="151" spans="2:13">
      <c r="B151" s="347"/>
      <c r="C151" s="347"/>
      <c r="E151" s="581"/>
      <c r="F151" s="581"/>
      <c r="G151" s="347"/>
      <c r="H151" s="347"/>
      <c r="J151" s="347"/>
      <c r="K151" s="347"/>
      <c r="M151" s="347"/>
    </row>
    <row r="152" spans="2:13">
      <c r="B152" s="347"/>
      <c r="C152" s="347"/>
      <c r="E152" s="581"/>
      <c r="F152" s="581"/>
      <c r="G152" s="347"/>
      <c r="H152" s="347"/>
      <c r="J152" s="347"/>
      <c r="K152" s="347"/>
      <c r="M152" s="347"/>
    </row>
    <row r="153" spans="2:13">
      <c r="B153" s="347"/>
      <c r="C153" s="347"/>
      <c r="E153" s="581"/>
      <c r="F153" s="581"/>
      <c r="G153" s="347"/>
      <c r="H153" s="347"/>
      <c r="J153" s="347"/>
      <c r="K153" s="347"/>
      <c r="M153" s="347"/>
    </row>
    <row r="154" spans="2:13">
      <c r="B154" s="347"/>
      <c r="C154" s="347"/>
      <c r="E154" s="581"/>
      <c r="F154" s="581"/>
      <c r="G154" s="347"/>
      <c r="H154" s="347"/>
      <c r="J154" s="347"/>
      <c r="K154" s="347"/>
      <c r="M154" s="347"/>
    </row>
    <row r="155" spans="2:13">
      <c r="B155" s="347"/>
      <c r="C155" s="347"/>
      <c r="E155" s="581"/>
      <c r="F155" s="581"/>
      <c r="G155" s="347"/>
      <c r="H155" s="347"/>
      <c r="J155" s="347"/>
      <c r="K155" s="347"/>
      <c r="M155" s="347"/>
    </row>
    <row r="156" spans="2:13">
      <c r="B156" s="347"/>
      <c r="C156" s="347"/>
      <c r="E156" s="581"/>
      <c r="F156" s="581"/>
      <c r="G156" s="347"/>
      <c r="H156" s="347"/>
      <c r="J156" s="347"/>
      <c r="K156" s="347"/>
      <c r="M156" s="347"/>
    </row>
    <row r="157" spans="2:13">
      <c r="B157" s="347"/>
      <c r="C157" s="347"/>
      <c r="E157" s="581"/>
      <c r="F157" s="581"/>
      <c r="G157" s="347"/>
      <c r="H157" s="347"/>
      <c r="J157" s="347"/>
      <c r="K157" s="347"/>
      <c r="M157" s="347"/>
    </row>
    <row r="158" spans="2:13">
      <c r="B158" s="347"/>
      <c r="C158" s="347"/>
      <c r="E158" s="581"/>
      <c r="F158" s="581"/>
      <c r="G158" s="347"/>
      <c r="H158" s="347"/>
      <c r="J158" s="347"/>
      <c r="K158" s="347"/>
      <c r="M158" s="347"/>
    </row>
    <row r="159" spans="2:13">
      <c r="B159" s="347"/>
      <c r="C159" s="347"/>
      <c r="E159" s="581"/>
      <c r="F159" s="581"/>
      <c r="G159" s="347"/>
      <c r="H159" s="347"/>
      <c r="J159" s="347"/>
      <c r="K159" s="347"/>
      <c r="M159" s="347"/>
    </row>
    <row r="160" spans="2:13">
      <c r="B160" s="347"/>
      <c r="C160" s="347"/>
      <c r="E160" s="581"/>
      <c r="F160" s="581"/>
      <c r="G160" s="347"/>
      <c r="H160" s="347"/>
      <c r="J160" s="347"/>
      <c r="K160" s="347"/>
      <c r="M160" s="347"/>
    </row>
    <row r="161" spans="2:13">
      <c r="B161" s="347"/>
      <c r="C161" s="347"/>
      <c r="E161" s="581"/>
      <c r="F161" s="581"/>
      <c r="G161" s="347"/>
      <c r="H161" s="347"/>
      <c r="J161" s="347"/>
      <c r="K161" s="347"/>
      <c r="M161" s="347"/>
    </row>
    <row r="162" spans="2:13">
      <c r="B162" s="347"/>
      <c r="C162" s="347"/>
      <c r="E162" s="581"/>
      <c r="F162" s="581"/>
      <c r="G162" s="347"/>
      <c r="H162" s="347"/>
      <c r="J162" s="347"/>
      <c r="K162" s="347"/>
      <c r="M162" s="347"/>
    </row>
    <row r="163" spans="2:13">
      <c r="B163" s="347"/>
      <c r="C163" s="347"/>
      <c r="E163" s="581"/>
      <c r="F163" s="581"/>
      <c r="G163" s="347"/>
      <c r="H163" s="347"/>
      <c r="J163" s="347"/>
      <c r="K163" s="347"/>
      <c r="M163" s="347"/>
    </row>
    <row r="164" spans="2:13">
      <c r="B164" s="347"/>
      <c r="C164" s="347"/>
      <c r="E164" s="581"/>
      <c r="F164" s="581"/>
      <c r="G164" s="347"/>
      <c r="H164" s="347"/>
      <c r="J164" s="347"/>
      <c r="K164" s="347"/>
      <c r="M164" s="347"/>
    </row>
    <row r="165" spans="2:13">
      <c r="B165" s="347"/>
      <c r="C165" s="347"/>
      <c r="E165" s="581"/>
      <c r="F165" s="581"/>
      <c r="G165" s="347"/>
      <c r="H165" s="347"/>
      <c r="J165" s="347"/>
      <c r="K165" s="347"/>
      <c r="M165" s="347"/>
    </row>
    <row r="166" spans="2:13">
      <c r="B166" s="347"/>
      <c r="C166" s="347"/>
      <c r="E166" s="581"/>
      <c r="F166" s="581"/>
      <c r="G166" s="347"/>
      <c r="H166" s="347"/>
      <c r="J166" s="347"/>
      <c r="K166" s="347"/>
      <c r="M166" s="347"/>
    </row>
    <row r="167" spans="2:13">
      <c r="B167" s="347"/>
      <c r="C167" s="347"/>
      <c r="E167" s="581"/>
      <c r="F167" s="581"/>
      <c r="G167" s="347"/>
      <c r="H167" s="347"/>
      <c r="J167" s="347"/>
      <c r="K167" s="347"/>
      <c r="M167" s="347"/>
    </row>
    <row r="168" spans="2:13">
      <c r="B168" s="347"/>
      <c r="C168" s="347"/>
      <c r="E168" s="581"/>
      <c r="F168" s="581"/>
      <c r="G168" s="347"/>
      <c r="H168" s="347"/>
      <c r="J168" s="347"/>
      <c r="K168" s="347"/>
      <c r="M168" s="347"/>
    </row>
    <row r="169" spans="2:13">
      <c r="B169" s="347"/>
      <c r="C169" s="347"/>
      <c r="E169" s="581"/>
      <c r="F169" s="581"/>
      <c r="G169" s="347"/>
      <c r="H169" s="347"/>
      <c r="J169" s="347"/>
      <c r="K169" s="347"/>
      <c r="M169" s="347"/>
    </row>
    <row r="170" spans="2:13">
      <c r="B170" s="347"/>
      <c r="C170" s="347"/>
      <c r="E170" s="581"/>
      <c r="F170" s="581"/>
      <c r="G170" s="347"/>
      <c r="H170" s="347"/>
      <c r="J170" s="347"/>
      <c r="K170" s="347"/>
      <c r="M170" s="347"/>
    </row>
    <row r="171" spans="2:13">
      <c r="B171" s="347"/>
      <c r="C171" s="347"/>
      <c r="E171" s="581"/>
      <c r="F171" s="581"/>
      <c r="G171" s="347"/>
      <c r="H171" s="347"/>
      <c r="J171" s="347"/>
      <c r="K171" s="347"/>
      <c r="M171" s="347"/>
    </row>
    <row r="172" spans="2:13">
      <c r="B172" s="347"/>
      <c r="C172" s="347"/>
      <c r="E172" s="581"/>
      <c r="F172" s="581"/>
      <c r="G172" s="347"/>
      <c r="H172" s="347"/>
      <c r="J172" s="347"/>
      <c r="K172" s="347"/>
      <c r="M172" s="347"/>
    </row>
    <row r="173" spans="2:13">
      <c r="B173" s="347"/>
      <c r="C173" s="347"/>
      <c r="E173" s="581"/>
      <c r="F173" s="581"/>
      <c r="G173" s="347"/>
      <c r="H173" s="347"/>
      <c r="J173" s="347"/>
      <c r="K173" s="347"/>
      <c r="M173" s="347"/>
    </row>
    <row r="174" spans="2:13">
      <c r="B174" s="347"/>
      <c r="C174" s="347"/>
      <c r="E174" s="581"/>
      <c r="F174" s="581"/>
      <c r="G174" s="347"/>
      <c r="H174" s="347"/>
      <c r="J174" s="347"/>
      <c r="K174" s="347"/>
      <c r="M174" s="347"/>
    </row>
    <row r="175" spans="2:13">
      <c r="B175" s="347"/>
      <c r="C175" s="347"/>
      <c r="E175" s="581"/>
      <c r="F175" s="581"/>
      <c r="G175" s="347"/>
      <c r="H175" s="347"/>
      <c r="J175" s="347"/>
      <c r="K175" s="347"/>
      <c r="M175" s="347"/>
    </row>
    <row r="176" spans="2:13">
      <c r="B176" s="347"/>
      <c r="C176" s="347"/>
      <c r="E176" s="581"/>
      <c r="F176" s="581"/>
      <c r="G176" s="347"/>
      <c r="H176" s="347"/>
      <c r="J176" s="347"/>
      <c r="K176" s="347"/>
      <c r="M176" s="347"/>
    </row>
    <row r="177" spans="2:13">
      <c r="B177" s="347"/>
      <c r="C177" s="347"/>
      <c r="E177" s="581"/>
      <c r="F177" s="581"/>
      <c r="G177" s="347"/>
      <c r="H177" s="347"/>
      <c r="J177" s="347"/>
      <c r="K177" s="347"/>
      <c r="M177" s="347"/>
    </row>
    <row r="178" spans="2:13">
      <c r="B178" s="347"/>
      <c r="C178" s="347"/>
      <c r="E178" s="581"/>
      <c r="F178" s="581"/>
      <c r="G178" s="347"/>
      <c r="H178" s="347"/>
      <c r="J178" s="347"/>
      <c r="K178" s="347"/>
      <c r="M178" s="347"/>
    </row>
    <row r="179" spans="2:13">
      <c r="B179" s="347"/>
      <c r="C179" s="347"/>
      <c r="E179" s="581"/>
      <c r="F179" s="581"/>
      <c r="G179" s="347"/>
      <c r="H179" s="347"/>
      <c r="J179" s="347"/>
      <c r="K179" s="347"/>
      <c r="M179" s="347"/>
    </row>
    <row r="180" spans="2:13">
      <c r="B180" s="347"/>
      <c r="C180" s="347"/>
      <c r="E180" s="581"/>
      <c r="F180" s="581"/>
      <c r="G180" s="347"/>
      <c r="H180" s="347"/>
      <c r="J180" s="347"/>
      <c r="K180" s="347"/>
      <c r="M180" s="347"/>
    </row>
    <row r="181" spans="2:13">
      <c r="B181" s="347"/>
      <c r="C181" s="347"/>
      <c r="E181" s="581"/>
      <c r="F181" s="581"/>
      <c r="G181" s="347"/>
      <c r="H181" s="347"/>
      <c r="J181" s="347"/>
      <c r="K181" s="347"/>
      <c r="M181" s="347"/>
    </row>
    <row r="182" spans="2:13">
      <c r="B182" s="347"/>
      <c r="C182" s="347"/>
      <c r="E182" s="581"/>
      <c r="F182" s="581"/>
      <c r="G182" s="347"/>
      <c r="H182" s="347"/>
      <c r="J182" s="347"/>
      <c r="K182" s="347"/>
      <c r="M182" s="347"/>
    </row>
    <row r="183" spans="2:13">
      <c r="B183" s="347"/>
      <c r="C183" s="347"/>
      <c r="E183" s="581"/>
      <c r="F183" s="581"/>
      <c r="G183" s="347"/>
      <c r="H183" s="347"/>
      <c r="J183" s="347"/>
      <c r="K183" s="347"/>
      <c r="M183" s="347"/>
    </row>
    <row r="184" spans="2:13">
      <c r="B184" s="347"/>
      <c r="C184" s="347"/>
      <c r="E184" s="581"/>
      <c r="F184" s="581"/>
      <c r="G184" s="347"/>
      <c r="H184" s="347"/>
      <c r="J184" s="347"/>
      <c r="K184" s="347"/>
      <c r="M184" s="347"/>
    </row>
    <row r="185" spans="2:13">
      <c r="B185" s="347"/>
      <c r="C185" s="347"/>
      <c r="E185" s="581"/>
      <c r="F185" s="581"/>
      <c r="G185" s="347"/>
      <c r="H185" s="347"/>
      <c r="J185" s="347"/>
      <c r="K185" s="347"/>
      <c r="M185" s="347"/>
    </row>
    <row r="186" spans="2:13">
      <c r="B186" s="347"/>
      <c r="C186" s="347"/>
      <c r="E186" s="581"/>
      <c r="F186" s="581"/>
      <c r="G186" s="347"/>
      <c r="H186" s="347"/>
      <c r="J186" s="347"/>
      <c r="K186" s="347"/>
      <c r="M186" s="347"/>
    </row>
    <row r="187" spans="2:13">
      <c r="B187" s="347"/>
      <c r="C187" s="347"/>
      <c r="E187" s="581"/>
      <c r="F187" s="581"/>
      <c r="G187" s="347"/>
      <c r="H187" s="347"/>
      <c r="J187" s="347"/>
      <c r="K187" s="347"/>
      <c r="M187" s="347"/>
    </row>
    <row r="188" spans="2:13">
      <c r="B188" s="347"/>
      <c r="C188" s="347"/>
      <c r="E188" s="581"/>
      <c r="F188" s="581"/>
      <c r="G188" s="347"/>
      <c r="H188" s="347"/>
      <c r="J188" s="347"/>
      <c r="K188" s="347"/>
      <c r="M188" s="347"/>
    </row>
    <row r="189" spans="2:13">
      <c r="B189" s="347"/>
      <c r="C189" s="347"/>
      <c r="E189" s="581"/>
      <c r="F189" s="581"/>
      <c r="G189" s="347"/>
      <c r="H189" s="347"/>
      <c r="J189" s="347"/>
      <c r="K189" s="347"/>
      <c r="M189" s="347"/>
    </row>
    <row r="190" spans="2:13">
      <c r="B190" s="347"/>
      <c r="C190" s="347"/>
      <c r="E190" s="581"/>
      <c r="F190" s="581"/>
      <c r="G190" s="347"/>
      <c r="H190" s="347"/>
      <c r="J190" s="347"/>
      <c r="K190" s="347"/>
      <c r="M190" s="347"/>
    </row>
    <row r="191" spans="2:13">
      <c r="B191" s="347"/>
      <c r="C191" s="347"/>
      <c r="E191" s="581"/>
      <c r="F191" s="581"/>
      <c r="G191" s="347"/>
      <c r="H191" s="347"/>
      <c r="J191" s="347"/>
      <c r="K191" s="347"/>
      <c r="M191" s="347"/>
    </row>
    <row r="192" spans="2:13">
      <c r="B192" s="347"/>
      <c r="C192" s="347"/>
      <c r="E192" s="581"/>
      <c r="F192" s="581"/>
      <c r="G192" s="347"/>
      <c r="H192" s="347"/>
      <c r="J192" s="347"/>
      <c r="K192" s="347"/>
      <c r="M192" s="347"/>
    </row>
    <row r="193" spans="2:13">
      <c r="B193" s="347"/>
      <c r="C193" s="347"/>
      <c r="E193" s="581"/>
      <c r="F193" s="581"/>
      <c r="G193" s="347"/>
      <c r="H193" s="347"/>
      <c r="J193" s="347"/>
      <c r="K193" s="347"/>
      <c r="M193" s="347"/>
    </row>
    <row r="194" spans="2:13">
      <c r="B194" s="347"/>
      <c r="C194" s="347"/>
      <c r="E194" s="581"/>
      <c r="F194" s="581"/>
      <c r="G194" s="347"/>
      <c r="H194" s="347"/>
      <c r="J194" s="347"/>
      <c r="K194" s="347"/>
      <c r="M194" s="347"/>
    </row>
    <row r="195" spans="2:13">
      <c r="B195" s="347"/>
      <c r="C195" s="347"/>
      <c r="E195" s="581"/>
      <c r="F195" s="581"/>
      <c r="G195" s="347"/>
      <c r="H195" s="347"/>
      <c r="J195" s="347"/>
      <c r="K195" s="347"/>
      <c r="M195" s="347"/>
    </row>
    <row r="196" spans="2:13">
      <c r="B196" s="347"/>
      <c r="C196" s="347"/>
      <c r="E196" s="581"/>
      <c r="F196" s="581"/>
      <c r="G196" s="347"/>
      <c r="H196" s="347"/>
      <c r="J196" s="347"/>
      <c r="K196" s="347"/>
      <c r="M196" s="347"/>
    </row>
    <row r="197" spans="2:13">
      <c r="B197" s="347"/>
      <c r="C197" s="347"/>
      <c r="E197" s="581"/>
      <c r="F197" s="581"/>
      <c r="G197" s="347"/>
      <c r="H197" s="347"/>
      <c r="J197" s="347"/>
      <c r="K197" s="347"/>
      <c r="M197" s="347"/>
    </row>
    <row r="198" spans="2:13">
      <c r="B198" s="347"/>
      <c r="C198" s="347"/>
      <c r="E198" s="581"/>
      <c r="F198" s="581"/>
      <c r="G198" s="347"/>
      <c r="H198" s="347"/>
      <c r="J198" s="347"/>
      <c r="K198" s="347"/>
      <c r="M198" s="347"/>
    </row>
    <row r="199" spans="2:13">
      <c r="B199" s="347"/>
      <c r="C199" s="347"/>
      <c r="E199" s="581"/>
      <c r="F199" s="581"/>
      <c r="G199" s="347"/>
      <c r="H199" s="347"/>
      <c r="J199" s="347"/>
      <c r="K199" s="347"/>
      <c r="M199" s="347"/>
    </row>
    <row r="200" spans="2:13">
      <c r="B200" s="347"/>
      <c r="C200" s="347"/>
      <c r="E200" s="581"/>
      <c r="F200" s="581"/>
      <c r="G200" s="347"/>
      <c r="H200" s="347"/>
      <c r="J200" s="347"/>
      <c r="K200" s="347"/>
      <c r="M200" s="347"/>
    </row>
    <row r="201" spans="2:13">
      <c r="B201" s="347"/>
      <c r="C201" s="347"/>
      <c r="E201" s="581"/>
      <c r="F201" s="581"/>
      <c r="G201" s="347"/>
      <c r="H201" s="347"/>
      <c r="J201" s="347"/>
      <c r="K201" s="347"/>
      <c r="M201" s="347"/>
    </row>
    <row r="202" spans="2:13">
      <c r="B202" s="347"/>
      <c r="C202" s="347"/>
      <c r="E202" s="581"/>
      <c r="F202" s="581"/>
      <c r="G202" s="347"/>
      <c r="H202" s="347"/>
      <c r="J202" s="347"/>
      <c r="K202" s="347"/>
      <c r="M202" s="347"/>
    </row>
    <row r="203" spans="2:13">
      <c r="B203" s="347"/>
      <c r="C203" s="347"/>
      <c r="E203" s="581"/>
      <c r="F203" s="581"/>
      <c r="G203" s="347"/>
      <c r="H203" s="347"/>
      <c r="J203" s="347"/>
      <c r="K203" s="347"/>
      <c r="M203" s="347"/>
    </row>
    <row r="204" spans="2:13">
      <c r="B204" s="347"/>
      <c r="C204" s="347"/>
      <c r="E204" s="581"/>
      <c r="F204" s="581"/>
      <c r="G204" s="347"/>
      <c r="H204" s="347"/>
      <c r="J204" s="347"/>
      <c r="K204" s="347"/>
      <c r="M204" s="347"/>
    </row>
    <row r="205" spans="2:13">
      <c r="B205" s="347"/>
      <c r="C205" s="347"/>
      <c r="E205" s="581"/>
      <c r="F205" s="581"/>
      <c r="G205" s="347"/>
      <c r="H205" s="347"/>
      <c r="J205" s="347"/>
      <c r="K205" s="347"/>
      <c r="M205" s="347"/>
    </row>
    <row r="206" spans="2:13">
      <c r="B206" s="347"/>
      <c r="C206" s="347"/>
      <c r="E206" s="581"/>
      <c r="F206" s="581"/>
      <c r="G206" s="347"/>
      <c r="H206" s="347"/>
      <c r="J206" s="347"/>
      <c r="K206" s="347"/>
      <c r="M206" s="347"/>
    </row>
    <row r="207" spans="2:13">
      <c r="B207" s="347"/>
      <c r="C207" s="347"/>
      <c r="E207" s="581"/>
      <c r="F207" s="581"/>
      <c r="G207" s="347"/>
      <c r="H207" s="347"/>
      <c r="J207" s="347"/>
      <c r="K207" s="347"/>
      <c r="M207" s="347"/>
    </row>
    <row r="208" spans="2:13">
      <c r="B208" s="347"/>
      <c r="C208" s="347"/>
      <c r="E208" s="581"/>
      <c r="F208" s="581"/>
      <c r="G208" s="347"/>
      <c r="H208" s="347"/>
      <c r="J208" s="347"/>
      <c r="K208" s="347"/>
      <c r="M208" s="347"/>
    </row>
    <row r="209" spans="2:13">
      <c r="B209" s="347"/>
      <c r="C209" s="347"/>
      <c r="E209" s="581"/>
      <c r="F209" s="581"/>
      <c r="G209" s="347"/>
      <c r="H209" s="347"/>
      <c r="J209" s="347"/>
      <c r="K209" s="347"/>
      <c r="M209" s="347"/>
    </row>
    <row r="210" spans="2:13">
      <c r="B210" s="347"/>
      <c r="C210" s="347"/>
      <c r="E210" s="581"/>
      <c r="F210" s="581"/>
      <c r="G210" s="347"/>
      <c r="H210" s="347"/>
      <c r="J210" s="347"/>
      <c r="K210" s="347"/>
      <c r="M210" s="347"/>
    </row>
    <row r="211" spans="2:13">
      <c r="B211" s="347"/>
      <c r="C211" s="347"/>
      <c r="E211" s="581"/>
      <c r="F211" s="581"/>
      <c r="G211" s="347"/>
      <c r="H211" s="347"/>
      <c r="J211" s="347"/>
      <c r="K211" s="347"/>
      <c r="M211" s="347"/>
    </row>
    <row r="212" spans="2:13">
      <c r="B212" s="347"/>
      <c r="C212" s="347"/>
      <c r="E212" s="581"/>
      <c r="F212" s="581"/>
      <c r="G212" s="347"/>
      <c r="H212" s="347"/>
      <c r="J212" s="347"/>
      <c r="K212" s="347"/>
      <c r="M212" s="347"/>
    </row>
    <row r="213" spans="2:13">
      <c r="B213" s="347"/>
      <c r="C213" s="347"/>
      <c r="E213" s="581"/>
      <c r="F213" s="581"/>
      <c r="G213" s="347"/>
      <c r="H213" s="347"/>
      <c r="J213" s="347"/>
      <c r="K213" s="347"/>
      <c r="M213" s="347"/>
    </row>
    <row r="214" spans="2:13">
      <c r="B214" s="347"/>
      <c r="C214" s="347"/>
      <c r="E214" s="581"/>
      <c r="F214" s="581"/>
      <c r="G214" s="347"/>
      <c r="H214" s="347"/>
      <c r="J214" s="347"/>
      <c r="K214" s="347"/>
      <c r="M214" s="347"/>
    </row>
    <row r="215" spans="2:13">
      <c r="B215" s="347"/>
      <c r="C215" s="347"/>
      <c r="E215" s="581"/>
      <c r="F215" s="581"/>
      <c r="G215" s="347"/>
      <c r="H215" s="347"/>
      <c r="J215" s="347"/>
      <c r="K215" s="347"/>
      <c r="M215" s="347"/>
    </row>
    <row r="216" spans="2:13">
      <c r="B216" s="347"/>
      <c r="C216" s="347"/>
      <c r="E216" s="581"/>
      <c r="F216" s="581"/>
      <c r="G216" s="347"/>
      <c r="H216" s="347"/>
      <c r="J216" s="347"/>
      <c r="K216" s="347"/>
      <c r="M216" s="347"/>
    </row>
    <row r="217" spans="2:13">
      <c r="B217" s="347"/>
      <c r="C217" s="347"/>
      <c r="E217" s="581"/>
      <c r="F217" s="581"/>
      <c r="G217" s="347"/>
      <c r="H217" s="347"/>
      <c r="J217" s="347"/>
      <c r="K217" s="347"/>
      <c r="M217" s="347"/>
    </row>
    <row r="218" spans="2:13">
      <c r="B218" s="347"/>
      <c r="C218" s="347"/>
      <c r="E218" s="581"/>
      <c r="F218" s="581"/>
      <c r="G218" s="347"/>
      <c r="H218" s="347"/>
      <c r="J218" s="347"/>
      <c r="K218" s="347"/>
      <c r="M218" s="347"/>
    </row>
    <row r="219" spans="2:13">
      <c r="B219" s="347"/>
      <c r="C219" s="347"/>
      <c r="E219" s="581"/>
      <c r="F219" s="581"/>
      <c r="G219" s="347"/>
      <c r="H219" s="347"/>
      <c r="J219" s="347"/>
      <c r="K219" s="347"/>
      <c r="M219" s="347"/>
    </row>
    <row r="220" spans="2:13">
      <c r="B220" s="347"/>
      <c r="C220" s="347"/>
      <c r="E220" s="581"/>
      <c r="F220" s="581"/>
      <c r="G220" s="347"/>
      <c r="H220" s="347"/>
      <c r="J220" s="347"/>
      <c r="K220" s="347"/>
      <c r="M220" s="347"/>
    </row>
    <row r="221" spans="2:13">
      <c r="B221" s="347"/>
      <c r="C221" s="347"/>
      <c r="E221" s="581"/>
      <c r="F221" s="581"/>
      <c r="G221" s="347"/>
      <c r="H221" s="347"/>
      <c r="J221" s="347"/>
      <c r="K221" s="347"/>
      <c r="M221" s="347"/>
    </row>
    <row r="222" spans="2:13">
      <c r="B222" s="347"/>
      <c r="C222" s="347"/>
      <c r="E222" s="581"/>
      <c r="F222" s="581"/>
      <c r="G222" s="347"/>
      <c r="H222" s="347"/>
      <c r="J222" s="347"/>
      <c r="K222" s="347"/>
      <c r="M222" s="347"/>
    </row>
    <row r="223" spans="2:13">
      <c r="B223" s="347"/>
      <c r="C223" s="347"/>
      <c r="E223" s="581"/>
      <c r="F223" s="581"/>
      <c r="G223" s="347"/>
      <c r="H223" s="347"/>
      <c r="J223" s="347"/>
      <c r="K223" s="347"/>
      <c r="M223" s="347"/>
    </row>
    <row r="224" spans="2:13">
      <c r="B224" s="347"/>
      <c r="C224" s="347"/>
      <c r="E224" s="581"/>
      <c r="F224" s="581"/>
      <c r="G224" s="347"/>
      <c r="H224" s="347"/>
      <c r="J224" s="347"/>
      <c r="K224" s="347"/>
      <c r="M224" s="347"/>
    </row>
    <row r="225" spans="2:13">
      <c r="B225" s="347"/>
      <c r="C225" s="347"/>
      <c r="E225" s="581"/>
      <c r="F225" s="581"/>
      <c r="G225" s="347"/>
      <c r="H225" s="347"/>
      <c r="J225" s="347"/>
      <c r="K225" s="347"/>
      <c r="M225" s="347"/>
    </row>
    <row r="226" spans="2:13">
      <c r="B226" s="347"/>
      <c r="C226" s="347"/>
      <c r="E226" s="581"/>
      <c r="F226" s="581"/>
      <c r="G226" s="347"/>
      <c r="H226" s="347"/>
      <c r="J226" s="347"/>
      <c r="K226" s="347"/>
      <c r="M226" s="347"/>
    </row>
    <row r="227" spans="2:13">
      <c r="B227" s="347"/>
      <c r="C227" s="347"/>
      <c r="E227" s="581"/>
      <c r="F227" s="581"/>
      <c r="G227" s="347"/>
      <c r="H227" s="347"/>
      <c r="J227" s="347"/>
      <c r="K227" s="347"/>
      <c r="M227" s="347"/>
    </row>
    <row r="228" spans="2:13">
      <c r="B228" s="347"/>
      <c r="C228" s="347"/>
      <c r="E228" s="581"/>
      <c r="F228" s="581"/>
      <c r="G228" s="347"/>
      <c r="H228" s="347"/>
      <c r="J228" s="347"/>
      <c r="K228" s="347"/>
      <c r="M228" s="347"/>
    </row>
    <row r="229" spans="2:13">
      <c r="B229" s="347"/>
      <c r="C229" s="347"/>
      <c r="E229" s="581"/>
      <c r="F229" s="581"/>
      <c r="G229" s="347"/>
      <c r="H229" s="347"/>
      <c r="J229" s="347"/>
      <c r="K229" s="347"/>
      <c r="M229" s="347"/>
    </row>
    <row r="230" spans="2:13">
      <c r="B230" s="347"/>
      <c r="C230" s="347"/>
      <c r="E230" s="581"/>
      <c r="F230" s="581"/>
      <c r="G230" s="347"/>
      <c r="H230" s="347"/>
      <c r="J230" s="347"/>
      <c r="K230" s="347"/>
      <c r="M230" s="347"/>
    </row>
    <row r="231" spans="2:13">
      <c r="B231" s="347"/>
      <c r="C231" s="347"/>
      <c r="E231" s="581"/>
      <c r="F231" s="581"/>
      <c r="G231" s="347"/>
      <c r="H231" s="347"/>
      <c r="J231" s="347"/>
      <c r="K231" s="347"/>
      <c r="M231" s="347"/>
    </row>
    <row r="232" spans="2:13">
      <c r="B232" s="347"/>
      <c r="C232" s="347"/>
      <c r="E232" s="581"/>
      <c r="F232" s="581"/>
      <c r="G232" s="347"/>
      <c r="H232" s="347"/>
      <c r="J232" s="347"/>
      <c r="K232" s="347"/>
      <c r="M232" s="347"/>
    </row>
    <row r="233" spans="2:13">
      <c r="B233" s="347"/>
      <c r="C233" s="347"/>
      <c r="E233" s="581"/>
      <c r="F233" s="581"/>
      <c r="G233" s="347"/>
      <c r="H233" s="347"/>
      <c r="J233" s="347"/>
      <c r="K233" s="347"/>
      <c r="M233" s="347"/>
    </row>
    <row r="234" spans="2:13">
      <c r="B234" s="347"/>
      <c r="C234" s="347"/>
      <c r="E234" s="581"/>
      <c r="F234" s="581"/>
      <c r="G234" s="347"/>
      <c r="H234" s="347"/>
      <c r="J234" s="347"/>
      <c r="K234" s="347"/>
      <c r="M234" s="347"/>
    </row>
    <row r="235" spans="2:13">
      <c r="B235" s="347"/>
      <c r="C235" s="347"/>
      <c r="E235" s="581"/>
      <c r="F235" s="581"/>
      <c r="G235" s="347"/>
      <c r="H235" s="347"/>
      <c r="J235" s="347"/>
      <c r="K235" s="347"/>
      <c r="M235" s="347"/>
    </row>
    <row r="236" spans="2:13">
      <c r="B236" s="347"/>
      <c r="C236" s="347"/>
      <c r="E236" s="581"/>
      <c r="F236" s="581"/>
      <c r="G236" s="347"/>
      <c r="H236" s="347"/>
      <c r="J236" s="347"/>
      <c r="K236" s="347"/>
      <c r="M236" s="347"/>
    </row>
    <row r="237" spans="2:13">
      <c r="B237" s="347"/>
      <c r="C237" s="347"/>
      <c r="E237" s="581"/>
      <c r="F237" s="581"/>
      <c r="G237" s="347"/>
      <c r="H237" s="347"/>
      <c r="J237" s="347"/>
      <c r="K237" s="347"/>
      <c r="M237" s="347"/>
    </row>
    <row r="238" spans="2:13">
      <c r="B238" s="347"/>
      <c r="C238" s="347"/>
      <c r="E238" s="581"/>
      <c r="F238" s="581"/>
      <c r="G238" s="347"/>
      <c r="H238" s="347"/>
      <c r="J238" s="347"/>
      <c r="K238" s="347"/>
      <c r="M238" s="347"/>
    </row>
    <row r="239" spans="2:13">
      <c r="B239" s="347"/>
      <c r="C239" s="347"/>
      <c r="E239" s="581"/>
      <c r="F239" s="581"/>
      <c r="G239" s="347"/>
      <c r="H239" s="347"/>
      <c r="J239" s="347"/>
      <c r="K239" s="347"/>
      <c r="M239" s="347"/>
    </row>
    <row r="240" spans="2:13">
      <c r="B240" s="347"/>
      <c r="C240" s="347"/>
      <c r="E240" s="581"/>
      <c r="F240" s="581"/>
      <c r="G240" s="347"/>
      <c r="H240" s="347"/>
      <c r="J240" s="347"/>
      <c r="K240" s="347"/>
      <c r="M240" s="347"/>
    </row>
    <row r="241" spans="2:13">
      <c r="B241" s="347"/>
      <c r="C241" s="347"/>
      <c r="E241" s="581"/>
      <c r="F241" s="581"/>
      <c r="G241" s="347"/>
      <c r="H241" s="347"/>
      <c r="J241" s="347"/>
      <c r="K241" s="347"/>
      <c r="M241" s="347"/>
    </row>
    <row r="242" spans="2:13">
      <c r="B242" s="347"/>
      <c r="C242" s="347"/>
      <c r="E242" s="581"/>
      <c r="F242" s="581"/>
      <c r="G242" s="347"/>
      <c r="H242" s="347"/>
      <c r="J242" s="347"/>
      <c r="K242" s="347"/>
      <c r="M242" s="347"/>
    </row>
    <row r="243" spans="2:13">
      <c r="B243" s="347"/>
      <c r="C243" s="347"/>
      <c r="E243" s="581"/>
      <c r="F243" s="581"/>
      <c r="G243" s="347"/>
      <c r="H243" s="347"/>
      <c r="J243" s="347"/>
      <c r="K243" s="347"/>
      <c r="M243" s="347"/>
    </row>
    <row r="244" spans="2:13">
      <c r="B244" s="347"/>
      <c r="C244" s="347"/>
      <c r="E244" s="581"/>
      <c r="F244" s="581"/>
      <c r="G244" s="347"/>
      <c r="H244" s="347"/>
      <c r="J244" s="347"/>
      <c r="K244" s="347"/>
      <c r="M244" s="347"/>
    </row>
    <row r="245" spans="2:13">
      <c r="B245" s="347"/>
      <c r="C245" s="347"/>
      <c r="E245" s="581"/>
      <c r="F245" s="581"/>
      <c r="G245" s="347"/>
      <c r="H245" s="347"/>
      <c r="J245" s="347"/>
      <c r="K245" s="347"/>
      <c r="M245" s="347"/>
    </row>
    <row r="246" spans="2:13">
      <c r="B246" s="347"/>
      <c r="C246" s="347"/>
      <c r="E246" s="581"/>
      <c r="F246" s="581"/>
      <c r="G246" s="347"/>
      <c r="H246" s="347"/>
      <c r="J246" s="347"/>
      <c r="K246" s="347"/>
      <c r="M246" s="347"/>
    </row>
    <row r="247" spans="2:13">
      <c r="B247" s="347"/>
      <c r="C247" s="347"/>
      <c r="E247" s="581"/>
      <c r="F247" s="581"/>
      <c r="G247" s="347"/>
      <c r="H247" s="347"/>
      <c r="J247" s="347"/>
      <c r="K247" s="347"/>
      <c r="M247" s="347"/>
    </row>
    <row r="248" spans="2:13">
      <c r="B248" s="347"/>
      <c r="C248" s="347"/>
      <c r="E248" s="581"/>
      <c r="F248" s="581"/>
      <c r="G248" s="347"/>
      <c r="H248" s="347"/>
      <c r="J248" s="347"/>
      <c r="K248" s="347"/>
      <c r="M248" s="347"/>
    </row>
    <row r="249" spans="2:13">
      <c r="B249" s="347"/>
      <c r="C249" s="347"/>
      <c r="E249" s="581"/>
      <c r="F249" s="581"/>
      <c r="G249" s="347"/>
      <c r="H249" s="347"/>
      <c r="J249" s="347"/>
      <c r="K249" s="347"/>
      <c r="M249" s="347"/>
    </row>
    <row r="250" spans="2:13">
      <c r="B250" s="347"/>
      <c r="C250" s="347"/>
      <c r="E250" s="581"/>
      <c r="F250" s="581"/>
      <c r="G250" s="347"/>
      <c r="H250" s="347"/>
      <c r="J250" s="347"/>
      <c r="K250" s="347"/>
      <c r="M250" s="347"/>
    </row>
    <row r="251" spans="2:13">
      <c r="B251" s="347"/>
      <c r="C251" s="347"/>
      <c r="E251" s="581"/>
      <c r="F251" s="581"/>
      <c r="G251" s="347"/>
      <c r="H251" s="347"/>
      <c r="J251" s="347"/>
      <c r="K251" s="347"/>
      <c r="M251" s="347"/>
    </row>
    <row r="252" spans="2:13">
      <c r="B252" s="347"/>
      <c r="C252" s="347"/>
      <c r="E252" s="581"/>
      <c r="F252" s="581"/>
      <c r="G252" s="347"/>
      <c r="H252" s="347"/>
      <c r="J252" s="347"/>
      <c r="K252" s="347"/>
      <c r="M252" s="347"/>
    </row>
    <row r="253" spans="2:13">
      <c r="B253" s="347"/>
      <c r="C253" s="347"/>
      <c r="E253" s="581"/>
      <c r="F253" s="581"/>
      <c r="G253" s="347"/>
      <c r="H253" s="347"/>
      <c r="J253" s="347"/>
      <c r="K253" s="347"/>
      <c r="M253" s="347"/>
    </row>
    <row r="254" spans="2:13">
      <c r="B254" s="347"/>
      <c r="C254" s="347"/>
      <c r="E254" s="581"/>
      <c r="F254" s="581"/>
      <c r="G254" s="347"/>
      <c r="H254" s="347"/>
      <c r="J254" s="347"/>
      <c r="K254" s="347"/>
      <c r="M254" s="347"/>
    </row>
    <row r="255" spans="2:13">
      <c r="B255" s="347"/>
      <c r="C255" s="347"/>
      <c r="E255" s="581"/>
      <c r="F255" s="581"/>
      <c r="G255" s="347"/>
      <c r="H255" s="347"/>
      <c r="J255" s="347"/>
      <c r="K255" s="347"/>
      <c r="M255" s="347"/>
    </row>
    <row r="256" spans="2:13">
      <c r="B256" s="347"/>
      <c r="C256" s="347"/>
      <c r="E256" s="581"/>
      <c r="F256" s="581"/>
      <c r="G256" s="347"/>
      <c r="H256" s="347"/>
      <c r="J256" s="347"/>
      <c r="K256" s="347"/>
      <c r="M256" s="347"/>
    </row>
    <row r="257" spans="2:13">
      <c r="B257" s="347"/>
      <c r="C257" s="347"/>
      <c r="E257" s="581"/>
      <c r="F257" s="581"/>
      <c r="G257" s="347"/>
      <c r="H257" s="347"/>
      <c r="J257" s="347"/>
      <c r="K257" s="347"/>
      <c r="M257" s="347"/>
    </row>
    <row r="258" spans="2:13">
      <c r="B258" s="347"/>
      <c r="C258" s="347"/>
      <c r="E258" s="581"/>
      <c r="F258" s="581"/>
      <c r="G258" s="347"/>
      <c r="H258" s="347"/>
      <c r="J258" s="347"/>
      <c r="K258" s="347"/>
      <c r="M258" s="347"/>
    </row>
    <row r="259" spans="2:13">
      <c r="B259" s="347"/>
      <c r="C259" s="347"/>
      <c r="E259" s="581"/>
      <c r="F259" s="581"/>
      <c r="G259" s="347"/>
      <c r="H259" s="347"/>
      <c r="J259" s="347"/>
      <c r="K259" s="347"/>
      <c r="M259" s="347"/>
    </row>
    <row r="260" spans="2:13">
      <c r="B260" s="347"/>
      <c r="C260" s="347"/>
      <c r="E260" s="581"/>
      <c r="F260" s="581"/>
      <c r="G260" s="347"/>
      <c r="H260" s="347"/>
      <c r="J260" s="347"/>
      <c r="K260" s="347"/>
      <c r="M260" s="347"/>
    </row>
    <row r="261" spans="2:13">
      <c r="B261" s="347"/>
      <c r="C261" s="347"/>
      <c r="E261" s="581"/>
      <c r="F261" s="581"/>
      <c r="G261" s="347"/>
      <c r="H261" s="347"/>
      <c r="J261" s="347"/>
      <c r="K261" s="347"/>
      <c r="M261" s="347"/>
    </row>
    <row r="262" spans="2:13">
      <c r="B262" s="347"/>
      <c r="C262" s="347"/>
      <c r="E262" s="581"/>
      <c r="F262" s="581"/>
      <c r="G262" s="347"/>
      <c r="H262" s="347"/>
      <c r="J262" s="347"/>
      <c r="K262" s="347"/>
      <c r="M262" s="347"/>
    </row>
    <row r="263" spans="2:13">
      <c r="B263" s="347"/>
      <c r="C263" s="347"/>
      <c r="E263" s="581"/>
      <c r="F263" s="581"/>
      <c r="G263" s="347"/>
      <c r="H263" s="347"/>
      <c r="J263" s="347"/>
      <c r="K263" s="347"/>
      <c r="M263" s="347"/>
    </row>
    <row r="264" spans="2:13">
      <c r="B264" s="347"/>
      <c r="C264" s="347"/>
      <c r="E264" s="581"/>
      <c r="F264" s="581"/>
      <c r="G264" s="347"/>
      <c r="H264" s="347"/>
      <c r="J264" s="347"/>
      <c r="K264" s="347"/>
      <c r="M264" s="347"/>
    </row>
    <row r="265" spans="2:13">
      <c r="B265" s="347"/>
      <c r="C265" s="347"/>
      <c r="E265" s="581"/>
      <c r="F265" s="581"/>
      <c r="G265" s="347"/>
      <c r="H265" s="347"/>
      <c r="J265" s="347"/>
      <c r="K265" s="347"/>
      <c r="M265" s="347"/>
    </row>
    <row r="266" spans="2:13">
      <c r="B266" s="347"/>
      <c r="C266" s="347"/>
      <c r="E266" s="581"/>
      <c r="F266" s="581"/>
      <c r="G266" s="347"/>
      <c r="H266" s="347"/>
      <c r="J266" s="347"/>
      <c r="K266" s="347"/>
      <c r="M266" s="347"/>
    </row>
    <row r="267" spans="2:13">
      <c r="B267" s="347"/>
      <c r="C267" s="347"/>
      <c r="E267" s="581"/>
      <c r="F267" s="581"/>
      <c r="G267" s="347"/>
      <c r="H267" s="347"/>
      <c r="J267" s="347"/>
      <c r="K267" s="347"/>
      <c r="M267" s="347"/>
    </row>
    <row r="268" spans="2:13">
      <c r="B268" s="347"/>
      <c r="C268" s="347"/>
      <c r="E268" s="581"/>
      <c r="F268" s="581"/>
      <c r="G268" s="347"/>
      <c r="H268" s="347"/>
      <c r="J268" s="347"/>
      <c r="K268" s="347"/>
      <c r="M268" s="347"/>
    </row>
    <row r="269" spans="2:13">
      <c r="B269" s="347"/>
      <c r="C269" s="347"/>
      <c r="E269" s="581"/>
      <c r="F269" s="581"/>
      <c r="G269" s="347"/>
      <c r="H269" s="347"/>
      <c r="J269" s="347"/>
      <c r="K269" s="347"/>
      <c r="M269" s="347"/>
    </row>
    <row r="270" spans="2:13">
      <c r="B270" s="347"/>
      <c r="C270" s="347"/>
      <c r="E270" s="581"/>
      <c r="F270" s="581"/>
      <c r="G270" s="347"/>
      <c r="H270" s="347"/>
      <c r="J270" s="347"/>
      <c r="K270" s="347"/>
      <c r="M270" s="347"/>
    </row>
    <row r="271" spans="2:13">
      <c r="B271" s="347"/>
      <c r="C271" s="347"/>
      <c r="E271" s="581"/>
      <c r="F271" s="581"/>
      <c r="G271" s="347"/>
      <c r="H271" s="347"/>
      <c r="J271" s="347"/>
      <c r="K271" s="347"/>
      <c r="M271" s="347"/>
    </row>
    <row r="272" spans="2:13">
      <c r="B272" s="347"/>
      <c r="C272" s="347"/>
      <c r="E272" s="581"/>
      <c r="F272" s="581"/>
      <c r="G272" s="347"/>
      <c r="H272" s="347"/>
      <c r="J272" s="347"/>
      <c r="K272" s="347"/>
      <c r="M272" s="347"/>
    </row>
    <row r="273" spans="2:13">
      <c r="B273" s="347"/>
      <c r="C273" s="347"/>
      <c r="E273" s="581"/>
      <c r="F273" s="581"/>
      <c r="G273" s="347"/>
      <c r="H273" s="347"/>
      <c r="J273" s="347"/>
      <c r="K273" s="347"/>
      <c r="M273" s="347"/>
    </row>
    <row r="274" spans="2:13">
      <c r="B274" s="347"/>
      <c r="C274" s="347"/>
      <c r="E274" s="581"/>
      <c r="F274" s="581"/>
      <c r="G274" s="347"/>
      <c r="H274" s="347"/>
      <c r="J274" s="347"/>
      <c r="K274" s="347"/>
      <c r="M274" s="347"/>
    </row>
    <row r="275" spans="2:13">
      <c r="B275" s="347"/>
      <c r="C275" s="347"/>
      <c r="E275" s="581"/>
      <c r="F275" s="581"/>
      <c r="G275" s="347"/>
      <c r="H275" s="347"/>
      <c r="J275" s="347"/>
      <c r="K275" s="347"/>
      <c r="M275" s="347"/>
    </row>
    <row r="276" spans="2:13">
      <c r="B276" s="347"/>
      <c r="C276" s="347"/>
      <c r="E276" s="581"/>
      <c r="F276" s="581"/>
      <c r="G276" s="347"/>
      <c r="H276" s="347"/>
      <c r="J276" s="347"/>
      <c r="K276" s="347"/>
      <c r="M276" s="347"/>
    </row>
    <row r="277" spans="2:13">
      <c r="B277" s="347"/>
      <c r="C277" s="347"/>
      <c r="E277" s="581"/>
      <c r="F277" s="581"/>
      <c r="G277" s="347"/>
      <c r="H277" s="347"/>
      <c r="J277" s="347"/>
      <c r="K277" s="347"/>
      <c r="M277" s="347"/>
    </row>
    <row r="278" spans="2:13">
      <c r="B278" s="347"/>
      <c r="C278" s="347"/>
      <c r="E278" s="581"/>
      <c r="F278" s="581"/>
      <c r="G278" s="347"/>
      <c r="H278" s="347"/>
      <c r="J278" s="347"/>
      <c r="K278" s="347"/>
      <c r="M278" s="347"/>
    </row>
    <row r="279" spans="2:13">
      <c r="B279" s="347"/>
      <c r="C279" s="347"/>
      <c r="E279" s="581"/>
      <c r="F279" s="581"/>
      <c r="G279" s="347"/>
      <c r="H279" s="347"/>
      <c r="J279" s="347"/>
      <c r="K279" s="347"/>
      <c r="M279" s="347"/>
    </row>
    <row r="280" spans="2:13">
      <c r="B280" s="347"/>
      <c r="C280" s="347"/>
      <c r="E280" s="581"/>
      <c r="F280" s="581"/>
      <c r="G280" s="347"/>
      <c r="H280" s="347"/>
      <c r="J280" s="347"/>
      <c r="K280" s="347"/>
      <c r="M280" s="347"/>
    </row>
    <row r="281" spans="2:13">
      <c r="B281" s="347"/>
      <c r="C281" s="347"/>
      <c r="E281" s="581"/>
      <c r="F281" s="581"/>
      <c r="G281" s="347"/>
      <c r="H281" s="347"/>
      <c r="J281" s="347"/>
      <c r="K281" s="347"/>
      <c r="M281" s="347"/>
    </row>
    <row r="282" spans="2:13">
      <c r="B282" s="347"/>
      <c r="C282" s="347"/>
      <c r="E282" s="581"/>
      <c r="F282" s="581"/>
      <c r="G282" s="347"/>
      <c r="H282" s="347"/>
      <c r="J282" s="347"/>
      <c r="K282" s="347"/>
      <c r="M282" s="347"/>
    </row>
    <row r="283" spans="2:13">
      <c r="B283" s="347"/>
      <c r="C283" s="347"/>
      <c r="E283" s="581"/>
      <c r="F283" s="581"/>
      <c r="G283" s="347"/>
      <c r="H283" s="347"/>
      <c r="J283" s="347"/>
      <c r="K283" s="347"/>
      <c r="M283" s="347"/>
    </row>
    <row r="284" spans="2:13">
      <c r="B284" s="347"/>
      <c r="C284" s="347"/>
      <c r="E284" s="581"/>
      <c r="F284" s="581"/>
      <c r="G284" s="347"/>
      <c r="H284" s="347"/>
      <c r="J284" s="347"/>
      <c r="K284" s="347"/>
      <c r="M284" s="347"/>
    </row>
    <row r="285" spans="2:13">
      <c r="B285" s="347"/>
      <c r="C285" s="347"/>
      <c r="E285" s="581"/>
      <c r="F285" s="581"/>
      <c r="G285" s="347"/>
      <c r="H285" s="347"/>
      <c r="J285" s="347"/>
      <c r="K285" s="347"/>
      <c r="M285" s="347"/>
    </row>
    <row r="286" spans="2:13">
      <c r="B286" s="347"/>
      <c r="C286" s="347"/>
      <c r="E286" s="581"/>
      <c r="F286" s="581"/>
      <c r="G286" s="347"/>
      <c r="H286" s="347"/>
      <c r="J286" s="347"/>
      <c r="K286" s="347"/>
      <c r="M286" s="347"/>
    </row>
    <row r="287" spans="2:13">
      <c r="B287" s="347"/>
      <c r="C287" s="347"/>
      <c r="E287" s="581"/>
      <c r="F287" s="581"/>
      <c r="G287" s="347"/>
      <c r="H287" s="347"/>
      <c r="J287" s="347"/>
      <c r="K287" s="347"/>
      <c r="M287" s="347"/>
    </row>
    <row r="288" spans="2:13">
      <c r="B288" s="347"/>
      <c r="C288" s="347"/>
      <c r="E288" s="581"/>
      <c r="F288" s="581"/>
      <c r="G288" s="347"/>
      <c r="H288" s="347"/>
      <c r="J288" s="347"/>
      <c r="K288" s="347"/>
      <c r="M288" s="347"/>
    </row>
    <row r="289" spans="2:13">
      <c r="B289" s="347"/>
      <c r="C289" s="347"/>
      <c r="E289" s="581"/>
      <c r="F289" s="581"/>
      <c r="G289" s="347"/>
      <c r="H289" s="347"/>
      <c r="J289" s="347"/>
      <c r="K289" s="347"/>
      <c r="M289" s="347"/>
    </row>
    <row r="290" spans="2:13">
      <c r="B290" s="347"/>
      <c r="C290" s="347"/>
      <c r="E290" s="581"/>
      <c r="F290" s="581"/>
      <c r="G290" s="347"/>
      <c r="H290" s="347"/>
      <c r="J290" s="347"/>
      <c r="K290" s="347"/>
      <c r="M290" s="347"/>
    </row>
    <row r="291" spans="2:13">
      <c r="B291" s="347"/>
      <c r="C291" s="347"/>
      <c r="E291" s="581"/>
      <c r="F291" s="581"/>
      <c r="G291" s="347"/>
      <c r="H291" s="347"/>
      <c r="J291" s="347"/>
      <c r="K291" s="347"/>
      <c r="M291" s="347"/>
    </row>
    <row r="292" spans="2:13">
      <c r="B292" s="347"/>
      <c r="C292" s="347"/>
      <c r="E292" s="581"/>
      <c r="F292" s="581"/>
      <c r="G292" s="347"/>
      <c r="H292" s="347"/>
      <c r="J292" s="347"/>
      <c r="K292" s="347"/>
      <c r="M292" s="347"/>
    </row>
    <row r="293" spans="2:13">
      <c r="B293" s="347"/>
      <c r="C293" s="347"/>
      <c r="E293" s="581"/>
      <c r="F293" s="581"/>
      <c r="G293" s="347"/>
      <c r="H293" s="347"/>
      <c r="J293" s="347"/>
      <c r="K293" s="347"/>
      <c r="M293" s="347"/>
    </row>
    <row r="294" spans="2:13">
      <c r="B294" s="347"/>
      <c r="C294" s="347"/>
      <c r="E294" s="581"/>
      <c r="F294" s="581"/>
      <c r="G294" s="347"/>
      <c r="H294" s="347"/>
      <c r="J294" s="347"/>
      <c r="K294" s="347"/>
      <c r="M294" s="347"/>
    </row>
    <row r="295" spans="2:13">
      <c r="B295" s="347"/>
      <c r="C295" s="347"/>
      <c r="E295" s="581"/>
      <c r="F295" s="581"/>
      <c r="G295" s="347"/>
      <c r="H295" s="347"/>
      <c r="J295" s="347"/>
      <c r="K295" s="347"/>
      <c r="M295" s="347"/>
    </row>
    <row r="296" spans="2:13">
      <c r="B296" s="347"/>
      <c r="C296" s="347"/>
      <c r="E296" s="581"/>
      <c r="F296" s="581"/>
      <c r="G296" s="347"/>
      <c r="H296" s="347"/>
      <c r="J296" s="347"/>
      <c r="K296" s="347"/>
      <c r="M296" s="347"/>
    </row>
    <row r="297" spans="2:13">
      <c r="B297" s="347"/>
      <c r="C297" s="347"/>
      <c r="E297" s="581"/>
      <c r="F297" s="581"/>
      <c r="G297" s="347"/>
      <c r="H297" s="347"/>
      <c r="J297" s="347"/>
      <c r="K297" s="347"/>
      <c r="M297" s="347"/>
    </row>
    <row r="298" spans="2:13">
      <c r="B298" s="347"/>
      <c r="C298" s="347"/>
      <c r="E298" s="581"/>
      <c r="F298" s="581"/>
      <c r="G298" s="347"/>
      <c r="H298" s="347"/>
      <c r="J298" s="347"/>
      <c r="K298" s="347"/>
      <c r="M298" s="347"/>
    </row>
    <row r="299" spans="2:13">
      <c r="B299" s="347"/>
      <c r="C299" s="347"/>
      <c r="E299" s="581"/>
      <c r="F299" s="581"/>
      <c r="G299" s="347"/>
      <c r="H299" s="347"/>
      <c r="J299" s="347"/>
      <c r="K299" s="347"/>
      <c r="M299" s="347"/>
    </row>
    <row r="300" spans="2:13">
      <c r="B300" s="347"/>
      <c r="C300" s="347"/>
      <c r="E300" s="581"/>
      <c r="F300" s="581"/>
      <c r="G300" s="347"/>
      <c r="H300" s="347"/>
      <c r="J300" s="347"/>
      <c r="K300" s="347"/>
      <c r="M300" s="347"/>
    </row>
    <row r="301" spans="2:13">
      <c r="B301" s="347"/>
      <c r="C301" s="347"/>
      <c r="E301" s="581"/>
      <c r="F301" s="581"/>
      <c r="G301" s="347"/>
      <c r="H301" s="347"/>
      <c r="J301" s="347"/>
      <c r="K301" s="347"/>
      <c r="M301" s="347"/>
    </row>
    <row r="302" spans="2:13">
      <c r="B302" s="347"/>
      <c r="C302" s="347"/>
      <c r="E302" s="581"/>
      <c r="F302" s="581"/>
      <c r="G302" s="347"/>
      <c r="H302" s="347"/>
      <c r="J302" s="347"/>
      <c r="K302" s="347"/>
      <c r="M302" s="347"/>
    </row>
    <row r="303" spans="2:13">
      <c r="B303" s="347"/>
      <c r="C303" s="347"/>
      <c r="E303" s="581"/>
      <c r="F303" s="581"/>
      <c r="G303" s="347"/>
      <c r="H303" s="347"/>
      <c r="J303" s="347"/>
      <c r="K303" s="347"/>
      <c r="M303" s="347"/>
    </row>
    <row r="304" spans="2:13">
      <c r="B304" s="347"/>
      <c r="C304" s="347"/>
      <c r="E304" s="581"/>
      <c r="F304" s="581"/>
      <c r="G304" s="347"/>
      <c r="H304" s="347"/>
      <c r="J304" s="347"/>
      <c r="K304" s="347"/>
      <c r="M304" s="347"/>
    </row>
    <row r="305" spans="2:13">
      <c r="B305" s="347"/>
      <c r="C305" s="347"/>
      <c r="E305" s="581"/>
      <c r="F305" s="581"/>
      <c r="G305" s="347"/>
      <c r="H305" s="347"/>
      <c r="J305" s="347"/>
      <c r="K305" s="347"/>
      <c r="M305" s="347"/>
    </row>
    <row r="306" spans="2:13">
      <c r="B306" s="347"/>
      <c r="C306" s="347"/>
      <c r="E306" s="581"/>
      <c r="F306" s="581"/>
      <c r="G306" s="347"/>
      <c r="H306" s="347"/>
      <c r="J306" s="347"/>
      <c r="K306" s="347"/>
      <c r="M306" s="347"/>
    </row>
    <row r="307" spans="2:13">
      <c r="B307" s="347"/>
      <c r="C307" s="347"/>
      <c r="E307" s="581"/>
      <c r="F307" s="581"/>
      <c r="G307" s="347"/>
      <c r="H307" s="347"/>
      <c r="J307" s="347"/>
      <c r="K307" s="347"/>
      <c r="M307" s="347"/>
    </row>
    <row r="308" spans="2:13">
      <c r="B308" s="347"/>
      <c r="C308" s="347"/>
      <c r="E308" s="581"/>
      <c r="F308" s="581"/>
      <c r="G308" s="347"/>
      <c r="H308" s="347"/>
      <c r="J308" s="347"/>
      <c r="K308" s="347"/>
      <c r="M308" s="347"/>
    </row>
    <row r="309" spans="2:13">
      <c r="B309" s="347"/>
      <c r="C309" s="347"/>
      <c r="E309" s="581"/>
      <c r="F309" s="581"/>
      <c r="G309" s="347"/>
      <c r="H309" s="347"/>
      <c r="J309" s="347"/>
      <c r="K309" s="347"/>
      <c r="M309" s="347"/>
    </row>
    <row r="310" spans="2:13">
      <c r="B310" s="347"/>
      <c r="C310" s="347"/>
      <c r="E310" s="581"/>
      <c r="F310" s="581"/>
      <c r="G310" s="347"/>
      <c r="H310" s="347"/>
      <c r="J310" s="347"/>
      <c r="K310" s="347"/>
      <c r="M310" s="347"/>
    </row>
    <row r="311" spans="2:13">
      <c r="B311" s="347"/>
      <c r="C311" s="347"/>
      <c r="E311" s="581"/>
      <c r="F311" s="581"/>
      <c r="G311" s="347"/>
      <c r="H311" s="347"/>
      <c r="J311" s="347"/>
      <c r="K311" s="347"/>
      <c r="M311" s="347"/>
    </row>
    <row r="312" spans="2:13">
      <c r="B312" s="347"/>
      <c r="C312" s="347"/>
      <c r="E312" s="581"/>
      <c r="F312" s="581"/>
      <c r="G312" s="347"/>
      <c r="H312" s="347"/>
      <c r="J312" s="347"/>
      <c r="K312" s="347"/>
      <c r="M312" s="347"/>
    </row>
    <row r="313" spans="2:13">
      <c r="B313" s="347"/>
      <c r="C313" s="347"/>
      <c r="E313" s="581"/>
      <c r="F313" s="581"/>
      <c r="G313" s="347"/>
      <c r="H313" s="347"/>
      <c r="J313" s="347"/>
      <c r="K313" s="347"/>
      <c r="M313" s="347"/>
    </row>
    <row r="314" spans="2:13">
      <c r="B314" s="347"/>
      <c r="C314" s="347"/>
      <c r="E314" s="581"/>
      <c r="F314" s="581"/>
      <c r="G314" s="347"/>
      <c r="H314" s="347"/>
      <c r="J314" s="347"/>
      <c r="K314" s="347"/>
      <c r="M314" s="347"/>
    </row>
    <row r="315" spans="2:13">
      <c r="B315" s="347"/>
      <c r="C315" s="347"/>
      <c r="E315" s="581"/>
      <c r="F315" s="581"/>
      <c r="G315" s="347"/>
      <c r="H315" s="347"/>
      <c r="J315" s="347"/>
      <c r="K315" s="347"/>
      <c r="M315" s="347"/>
    </row>
    <row r="316" spans="2:13">
      <c r="B316" s="347"/>
      <c r="C316" s="347"/>
      <c r="E316" s="581"/>
      <c r="F316" s="581"/>
      <c r="G316" s="347"/>
      <c r="H316" s="347"/>
      <c r="J316" s="347"/>
      <c r="K316" s="347"/>
      <c r="M316" s="347"/>
    </row>
    <row r="317" spans="2:13">
      <c r="B317" s="347"/>
      <c r="C317" s="347"/>
      <c r="E317" s="581"/>
      <c r="F317" s="581"/>
      <c r="G317" s="347"/>
      <c r="H317" s="347"/>
      <c r="J317" s="347"/>
      <c r="K317" s="347"/>
      <c r="M317" s="347"/>
    </row>
    <row r="318" spans="2:13">
      <c r="B318" s="347"/>
      <c r="C318" s="347"/>
      <c r="E318" s="581"/>
      <c r="F318" s="581"/>
      <c r="G318" s="347"/>
      <c r="H318" s="347"/>
      <c r="J318" s="347"/>
      <c r="K318" s="347"/>
      <c r="M318" s="347"/>
    </row>
    <row r="319" spans="2:13">
      <c r="B319" s="347"/>
      <c r="C319" s="347"/>
      <c r="E319" s="581"/>
      <c r="F319" s="581"/>
      <c r="G319" s="347"/>
      <c r="H319" s="347"/>
      <c r="J319" s="347"/>
      <c r="K319" s="347"/>
      <c r="M319" s="347"/>
    </row>
    <row r="320" spans="2:13">
      <c r="B320" s="347"/>
      <c r="C320" s="347"/>
      <c r="E320" s="581"/>
      <c r="F320" s="581"/>
      <c r="G320" s="347"/>
      <c r="H320" s="347"/>
      <c r="J320" s="347"/>
      <c r="K320" s="347"/>
      <c r="M320" s="347"/>
    </row>
    <row r="321" spans="2:13">
      <c r="B321" s="347"/>
      <c r="C321" s="347"/>
      <c r="E321" s="581"/>
      <c r="F321" s="581"/>
      <c r="G321" s="347"/>
      <c r="H321" s="347"/>
      <c r="J321" s="347"/>
      <c r="K321" s="347"/>
      <c r="M321" s="347"/>
    </row>
    <row r="322" spans="2:13">
      <c r="B322" s="347"/>
      <c r="C322" s="347"/>
      <c r="E322" s="581"/>
      <c r="F322" s="581"/>
      <c r="G322" s="347"/>
      <c r="H322" s="347"/>
      <c r="J322" s="347"/>
      <c r="K322" s="347"/>
      <c r="M322" s="347"/>
    </row>
    <row r="323" spans="2:13">
      <c r="B323" s="347"/>
      <c r="C323" s="347"/>
      <c r="E323" s="581"/>
      <c r="F323" s="581"/>
      <c r="G323" s="347"/>
      <c r="H323" s="347"/>
      <c r="J323" s="347"/>
      <c r="K323" s="347"/>
      <c r="M323" s="347"/>
    </row>
    <row r="324" spans="2:13">
      <c r="B324" s="347"/>
      <c r="C324" s="347"/>
      <c r="E324" s="581"/>
      <c r="F324" s="581"/>
      <c r="G324" s="347"/>
      <c r="H324" s="347"/>
      <c r="J324" s="347"/>
      <c r="K324" s="347"/>
      <c r="M324" s="347"/>
    </row>
    <row r="325" spans="2:13">
      <c r="B325" s="347"/>
      <c r="C325" s="347"/>
      <c r="E325" s="581"/>
      <c r="F325" s="581"/>
      <c r="G325" s="347"/>
      <c r="H325" s="347"/>
      <c r="J325" s="347"/>
      <c r="K325" s="347"/>
      <c r="M325" s="347"/>
    </row>
    <row r="326" spans="2:13">
      <c r="B326" s="347"/>
      <c r="C326" s="347"/>
      <c r="E326" s="581"/>
      <c r="F326" s="581"/>
      <c r="G326" s="347"/>
      <c r="H326" s="347"/>
      <c r="J326" s="347"/>
      <c r="K326" s="347"/>
      <c r="M326" s="347"/>
    </row>
    <row r="327" spans="2:13">
      <c r="B327" s="347"/>
      <c r="C327" s="347"/>
      <c r="E327" s="581"/>
      <c r="F327" s="581"/>
      <c r="G327" s="347"/>
      <c r="H327" s="347"/>
      <c r="J327" s="347"/>
      <c r="K327" s="347"/>
      <c r="M327" s="347"/>
    </row>
    <row r="328" spans="2:13">
      <c r="B328" s="347"/>
      <c r="C328" s="347"/>
      <c r="E328" s="581"/>
      <c r="F328" s="581"/>
      <c r="G328" s="347"/>
      <c r="H328" s="347"/>
      <c r="J328" s="347"/>
      <c r="K328" s="347"/>
      <c r="M328" s="347"/>
    </row>
    <row r="329" spans="2:13">
      <c r="B329" s="347"/>
      <c r="C329" s="347"/>
      <c r="E329" s="581"/>
      <c r="F329" s="581"/>
      <c r="G329" s="347"/>
      <c r="H329" s="347"/>
      <c r="J329" s="347"/>
      <c r="K329" s="347"/>
      <c r="M329" s="347"/>
    </row>
    <row r="330" spans="2:13">
      <c r="B330" s="347"/>
      <c r="C330" s="347"/>
      <c r="E330" s="581"/>
      <c r="F330" s="581"/>
      <c r="G330" s="347"/>
      <c r="H330" s="347"/>
      <c r="J330" s="347"/>
      <c r="K330" s="347"/>
      <c r="M330" s="347"/>
    </row>
    <row r="331" spans="2:13">
      <c r="B331" s="347"/>
      <c r="C331" s="347"/>
      <c r="E331" s="581"/>
      <c r="F331" s="581"/>
      <c r="G331" s="347"/>
      <c r="H331" s="347"/>
      <c r="J331" s="347"/>
      <c r="K331" s="347"/>
      <c r="M331" s="347"/>
    </row>
    <row r="332" spans="2:13">
      <c r="B332" s="347"/>
      <c r="C332" s="347"/>
      <c r="E332" s="581"/>
      <c r="F332" s="581"/>
      <c r="G332" s="347"/>
      <c r="H332" s="347"/>
      <c r="J332" s="347"/>
      <c r="K332" s="347"/>
      <c r="M332" s="347"/>
    </row>
    <row r="333" spans="2:13">
      <c r="B333" s="347"/>
      <c r="C333" s="347"/>
      <c r="E333" s="581"/>
      <c r="F333" s="581"/>
      <c r="G333" s="347"/>
      <c r="H333" s="347"/>
      <c r="J333" s="347"/>
      <c r="K333" s="347"/>
      <c r="M333" s="347"/>
    </row>
    <row r="334" spans="2:13">
      <c r="B334" s="347"/>
      <c r="C334" s="347"/>
      <c r="E334" s="581"/>
      <c r="F334" s="581"/>
      <c r="G334" s="347"/>
      <c r="H334" s="347"/>
      <c r="J334" s="347"/>
      <c r="K334" s="347"/>
      <c r="M334" s="347"/>
    </row>
    <row r="335" spans="2:13">
      <c r="B335" s="347"/>
      <c r="C335" s="347"/>
      <c r="E335" s="581"/>
      <c r="F335" s="581"/>
      <c r="G335" s="347"/>
      <c r="H335" s="347"/>
      <c r="J335" s="347"/>
      <c r="K335" s="347"/>
      <c r="M335" s="347"/>
    </row>
    <row r="336" spans="2:13">
      <c r="B336" s="347"/>
      <c r="C336" s="347"/>
      <c r="E336" s="581"/>
      <c r="F336" s="581"/>
      <c r="G336" s="347"/>
      <c r="H336" s="347"/>
      <c r="J336" s="347"/>
      <c r="K336" s="347"/>
      <c r="M336" s="347"/>
    </row>
    <row r="337" spans="2:13">
      <c r="B337" s="347"/>
      <c r="C337" s="347"/>
      <c r="E337" s="581"/>
      <c r="F337" s="581"/>
      <c r="G337" s="347"/>
      <c r="H337" s="347"/>
      <c r="J337" s="347"/>
      <c r="K337" s="347"/>
      <c r="M337" s="347"/>
    </row>
    <row r="338" spans="2:13">
      <c r="B338" s="347"/>
      <c r="C338" s="347"/>
      <c r="E338" s="581"/>
      <c r="F338" s="581"/>
      <c r="G338" s="347"/>
      <c r="H338" s="347"/>
      <c r="J338" s="347"/>
      <c r="K338" s="347"/>
      <c r="M338" s="347"/>
    </row>
    <row r="339" spans="2:13">
      <c r="B339" s="347"/>
      <c r="C339" s="347"/>
      <c r="E339" s="581"/>
      <c r="F339" s="581"/>
      <c r="G339" s="347"/>
      <c r="H339" s="347"/>
      <c r="J339" s="347"/>
      <c r="K339" s="347"/>
      <c r="M339" s="347"/>
    </row>
    <row r="340" spans="2:13">
      <c r="B340" s="347"/>
      <c r="C340" s="347"/>
      <c r="E340" s="581"/>
      <c r="F340" s="581"/>
      <c r="G340" s="347"/>
      <c r="H340" s="347"/>
      <c r="J340" s="347"/>
      <c r="K340" s="347"/>
      <c r="M340" s="347"/>
    </row>
    <row r="341" spans="2:13">
      <c r="B341" s="347"/>
      <c r="C341" s="347"/>
      <c r="E341" s="581"/>
      <c r="F341" s="581"/>
      <c r="G341" s="347"/>
      <c r="H341" s="347"/>
      <c r="J341" s="347"/>
      <c r="K341" s="347"/>
      <c r="M341" s="347"/>
    </row>
    <row r="342" spans="2:13">
      <c r="B342" s="347"/>
      <c r="C342" s="347"/>
      <c r="E342" s="581"/>
      <c r="F342" s="581"/>
      <c r="G342" s="347"/>
      <c r="H342" s="347"/>
      <c r="J342" s="347"/>
      <c r="K342" s="347"/>
      <c r="M342" s="347"/>
    </row>
    <row r="343" spans="2:13">
      <c r="B343" s="347"/>
      <c r="C343" s="347"/>
      <c r="E343" s="581"/>
      <c r="F343" s="581"/>
      <c r="G343" s="347"/>
      <c r="H343" s="347"/>
      <c r="J343" s="347"/>
      <c r="K343" s="347"/>
      <c r="M343" s="347"/>
    </row>
    <row r="344" spans="2:13">
      <c r="B344" s="347"/>
      <c r="C344" s="347"/>
      <c r="E344" s="581"/>
      <c r="F344" s="581"/>
      <c r="G344" s="347"/>
      <c r="H344" s="347"/>
      <c r="J344" s="347"/>
      <c r="K344" s="347"/>
      <c r="M344" s="347"/>
    </row>
    <row r="345" spans="2:13">
      <c r="B345" s="347"/>
      <c r="C345" s="347"/>
      <c r="E345" s="581"/>
      <c r="F345" s="581"/>
      <c r="G345" s="347"/>
      <c r="H345" s="347"/>
      <c r="J345" s="347"/>
      <c r="K345" s="347"/>
      <c r="M345" s="347"/>
    </row>
    <row r="346" spans="2:13">
      <c r="B346" s="347"/>
      <c r="C346" s="347"/>
      <c r="E346" s="581"/>
      <c r="F346" s="581"/>
      <c r="G346" s="347"/>
      <c r="H346" s="347"/>
      <c r="J346" s="347"/>
      <c r="K346" s="347"/>
      <c r="M346" s="347"/>
    </row>
    <row r="347" spans="2:13">
      <c r="B347" s="347"/>
      <c r="C347" s="347"/>
      <c r="E347" s="581"/>
      <c r="F347" s="581"/>
      <c r="G347" s="347"/>
      <c r="H347" s="347"/>
      <c r="J347" s="347"/>
      <c r="K347" s="347"/>
      <c r="M347" s="347"/>
    </row>
    <row r="348" spans="2:13">
      <c r="B348" s="347"/>
      <c r="C348" s="347"/>
      <c r="E348" s="581"/>
      <c r="F348" s="581"/>
      <c r="G348" s="347"/>
      <c r="H348" s="347"/>
      <c r="J348" s="347"/>
      <c r="K348" s="347"/>
      <c r="M348" s="347"/>
    </row>
    <row r="349" spans="2:13">
      <c r="B349" s="347"/>
      <c r="C349" s="347"/>
      <c r="E349" s="581"/>
      <c r="F349" s="581"/>
      <c r="G349" s="347"/>
      <c r="H349" s="347"/>
      <c r="J349" s="347"/>
      <c r="K349" s="347"/>
      <c r="M349" s="347"/>
    </row>
    <row r="350" spans="2:13">
      <c r="B350" s="347"/>
      <c r="C350" s="347"/>
      <c r="E350" s="581"/>
      <c r="F350" s="581"/>
      <c r="G350" s="347"/>
      <c r="H350" s="347"/>
      <c r="J350" s="347"/>
      <c r="K350" s="347"/>
      <c r="M350" s="347"/>
    </row>
    <row r="351" spans="2:13">
      <c r="B351" s="347"/>
      <c r="C351" s="347"/>
      <c r="E351" s="581"/>
      <c r="F351" s="581"/>
      <c r="G351" s="347"/>
      <c r="H351" s="347"/>
      <c r="J351" s="347"/>
      <c r="K351" s="347"/>
      <c r="M351" s="347"/>
    </row>
    <row r="352" spans="2:13">
      <c r="B352" s="347"/>
      <c r="C352" s="347"/>
      <c r="E352" s="581"/>
      <c r="F352" s="581"/>
      <c r="G352" s="347"/>
      <c r="H352" s="347"/>
      <c r="J352" s="347"/>
      <c r="K352" s="347"/>
      <c r="M352" s="347"/>
    </row>
    <row r="353" spans="2:13">
      <c r="B353" s="347"/>
      <c r="C353" s="347"/>
      <c r="E353" s="581"/>
      <c r="F353" s="581"/>
      <c r="G353" s="347"/>
      <c r="H353" s="347"/>
      <c r="J353" s="347"/>
      <c r="K353" s="347"/>
      <c r="M353" s="347"/>
    </row>
    <row r="354" spans="2:13">
      <c r="B354" s="347"/>
      <c r="C354" s="347"/>
      <c r="E354" s="581"/>
      <c r="F354" s="581"/>
      <c r="G354" s="347"/>
      <c r="H354" s="347"/>
      <c r="J354" s="347"/>
      <c r="K354" s="347"/>
      <c r="M354" s="347"/>
    </row>
    <row r="355" spans="2:13">
      <c r="B355" s="347"/>
      <c r="C355" s="347"/>
      <c r="E355" s="581"/>
      <c r="F355" s="581"/>
      <c r="G355" s="347"/>
      <c r="H355" s="347"/>
      <c r="J355" s="347"/>
      <c r="K355" s="347"/>
      <c r="M355" s="347"/>
    </row>
    <row r="356" spans="2:13">
      <c r="B356" s="347"/>
      <c r="C356" s="347"/>
      <c r="E356" s="581"/>
      <c r="F356" s="581"/>
      <c r="G356" s="347"/>
      <c r="H356" s="347"/>
      <c r="J356" s="347"/>
      <c r="K356" s="347"/>
      <c r="M356" s="347"/>
    </row>
    <row r="357" spans="2:13">
      <c r="B357" s="347"/>
      <c r="C357" s="347"/>
      <c r="E357" s="581"/>
      <c r="F357" s="581"/>
      <c r="G357" s="347"/>
      <c r="H357" s="347"/>
      <c r="J357" s="347"/>
      <c r="K357" s="347"/>
      <c r="M357" s="347"/>
    </row>
    <row r="358" spans="2:13">
      <c r="B358" s="347"/>
      <c r="C358" s="347"/>
      <c r="E358" s="581"/>
      <c r="F358" s="581"/>
      <c r="G358" s="347"/>
      <c r="H358" s="347"/>
      <c r="J358" s="347"/>
      <c r="K358" s="347"/>
      <c r="M358" s="347"/>
    </row>
    <row r="359" spans="2:13">
      <c r="B359" s="347"/>
      <c r="C359" s="347"/>
      <c r="E359" s="581"/>
      <c r="F359" s="581"/>
      <c r="G359" s="347"/>
      <c r="H359" s="347"/>
      <c r="J359" s="347"/>
      <c r="K359" s="347"/>
      <c r="M359" s="347"/>
    </row>
    <row r="360" spans="2:13">
      <c r="B360" s="347"/>
      <c r="C360" s="347"/>
      <c r="E360" s="581"/>
      <c r="F360" s="581"/>
      <c r="G360" s="347"/>
      <c r="H360" s="347"/>
      <c r="J360" s="347"/>
      <c r="K360" s="347"/>
      <c r="M360" s="347"/>
    </row>
    <row r="361" spans="2:13">
      <c r="B361" s="347"/>
      <c r="C361" s="347"/>
      <c r="E361" s="581"/>
      <c r="F361" s="581"/>
      <c r="G361" s="347"/>
      <c r="H361" s="347"/>
      <c r="J361" s="347"/>
      <c r="K361" s="347"/>
      <c r="M361" s="347"/>
    </row>
    <row r="362" spans="2:13">
      <c r="B362" s="347"/>
      <c r="C362" s="347"/>
      <c r="E362" s="581"/>
      <c r="F362" s="581"/>
      <c r="G362" s="347"/>
      <c r="H362" s="347"/>
      <c r="J362" s="347"/>
      <c r="K362" s="347"/>
      <c r="M362" s="347"/>
    </row>
    <row r="363" spans="2:13">
      <c r="B363" s="347"/>
      <c r="C363" s="347"/>
      <c r="E363" s="581"/>
      <c r="F363" s="581"/>
      <c r="G363" s="347"/>
      <c r="H363" s="347"/>
      <c r="J363" s="347"/>
      <c r="K363" s="347"/>
      <c r="M363" s="347"/>
    </row>
    <row r="364" spans="2:13">
      <c r="B364" s="347"/>
      <c r="C364" s="347"/>
      <c r="E364" s="581"/>
      <c r="F364" s="581"/>
      <c r="G364" s="347"/>
      <c r="H364" s="347"/>
      <c r="J364" s="347"/>
      <c r="K364" s="347"/>
      <c r="M364" s="347"/>
    </row>
    <row r="365" spans="2:13">
      <c r="B365" s="347"/>
      <c r="C365" s="347"/>
      <c r="E365" s="581"/>
      <c r="F365" s="581"/>
      <c r="G365" s="347"/>
      <c r="H365" s="347"/>
      <c r="J365" s="347"/>
      <c r="K365" s="347"/>
      <c r="M365" s="347"/>
    </row>
    <row r="366" spans="2:13">
      <c r="B366" s="347"/>
      <c r="C366" s="347"/>
      <c r="E366" s="581"/>
      <c r="F366" s="581"/>
      <c r="G366" s="347"/>
      <c r="H366" s="347"/>
      <c r="J366" s="347"/>
      <c r="K366" s="347"/>
      <c r="M366" s="347"/>
    </row>
    <row r="367" spans="2:13">
      <c r="B367" s="347"/>
      <c r="C367" s="347"/>
      <c r="E367" s="581"/>
      <c r="F367" s="581"/>
      <c r="G367" s="347"/>
      <c r="H367" s="347"/>
      <c r="J367" s="347"/>
      <c r="K367" s="347"/>
      <c r="M367" s="347"/>
    </row>
    <row r="368" spans="2:13">
      <c r="B368" s="347"/>
      <c r="C368" s="347"/>
      <c r="E368" s="581"/>
      <c r="F368" s="581"/>
      <c r="G368" s="347"/>
      <c r="H368" s="347"/>
      <c r="J368" s="347"/>
      <c r="K368" s="347"/>
      <c r="M368" s="347"/>
    </row>
    <row r="369" spans="2:13">
      <c r="B369" s="347"/>
      <c r="C369" s="347"/>
      <c r="E369" s="581"/>
      <c r="F369" s="581"/>
      <c r="G369" s="347"/>
      <c r="H369" s="347"/>
      <c r="J369" s="347"/>
      <c r="K369" s="347"/>
      <c r="M369" s="347"/>
    </row>
    <row r="370" spans="2:13">
      <c r="B370" s="347"/>
      <c r="C370" s="347"/>
      <c r="E370" s="581"/>
      <c r="F370" s="581"/>
      <c r="G370" s="347"/>
      <c r="H370" s="347"/>
      <c r="J370" s="347"/>
      <c r="K370" s="347"/>
      <c r="M370" s="347"/>
    </row>
    <row r="371" spans="2:13">
      <c r="B371" s="347"/>
      <c r="C371" s="347"/>
      <c r="E371" s="581"/>
      <c r="F371" s="581"/>
      <c r="G371" s="347"/>
      <c r="H371" s="347"/>
      <c r="J371" s="347"/>
      <c r="K371" s="347"/>
      <c r="M371" s="347"/>
    </row>
    <row r="372" spans="2:13">
      <c r="B372" s="347"/>
      <c r="C372" s="347"/>
      <c r="E372" s="581"/>
      <c r="F372" s="581"/>
      <c r="G372" s="347"/>
      <c r="H372" s="347"/>
      <c r="J372" s="347"/>
      <c r="K372" s="347"/>
      <c r="M372" s="347"/>
    </row>
    <row r="373" spans="2:13">
      <c r="B373" s="347"/>
      <c r="C373" s="347"/>
      <c r="E373" s="581"/>
      <c r="F373" s="581"/>
      <c r="G373" s="347"/>
      <c r="H373" s="347"/>
      <c r="J373" s="347"/>
      <c r="K373" s="347"/>
      <c r="M373" s="347"/>
    </row>
    <row r="374" spans="2:13">
      <c r="B374" s="347"/>
      <c r="C374" s="347"/>
      <c r="E374" s="581"/>
      <c r="F374" s="581"/>
      <c r="G374" s="347"/>
      <c r="H374" s="347"/>
      <c r="J374" s="347"/>
      <c r="K374" s="347"/>
      <c r="M374" s="347"/>
    </row>
    <row r="375" spans="2:13">
      <c r="B375" s="347"/>
      <c r="C375" s="347"/>
      <c r="E375" s="581"/>
      <c r="F375" s="581"/>
      <c r="G375" s="347"/>
      <c r="H375" s="347"/>
      <c r="J375" s="347"/>
      <c r="K375" s="347"/>
      <c r="M375" s="347"/>
    </row>
    <row r="376" spans="2:13">
      <c r="B376" s="347"/>
      <c r="C376" s="347"/>
      <c r="E376" s="581"/>
      <c r="F376" s="581"/>
      <c r="G376" s="347"/>
      <c r="H376" s="347"/>
      <c r="J376" s="347"/>
      <c r="K376" s="347"/>
      <c r="M376" s="347"/>
    </row>
    <row r="377" spans="2:13">
      <c r="B377" s="347"/>
      <c r="C377" s="347"/>
      <c r="E377" s="581"/>
      <c r="F377" s="581"/>
      <c r="G377" s="347"/>
      <c r="H377" s="347"/>
      <c r="J377" s="347"/>
      <c r="K377" s="347"/>
      <c r="M377" s="347"/>
    </row>
    <row r="378" spans="2:13">
      <c r="B378" s="347"/>
      <c r="C378" s="347"/>
      <c r="E378" s="581"/>
      <c r="F378" s="581"/>
      <c r="G378" s="347"/>
      <c r="H378" s="347"/>
      <c r="J378" s="347"/>
      <c r="K378" s="347"/>
      <c r="M378" s="347"/>
    </row>
    <row r="379" spans="2:13">
      <c r="B379" s="347"/>
      <c r="C379" s="347"/>
      <c r="E379" s="581"/>
      <c r="F379" s="581"/>
      <c r="G379" s="347"/>
      <c r="H379" s="347"/>
      <c r="J379" s="347"/>
      <c r="K379" s="347"/>
      <c r="M379" s="347"/>
    </row>
    <row r="380" spans="2:13">
      <c r="B380" s="347"/>
      <c r="C380" s="347"/>
      <c r="E380" s="581"/>
      <c r="F380" s="581"/>
      <c r="G380" s="347"/>
      <c r="H380" s="347"/>
      <c r="J380" s="347"/>
      <c r="K380" s="347"/>
      <c r="M380" s="347"/>
    </row>
    <row r="381" spans="2:13">
      <c r="B381" s="347"/>
      <c r="C381" s="347"/>
      <c r="E381" s="581"/>
      <c r="F381" s="581"/>
      <c r="G381" s="347"/>
      <c r="H381" s="347"/>
      <c r="J381" s="347"/>
      <c r="K381" s="347"/>
      <c r="M381" s="347"/>
    </row>
    <row r="382" spans="2:13">
      <c r="B382" s="347"/>
      <c r="C382" s="347"/>
      <c r="E382" s="581"/>
      <c r="F382" s="581"/>
      <c r="G382" s="347"/>
      <c r="H382" s="347"/>
      <c r="J382" s="347"/>
      <c r="K382" s="347"/>
      <c r="M382" s="347"/>
    </row>
    <row r="383" spans="2:13">
      <c r="B383" s="347"/>
      <c r="C383" s="347"/>
      <c r="E383" s="581"/>
      <c r="F383" s="581"/>
      <c r="G383" s="347"/>
      <c r="H383" s="347"/>
      <c r="J383" s="347"/>
      <c r="K383" s="347"/>
      <c r="M383" s="347"/>
    </row>
    <row r="384" spans="2:13">
      <c r="B384" s="347"/>
      <c r="C384" s="347"/>
      <c r="E384" s="581"/>
      <c r="F384" s="581"/>
      <c r="G384" s="347"/>
      <c r="H384" s="347"/>
      <c r="J384" s="347"/>
      <c r="K384" s="347"/>
      <c r="M384" s="347"/>
    </row>
    <row r="385" spans="2:13">
      <c r="B385" s="347"/>
      <c r="C385" s="347"/>
      <c r="E385" s="581"/>
      <c r="F385" s="581"/>
      <c r="G385" s="347"/>
      <c r="H385" s="347"/>
      <c r="J385" s="347"/>
      <c r="K385" s="347"/>
      <c r="M385" s="347"/>
    </row>
    <row r="386" spans="2:13">
      <c r="B386" s="347"/>
      <c r="C386" s="347"/>
      <c r="E386" s="581"/>
      <c r="F386" s="581"/>
      <c r="G386" s="347"/>
      <c r="H386" s="347"/>
      <c r="J386" s="347"/>
      <c r="K386" s="347"/>
      <c r="M386" s="347"/>
    </row>
    <row r="387" spans="2:13">
      <c r="B387" s="347"/>
      <c r="C387" s="347"/>
      <c r="E387" s="581"/>
      <c r="F387" s="581"/>
      <c r="G387" s="347"/>
      <c r="H387" s="347"/>
      <c r="J387" s="347"/>
      <c r="K387" s="347"/>
      <c r="M387" s="347"/>
    </row>
    <row r="388" spans="2:13">
      <c r="B388" s="347"/>
      <c r="C388" s="347"/>
      <c r="E388" s="581"/>
      <c r="F388" s="581"/>
      <c r="G388" s="347"/>
      <c r="H388" s="347"/>
      <c r="J388" s="347"/>
      <c r="K388" s="347"/>
      <c r="M388" s="347"/>
    </row>
    <row r="389" spans="2:13">
      <c r="B389" s="347"/>
      <c r="C389" s="347"/>
      <c r="E389" s="581"/>
      <c r="F389" s="581"/>
      <c r="G389" s="347"/>
      <c r="H389" s="347"/>
      <c r="J389" s="347"/>
      <c r="K389" s="347"/>
      <c r="M389" s="347"/>
    </row>
    <row r="390" spans="2:13">
      <c r="B390" s="347"/>
      <c r="C390" s="347"/>
      <c r="E390" s="581"/>
      <c r="F390" s="581"/>
      <c r="G390" s="347"/>
      <c r="H390" s="347"/>
      <c r="J390" s="347"/>
      <c r="K390" s="347"/>
      <c r="M390" s="347"/>
    </row>
    <row r="391" spans="2:13">
      <c r="B391" s="347"/>
      <c r="C391" s="347"/>
      <c r="E391" s="581"/>
      <c r="F391" s="581"/>
      <c r="G391" s="347"/>
      <c r="H391" s="347"/>
      <c r="J391" s="347"/>
      <c r="K391" s="347"/>
      <c r="M391" s="347"/>
    </row>
    <row r="392" spans="2:13">
      <c r="B392" s="347"/>
      <c r="C392" s="347"/>
      <c r="E392" s="581"/>
      <c r="F392" s="581"/>
      <c r="G392" s="347"/>
      <c r="H392" s="347"/>
      <c r="J392" s="347"/>
      <c r="K392" s="347"/>
      <c r="M392" s="347"/>
    </row>
    <row r="393" spans="2:13">
      <c r="B393" s="347"/>
      <c r="C393" s="347"/>
      <c r="E393" s="581"/>
      <c r="F393" s="581"/>
      <c r="G393" s="347"/>
      <c r="H393" s="347"/>
      <c r="J393" s="347"/>
      <c r="K393" s="347"/>
      <c r="M393" s="347"/>
    </row>
    <row r="394" spans="2:13">
      <c r="B394" s="347"/>
      <c r="C394" s="347"/>
      <c r="E394" s="581"/>
      <c r="F394" s="581"/>
      <c r="G394" s="347"/>
      <c r="H394" s="347"/>
      <c r="J394" s="347"/>
      <c r="K394" s="347"/>
      <c r="M394" s="347"/>
    </row>
    <row r="395" spans="2:13">
      <c r="B395" s="347"/>
      <c r="C395" s="347"/>
      <c r="E395" s="581"/>
      <c r="F395" s="581"/>
      <c r="G395" s="347"/>
      <c r="H395" s="347"/>
      <c r="J395" s="347"/>
      <c r="K395" s="347"/>
      <c r="M395" s="347"/>
    </row>
    <row r="396" spans="2:13">
      <c r="B396" s="347"/>
      <c r="C396" s="347"/>
      <c r="E396" s="581"/>
      <c r="F396" s="581"/>
      <c r="G396" s="347"/>
      <c r="H396" s="347"/>
      <c r="J396" s="347"/>
      <c r="K396" s="347"/>
      <c r="M396" s="347"/>
    </row>
    <row r="397" spans="2:13">
      <c r="B397" s="347"/>
      <c r="C397" s="347"/>
      <c r="E397" s="581"/>
      <c r="F397" s="581"/>
      <c r="G397" s="347"/>
      <c r="H397" s="347"/>
      <c r="J397" s="347"/>
      <c r="K397" s="347"/>
      <c r="M397" s="347"/>
    </row>
    <row r="398" spans="2:13">
      <c r="B398" s="347"/>
      <c r="C398" s="347"/>
      <c r="E398" s="581"/>
      <c r="F398" s="581"/>
      <c r="G398" s="347"/>
      <c r="H398" s="347"/>
      <c r="J398" s="347"/>
      <c r="K398" s="347"/>
      <c r="M398" s="347"/>
    </row>
    <row r="399" spans="2:13">
      <c r="B399" s="347"/>
      <c r="C399" s="347"/>
      <c r="E399" s="581"/>
      <c r="F399" s="581"/>
      <c r="G399" s="347"/>
      <c r="H399" s="347"/>
      <c r="J399" s="347"/>
      <c r="K399" s="347"/>
      <c r="M399" s="347"/>
    </row>
    <row r="400" spans="2:13">
      <c r="B400" s="347"/>
      <c r="C400" s="347"/>
      <c r="E400" s="581"/>
      <c r="F400" s="581"/>
      <c r="G400" s="347"/>
      <c r="H400" s="347"/>
      <c r="J400" s="347"/>
      <c r="K400" s="347"/>
      <c r="M400" s="347"/>
    </row>
    <row r="401" spans="2:13">
      <c r="B401" s="347"/>
      <c r="C401" s="347"/>
      <c r="E401" s="581"/>
      <c r="F401" s="581"/>
      <c r="G401" s="347"/>
      <c r="H401" s="347"/>
      <c r="J401" s="347"/>
      <c r="K401" s="347"/>
      <c r="M401" s="347"/>
    </row>
    <row r="402" spans="2:13">
      <c r="B402" s="347"/>
      <c r="C402" s="347"/>
      <c r="E402" s="581"/>
      <c r="F402" s="581"/>
      <c r="G402" s="347"/>
      <c r="H402" s="347"/>
      <c r="J402" s="347"/>
      <c r="K402" s="347"/>
      <c r="M402" s="347"/>
    </row>
    <row r="403" spans="2:13">
      <c r="B403" s="347"/>
      <c r="C403" s="347"/>
      <c r="E403" s="581"/>
      <c r="F403" s="581"/>
      <c r="G403" s="347"/>
      <c r="H403" s="347"/>
      <c r="J403" s="347"/>
      <c r="K403" s="347"/>
      <c r="M403" s="347"/>
    </row>
    <row r="404" spans="2:13">
      <c r="B404" s="347"/>
      <c r="C404" s="347"/>
      <c r="E404" s="581"/>
      <c r="F404" s="581"/>
      <c r="G404" s="347"/>
      <c r="H404" s="347"/>
      <c r="J404" s="347"/>
      <c r="K404" s="347"/>
      <c r="M404" s="347"/>
    </row>
    <row r="405" spans="2:13">
      <c r="B405" s="347"/>
      <c r="C405" s="347"/>
      <c r="E405" s="581"/>
      <c r="F405" s="581"/>
      <c r="G405" s="347"/>
      <c r="H405" s="347"/>
      <c r="J405" s="347"/>
      <c r="K405" s="347"/>
      <c r="M405" s="347"/>
    </row>
    <row r="406" spans="2:13">
      <c r="B406" s="347"/>
      <c r="C406" s="347"/>
      <c r="E406" s="581"/>
      <c r="F406" s="581"/>
      <c r="G406" s="347"/>
      <c r="H406" s="347"/>
      <c r="J406" s="347"/>
      <c r="K406" s="347"/>
      <c r="M406" s="347"/>
    </row>
    <row r="407" spans="2:13">
      <c r="B407" s="347"/>
      <c r="C407" s="347"/>
      <c r="E407" s="581"/>
      <c r="F407" s="581"/>
      <c r="G407" s="347"/>
      <c r="H407" s="347"/>
      <c r="J407" s="347"/>
      <c r="K407" s="347"/>
      <c r="M407" s="347"/>
    </row>
    <row r="408" spans="2:13">
      <c r="B408" s="347"/>
      <c r="C408" s="347"/>
      <c r="E408" s="581"/>
      <c r="F408" s="581"/>
      <c r="G408" s="347"/>
      <c r="H408" s="347"/>
      <c r="J408" s="347"/>
      <c r="K408" s="347"/>
      <c r="M408" s="347"/>
    </row>
    <row r="409" spans="2:13">
      <c r="B409" s="347"/>
      <c r="C409" s="347"/>
      <c r="E409" s="581"/>
      <c r="F409" s="581"/>
      <c r="G409" s="347"/>
      <c r="H409" s="347"/>
      <c r="J409" s="347"/>
      <c r="K409" s="347"/>
      <c r="M409" s="347"/>
    </row>
    <row r="410" spans="2:13">
      <c r="B410" s="347"/>
      <c r="C410" s="347"/>
      <c r="E410" s="581"/>
      <c r="F410" s="581"/>
      <c r="G410" s="347"/>
      <c r="H410" s="347"/>
      <c r="J410" s="347"/>
      <c r="K410" s="347"/>
      <c r="M410" s="347"/>
    </row>
    <row r="411" spans="2:13">
      <c r="B411" s="347"/>
      <c r="C411" s="347"/>
      <c r="E411" s="581"/>
      <c r="F411" s="581"/>
      <c r="G411" s="347"/>
      <c r="H411" s="347"/>
      <c r="J411" s="347"/>
      <c r="K411" s="347"/>
      <c r="M411" s="347"/>
    </row>
    <row r="412" spans="2:13">
      <c r="B412" s="347"/>
      <c r="C412" s="347"/>
      <c r="E412" s="581"/>
      <c r="F412" s="581"/>
      <c r="G412" s="347"/>
      <c r="H412" s="347"/>
      <c r="J412" s="347"/>
      <c r="K412" s="347"/>
      <c r="M412" s="347"/>
    </row>
    <row r="413" spans="2:13">
      <c r="B413" s="347"/>
      <c r="C413" s="347"/>
      <c r="E413" s="581"/>
      <c r="F413" s="581"/>
      <c r="G413" s="347"/>
      <c r="H413" s="347"/>
      <c r="J413" s="347"/>
      <c r="K413" s="347"/>
      <c r="M413" s="347"/>
    </row>
    <row r="414" spans="2:13">
      <c r="B414" s="347"/>
      <c r="C414" s="347"/>
      <c r="E414" s="581"/>
      <c r="F414" s="581"/>
      <c r="G414" s="347"/>
      <c r="H414" s="347"/>
      <c r="J414" s="347"/>
      <c r="K414" s="347"/>
      <c r="M414" s="347"/>
    </row>
    <row r="415" spans="2:13">
      <c r="B415" s="347"/>
      <c r="C415" s="347"/>
      <c r="E415" s="581"/>
      <c r="F415" s="581"/>
      <c r="G415" s="347"/>
      <c r="H415" s="347"/>
      <c r="J415" s="347"/>
      <c r="K415" s="347"/>
      <c r="M415" s="347"/>
    </row>
    <row r="416" spans="2:13">
      <c r="B416" s="347"/>
      <c r="C416" s="347"/>
      <c r="E416" s="581"/>
      <c r="F416" s="581"/>
      <c r="G416" s="347"/>
      <c r="H416" s="347"/>
      <c r="J416" s="347"/>
      <c r="K416" s="347"/>
      <c r="M416" s="347"/>
    </row>
    <row r="417" spans="2:13">
      <c r="B417" s="347"/>
      <c r="C417" s="347"/>
      <c r="E417" s="581"/>
      <c r="F417" s="581"/>
      <c r="G417" s="347"/>
      <c r="H417" s="347"/>
      <c r="J417" s="347"/>
      <c r="K417" s="347"/>
      <c r="M417" s="347"/>
    </row>
    <row r="418" spans="2:13">
      <c r="B418" s="347"/>
      <c r="C418" s="347"/>
      <c r="E418" s="581"/>
      <c r="F418" s="581"/>
      <c r="G418" s="347"/>
      <c r="H418" s="347"/>
      <c r="J418" s="347"/>
      <c r="K418" s="347"/>
      <c r="M418" s="347"/>
    </row>
    <row r="419" spans="2:13">
      <c r="B419" s="347"/>
      <c r="C419" s="347"/>
      <c r="E419" s="581"/>
      <c r="F419" s="581"/>
      <c r="G419" s="347"/>
      <c r="H419" s="347"/>
      <c r="J419" s="347"/>
      <c r="K419" s="347"/>
      <c r="M419" s="347"/>
    </row>
    <row r="420" spans="2:13">
      <c r="B420" s="347"/>
      <c r="C420" s="347"/>
      <c r="E420" s="581"/>
      <c r="F420" s="581"/>
      <c r="G420" s="347"/>
      <c r="H420" s="347"/>
      <c r="J420" s="347"/>
      <c r="K420" s="347"/>
      <c r="M420" s="347"/>
    </row>
    <row r="421" spans="2:13">
      <c r="B421" s="347"/>
      <c r="C421" s="347"/>
      <c r="E421" s="581"/>
      <c r="F421" s="581"/>
      <c r="G421" s="347"/>
      <c r="H421" s="347"/>
      <c r="J421" s="347"/>
      <c r="K421" s="347"/>
      <c r="M421" s="347"/>
    </row>
    <row r="422" spans="2:13">
      <c r="B422" s="347"/>
      <c r="C422" s="347"/>
      <c r="E422" s="581"/>
      <c r="F422" s="581"/>
      <c r="G422" s="347"/>
      <c r="H422" s="347"/>
      <c r="J422" s="347"/>
      <c r="K422" s="347"/>
      <c r="M422" s="347"/>
    </row>
    <row r="423" spans="2:13">
      <c r="B423" s="347"/>
      <c r="C423" s="347"/>
      <c r="E423" s="581"/>
      <c r="F423" s="581"/>
      <c r="G423" s="347"/>
      <c r="H423" s="347"/>
      <c r="J423" s="347"/>
      <c r="K423" s="347"/>
      <c r="M423" s="347"/>
    </row>
    <row r="424" spans="2:13">
      <c r="B424" s="347"/>
      <c r="C424" s="347"/>
      <c r="E424" s="581"/>
      <c r="F424" s="581"/>
      <c r="G424" s="347"/>
      <c r="H424" s="347"/>
      <c r="J424" s="347"/>
      <c r="K424" s="347"/>
      <c r="M424" s="347"/>
    </row>
    <row r="425" spans="2:13">
      <c r="B425" s="347"/>
      <c r="C425" s="347"/>
      <c r="E425" s="581"/>
      <c r="F425" s="581"/>
      <c r="G425" s="347"/>
      <c r="H425" s="347"/>
      <c r="J425" s="347"/>
      <c r="K425" s="347"/>
      <c r="M425" s="347"/>
    </row>
    <row r="426" spans="2:13">
      <c r="B426" s="347"/>
      <c r="C426" s="347"/>
      <c r="E426" s="581"/>
      <c r="F426" s="581"/>
      <c r="G426" s="347"/>
      <c r="H426" s="347"/>
      <c r="J426" s="347"/>
      <c r="K426" s="347"/>
      <c r="M426" s="347"/>
    </row>
    <row r="427" spans="2:13">
      <c r="B427" s="347"/>
      <c r="C427" s="347"/>
      <c r="E427" s="581"/>
      <c r="F427" s="581"/>
      <c r="G427" s="347"/>
      <c r="H427" s="347"/>
      <c r="J427" s="347"/>
      <c r="K427" s="347"/>
      <c r="M427" s="347"/>
    </row>
    <row r="428" spans="2:13">
      <c r="B428" s="347"/>
      <c r="C428" s="347"/>
      <c r="E428" s="581"/>
      <c r="F428" s="581"/>
      <c r="G428" s="347"/>
      <c r="H428" s="347"/>
      <c r="J428" s="347"/>
      <c r="K428" s="347"/>
      <c r="M428" s="347"/>
    </row>
    <row r="429" spans="2:13">
      <c r="B429" s="347"/>
      <c r="C429" s="347"/>
      <c r="E429" s="581"/>
      <c r="F429" s="581"/>
      <c r="G429" s="347"/>
      <c r="H429" s="347"/>
      <c r="J429" s="347"/>
      <c r="K429" s="347"/>
      <c r="M429" s="347"/>
    </row>
    <row r="430" spans="2:13">
      <c r="B430" s="347"/>
      <c r="C430" s="347"/>
      <c r="E430" s="581"/>
      <c r="F430" s="581"/>
      <c r="G430" s="347"/>
      <c r="H430" s="347"/>
      <c r="J430" s="347"/>
      <c r="K430" s="347"/>
      <c r="M430" s="347"/>
    </row>
    <row r="431" spans="2:13">
      <c r="B431" s="347"/>
      <c r="C431" s="347"/>
      <c r="E431" s="581"/>
      <c r="F431" s="581"/>
      <c r="G431" s="347"/>
      <c r="H431" s="347"/>
      <c r="J431" s="347"/>
      <c r="K431" s="347"/>
      <c r="M431" s="347"/>
    </row>
    <row r="432" spans="2:13">
      <c r="B432" s="347"/>
      <c r="C432" s="347"/>
      <c r="E432" s="581"/>
      <c r="F432" s="581"/>
      <c r="G432" s="347"/>
      <c r="H432" s="347"/>
      <c r="J432" s="347"/>
      <c r="K432" s="347"/>
      <c r="M432" s="347"/>
    </row>
    <row r="433" spans="2:13">
      <c r="B433" s="347"/>
      <c r="C433" s="347"/>
      <c r="E433" s="581"/>
      <c r="F433" s="581"/>
      <c r="G433" s="347"/>
      <c r="H433" s="347"/>
      <c r="J433" s="347"/>
      <c r="K433" s="347"/>
      <c r="M433" s="347"/>
    </row>
    <row r="434" spans="2:13">
      <c r="B434" s="347"/>
      <c r="C434" s="347"/>
      <c r="E434" s="581"/>
      <c r="F434" s="581"/>
      <c r="G434" s="347"/>
      <c r="H434" s="347"/>
      <c r="J434" s="347"/>
      <c r="K434" s="347"/>
      <c r="M434" s="347"/>
    </row>
    <row r="435" spans="2:13">
      <c r="B435" s="347"/>
      <c r="C435" s="347"/>
      <c r="E435" s="581"/>
      <c r="F435" s="581"/>
      <c r="G435" s="347"/>
      <c r="H435" s="347"/>
      <c r="J435" s="347"/>
      <c r="K435" s="347"/>
      <c r="M435" s="347"/>
    </row>
    <row r="436" spans="2:13">
      <c r="B436" s="347"/>
      <c r="C436" s="347"/>
      <c r="E436" s="581"/>
      <c r="F436" s="581"/>
      <c r="G436" s="347"/>
      <c r="H436" s="347"/>
      <c r="J436" s="347"/>
      <c r="K436" s="347"/>
      <c r="M436" s="347"/>
    </row>
    <row r="437" spans="2:13">
      <c r="B437" s="347"/>
      <c r="C437" s="347"/>
      <c r="E437" s="581"/>
      <c r="F437" s="581"/>
      <c r="G437" s="347"/>
      <c r="H437" s="347"/>
      <c r="J437" s="347"/>
      <c r="K437" s="347"/>
      <c r="M437" s="347"/>
    </row>
    <row r="438" spans="2:13">
      <c r="B438" s="347"/>
      <c r="C438" s="347"/>
      <c r="E438" s="581"/>
      <c r="F438" s="581"/>
      <c r="G438" s="347"/>
      <c r="H438" s="347"/>
      <c r="J438" s="347"/>
      <c r="K438" s="347"/>
      <c r="M438" s="347"/>
    </row>
    <row r="439" spans="2:13">
      <c r="B439" s="347"/>
      <c r="C439" s="347"/>
      <c r="E439" s="581"/>
      <c r="F439" s="581"/>
      <c r="G439" s="347"/>
      <c r="H439" s="347"/>
      <c r="J439" s="347"/>
      <c r="K439" s="347"/>
      <c r="M439" s="347"/>
    </row>
    <row r="440" spans="2:13">
      <c r="B440" s="347"/>
      <c r="C440" s="347"/>
      <c r="E440" s="581"/>
      <c r="F440" s="581"/>
      <c r="G440" s="347"/>
      <c r="H440" s="347"/>
      <c r="J440" s="347"/>
      <c r="K440" s="347"/>
      <c r="M440" s="347"/>
    </row>
    <row r="441" spans="2:13">
      <c r="B441" s="347"/>
      <c r="C441" s="347"/>
      <c r="E441" s="581"/>
      <c r="F441" s="581"/>
      <c r="G441" s="347"/>
      <c r="H441" s="347"/>
      <c r="J441" s="347"/>
      <c r="K441" s="347"/>
      <c r="M441" s="347"/>
    </row>
    <row r="442" spans="2:13">
      <c r="B442" s="347"/>
      <c r="C442" s="347"/>
      <c r="E442" s="581"/>
      <c r="F442" s="581"/>
      <c r="G442" s="347"/>
      <c r="H442" s="347"/>
      <c r="J442" s="347"/>
      <c r="K442" s="347"/>
      <c r="M442" s="347"/>
    </row>
    <row r="443" spans="2:13">
      <c r="B443" s="347"/>
      <c r="C443" s="347"/>
      <c r="E443" s="581"/>
      <c r="F443" s="581"/>
      <c r="G443" s="347"/>
      <c r="H443" s="347"/>
      <c r="J443" s="347"/>
      <c r="K443" s="347"/>
      <c r="M443" s="347"/>
    </row>
    <row r="444" spans="2:13">
      <c r="B444" s="347"/>
      <c r="C444" s="347"/>
      <c r="E444" s="581"/>
      <c r="F444" s="581"/>
      <c r="G444" s="347"/>
      <c r="H444" s="347"/>
      <c r="J444" s="347"/>
      <c r="K444" s="347"/>
      <c r="M444" s="347"/>
    </row>
    <row r="445" spans="2:13">
      <c r="B445" s="347"/>
      <c r="C445" s="347"/>
      <c r="E445" s="581"/>
      <c r="F445" s="581"/>
      <c r="G445" s="347"/>
      <c r="H445" s="347"/>
      <c r="J445" s="347"/>
      <c r="K445" s="347"/>
      <c r="M445" s="347"/>
    </row>
    <row r="446" spans="2:13">
      <c r="B446" s="347"/>
      <c r="C446" s="347"/>
      <c r="E446" s="581"/>
      <c r="F446" s="581"/>
      <c r="G446" s="347"/>
      <c r="H446" s="347"/>
      <c r="J446" s="347"/>
      <c r="K446" s="347"/>
      <c r="M446" s="347"/>
    </row>
    <row r="447" spans="2:13">
      <c r="B447" s="347"/>
      <c r="C447" s="347"/>
      <c r="E447" s="581"/>
      <c r="F447" s="581"/>
      <c r="G447" s="347"/>
      <c r="H447" s="347"/>
      <c r="J447" s="347"/>
      <c r="K447" s="347"/>
      <c r="M447" s="347"/>
    </row>
    <row r="448" spans="2:13">
      <c r="B448" s="347"/>
      <c r="C448" s="347"/>
      <c r="E448" s="581"/>
      <c r="F448" s="581"/>
      <c r="G448" s="347"/>
      <c r="H448" s="347"/>
      <c r="J448" s="347"/>
      <c r="K448" s="347"/>
      <c r="M448" s="347"/>
    </row>
    <row r="449" spans="2:13">
      <c r="B449" s="347"/>
      <c r="C449" s="347"/>
      <c r="E449" s="581"/>
      <c r="F449" s="581"/>
      <c r="G449" s="347"/>
      <c r="H449" s="347"/>
      <c r="J449" s="347"/>
      <c r="K449" s="347"/>
      <c r="M449" s="347"/>
    </row>
    <row r="450" spans="2:13">
      <c r="B450" s="347"/>
      <c r="C450" s="347"/>
      <c r="E450" s="581"/>
      <c r="F450" s="581"/>
      <c r="G450" s="347"/>
      <c r="H450" s="347"/>
      <c r="J450" s="347"/>
      <c r="K450" s="347"/>
      <c r="M450" s="347"/>
    </row>
    <row r="451" spans="2:13">
      <c r="B451" s="347"/>
      <c r="C451" s="347"/>
      <c r="E451" s="581"/>
      <c r="F451" s="581"/>
      <c r="G451" s="347"/>
      <c r="H451" s="347"/>
      <c r="J451" s="347"/>
      <c r="K451" s="347"/>
      <c r="M451" s="347"/>
    </row>
    <row r="452" spans="2:13">
      <c r="B452" s="347"/>
      <c r="C452" s="347"/>
      <c r="E452" s="581"/>
      <c r="F452" s="581"/>
      <c r="G452" s="347"/>
      <c r="H452" s="347"/>
      <c r="J452" s="347"/>
      <c r="K452" s="347"/>
      <c r="M452" s="347"/>
    </row>
    <row r="453" spans="2:13">
      <c r="B453" s="347"/>
      <c r="C453" s="347"/>
      <c r="E453" s="581"/>
      <c r="F453" s="581"/>
      <c r="G453" s="347"/>
      <c r="H453" s="347"/>
      <c r="J453" s="347"/>
      <c r="K453" s="347"/>
      <c r="M453" s="347"/>
    </row>
    <row r="454" spans="2:13">
      <c r="B454" s="347"/>
      <c r="C454" s="347"/>
      <c r="E454" s="581"/>
      <c r="F454" s="581"/>
      <c r="G454" s="347"/>
      <c r="H454" s="347"/>
      <c r="J454" s="347"/>
      <c r="K454" s="347"/>
      <c r="M454" s="347"/>
    </row>
    <row r="455" spans="2:13">
      <c r="B455" s="347"/>
      <c r="C455" s="347"/>
      <c r="E455" s="581"/>
      <c r="F455" s="581"/>
      <c r="G455" s="347"/>
      <c r="H455" s="347"/>
      <c r="J455" s="347"/>
      <c r="K455" s="347"/>
      <c r="M455" s="347"/>
    </row>
    <row r="456" spans="2:13">
      <c r="B456" s="347"/>
      <c r="C456" s="347"/>
      <c r="E456" s="581"/>
      <c r="F456" s="581"/>
      <c r="G456" s="347"/>
      <c r="H456" s="347"/>
      <c r="J456" s="347"/>
      <c r="K456" s="347"/>
      <c r="M456" s="347"/>
    </row>
    <row r="457" spans="2:13">
      <c r="B457" s="347"/>
      <c r="C457" s="347"/>
      <c r="E457" s="581"/>
      <c r="F457" s="581"/>
      <c r="G457" s="347"/>
      <c r="H457" s="347"/>
      <c r="J457" s="347"/>
      <c r="K457" s="347"/>
      <c r="M457" s="347"/>
    </row>
    <row r="458" spans="2:13">
      <c r="B458" s="347"/>
      <c r="C458" s="347"/>
      <c r="E458" s="581"/>
      <c r="F458" s="581"/>
      <c r="G458" s="347"/>
      <c r="H458" s="347"/>
      <c r="J458" s="347"/>
      <c r="K458" s="347"/>
      <c r="M458" s="347"/>
    </row>
    <row r="459" spans="2:13">
      <c r="B459" s="347"/>
      <c r="C459" s="347"/>
      <c r="E459" s="581"/>
      <c r="F459" s="581"/>
      <c r="G459" s="347"/>
      <c r="H459" s="347"/>
      <c r="J459" s="347"/>
      <c r="K459" s="347"/>
      <c r="M459" s="347"/>
    </row>
    <row r="460" spans="2:13">
      <c r="B460" s="347"/>
      <c r="C460" s="347"/>
      <c r="E460" s="581"/>
      <c r="F460" s="581"/>
      <c r="G460" s="347"/>
      <c r="H460" s="347"/>
      <c r="J460" s="347"/>
      <c r="K460" s="347"/>
      <c r="M460" s="347"/>
    </row>
    <row r="461" spans="2:13">
      <c r="B461" s="347"/>
      <c r="C461" s="347"/>
      <c r="E461" s="581"/>
      <c r="F461" s="581"/>
      <c r="G461" s="347"/>
      <c r="H461" s="347"/>
      <c r="J461" s="347"/>
      <c r="K461" s="347"/>
      <c r="M461" s="347"/>
    </row>
    <row r="462" spans="2:13">
      <c r="B462" s="347"/>
      <c r="C462" s="347"/>
      <c r="E462" s="581"/>
      <c r="F462" s="581"/>
      <c r="G462" s="347"/>
      <c r="H462" s="347"/>
      <c r="J462" s="347"/>
      <c r="K462" s="347"/>
      <c r="M462" s="347"/>
    </row>
    <row r="463" spans="2:13">
      <c r="B463" s="347"/>
      <c r="C463" s="347"/>
      <c r="E463" s="581"/>
      <c r="F463" s="581"/>
      <c r="G463" s="347"/>
      <c r="H463" s="347"/>
      <c r="J463" s="347"/>
      <c r="K463" s="347"/>
      <c r="M463" s="347"/>
    </row>
    <row r="464" spans="2:13">
      <c r="B464" s="347"/>
      <c r="C464" s="347"/>
      <c r="E464" s="581"/>
      <c r="F464" s="581"/>
      <c r="G464" s="347"/>
      <c r="H464" s="347"/>
      <c r="J464" s="347"/>
      <c r="K464" s="347"/>
      <c r="M464" s="347"/>
    </row>
    <row r="465" spans="2:13">
      <c r="B465" s="347"/>
      <c r="C465" s="347"/>
      <c r="E465" s="581"/>
      <c r="F465" s="581"/>
      <c r="G465" s="347"/>
      <c r="H465" s="347"/>
      <c r="J465" s="347"/>
      <c r="K465" s="347"/>
      <c r="M465" s="347"/>
    </row>
    <row r="466" spans="2:13">
      <c r="B466" s="347"/>
      <c r="C466" s="347"/>
      <c r="E466" s="581"/>
      <c r="F466" s="581"/>
      <c r="G466" s="347"/>
      <c r="H466" s="347"/>
      <c r="J466" s="347"/>
      <c r="K466" s="347"/>
      <c r="M466" s="347"/>
    </row>
    <row r="467" spans="2:13">
      <c r="B467" s="347"/>
      <c r="C467" s="347"/>
      <c r="E467" s="581"/>
      <c r="F467" s="581"/>
      <c r="G467" s="347"/>
      <c r="H467" s="347"/>
      <c r="J467" s="347"/>
      <c r="K467" s="347"/>
      <c r="M467" s="347"/>
    </row>
    <row r="468" spans="2:13">
      <c r="B468" s="347"/>
      <c r="C468" s="347"/>
      <c r="E468" s="581"/>
      <c r="F468" s="581"/>
      <c r="G468" s="347"/>
      <c r="H468" s="347"/>
      <c r="J468" s="347"/>
      <c r="K468" s="347"/>
      <c r="M468" s="347"/>
    </row>
    <row r="469" spans="2:13">
      <c r="B469" s="347"/>
      <c r="C469" s="347"/>
      <c r="E469" s="581"/>
      <c r="F469" s="581"/>
      <c r="G469" s="347"/>
      <c r="H469" s="347"/>
      <c r="J469" s="347"/>
      <c r="K469" s="347"/>
      <c r="M469" s="347"/>
    </row>
    <row r="470" spans="2:13">
      <c r="B470" s="347"/>
      <c r="C470" s="347"/>
      <c r="E470" s="581"/>
      <c r="F470" s="581"/>
      <c r="G470" s="347"/>
      <c r="H470" s="347"/>
      <c r="J470" s="347"/>
      <c r="K470" s="347"/>
      <c r="M470" s="347"/>
    </row>
    <row r="471" spans="2:13">
      <c r="B471" s="347"/>
      <c r="C471" s="347"/>
      <c r="E471" s="581"/>
      <c r="F471" s="581"/>
      <c r="G471" s="347"/>
      <c r="H471" s="347"/>
      <c r="J471" s="347"/>
      <c r="K471" s="347"/>
      <c r="M471" s="347"/>
    </row>
    <row r="472" spans="2:13">
      <c r="B472" s="347"/>
      <c r="C472" s="347"/>
      <c r="E472" s="581"/>
      <c r="F472" s="581"/>
      <c r="G472" s="347"/>
      <c r="H472" s="347"/>
      <c r="J472" s="347"/>
      <c r="K472" s="347"/>
      <c r="M472" s="347"/>
    </row>
    <row r="473" spans="2:13">
      <c r="B473" s="347"/>
      <c r="C473" s="347"/>
      <c r="E473" s="581"/>
      <c r="F473" s="581"/>
      <c r="G473" s="347"/>
      <c r="H473" s="347"/>
      <c r="J473" s="347"/>
      <c r="K473" s="347"/>
      <c r="M473" s="347"/>
    </row>
    <row r="474" spans="2:13">
      <c r="B474" s="347"/>
      <c r="C474" s="347"/>
      <c r="E474" s="581"/>
      <c r="F474" s="581"/>
      <c r="G474" s="347"/>
      <c r="H474" s="347"/>
      <c r="J474" s="347"/>
      <c r="K474" s="347"/>
      <c r="M474" s="347"/>
    </row>
    <row r="475" spans="2:13">
      <c r="B475" s="347"/>
      <c r="C475" s="347"/>
      <c r="E475" s="581"/>
      <c r="F475" s="581"/>
      <c r="G475" s="347"/>
      <c r="H475" s="347"/>
      <c r="J475" s="347"/>
      <c r="K475" s="347"/>
      <c r="M475" s="347"/>
    </row>
    <row r="476" spans="2:13">
      <c r="B476" s="347"/>
      <c r="C476" s="347"/>
      <c r="E476" s="581"/>
      <c r="F476" s="581"/>
      <c r="G476" s="347"/>
      <c r="H476" s="347"/>
      <c r="J476" s="347"/>
      <c r="K476" s="347"/>
      <c r="M476" s="347"/>
    </row>
    <row r="477" spans="2:13">
      <c r="B477" s="347"/>
      <c r="C477" s="347"/>
      <c r="E477" s="581"/>
      <c r="F477" s="581"/>
      <c r="G477" s="347"/>
      <c r="H477" s="347"/>
      <c r="J477" s="347"/>
      <c r="K477" s="347"/>
      <c r="M477" s="347"/>
    </row>
    <row r="478" spans="2:13">
      <c r="B478" s="347"/>
      <c r="C478" s="347"/>
      <c r="E478" s="581"/>
      <c r="F478" s="581"/>
      <c r="G478" s="347"/>
      <c r="H478" s="347"/>
      <c r="J478" s="347"/>
      <c r="K478" s="347"/>
      <c r="M478" s="347"/>
    </row>
    <row r="479" spans="2:13">
      <c r="B479" s="347"/>
      <c r="C479" s="347"/>
      <c r="E479" s="581"/>
      <c r="F479" s="581"/>
      <c r="G479" s="347"/>
      <c r="H479" s="347"/>
      <c r="J479" s="347"/>
      <c r="K479" s="347"/>
      <c r="M479" s="347"/>
    </row>
    <row r="480" spans="2:13">
      <c r="B480" s="347"/>
      <c r="C480" s="347"/>
      <c r="E480" s="581"/>
      <c r="F480" s="581"/>
      <c r="G480" s="347"/>
      <c r="H480" s="347"/>
      <c r="J480" s="347"/>
      <c r="K480" s="347"/>
      <c r="M480" s="347"/>
    </row>
    <row r="481" spans="2:13">
      <c r="B481" s="347"/>
      <c r="C481" s="347"/>
      <c r="E481" s="581"/>
      <c r="F481" s="581"/>
      <c r="G481" s="347"/>
      <c r="H481" s="347"/>
      <c r="J481" s="347"/>
      <c r="K481" s="347"/>
      <c r="M481" s="347"/>
    </row>
    <row r="482" spans="2:13">
      <c r="B482" s="347"/>
      <c r="C482" s="347"/>
      <c r="E482" s="581"/>
      <c r="F482" s="581"/>
      <c r="G482" s="347"/>
      <c r="H482" s="347"/>
      <c r="J482" s="347"/>
      <c r="K482" s="347"/>
      <c r="M482" s="347"/>
    </row>
    <row r="483" spans="2:13">
      <c r="B483" s="347"/>
      <c r="C483" s="347"/>
      <c r="E483" s="581"/>
      <c r="F483" s="581"/>
      <c r="G483" s="347"/>
      <c r="H483" s="347"/>
      <c r="J483" s="347"/>
      <c r="K483" s="347"/>
      <c r="M483" s="347"/>
    </row>
    <row r="484" spans="2:13">
      <c r="B484" s="347"/>
      <c r="C484" s="347"/>
      <c r="E484" s="581"/>
      <c r="F484" s="581"/>
      <c r="G484" s="347"/>
      <c r="H484" s="347"/>
      <c r="J484" s="347"/>
      <c r="K484" s="347"/>
      <c r="M484" s="347"/>
    </row>
    <row r="485" spans="2:13">
      <c r="B485" s="347"/>
      <c r="C485" s="347"/>
      <c r="E485" s="581"/>
      <c r="F485" s="581"/>
      <c r="G485" s="347"/>
      <c r="H485" s="347"/>
      <c r="J485" s="347"/>
      <c r="K485" s="347"/>
      <c r="M485" s="347"/>
    </row>
    <row r="486" spans="2:13">
      <c r="B486" s="347"/>
      <c r="C486" s="347"/>
      <c r="E486" s="581"/>
      <c r="F486" s="581"/>
      <c r="G486" s="347"/>
      <c r="H486" s="347"/>
      <c r="J486" s="347"/>
      <c r="K486" s="347"/>
      <c r="M486" s="347"/>
    </row>
    <row r="487" spans="2:13">
      <c r="B487" s="347"/>
      <c r="C487" s="347"/>
      <c r="E487" s="581"/>
      <c r="F487" s="581"/>
      <c r="G487" s="347"/>
      <c r="H487" s="347"/>
      <c r="J487" s="347"/>
      <c r="K487" s="347"/>
      <c r="M487" s="347"/>
    </row>
    <row r="488" spans="2:13">
      <c r="B488" s="347"/>
      <c r="C488" s="347"/>
      <c r="E488" s="581"/>
      <c r="F488" s="581"/>
      <c r="G488" s="347"/>
      <c r="H488" s="347"/>
      <c r="J488" s="347"/>
      <c r="K488" s="347"/>
      <c r="M488" s="347"/>
    </row>
    <row r="489" spans="2:13">
      <c r="B489" s="347"/>
      <c r="C489" s="347"/>
      <c r="E489" s="581"/>
      <c r="F489" s="581"/>
      <c r="G489" s="347"/>
      <c r="H489" s="347"/>
      <c r="J489" s="347"/>
      <c r="K489" s="347"/>
      <c r="M489" s="347"/>
    </row>
    <row r="490" spans="2:13">
      <c r="B490" s="347"/>
      <c r="C490" s="347"/>
      <c r="E490" s="581"/>
      <c r="F490" s="581"/>
      <c r="G490" s="347"/>
      <c r="H490" s="347"/>
      <c r="J490" s="347"/>
      <c r="K490" s="347"/>
      <c r="M490" s="347"/>
    </row>
    <row r="491" spans="2:13">
      <c r="B491" s="347"/>
      <c r="C491" s="347"/>
      <c r="E491" s="581"/>
      <c r="F491" s="581"/>
      <c r="G491" s="347"/>
      <c r="H491" s="347"/>
      <c r="J491" s="347"/>
      <c r="K491" s="347"/>
      <c r="M491" s="347"/>
    </row>
    <row r="492" spans="2:13">
      <c r="B492" s="347"/>
      <c r="C492" s="347"/>
      <c r="E492" s="581"/>
      <c r="F492" s="581"/>
      <c r="G492" s="347"/>
      <c r="H492" s="347"/>
      <c r="J492" s="347"/>
      <c r="K492" s="347"/>
      <c r="M492" s="347"/>
    </row>
    <row r="493" spans="2:13">
      <c r="B493" s="347"/>
      <c r="C493" s="347"/>
      <c r="E493" s="581"/>
      <c r="F493" s="581"/>
      <c r="G493" s="347"/>
      <c r="H493" s="347"/>
      <c r="J493" s="347"/>
      <c r="K493" s="347"/>
      <c r="M493" s="347"/>
    </row>
    <row r="494" spans="2:13">
      <c r="B494" s="347"/>
      <c r="C494" s="347"/>
      <c r="E494" s="581"/>
      <c r="F494" s="581"/>
      <c r="G494" s="347"/>
      <c r="H494" s="347"/>
      <c r="J494" s="347"/>
      <c r="K494" s="347"/>
      <c r="M494" s="347"/>
    </row>
    <row r="495" spans="2:13">
      <c r="B495" s="347"/>
      <c r="C495" s="347"/>
      <c r="E495" s="581"/>
      <c r="F495" s="581"/>
      <c r="G495" s="347"/>
      <c r="H495" s="347"/>
      <c r="J495" s="347"/>
      <c r="K495" s="347"/>
      <c r="M495" s="347"/>
    </row>
    <row r="496" spans="2:13">
      <c r="B496" s="347"/>
      <c r="C496" s="347"/>
      <c r="E496" s="581"/>
      <c r="F496" s="581"/>
      <c r="G496" s="347"/>
      <c r="H496" s="347"/>
      <c r="J496" s="347"/>
      <c r="K496" s="347"/>
      <c r="M496" s="347"/>
    </row>
    <row r="497" spans="2:13">
      <c r="B497" s="347"/>
      <c r="C497" s="347"/>
      <c r="E497" s="581"/>
      <c r="F497" s="581"/>
      <c r="G497" s="347"/>
      <c r="H497" s="347"/>
      <c r="J497" s="347"/>
      <c r="K497" s="347"/>
      <c r="M497" s="347"/>
    </row>
    <row r="498" spans="2:13">
      <c r="B498" s="347"/>
      <c r="C498" s="347"/>
      <c r="E498" s="581"/>
      <c r="F498" s="581"/>
      <c r="G498" s="347"/>
      <c r="H498" s="347"/>
      <c r="J498" s="347"/>
      <c r="K498" s="347"/>
      <c r="M498" s="347"/>
    </row>
    <row r="499" spans="2:13">
      <c r="B499" s="347"/>
      <c r="C499" s="347"/>
      <c r="E499" s="581"/>
      <c r="F499" s="581"/>
      <c r="G499" s="347"/>
      <c r="H499" s="347"/>
      <c r="J499" s="347"/>
      <c r="K499" s="347"/>
      <c r="M499" s="347"/>
    </row>
    <row r="500" spans="2:13">
      <c r="B500" s="347"/>
      <c r="C500" s="347"/>
      <c r="E500" s="581"/>
      <c r="F500" s="581"/>
      <c r="G500" s="347"/>
      <c r="H500" s="347"/>
      <c r="J500" s="347"/>
      <c r="K500" s="347"/>
      <c r="M500" s="347"/>
    </row>
    <row r="501" spans="2:13">
      <c r="B501" s="347"/>
      <c r="C501" s="347"/>
      <c r="E501" s="581"/>
      <c r="F501" s="581"/>
      <c r="G501" s="347"/>
      <c r="H501" s="347"/>
      <c r="J501" s="347"/>
      <c r="K501" s="347"/>
      <c r="M501" s="347"/>
    </row>
    <row r="502" spans="2:13">
      <c r="B502" s="347"/>
      <c r="C502" s="347"/>
      <c r="E502" s="581"/>
      <c r="F502" s="581"/>
      <c r="G502" s="347"/>
      <c r="H502" s="347"/>
      <c r="J502" s="347"/>
      <c r="K502" s="347"/>
      <c r="M502" s="347"/>
    </row>
    <row r="503" spans="2:13">
      <c r="B503" s="347"/>
      <c r="C503" s="347"/>
      <c r="E503" s="581"/>
      <c r="F503" s="581"/>
      <c r="G503" s="347"/>
      <c r="H503" s="347"/>
      <c r="J503" s="347"/>
      <c r="K503" s="347"/>
      <c r="M503" s="347"/>
    </row>
    <row r="504" spans="2:13">
      <c r="B504" s="347"/>
      <c r="C504" s="347"/>
      <c r="E504" s="581"/>
      <c r="F504" s="581"/>
      <c r="G504" s="347"/>
      <c r="H504" s="347"/>
      <c r="J504" s="347"/>
      <c r="K504" s="347"/>
      <c r="M504" s="347"/>
    </row>
    <row r="505" spans="2:13">
      <c r="B505" s="347"/>
      <c r="C505" s="347"/>
      <c r="E505" s="581"/>
      <c r="F505" s="581"/>
      <c r="G505" s="347"/>
      <c r="H505" s="347"/>
      <c r="J505" s="347"/>
      <c r="K505" s="347"/>
      <c r="M505" s="347"/>
    </row>
    <row r="506" spans="2:13">
      <c r="B506" s="347"/>
      <c r="C506" s="347"/>
      <c r="E506" s="581"/>
      <c r="F506" s="581"/>
      <c r="G506" s="347"/>
      <c r="H506" s="347"/>
      <c r="J506" s="347"/>
      <c r="K506" s="347"/>
      <c r="M506" s="347"/>
    </row>
    <row r="507" spans="2:13">
      <c r="B507" s="347"/>
      <c r="C507" s="347"/>
      <c r="E507" s="581"/>
      <c r="F507" s="581"/>
      <c r="G507" s="347"/>
      <c r="H507" s="347"/>
      <c r="J507" s="347"/>
      <c r="K507" s="347"/>
      <c r="M507" s="347"/>
    </row>
    <row r="508" spans="2:13">
      <c r="B508" s="347"/>
      <c r="C508" s="347"/>
      <c r="E508" s="581"/>
      <c r="F508" s="581"/>
      <c r="G508" s="347"/>
      <c r="H508" s="347"/>
      <c r="J508" s="347"/>
      <c r="K508" s="347"/>
      <c r="M508" s="347"/>
    </row>
    <row r="509" spans="2:13">
      <c r="B509" s="347"/>
      <c r="C509" s="347"/>
      <c r="E509" s="581"/>
      <c r="F509" s="581"/>
      <c r="G509" s="347"/>
      <c r="H509" s="347"/>
      <c r="J509" s="347"/>
      <c r="K509" s="347"/>
      <c r="M509" s="347"/>
    </row>
    <row r="510" spans="2:13">
      <c r="B510" s="347"/>
      <c r="C510" s="347"/>
      <c r="E510" s="581"/>
      <c r="F510" s="581"/>
      <c r="G510" s="347"/>
      <c r="H510" s="347"/>
      <c r="J510" s="347"/>
      <c r="K510" s="347"/>
      <c r="M510" s="347"/>
    </row>
    <row r="511" spans="2:13">
      <c r="B511" s="347"/>
      <c r="C511" s="347"/>
      <c r="E511" s="581"/>
      <c r="F511" s="581"/>
      <c r="G511" s="347"/>
      <c r="H511" s="347"/>
      <c r="J511" s="347"/>
      <c r="K511" s="347"/>
      <c r="M511" s="347"/>
    </row>
    <row r="512" spans="2:13">
      <c r="B512" s="347"/>
      <c r="C512" s="347"/>
      <c r="E512" s="581"/>
      <c r="F512" s="581"/>
      <c r="G512" s="347"/>
      <c r="H512" s="347"/>
      <c r="J512" s="347"/>
      <c r="K512" s="347"/>
      <c r="M512" s="347"/>
    </row>
    <row r="513" spans="2:13">
      <c r="B513" s="347"/>
      <c r="C513" s="347"/>
      <c r="E513" s="581"/>
      <c r="F513" s="581"/>
      <c r="G513" s="347"/>
      <c r="H513" s="347"/>
      <c r="J513" s="347"/>
      <c r="K513" s="347"/>
      <c r="M513" s="347"/>
    </row>
    <row r="514" spans="2:13">
      <c r="B514" s="347"/>
      <c r="C514" s="347"/>
      <c r="E514" s="581"/>
      <c r="F514" s="581"/>
      <c r="G514" s="347"/>
      <c r="H514" s="347"/>
      <c r="J514" s="347"/>
      <c r="K514" s="347"/>
      <c r="M514" s="347"/>
    </row>
    <row r="515" spans="2:13">
      <c r="B515" s="347"/>
      <c r="C515" s="347"/>
      <c r="E515" s="581"/>
      <c r="F515" s="581"/>
      <c r="G515" s="347"/>
      <c r="H515" s="347"/>
      <c r="J515" s="347"/>
      <c r="K515" s="347"/>
      <c r="M515" s="347"/>
    </row>
    <row r="516" spans="2:13">
      <c r="B516" s="347"/>
      <c r="C516" s="347"/>
      <c r="E516" s="581"/>
      <c r="F516" s="581"/>
      <c r="G516" s="347"/>
      <c r="H516" s="347"/>
      <c r="J516" s="347"/>
      <c r="K516" s="347"/>
      <c r="M516" s="347"/>
    </row>
    <row r="517" spans="2:13">
      <c r="B517" s="347"/>
      <c r="C517" s="347"/>
      <c r="E517" s="581"/>
      <c r="F517" s="581"/>
      <c r="G517" s="347"/>
      <c r="H517" s="347"/>
      <c r="J517" s="347"/>
      <c r="K517" s="347"/>
      <c r="M517" s="347"/>
    </row>
    <row r="518" spans="2:13">
      <c r="B518" s="347"/>
      <c r="C518" s="347"/>
      <c r="E518" s="581"/>
      <c r="F518" s="581"/>
      <c r="G518" s="347"/>
      <c r="H518" s="347"/>
      <c r="J518" s="347"/>
      <c r="K518" s="347"/>
      <c r="M518" s="347"/>
    </row>
    <row r="519" spans="2:13">
      <c r="B519" s="347"/>
      <c r="C519" s="347"/>
      <c r="E519" s="581"/>
      <c r="F519" s="581"/>
      <c r="G519" s="347"/>
      <c r="H519" s="347"/>
      <c r="J519" s="347"/>
      <c r="K519" s="347"/>
      <c r="M519" s="347"/>
    </row>
    <row r="520" spans="2:13">
      <c r="B520" s="347"/>
      <c r="C520" s="347"/>
      <c r="E520" s="581"/>
      <c r="F520" s="581"/>
      <c r="G520" s="347"/>
      <c r="H520" s="347"/>
      <c r="J520" s="347"/>
      <c r="K520" s="347"/>
      <c r="M520" s="347"/>
    </row>
    <row r="521" spans="2:13">
      <c r="B521" s="347"/>
      <c r="C521" s="347"/>
      <c r="E521" s="581"/>
      <c r="F521" s="581"/>
      <c r="G521" s="347"/>
      <c r="H521" s="347"/>
      <c r="J521" s="347"/>
      <c r="K521" s="347"/>
      <c r="M521" s="347"/>
    </row>
    <row r="522" spans="2:13">
      <c r="B522" s="347"/>
      <c r="C522" s="347"/>
      <c r="E522" s="581"/>
      <c r="F522" s="581"/>
      <c r="G522" s="347"/>
      <c r="H522" s="347"/>
      <c r="J522" s="347"/>
      <c r="K522" s="347"/>
      <c r="M522" s="347"/>
    </row>
    <row r="523" spans="2:13">
      <c r="B523" s="347"/>
      <c r="C523" s="347"/>
      <c r="E523" s="581"/>
      <c r="F523" s="581"/>
      <c r="G523" s="347"/>
      <c r="H523" s="347"/>
      <c r="J523" s="347"/>
      <c r="K523" s="347"/>
      <c r="M523" s="347"/>
    </row>
    <row r="524" spans="2:13">
      <c r="B524" s="347"/>
      <c r="C524" s="347"/>
      <c r="E524" s="581"/>
      <c r="F524" s="581"/>
      <c r="G524" s="347"/>
      <c r="H524" s="347"/>
      <c r="J524" s="347"/>
      <c r="K524" s="347"/>
      <c r="M524" s="347"/>
    </row>
    <row r="525" spans="2:13">
      <c r="B525" s="347"/>
      <c r="C525" s="347"/>
      <c r="E525" s="581"/>
      <c r="F525" s="581"/>
      <c r="G525" s="347"/>
      <c r="H525" s="347"/>
      <c r="J525" s="347"/>
      <c r="K525" s="347"/>
      <c r="M525" s="347"/>
    </row>
    <row r="526" spans="2:13">
      <c r="B526" s="347"/>
      <c r="C526" s="347"/>
      <c r="E526" s="581"/>
      <c r="F526" s="581"/>
      <c r="G526" s="347"/>
      <c r="H526" s="347"/>
      <c r="J526" s="347"/>
      <c r="K526" s="347"/>
      <c r="M526" s="347"/>
    </row>
    <row r="527" spans="2:13">
      <c r="B527" s="347"/>
      <c r="C527" s="347"/>
      <c r="E527" s="581"/>
      <c r="F527" s="581"/>
      <c r="G527" s="347"/>
      <c r="H527" s="347"/>
      <c r="J527" s="347"/>
      <c r="K527" s="347"/>
      <c r="M527" s="347"/>
    </row>
    <row r="528" spans="2:13">
      <c r="B528" s="347"/>
      <c r="C528" s="347"/>
      <c r="E528" s="581"/>
      <c r="F528" s="581"/>
      <c r="G528" s="347"/>
      <c r="H528" s="347"/>
      <c r="J528" s="347"/>
      <c r="K528" s="347"/>
      <c r="M528" s="347"/>
    </row>
    <row r="529" spans="2:13">
      <c r="B529" s="347"/>
      <c r="C529" s="347"/>
      <c r="E529" s="581"/>
      <c r="F529" s="581"/>
      <c r="G529" s="347"/>
      <c r="H529" s="347"/>
      <c r="J529" s="347"/>
      <c r="K529" s="347"/>
      <c r="M529" s="347"/>
    </row>
    <row r="530" spans="2:13">
      <c r="B530" s="347"/>
      <c r="C530" s="347"/>
      <c r="E530" s="581"/>
      <c r="F530" s="581"/>
      <c r="G530" s="347"/>
      <c r="H530" s="347"/>
      <c r="J530" s="347"/>
      <c r="K530" s="347"/>
      <c r="M530" s="347"/>
    </row>
    <row r="531" spans="2:13">
      <c r="B531" s="347"/>
      <c r="C531" s="347"/>
      <c r="E531" s="581"/>
      <c r="F531" s="581"/>
      <c r="G531" s="347"/>
      <c r="H531" s="347"/>
      <c r="J531" s="347"/>
      <c r="K531" s="347"/>
      <c r="M531" s="347"/>
    </row>
    <row r="532" spans="2:13">
      <c r="B532" s="347"/>
      <c r="C532" s="347"/>
      <c r="E532" s="581"/>
      <c r="F532" s="581"/>
      <c r="G532" s="347"/>
      <c r="H532" s="347"/>
      <c r="J532" s="347"/>
      <c r="K532" s="347"/>
      <c r="M532" s="347"/>
    </row>
    <row r="533" spans="2:13">
      <c r="B533" s="347"/>
      <c r="C533" s="347"/>
      <c r="E533" s="581"/>
      <c r="F533" s="581"/>
      <c r="G533" s="347"/>
      <c r="H533" s="347"/>
      <c r="J533" s="347"/>
      <c r="K533" s="347"/>
      <c r="M533" s="347"/>
    </row>
    <row r="534" spans="2:13">
      <c r="B534" s="347"/>
      <c r="C534" s="347"/>
      <c r="E534" s="581"/>
      <c r="F534" s="581"/>
      <c r="G534" s="347"/>
      <c r="H534" s="347"/>
      <c r="J534" s="347"/>
      <c r="K534" s="347"/>
      <c r="M534" s="347"/>
    </row>
    <row r="535" spans="2:13">
      <c r="B535" s="347"/>
      <c r="C535" s="347"/>
      <c r="E535" s="581"/>
      <c r="F535" s="581"/>
      <c r="G535" s="347"/>
      <c r="H535" s="347"/>
      <c r="J535" s="347"/>
      <c r="K535" s="347"/>
      <c r="M535" s="347"/>
    </row>
    <row r="536" spans="2:13">
      <c r="B536" s="347"/>
      <c r="C536" s="347"/>
      <c r="E536" s="581"/>
      <c r="F536" s="581"/>
      <c r="G536" s="347"/>
      <c r="H536" s="347"/>
      <c r="J536" s="347"/>
      <c r="K536" s="347"/>
      <c r="M536" s="347"/>
    </row>
    <row r="537" spans="2:13">
      <c r="B537" s="347"/>
      <c r="C537" s="347"/>
      <c r="E537" s="581"/>
      <c r="F537" s="581"/>
      <c r="G537" s="347"/>
      <c r="H537" s="347"/>
      <c r="J537" s="347"/>
      <c r="K537" s="347"/>
      <c r="M537" s="347"/>
    </row>
    <row r="538" spans="2:13">
      <c r="B538" s="347"/>
      <c r="C538" s="347"/>
      <c r="E538" s="581"/>
      <c r="F538" s="581"/>
      <c r="G538" s="347"/>
      <c r="H538" s="347"/>
      <c r="J538" s="347"/>
      <c r="K538" s="347"/>
      <c r="M538" s="347"/>
    </row>
    <row r="539" spans="2:13">
      <c r="B539" s="347"/>
      <c r="C539" s="347"/>
      <c r="E539" s="581"/>
      <c r="F539" s="581"/>
      <c r="G539" s="347"/>
      <c r="H539" s="347"/>
      <c r="J539" s="347"/>
      <c r="K539" s="347"/>
      <c r="M539" s="347"/>
    </row>
    <row r="540" spans="2:13">
      <c r="B540" s="347"/>
      <c r="C540" s="347"/>
      <c r="E540" s="581"/>
      <c r="F540" s="581"/>
      <c r="G540" s="347"/>
      <c r="H540" s="347"/>
      <c r="J540" s="347"/>
      <c r="K540" s="347"/>
      <c r="M540" s="347"/>
    </row>
    <row r="541" spans="2:13">
      <c r="B541" s="347"/>
      <c r="C541" s="347"/>
      <c r="E541" s="581"/>
      <c r="F541" s="581"/>
      <c r="G541" s="347"/>
      <c r="H541" s="347"/>
      <c r="J541" s="347"/>
      <c r="K541" s="347"/>
      <c r="M541" s="347"/>
    </row>
    <row r="542" spans="2:13">
      <c r="B542" s="347"/>
      <c r="C542" s="347"/>
      <c r="E542" s="581"/>
      <c r="F542" s="581"/>
      <c r="G542" s="347"/>
      <c r="H542" s="347"/>
      <c r="J542" s="347"/>
      <c r="K542" s="347"/>
      <c r="M542" s="347"/>
    </row>
    <row r="543" spans="2:13">
      <c r="B543" s="347"/>
      <c r="C543" s="347"/>
      <c r="E543" s="581"/>
      <c r="F543" s="581"/>
      <c r="G543" s="347"/>
      <c r="H543" s="347"/>
      <c r="J543" s="347"/>
      <c r="K543" s="347"/>
      <c r="M543" s="347"/>
    </row>
    <row r="544" spans="2:13">
      <c r="B544" s="347"/>
      <c r="C544" s="347"/>
      <c r="E544" s="581"/>
      <c r="F544" s="581"/>
      <c r="G544" s="347"/>
      <c r="H544" s="347"/>
      <c r="J544" s="347"/>
      <c r="K544" s="347"/>
      <c r="M544" s="347"/>
    </row>
    <row r="545" spans="2:13">
      <c r="B545" s="347"/>
      <c r="C545" s="347"/>
      <c r="E545" s="581"/>
      <c r="F545" s="581"/>
      <c r="G545" s="347"/>
      <c r="H545" s="347"/>
      <c r="J545" s="347"/>
      <c r="K545" s="347"/>
      <c r="M545" s="347"/>
    </row>
    <row r="546" spans="2:13">
      <c r="B546" s="347"/>
      <c r="C546" s="347"/>
      <c r="E546" s="581"/>
      <c r="F546" s="581"/>
      <c r="G546" s="347"/>
      <c r="H546" s="347"/>
      <c r="J546" s="347"/>
      <c r="K546" s="347"/>
      <c r="M546" s="347"/>
    </row>
    <row r="547" spans="2:13">
      <c r="B547" s="347"/>
      <c r="C547" s="347"/>
      <c r="E547" s="581"/>
      <c r="F547" s="581"/>
      <c r="G547" s="347"/>
      <c r="H547" s="347"/>
      <c r="J547" s="347"/>
      <c r="K547" s="347"/>
      <c r="M547" s="347"/>
    </row>
    <row r="548" spans="2:13">
      <c r="B548" s="347"/>
      <c r="C548" s="347"/>
      <c r="E548" s="581"/>
      <c r="F548" s="581"/>
      <c r="G548" s="347"/>
      <c r="H548" s="347"/>
      <c r="J548" s="347"/>
      <c r="K548" s="347"/>
      <c r="M548" s="347"/>
    </row>
    <row r="549" spans="2:13">
      <c r="B549" s="347"/>
      <c r="C549" s="347"/>
      <c r="E549" s="581"/>
      <c r="F549" s="581"/>
      <c r="G549" s="347"/>
      <c r="H549" s="347"/>
      <c r="J549" s="347"/>
      <c r="K549" s="347"/>
      <c r="M549" s="347"/>
    </row>
    <row r="550" spans="2:13">
      <c r="B550" s="347"/>
      <c r="C550" s="347"/>
      <c r="E550" s="581"/>
      <c r="F550" s="581"/>
      <c r="G550" s="347"/>
      <c r="H550" s="347"/>
      <c r="J550" s="347"/>
      <c r="K550" s="347"/>
      <c r="M550" s="347"/>
    </row>
    <row r="551" spans="2:13">
      <c r="B551" s="347"/>
      <c r="C551" s="347"/>
      <c r="E551" s="581"/>
      <c r="F551" s="581"/>
      <c r="G551" s="347"/>
      <c r="H551" s="347"/>
      <c r="J551" s="347"/>
      <c r="K551" s="347"/>
      <c r="M551" s="347"/>
    </row>
    <row r="552" spans="2:13">
      <c r="B552" s="347"/>
      <c r="C552" s="347"/>
      <c r="E552" s="581"/>
      <c r="F552" s="581"/>
      <c r="G552" s="347"/>
      <c r="H552" s="347"/>
      <c r="J552" s="347"/>
      <c r="K552" s="347"/>
      <c r="M552" s="347"/>
    </row>
    <row r="553" spans="2:13">
      <c r="B553" s="347"/>
      <c r="C553" s="347"/>
      <c r="E553" s="581"/>
      <c r="F553" s="581"/>
      <c r="G553" s="347"/>
      <c r="H553" s="347"/>
      <c r="J553" s="347"/>
      <c r="K553" s="347"/>
      <c r="M553" s="347"/>
    </row>
    <row r="554" spans="2:13">
      <c r="B554" s="347"/>
      <c r="C554" s="347"/>
      <c r="E554" s="581"/>
      <c r="F554" s="581"/>
      <c r="G554" s="347"/>
      <c r="H554" s="347"/>
      <c r="J554" s="347"/>
      <c r="K554" s="347"/>
      <c r="M554" s="347"/>
    </row>
    <row r="555" spans="2:13">
      <c r="B555" s="347"/>
      <c r="C555" s="347"/>
      <c r="E555" s="581"/>
      <c r="F555" s="581"/>
      <c r="G555" s="347"/>
      <c r="H555" s="347"/>
      <c r="J555" s="347"/>
      <c r="K555" s="347"/>
      <c r="M555" s="347"/>
    </row>
    <row r="556" spans="2:13">
      <c r="B556" s="347"/>
      <c r="C556" s="347"/>
      <c r="E556" s="581"/>
      <c r="F556" s="581"/>
      <c r="G556" s="347"/>
      <c r="H556" s="347"/>
      <c r="J556" s="347"/>
      <c r="K556" s="347"/>
      <c r="M556" s="347"/>
    </row>
    <row r="557" spans="2:13">
      <c r="B557" s="347"/>
      <c r="C557" s="347"/>
      <c r="E557" s="581"/>
      <c r="F557" s="581"/>
      <c r="G557" s="347"/>
      <c r="H557" s="347"/>
      <c r="J557" s="347"/>
      <c r="K557" s="347"/>
      <c r="M557" s="347"/>
    </row>
    <row r="558" spans="2:13">
      <c r="B558" s="347"/>
      <c r="C558" s="347"/>
      <c r="E558" s="581"/>
      <c r="F558" s="581"/>
      <c r="G558" s="347"/>
      <c r="H558" s="347"/>
      <c r="J558" s="347"/>
      <c r="K558" s="347"/>
      <c r="M558" s="347"/>
    </row>
    <row r="559" spans="2:13">
      <c r="B559" s="347"/>
      <c r="C559" s="347"/>
      <c r="E559" s="581"/>
      <c r="F559" s="581"/>
      <c r="G559" s="347"/>
      <c r="H559" s="347"/>
      <c r="J559" s="347"/>
      <c r="K559" s="347"/>
      <c r="M559" s="347"/>
    </row>
    <row r="560" spans="2:13">
      <c r="B560" s="347"/>
      <c r="C560" s="347"/>
      <c r="E560" s="581"/>
      <c r="F560" s="581"/>
      <c r="G560" s="347"/>
      <c r="H560" s="347"/>
      <c r="J560" s="347"/>
      <c r="K560" s="347"/>
      <c r="M560" s="347"/>
    </row>
    <row r="561" spans="2:13">
      <c r="B561" s="347"/>
      <c r="C561" s="347"/>
      <c r="E561" s="581"/>
      <c r="F561" s="581"/>
      <c r="G561" s="347"/>
      <c r="H561" s="347"/>
      <c r="J561" s="347"/>
      <c r="K561" s="347"/>
      <c r="M561" s="347"/>
    </row>
    <row r="562" spans="2:13">
      <c r="B562" s="347"/>
      <c r="C562" s="347"/>
      <c r="E562" s="581"/>
      <c r="F562" s="581"/>
      <c r="G562" s="347"/>
      <c r="H562" s="347"/>
      <c r="J562" s="347"/>
      <c r="K562" s="347"/>
      <c r="M562" s="347"/>
    </row>
    <row r="563" spans="2:13">
      <c r="B563" s="347"/>
      <c r="C563" s="347"/>
      <c r="E563" s="581"/>
      <c r="F563" s="581"/>
      <c r="G563" s="347"/>
      <c r="H563" s="347"/>
      <c r="J563" s="347"/>
      <c r="K563" s="347"/>
      <c r="M563" s="347"/>
    </row>
    <row r="564" spans="2:13">
      <c r="B564" s="347"/>
      <c r="C564" s="347"/>
      <c r="E564" s="581"/>
      <c r="F564" s="581"/>
      <c r="G564" s="347"/>
      <c r="H564" s="347"/>
      <c r="J564" s="347"/>
      <c r="K564" s="347"/>
      <c r="M564" s="347"/>
    </row>
    <row r="565" spans="2:13">
      <c r="B565" s="347"/>
      <c r="C565" s="347"/>
      <c r="E565" s="581"/>
      <c r="F565" s="581"/>
      <c r="G565" s="347"/>
      <c r="H565" s="347"/>
      <c r="J565" s="347"/>
      <c r="K565" s="347"/>
      <c r="M565" s="347"/>
    </row>
    <row r="566" spans="2:13">
      <c r="B566" s="347"/>
      <c r="C566" s="347"/>
      <c r="E566" s="581"/>
      <c r="F566" s="581"/>
      <c r="G566" s="347"/>
      <c r="H566" s="347"/>
      <c r="J566" s="347"/>
      <c r="K566" s="347"/>
      <c r="M566" s="347"/>
    </row>
    <row r="567" spans="2:13">
      <c r="B567" s="347"/>
      <c r="C567" s="347"/>
      <c r="E567" s="581"/>
      <c r="F567" s="581"/>
      <c r="G567" s="347"/>
      <c r="H567" s="347"/>
      <c r="J567" s="347"/>
      <c r="K567" s="347"/>
      <c r="M567" s="347"/>
    </row>
    <row r="568" spans="2:13">
      <c r="B568" s="347"/>
      <c r="C568" s="347"/>
      <c r="E568" s="581"/>
      <c r="F568" s="581"/>
      <c r="G568" s="347"/>
      <c r="H568" s="347"/>
      <c r="J568" s="347"/>
      <c r="K568" s="347"/>
      <c r="M568" s="347"/>
    </row>
    <row r="569" spans="2:13">
      <c r="B569" s="347"/>
      <c r="C569" s="347"/>
      <c r="E569" s="581"/>
      <c r="F569" s="581"/>
      <c r="G569" s="347"/>
      <c r="H569" s="347"/>
      <c r="J569" s="347"/>
      <c r="K569" s="347"/>
      <c r="M569" s="347"/>
    </row>
    <row r="570" spans="2:13">
      <c r="B570" s="347"/>
      <c r="C570" s="347"/>
      <c r="E570" s="581"/>
      <c r="F570" s="581"/>
      <c r="G570" s="347"/>
      <c r="H570" s="347"/>
      <c r="J570" s="347"/>
      <c r="K570" s="347"/>
      <c r="M570" s="347"/>
    </row>
    <row r="571" spans="2:13">
      <c r="B571" s="347"/>
      <c r="C571" s="347"/>
      <c r="E571" s="581"/>
      <c r="F571" s="581"/>
      <c r="G571" s="347"/>
      <c r="H571" s="347"/>
      <c r="J571" s="347"/>
      <c r="K571" s="347"/>
      <c r="M571" s="347"/>
    </row>
    <row r="572" spans="2:13">
      <c r="B572" s="347"/>
      <c r="C572" s="347"/>
      <c r="E572" s="581"/>
      <c r="F572" s="581"/>
      <c r="G572" s="347"/>
      <c r="H572" s="347"/>
      <c r="J572" s="347"/>
      <c r="K572" s="347"/>
      <c r="M572" s="347"/>
    </row>
    <row r="573" spans="2:13">
      <c r="B573" s="347"/>
      <c r="C573" s="347"/>
      <c r="E573" s="581"/>
      <c r="F573" s="581"/>
      <c r="G573" s="347"/>
      <c r="H573" s="347"/>
      <c r="J573" s="347"/>
      <c r="K573" s="347"/>
      <c r="M573" s="347"/>
    </row>
    <row r="574" spans="2:13">
      <c r="B574" s="347"/>
      <c r="C574" s="347"/>
      <c r="E574" s="581"/>
      <c r="F574" s="581"/>
      <c r="G574" s="347"/>
      <c r="H574" s="347"/>
      <c r="J574" s="347"/>
      <c r="K574" s="347"/>
      <c r="M574" s="347"/>
    </row>
    <row r="575" spans="2:13">
      <c r="B575" s="347"/>
      <c r="C575" s="347"/>
      <c r="E575" s="581"/>
      <c r="F575" s="581"/>
      <c r="G575" s="347"/>
      <c r="H575" s="347"/>
      <c r="J575" s="347"/>
      <c r="K575" s="347"/>
      <c r="M575" s="347"/>
    </row>
    <row r="576" spans="2:13">
      <c r="B576" s="347"/>
      <c r="C576" s="347"/>
      <c r="E576" s="581"/>
      <c r="F576" s="581"/>
      <c r="G576" s="347"/>
      <c r="H576" s="347"/>
      <c r="J576" s="347"/>
      <c r="K576" s="347"/>
      <c r="M576" s="347"/>
    </row>
    <row r="577" spans="2:13">
      <c r="B577" s="347"/>
      <c r="C577" s="347"/>
      <c r="E577" s="581"/>
      <c r="F577" s="581"/>
      <c r="G577" s="347"/>
      <c r="H577" s="347"/>
      <c r="J577" s="347"/>
      <c r="K577" s="347"/>
      <c r="M577" s="347"/>
    </row>
    <row r="578" spans="2:13">
      <c r="B578" s="347"/>
      <c r="C578" s="347"/>
      <c r="E578" s="581"/>
      <c r="F578" s="581"/>
      <c r="G578" s="347"/>
      <c r="H578" s="347"/>
      <c r="J578" s="347"/>
      <c r="K578" s="347"/>
      <c r="M578" s="347"/>
    </row>
    <row r="579" spans="2:13">
      <c r="B579" s="347"/>
      <c r="C579" s="347"/>
      <c r="E579" s="581"/>
      <c r="F579" s="581"/>
      <c r="G579" s="347"/>
      <c r="H579" s="347"/>
      <c r="J579" s="347"/>
      <c r="K579" s="347"/>
      <c r="M579" s="347"/>
    </row>
    <row r="580" spans="2:13">
      <c r="B580" s="347"/>
      <c r="C580" s="347"/>
      <c r="E580" s="581"/>
      <c r="F580" s="581"/>
      <c r="G580" s="347"/>
      <c r="H580" s="347"/>
      <c r="J580" s="347"/>
      <c r="K580" s="347"/>
      <c r="M580" s="347"/>
    </row>
    <row r="581" spans="2:13">
      <c r="B581" s="347"/>
      <c r="C581" s="347"/>
      <c r="E581" s="581"/>
      <c r="F581" s="581"/>
      <c r="G581" s="347"/>
      <c r="H581" s="347"/>
      <c r="J581" s="347"/>
      <c r="K581" s="347"/>
      <c r="M581" s="347"/>
    </row>
    <row r="582" spans="2:13">
      <c r="B582" s="347"/>
      <c r="C582" s="347"/>
      <c r="E582" s="581"/>
      <c r="F582" s="581"/>
      <c r="G582" s="347"/>
      <c r="H582" s="347"/>
      <c r="J582" s="347"/>
      <c r="K582" s="347"/>
      <c r="M582" s="347"/>
    </row>
    <row r="583" spans="2:13">
      <c r="B583" s="347"/>
      <c r="C583" s="347"/>
      <c r="E583" s="581"/>
      <c r="F583" s="581"/>
      <c r="G583" s="347"/>
      <c r="H583" s="347"/>
      <c r="J583" s="347"/>
      <c r="K583" s="347"/>
      <c r="M583" s="347"/>
    </row>
    <row r="584" spans="2:13">
      <c r="B584" s="347"/>
      <c r="C584" s="347"/>
      <c r="E584" s="581"/>
      <c r="F584" s="581"/>
      <c r="G584" s="347"/>
      <c r="H584" s="347"/>
      <c r="J584" s="347"/>
      <c r="K584" s="347"/>
      <c r="M584" s="347"/>
    </row>
    <row r="585" spans="2:13">
      <c r="B585" s="347"/>
      <c r="C585" s="347"/>
      <c r="E585" s="581"/>
      <c r="F585" s="581"/>
      <c r="G585" s="347"/>
      <c r="H585" s="347"/>
      <c r="J585" s="347"/>
      <c r="K585" s="347"/>
      <c r="M585" s="347"/>
    </row>
    <row r="586" spans="2:13">
      <c r="B586" s="347"/>
      <c r="C586" s="347"/>
      <c r="E586" s="581"/>
      <c r="F586" s="581"/>
      <c r="G586" s="347"/>
      <c r="H586" s="347"/>
      <c r="J586" s="347"/>
      <c r="K586" s="347"/>
      <c r="M586" s="347"/>
    </row>
    <row r="587" spans="2:13">
      <c r="B587" s="347"/>
      <c r="C587" s="347"/>
      <c r="E587" s="581"/>
      <c r="F587" s="581"/>
      <c r="G587" s="347"/>
      <c r="H587" s="347"/>
      <c r="J587" s="347"/>
      <c r="K587" s="347"/>
      <c r="M587" s="347"/>
    </row>
    <row r="588" spans="2:13">
      <c r="B588" s="347"/>
      <c r="C588" s="347"/>
      <c r="E588" s="581"/>
      <c r="F588" s="581"/>
      <c r="G588" s="347"/>
      <c r="H588" s="347"/>
      <c r="J588" s="347"/>
      <c r="K588" s="347"/>
      <c r="M588" s="347"/>
    </row>
    <row r="589" spans="2:13">
      <c r="B589" s="347"/>
      <c r="C589" s="347"/>
      <c r="E589" s="581"/>
      <c r="F589" s="581"/>
      <c r="G589" s="347"/>
      <c r="H589" s="347"/>
      <c r="J589" s="347"/>
      <c r="K589" s="347"/>
      <c r="M589" s="347"/>
    </row>
    <row r="590" spans="2:13">
      <c r="B590" s="347"/>
      <c r="C590" s="347"/>
      <c r="E590" s="581"/>
      <c r="F590" s="581"/>
      <c r="G590" s="347"/>
      <c r="H590" s="347"/>
      <c r="J590" s="347"/>
      <c r="K590" s="347"/>
      <c r="M590" s="347"/>
    </row>
    <row r="591" spans="2:13">
      <c r="B591" s="347"/>
      <c r="C591" s="347"/>
      <c r="E591" s="581"/>
      <c r="F591" s="581"/>
      <c r="G591" s="347"/>
      <c r="H591" s="347"/>
      <c r="J591" s="347"/>
      <c r="K591" s="347"/>
      <c r="M591" s="347"/>
    </row>
    <row r="592" spans="2:13">
      <c r="B592" s="347"/>
      <c r="C592" s="347"/>
      <c r="E592" s="581"/>
      <c r="F592" s="581"/>
      <c r="G592" s="347"/>
      <c r="H592" s="347"/>
      <c r="J592" s="347"/>
      <c r="K592" s="347"/>
      <c r="M592" s="347"/>
    </row>
    <row r="593" spans="2:13">
      <c r="B593" s="347"/>
      <c r="C593" s="347"/>
      <c r="E593" s="581"/>
      <c r="F593" s="581"/>
      <c r="G593" s="347"/>
      <c r="H593" s="347"/>
      <c r="J593" s="347"/>
      <c r="K593" s="347"/>
      <c r="M593" s="347"/>
    </row>
    <row r="594" spans="2:13">
      <c r="B594" s="347"/>
      <c r="C594" s="347"/>
      <c r="E594" s="581"/>
      <c r="F594" s="581"/>
      <c r="G594" s="347"/>
      <c r="H594" s="347"/>
      <c r="J594" s="347"/>
      <c r="K594" s="347"/>
      <c r="M594" s="347"/>
    </row>
    <row r="595" spans="2:13">
      <c r="B595" s="347"/>
      <c r="C595" s="347"/>
      <c r="E595" s="581"/>
      <c r="F595" s="581"/>
      <c r="G595" s="347"/>
      <c r="H595" s="347"/>
      <c r="J595" s="347"/>
      <c r="K595" s="347"/>
      <c r="M595" s="347"/>
    </row>
    <row r="596" spans="2:13">
      <c r="B596" s="347"/>
      <c r="C596" s="347"/>
      <c r="E596" s="581"/>
      <c r="F596" s="581"/>
      <c r="G596" s="347"/>
      <c r="H596" s="347"/>
      <c r="J596" s="347"/>
      <c r="K596" s="347"/>
      <c r="M596" s="347"/>
    </row>
    <row r="597" spans="2:13">
      <c r="B597" s="347"/>
      <c r="C597" s="347"/>
      <c r="E597" s="581"/>
      <c r="F597" s="581"/>
      <c r="G597" s="347"/>
      <c r="H597" s="347"/>
      <c r="J597" s="347"/>
      <c r="K597" s="347"/>
      <c r="M597" s="347"/>
    </row>
    <row r="598" spans="2:13">
      <c r="B598" s="347"/>
      <c r="C598" s="347"/>
      <c r="E598" s="581"/>
      <c r="F598" s="581"/>
      <c r="G598" s="347"/>
      <c r="H598" s="347"/>
      <c r="J598" s="347"/>
      <c r="K598" s="347"/>
      <c r="M598" s="347"/>
    </row>
    <row r="599" spans="2:13">
      <c r="B599" s="347"/>
      <c r="C599" s="347"/>
      <c r="E599" s="581"/>
      <c r="F599" s="581"/>
      <c r="G599" s="347"/>
      <c r="H599" s="347"/>
      <c r="J599" s="347"/>
      <c r="K599" s="347"/>
      <c r="M599" s="347"/>
    </row>
    <row r="600" spans="2:13">
      <c r="B600" s="347"/>
      <c r="C600" s="347"/>
      <c r="E600" s="581"/>
      <c r="F600" s="581"/>
      <c r="G600" s="347"/>
      <c r="H600" s="347"/>
      <c r="J600" s="347"/>
      <c r="K600" s="347"/>
      <c r="M600" s="347"/>
    </row>
    <row r="601" spans="2:13">
      <c r="B601" s="347"/>
      <c r="C601" s="347"/>
      <c r="E601" s="581"/>
      <c r="F601" s="581"/>
      <c r="G601" s="347"/>
      <c r="H601" s="347"/>
      <c r="J601" s="347"/>
      <c r="K601" s="347"/>
      <c r="M601" s="347"/>
    </row>
    <row r="602" spans="2:13">
      <c r="B602" s="347"/>
      <c r="C602" s="347"/>
      <c r="E602" s="581"/>
      <c r="F602" s="581"/>
      <c r="G602" s="347"/>
      <c r="H602" s="347"/>
      <c r="J602" s="347"/>
      <c r="K602" s="347"/>
      <c r="M602" s="347"/>
    </row>
    <row r="603" spans="2:13">
      <c r="B603" s="347"/>
      <c r="C603" s="347"/>
      <c r="E603" s="581"/>
      <c r="F603" s="581"/>
      <c r="G603" s="347"/>
      <c r="H603" s="347"/>
      <c r="J603" s="347"/>
      <c r="K603" s="347"/>
      <c r="M603" s="347"/>
    </row>
    <row r="604" spans="2:13">
      <c r="B604" s="347"/>
      <c r="C604" s="347"/>
      <c r="E604" s="581"/>
      <c r="F604" s="581"/>
      <c r="G604" s="347"/>
      <c r="H604" s="347"/>
      <c r="J604" s="347"/>
      <c r="K604" s="347"/>
      <c r="M604" s="347"/>
    </row>
    <row r="605" spans="2:13">
      <c r="B605" s="347"/>
      <c r="C605" s="347"/>
      <c r="E605" s="581"/>
      <c r="F605" s="581"/>
      <c r="G605" s="347"/>
      <c r="H605" s="347"/>
      <c r="J605" s="347"/>
      <c r="K605" s="347"/>
      <c r="M605" s="347"/>
    </row>
    <row r="606" spans="2:13">
      <c r="B606" s="347"/>
      <c r="C606" s="347"/>
      <c r="E606" s="581"/>
      <c r="F606" s="581"/>
      <c r="G606" s="347"/>
      <c r="H606" s="347"/>
      <c r="J606" s="347"/>
      <c r="K606" s="347"/>
      <c r="M606" s="347"/>
    </row>
    <row r="607" spans="2:13">
      <c r="B607" s="347"/>
      <c r="C607" s="347"/>
      <c r="E607" s="581"/>
      <c r="F607" s="581"/>
      <c r="G607" s="347"/>
      <c r="H607" s="347"/>
      <c r="J607" s="347"/>
      <c r="K607" s="347"/>
      <c r="M607" s="347"/>
    </row>
    <row r="608" spans="2:13">
      <c r="B608" s="347"/>
      <c r="C608" s="347"/>
      <c r="E608" s="581"/>
      <c r="F608" s="581"/>
      <c r="G608" s="347"/>
      <c r="H608" s="347"/>
      <c r="J608" s="347"/>
      <c r="K608" s="347"/>
      <c r="M608" s="347"/>
    </row>
    <row r="609" spans="2:13">
      <c r="B609" s="347"/>
      <c r="C609" s="347"/>
      <c r="E609" s="581"/>
      <c r="F609" s="581"/>
      <c r="G609" s="347"/>
      <c r="H609" s="347"/>
      <c r="J609" s="347"/>
      <c r="K609" s="347"/>
      <c r="M609" s="347"/>
    </row>
    <row r="610" spans="2:13">
      <c r="B610" s="347"/>
      <c r="C610" s="347"/>
      <c r="E610" s="581"/>
      <c r="F610" s="581"/>
      <c r="G610" s="347"/>
      <c r="H610" s="347"/>
      <c r="J610" s="347"/>
      <c r="K610" s="347"/>
      <c r="M610" s="347"/>
    </row>
    <row r="611" spans="2:13">
      <c r="B611" s="347"/>
      <c r="C611" s="347"/>
      <c r="E611" s="581"/>
      <c r="F611" s="581"/>
      <c r="G611" s="347"/>
      <c r="H611" s="347"/>
      <c r="J611" s="347"/>
      <c r="K611" s="347"/>
      <c r="M611" s="347"/>
    </row>
    <row r="612" spans="2:13">
      <c r="B612" s="347"/>
      <c r="C612" s="347"/>
      <c r="E612" s="581"/>
      <c r="F612" s="581"/>
      <c r="G612" s="347"/>
      <c r="H612" s="347"/>
      <c r="J612" s="347"/>
      <c r="K612" s="347"/>
      <c r="M612" s="347"/>
    </row>
    <row r="613" spans="2:13">
      <c r="B613" s="347"/>
      <c r="C613" s="347"/>
      <c r="E613" s="581"/>
      <c r="F613" s="581"/>
      <c r="G613" s="347"/>
      <c r="H613" s="347"/>
      <c r="J613" s="347"/>
      <c r="K613" s="347"/>
      <c r="M613" s="347"/>
    </row>
    <row r="614" spans="2:13">
      <c r="B614" s="347"/>
      <c r="C614" s="347"/>
      <c r="E614" s="581"/>
      <c r="F614" s="581"/>
      <c r="G614" s="347"/>
      <c r="H614" s="347"/>
      <c r="J614" s="347"/>
      <c r="K614" s="347"/>
      <c r="M614" s="347"/>
    </row>
    <row r="615" spans="2:13">
      <c r="B615" s="347"/>
      <c r="C615" s="347"/>
      <c r="E615" s="581"/>
      <c r="F615" s="581"/>
      <c r="G615" s="347"/>
      <c r="H615" s="347"/>
      <c r="J615" s="347"/>
      <c r="K615" s="347"/>
      <c r="M615" s="347"/>
    </row>
    <row r="616" spans="2:13">
      <c r="B616" s="347"/>
      <c r="C616" s="347"/>
      <c r="E616" s="581"/>
      <c r="F616" s="581"/>
      <c r="G616" s="347"/>
      <c r="H616" s="347"/>
      <c r="J616" s="347"/>
      <c r="K616" s="347"/>
      <c r="M616" s="347"/>
    </row>
    <row r="617" spans="2:13">
      <c r="B617" s="347"/>
      <c r="C617" s="347"/>
      <c r="E617" s="581"/>
      <c r="F617" s="581"/>
      <c r="G617" s="347"/>
      <c r="H617" s="347"/>
      <c r="J617" s="347"/>
      <c r="K617" s="347"/>
      <c r="M617" s="347"/>
    </row>
    <row r="618" spans="2:13">
      <c r="B618" s="347"/>
      <c r="C618" s="347"/>
      <c r="E618" s="581"/>
      <c r="F618" s="581"/>
      <c r="G618" s="347"/>
      <c r="H618" s="347"/>
      <c r="J618" s="347"/>
      <c r="K618" s="347"/>
      <c r="M618" s="347"/>
    </row>
    <row r="619" spans="2:13">
      <c r="B619" s="347"/>
      <c r="C619" s="347"/>
      <c r="E619" s="581"/>
      <c r="F619" s="581"/>
      <c r="G619" s="347"/>
      <c r="H619" s="347"/>
      <c r="J619" s="347"/>
      <c r="K619" s="347"/>
      <c r="M619" s="347"/>
    </row>
    <row r="620" spans="2:13">
      <c r="B620" s="347"/>
      <c r="C620" s="347"/>
      <c r="E620" s="581"/>
      <c r="F620" s="581"/>
      <c r="G620" s="347"/>
      <c r="H620" s="347"/>
      <c r="J620" s="347"/>
      <c r="K620" s="347"/>
      <c r="M620" s="347"/>
    </row>
    <row r="621" spans="2:13">
      <c r="B621" s="347"/>
      <c r="C621" s="347"/>
      <c r="E621" s="581"/>
      <c r="F621" s="581"/>
      <c r="G621" s="347"/>
      <c r="H621" s="347"/>
      <c r="J621" s="347"/>
      <c r="K621" s="347"/>
      <c r="M621" s="347"/>
    </row>
    <row r="622" spans="2:13">
      <c r="B622" s="347"/>
      <c r="C622" s="347"/>
      <c r="E622" s="581"/>
      <c r="F622" s="581"/>
      <c r="G622" s="347"/>
      <c r="H622" s="347"/>
      <c r="J622" s="347"/>
      <c r="K622" s="347"/>
      <c r="M622" s="347"/>
    </row>
    <row r="623" spans="2:13">
      <c r="B623" s="347"/>
      <c r="C623" s="347"/>
      <c r="E623" s="581"/>
      <c r="F623" s="581"/>
      <c r="G623" s="347"/>
      <c r="H623" s="347"/>
      <c r="J623" s="347"/>
      <c r="K623" s="347"/>
      <c r="M623" s="347"/>
    </row>
    <row r="624" spans="2:13">
      <c r="B624" s="347"/>
      <c r="C624" s="347"/>
      <c r="E624" s="581"/>
      <c r="F624" s="581"/>
      <c r="G624" s="347"/>
      <c r="H624" s="347"/>
      <c r="J624" s="347"/>
      <c r="K624" s="347"/>
      <c r="M624" s="347"/>
    </row>
    <row r="625" spans="2:13">
      <c r="B625" s="347"/>
      <c r="C625" s="347"/>
      <c r="E625" s="581"/>
      <c r="F625" s="581"/>
      <c r="G625" s="347"/>
      <c r="H625" s="347"/>
      <c r="J625" s="347"/>
      <c r="K625" s="347"/>
      <c r="M625" s="347"/>
    </row>
    <row r="626" spans="2:13">
      <c r="B626" s="347"/>
      <c r="C626" s="347"/>
      <c r="E626" s="581"/>
      <c r="F626" s="581"/>
      <c r="G626" s="347"/>
      <c r="H626" s="347"/>
      <c r="J626" s="347"/>
      <c r="K626" s="347"/>
      <c r="M626" s="347"/>
    </row>
    <row r="627" spans="2:13">
      <c r="B627" s="347"/>
      <c r="C627" s="347"/>
      <c r="E627" s="581"/>
      <c r="F627" s="581"/>
      <c r="G627" s="347"/>
      <c r="H627" s="347"/>
      <c r="J627" s="347"/>
      <c r="K627" s="347"/>
      <c r="M627" s="347"/>
    </row>
    <row r="628" spans="2:13">
      <c r="B628" s="347"/>
      <c r="C628" s="347"/>
      <c r="E628" s="581"/>
      <c r="F628" s="581"/>
      <c r="G628" s="347"/>
      <c r="H628" s="347"/>
      <c r="J628" s="347"/>
      <c r="K628" s="347"/>
      <c r="M628" s="347"/>
    </row>
    <row r="629" spans="2:13">
      <c r="B629" s="347"/>
      <c r="C629" s="347"/>
      <c r="E629" s="581"/>
      <c r="F629" s="581"/>
      <c r="G629" s="347"/>
      <c r="H629" s="347"/>
      <c r="J629" s="347"/>
      <c r="K629" s="347"/>
      <c r="M629" s="347"/>
    </row>
    <row r="630" spans="2:13">
      <c r="B630" s="347"/>
      <c r="C630" s="347"/>
      <c r="E630" s="581"/>
      <c r="F630" s="581"/>
      <c r="G630" s="347"/>
      <c r="H630" s="347"/>
      <c r="J630" s="347"/>
      <c r="K630" s="347"/>
      <c r="M630" s="347"/>
    </row>
    <row r="631" spans="2:13">
      <c r="B631" s="347"/>
      <c r="C631" s="347"/>
      <c r="E631" s="581"/>
      <c r="F631" s="581"/>
      <c r="G631" s="347"/>
      <c r="H631" s="347"/>
      <c r="J631" s="347"/>
      <c r="K631" s="347"/>
      <c r="M631" s="347"/>
    </row>
    <row r="632" spans="2:13">
      <c r="B632" s="347"/>
      <c r="C632" s="347"/>
      <c r="E632" s="581"/>
      <c r="F632" s="581"/>
      <c r="G632" s="347"/>
      <c r="H632" s="347"/>
      <c r="J632" s="347"/>
      <c r="K632" s="347"/>
      <c r="M632" s="347"/>
    </row>
    <row r="633" spans="2:13">
      <c r="B633" s="347"/>
      <c r="C633" s="347"/>
      <c r="E633" s="581"/>
      <c r="F633" s="581"/>
      <c r="G633" s="347"/>
      <c r="H633" s="347"/>
      <c r="J633" s="347"/>
      <c r="K633" s="347"/>
      <c r="M633" s="347"/>
    </row>
    <row r="634" spans="2:13">
      <c r="B634" s="347"/>
      <c r="C634" s="347"/>
      <c r="E634" s="581"/>
      <c r="F634" s="581"/>
      <c r="G634" s="347"/>
      <c r="H634" s="347"/>
      <c r="J634" s="347"/>
      <c r="K634" s="347"/>
      <c r="M634" s="347"/>
    </row>
    <row r="635" spans="2:13">
      <c r="B635" s="347"/>
      <c r="C635" s="347"/>
      <c r="E635" s="581"/>
      <c r="F635" s="581"/>
      <c r="G635" s="347"/>
      <c r="H635" s="347"/>
      <c r="J635" s="347"/>
      <c r="K635" s="347"/>
      <c r="M635" s="347"/>
    </row>
    <row r="636" spans="2:13">
      <c r="B636" s="347"/>
      <c r="C636" s="347"/>
      <c r="E636" s="581"/>
      <c r="F636" s="581"/>
      <c r="G636" s="347"/>
      <c r="H636" s="347"/>
      <c r="J636" s="347"/>
      <c r="K636" s="347"/>
      <c r="M636" s="347"/>
    </row>
    <row r="637" spans="2:13">
      <c r="B637" s="347"/>
      <c r="C637" s="347"/>
      <c r="E637" s="581"/>
      <c r="F637" s="581"/>
      <c r="G637" s="347"/>
      <c r="H637" s="347"/>
      <c r="J637" s="347"/>
      <c r="K637" s="347"/>
      <c r="M637" s="347"/>
    </row>
    <row r="638" spans="2:13">
      <c r="B638" s="347"/>
      <c r="C638" s="347"/>
      <c r="E638" s="581"/>
      <c r="F638" s="581"/>
      <c r="G638" s="347"/>
      <c r="H638" s="347"/>
      <c r="J638" s="347"/>
      <c r="K638" s="347"/>
      <c r="M638" s="347"/>
    </row>
    <row r="639" spans="2:13">
      <c r="B639" s="347"/>
      <c r="C639" s="347"/>
      <c r="E639" s="581"/>
      <c r="F639" s="581"/>
      <c r="G639" s="347"/>
      <c r="H639" s="347"/>
      <c r="J639" s="347"/>
      <c r="K639" s="347"/>
      <c r="M639" s="347"/>
    </row>
    <row r="640" spans="2:13">
      <c r="B640" s="347"/>
      <c r="C640" s="347"/>
      <c r="E640" s="581"/>
      <c r="F640" s="581"/>
      <c r="G640" s="347"/>
      <c r="H640" s="347"/>
      <c r="J640" s="347"/>
      <c r="K640" s="347"/>
      <c r="M640" s="347"/>
    </row>
    <row r="641" spans="2:13">
      <c r="B641" s="347"/>
      <c r="C641" s="347"/>
      <c r="E641" s="581"/>
      <c r="F641" s="581"/>
      <c r="G641" s="347"/>
      <c r="H641" s="347"/>
      <c r="J641" s="347"/>
      <c r="K641" s="347"/>
      <c r="M641" s="347"/>
    </row>
    <row r="642" spans="2:13">
      <c r="B642" s="347"/>
      <c r="C642" s="347"/>
      <c r="E642" s="581"/>
      <c r="F642" s="581"/>
      <c r="G642" s="347"/>
      <c r="H642" s="347"/>
      <c r="J642" s="347"/>
      <c r="K642" s="347"/>
      <c r="M642" s="347"/>
    </row>
    <row r="643" spans="2:13">
      <c r="B643" s="347"/>
      <c r="C643" s="347"/>
      <c r="E643" s="581"/>
      <c r="F643" s="581"/>
      <c r="G643" s="347"/>
      <c r="H643" s="347"/>
      <c r="J643" s="347"/>
      <c r="K643" s="347"/>
      <c r="M643" s="347"/>
    </row>
    <row r="644" spans="2:13">
      <c r="B644" s="347"/>
      <c r="C644" s="347"/>
      <c r="E644" s="581"/>
      <c r="F644" s="581"/>
      <c r="G644" s="347"/>
      <c r="H644" s="347"/>
      <c r="J644" s="347"/>
      <c r="K644" s="347"/>
      <c r="M644" s="347"/>
    </row>
    <row r="645" spans="2:13">
      <c r="B645" s="347"/>
      <c r="C645" s="347"/>
      <c r="E645" s="581"/>
      <c r="F645" s="581"/>
      <c r="G645" s="347"/>
      <c r="H645" s="347"/>
      <c r="J645" s="347"/>
      <c r="K645" s="347"/>
      <c r="M645" s="347"/>
    </row>
    <row r="646" spans="2:13">
      <c r="B646" s="347"/>
      <c r="C646" s="347"/>
      <c r="E646" s="581"/>
      <c r="F646" s="581"/>
      <c r="G646" s="347"/>
      <c r="H646" s="347"/>
      <c r="J646" s="347"/>
      <c r="K646" s="347"/>
      <c r="M646" s="347"/>
    </row>
    <row r="647" spans="2:13">
      <c r="B647" s="347"/>
      <c r="C647" s="347"/>
      <c r="E647" s="581"/>
      <c r="F647" s="581"/>
      <c r="G647" s="347"/>
      <c r="H647" s="347"/>
      <c r="J647" s="347"/>
      <c r="K647" s="347"/>
      <c r="M647" s="347"/>
    </row>
    <row r="648" spans="2:13">
      <c r="B648" s="347"/>
      <c r="C648" s="347"/>
      <c r="E648" s="581"/>
      <c r="F648" s="581"/>
      <c r="G648" s="347"/>
      <c r="H648" s="347"/>
      <c r="J648" s="347"/>
      <c r="K648" s="347"/>
      <c r="M648" s="347"/>
    </row>
    <row r="649" spans="2:13">
      <c r="B649" s="347"/>
      <c r="C649" s="347"/>
      <c r="E649" s="581"/>
      <c r="F649" s="581"/>
      <c r="G649" s="347"/>
      <c r="H649" s="347"/>
      <c r="J649" s="347"/>
      <c r="K649" s="347"/>
      <c r="M649" s="347"/>
    </row>
    <row r="650" spans="2:13">
      <c r="B650" s="347"/>
      <c r="C650" s="347"/>
      <c r="E650" s="581"/>
      <c r="F650" s="581"/>
      <c r="G650" s="347"/>
      <c r="H650" s="347"/>
      <c r="J650" s="347"/>
      <c r="K650" s="347"/>
      <c r="M650" s="347"/>
    </row>
    <row r="651" spans="2:13">
      <c r="B651" s="347"/>
      <c r="C651" s="347"/>
      <c r="E651" s="581"/>
      <c r="F651" s="581"/>
      <c r="G651" s="347"/>
      <c r="H651" s="347"/>
      <c r="J651" s="347"/>
      <c r="K651" s="347"/>
      <c r="M651" s="347"/>
    </row>
    <row r="652" spans="2:13">
      <c r="B652" s="347"/>
      <c r="C652" s="347"/>
      <c r="E652" s="581"/>
      <c r="F652" s="581"/>
      <c r="G652" s="347"/>
      <c r="H652" s="347"/>
      <c r="J652" s="347"/>
      <c r="K652" s="347"/>
      <c r="M652" s="347"/>
    </row>
    <row r="653" spans="2:13">
      <c r="B653" s="347"/>
      <c r="C653" s="347"/>
      <c r="E653" s="581"/>
      <c r="F653" s="581"/>
      <c r="G653" s="347"/>
      <c r="H653" s="347"/>
      <c r="J653" s="347"/>
      <c r="K653" s="347"/>
      <c r="M653" s="347"/>
    </row>
    <row r="654" spans="2:13">
      <c r="B654" s="347"/>
      <c r="C654" s="347"/>
      <c r="E654" s="581"/>
      <c r="F654" s="581"/>
      <c r="G654" s="347"/>
      <c r="H654" s="347"/>
      <c r="J654" s="347"/>
      <c r="K654" s="347"/>
      <c r="M654" s="347"/>
    </row>
    <row r="655" spans="2:13">
      <c r="B655" s="347"/>
      <c r="C655" s="347"/>
      <c r="E655" s="581"/>
      <c r="F655" s="581"/>
      <c r="G655" s="347"/>
      <c r="H655" s="347"/>
      <c r="J655" s="347"/>
      <c r="K655" s="347"/>
      <c r="M655" s="347"/>
    </row>
    <row r="656" spans="2:13">
      <c r="B656" s="347"/>
      <c r="C656" s="347"/>
      <c r="E656" s="581"/>
      <c r="F656" s="581"/>
      <c r="G656" s="347"/>
      <c r="H656" s="347"/>
      <c r="J656" s="347"/>
      <c r="K656" s="347"/>
      <c r="M656" s="347"/>
    </row>
    <row r="657" spans="2:13">
      <c r="B657" s="347"/>
      <c r="C657" s="347"/>
      <c r="E657" s="581"/>
      <c r="F657" s="581"/>
      <c r="G657" s="347"/>
      <c r="H657" s="347"/>
      <c r="J657" s="347"/>
      <c r="K657" s="347"/>
      <c r="M657" s="347"/>
    </row>
    <row r="658" spans="2:13">
      <c r="B658" s="347"/>
      <c r="C658" s="347"/>
      <c r="E658" s="581"/>
      <c r="F658" s="581"/>
      <c r="G658" s="347"/>
      <c r="H658" s="347"/>
      <c r="J658" s="347"/>
      <c r="K658" s="347"/>
      <c r="M658" s="347"/>
    </row>
    <row r="659" spans="2:13">
      <c r="B659" s="347"/>
      <c r="C659" s="347"/>
      <c r="E659" s="581"/>
      <c r="F659" s="581"/>
      <c r="G659" s="347"/>
      <c r="H659" s="347"/>
      <c r="J659" s="347"/>
      <c r="K659" s="347"/>
      <c r="M659" s="347"/>
    </row>
    <row r="660" spans="2:13">
      <c r="B660" s="347"/>
      <c r="C660" s="347"/>
      <c r="E660" s="581"/>
      <c r="F660" s="581"/>
      <c r="G660" s="347"/>
      <c r="H660" s="347"/>
      <c r="J660" s="347"/>
      <c r="K660" s="347"/>
      <c r="M660" s="347"/>
    </row>
    <row r="661" spans="2:13">
      <c r="B661" s="347"/>
      <c r="C661" s="347"/>
      <c r="E661" s="581"/>
      <c r="F661" s="581"/>
      <c r="G661" s="347"/>
      <c r="H661" s="347"/>
      <c r="J661" s="347"/>
      <c r="K661" s="347"/>
      <c r="M661" s="347"/>
    </row>
    <row r="662" spans="2:13">
      <c r="B662" s="347"/>
      <c r="C662" s="347"/>
      <c r="E662" s="581"/>
      <c r="F662" s="581"/>
      <c r="G662" s="347"/>
      <c r="H662" s="347"/>
      <c r="J662" s="347"/>
      <c r="K662" s="347"/>
      <c r="M662" s="347"/>
    </row>
    <row r="663" spans="2:13">
      <c r="B663" s="347"/>
      <c r="C663" s="347"/>
      <c r="E663" s="581"/>
      <c r="F663" s="581"/>
      <c r="G663" s="347"/>
      <c r="H663" s="347"/>
      <c r="J663" s="347"/>
      <c r="K663" s="347"/>
      <c r="M663" s="347"/>
    </row>
    <row r="664" spans="2:13">
      <c r="B664" s="347"/>
      <c r="C664" s="347"/>
      <c r="E664" s="581"/>
      <c r="F664" s="581"/>
      <c r="G664" s="347"/>
      <c r="H664" s="347"/>
      <c r="J664" s="347"/>
      <c r="K664" s="347"/>
      <c r="M664" s="347"/>
    </row>
    <row r="665" spans="2:13">
      <c r="B665" s="347"/>
      <c r="C665" s="347"/>
      <c r="E665" s="581"/>
      <c r="F665" s="581"/>
      <c r="G665" s="347"/>
      <c r="H665" s="347"/>
      <c r="J665" s="347"/>
      <c r="K665" s="347"/>
      <c r="M665" s="347"/>
    </row>
    <row r="666" spans="2:13">
      <c r="B666" s="347"/>
      <c r="C666" s="347"/>
      <c r="E666" s="581"/>
      <c r="F666" s="581"/>
      <c r="G666" s="347"/>
      <c r="H666" s="347"/>
      <c r="J666" s="347"/>
      <c r="K666" s="347"/>
      <c r="M666" s="347"/>
    </row>
    <row r="667" spans="2:13">
      <c r="B667" s="347"/>
      <c r="C667" s="347"/>
      <c r="E667" s="581"/>
      <c r="F667" s="581"/>
      <c r="G667" s="347"/>
      <c r="H667" s="347"/>
      <c r="J667" s="347"/>
      <c r="K667" s="347"/>
      <c r="M667" s="347"/>
    </row>
    <row r="668" spans="2:13">
      <c r="B668" s="347"/>
      <c r="C668" s="347"/>
      <c r="E668" s="581"/>
      <c r="F668" s="581"/>
      <c r="G668" s="347"/>
      <c r="H668" s="347"/>
      <c r="J668" s="347"/>
      <c r="K668" s="347"/>
      <c r="M668" s="347"/>
    </row>
    <row r="669" spans="2:13">
      <c r="B669" s="347"/>
      <c r="C669" s="347"/>
      <c r="E669" s="581"/>
      <c r="F669" s="581"/>
      <c r="G669" s="347"/>
      <c r="H669" s="347"/>
      <c r="J669" s="347"/>
      <c r="K669" s="347"/>
      <c r="M669" s="347"/>
    </row>
    <row r="670" spans="2:13">
      <c r="B670" s="347"/>
      <c r="C670" s="347"/>
      <c r="E670" s="581"/>
      <c r="F670" s="581"/>
      <c r="G670" s="347"/>
      <c r="H670" s="347"/>
      <c r="J670" s="347"/>
      <c r="K670" s="347"/>
      <c r="M670" s="347"/>
    </row>
    <row r="671" spans="2:13">
      <c r="B671" s="347"/>
      <c r="C671" s="347"/>
      <c r="E671" s="581"/>
      <c r="F671" s="581"/>
      <c r="G671" s="347"/>
      <c r="H671" s="347"/>
      <c r="J671" s="347"/>
      <c r="K671" s="347"/>
      <c r="M671" s="347"/>
    </row>
    <row r="672" spans="2:13">
      <c r="B672" s="347"/>
      <c r="C672" s="347"/>
      <c r="E672" s="581"/>
      <c r="F672" s="581"/>
      <c r="G672" s="347"/>
      <c r="H672" s="347"/>
      <c r="J672" s="347"/>
      <c r="K672" s="347"/>
      <c r="M672" s="347"/>
    </row>
    <row r="673" spans="2:13">
      <c r="B673" s="347"/>
      <c r="C673" s="347"/>
      <c r="E673" s="581"/>
      <c r="F673" s="581"/>
      <c r="G673" s="347"/>
      <c r="H673" s="347"/>
      <c r="J673" s="347"/>
      <c r="K673" s="347"/>
      <c r="M673" s="347"/>
    </row>
    <row r="674" spans="2:13">
      <c r="B674" s="347"/>
      <c r="C674" s="347"/>
      <c r="E674" s="581"/>
      <c r="F674" s="581"/>
      <c r="G674" s="347"/>
      <c r="H674" s="347"/>
      <c r="J674" s="347"/>
      <c r="K674" s="347"/>
      <c r="M674" s="347"/>
    </row>
    <row r="675" spans="2:13">
      <c r="B675" s="347"/>
      <c r="C675" s="347"/>
      <c r="E675" s="581"/>
      <c r="F675" s="581"/>
      <c r="G675" s="347"/>
      <c r="H675" s="347"/>
      <c r="J675" s="347"/>
      <c r="K675" s="347"/>
      <c r="M675" s="347"/>
    </row>
    <row r="676" spans="2:13">
      <c r="B676" s="347"/>
      <c r="C676" s="347"/>
      <c r="E676" s="581"/>
      <c r="F676" s="581"/>
      <c r="G676" s="347"/>
      <c r="H676" s="347"/>
      <c r="J676" s="347"/>
      <c r="K676" s="347"/>
      <c r="M676" s="347"/>
    </row>
    <row r="677" spans="2:13">
      <c r="B677" s="347"/>
      <c r="C677" s="347"/>
      <c r="E677" s="581"/>
      <c r="F677" s="581"/>
      <c r="G677" s="347"/>
      <c r="H677" s="347"/>
      <c r="J677" s="347"/>
      <c r="K677" s="347"/>
      <c r="M677" s="347"/>
    </row>
    <row r="678" spans="2:13">
      <c r="B678" s="347"/>
      <c r="C678" s="347"/>
      <c r="E678" s="581"/>
      <c r="F678" s="581"/>
      <c r="G678" s="347"/>
      <c r="H678" s="347"/>
      <c r="J678" s="347"/>
      <c r="K678" s="347"/>
      <c r="M678" s="347"/>
    </row>
    <row r="679" spans="2:13">
      <c r="B679" s="347"/>
      <c r="C679" s="347"/>
      <c r="E679" s="581"/>
      <c r="F679" s="581"/>
      <c r="G679" s="347"/>
      <c r="H679" s="347"/>
      <c r="J679" s="347"/>
      <c r="K679" s="347"/>
      <c r="M679" s="347"/>
    </row>
    <row r="680" spans="2:13">
      <c r="B680" s="347"/>
      <c r="C680" s="347"/>
      <c r="E680" s="581"/>
      <c r="F680" s="581"/>
      <c r="G680" s="347"/>
      <c r="H680" s="347"/>
      <c r="J680" s="347"/>
      <c r="K680" s="347"/>
      <c r="M680" s="347"/>
    </row>
    <row r="681" spans="2:13">
      <c r="B681" s="347"/>
      <c r="C681" s="347"/>
      <c r="E681" s="581"/>
      <c r="F681" s="581"/>
      <c r="G681" s="347"/>
      <c r="H681" s="347"/>
      <c r="J681" s="347"/>
      <c r="K681" s="347"/>
      <c r="M681" s="347"/>
    </row>
    <row r="682" spans="2:13">
      <c r="B682" s="347"/>
      <c r="C682" s="347"/>
      <c r="E682" s="581"/>
      <c r="F682" s="581"/>
      <c r="G682" s="347"/>
      <c r="H682" s="347"/>
      <c r="J682" s="347"/>
      <c r="K682" s="347"/>
      <c r="M682" s="347"/>
    </row>
    <row r="683" spans="2:13">
      <c r="B683" s="347"/>
      <c r="C683" s="347"/>
      <c r="E683" s="581"/>
      <c r="F683" s="581"/>
      <c r="G683" s="347"/>
      <c r="H683" s="347"/>
      <c r="J683" s="347"/>
      <c r="K683" s="347"/>
      <c r="M683" s="347"/>
    </row>
    <row r="684" spans="2:13">
      <c r="B684" s="347"/>
      <c r="C684" s="347"/>
      <c r="E684" s="581"/>
      <c r="F684" s="581"/>
      <c r="G684" s="347"/>
      <c r="H684" s="347"/>
      <c r="J684" s="347"/>
      <c r="K684" s="347"/>
      <c r="M684" s="347"/>
    </row>
    <row r="685" spans="2:13">
      <c r="B685" s="347"/>
      <c r="C685" s="347"/>
      <c r="E685" s="581"/>
      <c r="F685" s="581"/>
      <c r="G685" s="347"/>
      <c r="H685" s="347"/>
      <c r="J685" s="347"/>
      <c r="K685" s="347"/>
      <c r="M685" s="347"/>
    </row>
    <row r="686" spans="2:13">
      <c r="B686" s="347"/>
      <c r="C686" s="347"/>
      <c r="E686" s="581"/>
      <c r="F686" s="581"/>
      <c r="G686" s="347"/>
      <c r="H686" s="347"/>
      <c r="J686" s="347"/>
      <c r="K686" s="347"/>
      <c r="M686" s="347"/>
    </row>
    <row r="687" spans="2:13">
      <c r="B687" s="347"/>
      <c r="C687" s="347"/>
      <c r="E687" s="581"/>
      <c r="F687" s="581"/>
      <c r="G687" s="347"/>
      <c r="H687" s="347"/>
      <c r="J687" s="347"/>
      <c r="K687" s="347"/>
      <c r="M687" s="347"/>
    </row>
    <row r="688" spans="2:13">
      <c r="B688" s="347"/>
      <c r="C688" s="347"/>
      <c r="E688" s="581"/>
      <c r="F688" s="581"/>
      <c r="G688" s="347"/>
      <c r="H688" s="347"/>
      <c r="J688" s="347"/>
      <c r="K688" s="347"/>
      <c r="M688" s="347"/>
    </row>
    <row r="689" spans="2:13">
      <c r="B689" s="347"/>
      <c r="C689" s="347"/>
      <c r="E689" s="581"/>
      <c r="F689" s="581"/>
      <c r="G689" s="347"/>
      <c r="H689" s="347"/>
      <c r="J689" s="347"/>
      <c r="K689" s="347"/>
      <c r="M689" s="347"/>
    </row>
    <row r="690" spans="2:13">
      <c r="B690" s="347"/>
      <c r="C690" s="347"/>
      <c r="E690" s="581"/>
      <c r="F690" s="581"/>
      <c r="G690" s="347"/>
      <c r="H690" s="347"/>
      <c r="J690" s="347"/>
      <c r="K690" s="347"/>
      <c r="M690" s="347"/>
    </row>
    <row r="691" spans="2:13">
      <c r="B691" s="347"/>
      <c r="C691" s="347"/>
      <c r="E691" s="581"/>
      <c r="F691" s="581"/>
      <c r="G691" s="347"/>
      <c r="H691" s="347"/>
      <c r="J691" s="347"/>
      <c r="K691" s="347"/>
      <c r="M691" s="347"/>
    </row>
    <row r="692" spans="2:13">
      <c r="B692" s="347"/>
      <c r="C692" s="347"/>
      <c r="E692" s="581"/>
      <c r="F692" s="581"/>
      <c r="G692" s="347"/>
      <c r="H692" s="347"/>
      <c r="J692" s="347"/>
      <c r="K692" s="347"/>
      <c r="M692" s="347"/>
    </row>
    <row r="693" spans="2:13">
      <c r="B693" s="347"/>
      <c r="C693" s="347"/>
      <c r="E693" s="581"/>
      <c r="F693" s="581"/>
      <c r="G693" s="347"/>
      <c r="H693" s="347"/>
      <c r="J693" s="347"/>
      <c r="K693" s="347"/>
      <c r="M693" s="347"/>
    </row>
    <row r="694" spans="2:13">
      <c r="B694" s="347"/>
      <c r="C694" s="347"/>
      <c r="E694" s="581"/>
      <c r="F694" s="581"/>
      <c r="G694" s="347"/>
      <c r="H694" s="347"/>
      <c r="J694" s="347"/>
      <c r="K694" s="347"/>
      <c r="M694" s="347"/>
    </row>
    <row r="695" spans="2:13">
      <c r="B695" s="347"/>
      <c r="C695" s="347"/>
      <c r="E695" s="581"/>
      <c r="F695" s="581"/>
      <c r="G695" s="347"/>
      <c r="H695" s="347"/>
      <c r="J695" s="347"/>
      <c r="K695" s="347"/>
      <c r="M695" s="347"/>
    </row>
    <row r="696" spans="2:13">
      <c r="B696" s="347"/>
      <c r="C696" s="347"/>
      <c r="E696" s="581"/>
      <c r="F696" s="581"/>
      <c r="G696" s="347"/>
      <c r="H696" s="347"/>
      <c r="J696" s="347"/>
      <c r="K696" s="347"/>
      <c r="M696" s="347"/>
    </row>
    <row r="697" spans="2:13">
      <c r="B697" s="347"/>
      <c r="C697" s="347"/>
      <c r="E697" s="581"/>
      <c r="F697" s="581"/>
      <c r="G697" s="347"/>
      <c r="H697" s="347"/>
      <c r="J697" s="347"/>
      <c r="K697" s="347"/>
      <c r="M697" s="347"/>
    </row>
    <row r="698" spans="2:13">
      <c r="B698" s="347"/>
      <c r="C698" s="347"/>
      <c r="E698" s="581"/>
      <c r="F698" s="581"/>
      <c r="G698" s="347"/>
      <c r="H698" s="347"/>
      <c r="J698" s="347"/>
      <c r="K698" s="347"/>
      <c r="M698" s="347"/>
    </row>
    <row r="699" spans="2:13">
      <c r="B699" s="347"/>
      <c r="C699" s="347"/>
      <c r="E699" s="581"/>
      <c r="F699" s="581"/>
      <c r="G699" s="347"/>
      <c r="H699" s="347"/>
      <c r="J699" s="347"/>
      <c r="K699" s="347"/>
      <c r="M699" s="347"/>
    </row>
    <row r="700" spans="2:13">
      <c r="B700" s="347"/>
      <c r="C700" s="347"/>
      <c r="E700" s="581"/>
      <c r="F700" s="581"/>
      <c r="G700" s="347"/>
      <c r="H700" s="347"/>
      <c r="J700" s="347"/>
      <c r="K700" s="347"/>
      <c r="M700" s="347"/>
    </row>
    <row r="701" spans="2:13">
      <c r="B701" s="347"/>
      <c r="C701" s="347"/>
      <c r="E701" s="581"/>
      <c r="F701" s="581"/>
      <c r="G701" s="347"/>
      <c r="H701" s="347"/>
      <c r="J701" s="347"/>
      <c r="K701" s="347"/>
      <c r="M701" s="347"/>
    </row>
    <row r="702" spans="2:13">
      <c r="B702" s="347"/>
      <c r="C702" s="347"/>
      <c r="E702" s="581"/>
      <c r="F702" s="581"/>
      <c r="G702" s="347"/>
      <c r="H702" s="347"/>
      <c r="J702" s="347"/>
      <c r="K702" s="347"/>
      <c r="M702" s="347"/>
    </row>
    <row r="703" spans="2:13">
      <c r="B703" s="347"/>
      <c r="C703" s="347"/>
      <c r="E703" s="581"/>
      <c r="F703" s="581"/>
      <c r="G703" s="347"/>
      <c r="H703" s="347"/>
      <c r="J703" s="347"/>
      <c r="K703" s="347"/>
      <c r="M703" s="347"/>
    </row>
    <row r="704" spans="2:13">
      <c r="B704" s="347"/>
      <c r="C704" s="347"/>
      <c r="E704" s="581"/>
      <c r="F704" s="581"/>
      <c r="G704" s="347"/>
      <c r="H704" s="347"/>
      <c r="J704" s="347"/>
      <c r="K704" s="347"/>
      <c r="M704" s="347"/>
    </row>
    <row r="705" spans="2:13">
      <c r="B705" s="347"/>
      <c r="C705" s="347"/>
      <c r="E705" s="581"/>
      <c r="F705" s="581"/>
      <c r="G705" s="347"/>
      <c r="H705" s="347"/>
      <c r="J705" s="347"/>
      <c r="K705" s="347"/>
      <c r="M705" s="347"/>
    </row>
    <row r="706" spans="2:13">
      <c r="B706" s="347"/>
      <c r="C706" s="347"/>
      <c r="E706" s="581"/>
      <c r="F706" s="581"/>
      <c r="G706" s="347"/>
      <c r="H706" s="347"/>
      <c r="J706" s="347"/>
      <c r="K706" s="347"/>
      <c r="M706" s="347"/>
    </row>
    <row r="707" spans="2:13">
      <c r="B707" s="347"/>
      <c r="C707" s="347"/>
      <c r="E707" s="581"/>
      <c r="F707" s="581"/>
      <c r="G707" s="347"/>
      <c r="H707" s="347"/>
      <c r="J707" s="347"/>
      <c r="K707" s="347"/>
      <c r="M707" s="347"/>
    </row>
    <row r="708" spans="2:13">
      <c r="B708" s="347"/>
      <c r="C708" s="347"/>
      <c r="E708" s="581"/>
      <c r="F708" s="581"/>
      <c r="G708" s="347"/>
      <c r="H708" s="347"/>
      <c r="J708" s="347"/>
      <c r="K708" s="347"/>
      <c r="M708" s="347"/>
    </row>
    <row r="709" spans="2:13">
      <c r="B709" s="347"/>
      <c r="C709" s="347"/>
      <c r="E709" s="581"/>
      <c r="F709" s="581"/>
      <c r="G709" s="347"/>
      <c r="H709" s="347"/>
      <c r="J709" s="347"/>
      <c r="K709" s="347"/>
      <c r="M709" s="347"/>
    </row>
    <row r="710" spans="2:13">
      <c r="B710" s="347"/>
      <c r="C710" s="347"/>
      <c r="E710" s="581"/>
      <c r="F710" s="581"/>
      <c r="G710" s="347"/>
      <c r="H710" s="347"/>
      <c r="J710" s="347"/>
      <c r="K710" s="347"/>
      <c r="M710" s="347"/>
    </row>
    <row r="711" spans="2:13">
      <c r="B711" s="347"/>
      <c r="C711" s="347"/>
      <c r="E711" s="581"/>
      <c r="F711" s="581"/>
      <c r="G711" s="347"/>
      <c r="H711" s="347"/>
      <c r="J711" s="347"/>
      <c r="K711" s="347"/>
      <c r="M711" s="347"/>
    </row>
    <row r="712" spans="2:13">
      <c r="B712" s="347"/>
      <c r="C712" s="347"/>
      <c r="E712" s="581"/>
      <c r="F712" s="581"/>
      <c r="G712" s="347"/>
      <c r="H712" s="347"/>
      <c r="J712" s="347"/>
      <c r="K712" s="347"/>
      <c r="M712" s="347"/>
    </row>
    <row r="713" spans="2:13">
      <c r="B713" s="347"/>
      <c r="C713" s="347"/>
      <c r="E713" s="581"/>
      <c r="F713" s="581"/>
      <c r="G713" s="347"/>
      <c r="H713" s="347"/>
      <c r="J713" s="347"/>
      <c r="K713" s="347"/>
      <c r="M713" s="347"/>
    </row>
    <row r="714" spans="2:13">
      <c r="B714" s="347"/>
      <c r="C714" s="347"/>
      <c r="E714" s="581"/>
      <c r="F714" s="581"/>
      <c r="G714" s="347"/>
      <c r="H714" s="347"/>
      <c r="J714" s="347"/>
      <c r="K714" s="347"/>
      <c r="M714" s="347"/>
    </row>
    <row r="715" spans="2:13">
      <c r="B715" s="347"/>
      <c r="C715" s="347"/>
      <c r="E715" s="581"/>
      <c r="F715" s="581"/>
      <c r="G715" s="347"/>
      <c r="H715" s="347"/>
      <c r="J715" s="347"/>
      <c r="K715" s="347"/>
      <c r="M715" s="347"/>
    </row>
    <row r="716" spans="2:13">
      <c r="B716" s="347"/>
      <c r="C716" s="347"/>
      <c r="E716" s="581"/>
      <c r="F716" s="581"/>
      <c r="G716" s="347"/>
      <c r="H716" s="347"/>
      <c r="J716" s="347"/>
      <c r="K716" s="347"/>
      <c r="M716" s="347"/>
    </row>
    <row r="717" spans="2:13">
      <c r="B717" s="347"/>
      <c r="C717" s="347"/>
      <c r="E717" s="581"/>
      <c r="F717" s="581"/>
      <c r="G717" s="347"/>
      <c r="H717" s="347"/>
      <c r="J717" s="347"/>
      <c r="K717" s="347"/>
      <c r="M717" s="347"/>
    </row>
    <row r="718" spans="2:13">
      <c r="B718" s="347"/>
      <c r="C718" s="347"/>
      <c r="E718" s="581"/>
      <c r="F718" s="581"/>
      <c r="G718" s="347"/>
      <c r="H718" s="347"/>
      <c r="J718" s="347"/>
      <c r="K718" s="347"/>
      <c r="M718" s="347"/>
    </row>
    <row r="719" spans="2:13">
      <c r="B719" s="347"/>
      <c r="C719" s="347"/>
      <c r="E719" s="581"/>
      <c r="F719" s="581"/>
      <c r="G719" s="347"/>
      <c r="H719" s="347"/>
      <c r="J719" s="347"/>
      <c r="K719" s="347"/>
      <c r="M719" s="347"/>
    </row>
    <row r="720" spans="2:13">
      <c r="B720" s="347"/>
      <c r="C720" s="347"/>
      <c r="E720" s="581"/>
      <c r="F720" s="581"/>
      <c r="G720" s="347"/>
      <c r="H720" s="347"/>
      <c r="J720" s="347"/>
      <c r="K720" s="347"/>
      <c r="M720" s="347"/>
    </row>
    <row r="721" spans="2:13">
      <c r="B721" s="347"/>
      <c r="C721" s="347"/>
      <c r="E721" s="581"/>
      <c r="F721" s="581"/>
      <c r="G721" s="347"/>
      <c r="H721" s="347"/>
      <c r="J721" s="347"/>
      <c r="K721" s="347"/>
      <c r="M721" s="347"/>
    </row>
    <row r="722" spans="2:13">
      <c r="B722" s="347"/>
      <c r="C722" s="347"/>
      <c r="E722" s="581"/>
      <c r="F722" s="581"/>
      <c r="G722" s="347"/>
      <c r="H722" s="347"/>
      <c r="J722" s="347"/>
      <c r="K722" s="347"/>
      <c r="M722" s="347"/>
    </row>
    <row r="723" spans="2:13">
      <c r="B723" s="347"/>
      <c r="C723" s="347"/>
      <c r="E723" s="581"/>
      <c r="F723" s="581"/>
      <c r="G723" s="347"/>
      <c r="H723" s="347"/>
      <c r="J723" s="347"/>
      <c r="K723" s="347"/>
      <c r="M723" s="347"/>
    </row>
    <row r="724" spans="2:13">
      <c r="B724" s="347"/>
      <c r="C724" s="347"/>
      <c r="E724" s="581"/>
      <c r="F724" s="581"/>
      <c r="G724" s="347"/>
      <c r="H724" s="347"/>
      <c r="J724" s="347"/>
      <c r="K724" s="347"/>
      <c r="M724" s="347"/>
    </row>
    <row r="725" spans="2:13">
      <c r="B725" s="347"/>
      <c r="C725" s="347"/>
      <c r="E725" s="581"/>
      <c r="F725" s="581"/>
      <c r="G725" s="347"/>
      <c r="H725" s="347"/>
      <c r="J725" s="347"/>
      <c r="K725" s="347"/>
      <c r="M725" s="347"/>
    </row>
    <row r="726" spans="2:13">
      <c r="B726" s="347"/>
      <c r="C726" s="347"/>
      <c r="E726" s="581"/>
      <c r="F726" s="581"/>
      <c r="G726" s="347"/>
      <c r="H726" s="347"/>
      <c r="J726" s="347"/>
      <c r="K726" s="347"/>
      <c r="M726" s="347"/>
    </row>
    <row r="727" spans="2:13">
      <c r="B727" s="347"/>
      <c r="C727" s="347"/>
      <c r="E727" s="581"/>
      <c r="F727" s="581"/>
      <c r="G727" s="347"/>
      <c r="H727" s="347"/>
      <c r="J727" s="347"/>
      <c r="K727" s="347"/>
      <c r="M727" s="347"/>
    </row>
    <row r="728" spans="2:13">
      <c r="B728" s="347"/>
      <c r="C728" s="347"/>
      <c r="E728" s="581"/>
      <c r="F728" s="581"/>
      <c r="G728" s="347"/>
      <c r="H728" s="347"/>
      <c r="J728" s="347"/>
      <c r="K728" s="347"/>
      <c r="M728" s="347"/>
    </row>
    <row r="729" spans="2:13">
      <c r="B729" s="347"/>
      <c r="C729" s="347"/>
      <c r="E729" s="581"/>
      <c r="F729" s="581"/>
      <c r="G729" s="347"/>
      <c r="H729" s="347"/>
      <c r="J729" s="347"/>
      <c r="K729" s="347"/>
      <c r="M729" s="347"/>
    </row>
    <row r="730" spans="2:13">
      <c r="B730" s="347"/>
      <c r="C730" s="347"/>
      <c r="E730" s="581"/>
      <c r="F730" s="581"/>
      <c r="G730" s="347"/>
      <c r="H730" s="347"/>
      <c r="J730" s="347"/>
      <c r="K730" s="347"/>
      <c r="M730" s="347"/>
    </row>
    <row r="731" spans="2:13">
      <c r="B731" s="347"/>
      <c r="C731" s="347"/>
      <c r="E731" s="581"/>
      <c r="F731" s="581"/>
      <c r="G731" s="347"/>
      <c r="H731" s="347"/>
      <c r="J731" s="347"/>
      <c r="K731" s="347"/>
      <c r="M731" s="347"/>
    </row>
    <row r="732" spans="2:13">
      <c r="B732" s="347"/>
      <c r="C732" s="347"/>
      <c r="E732" s="581"/>
      <c r="F732" s="581"/>
      <c r="G732" s="347"/>
      <c r="H732" s="347"/>
      <c r="J732" s="347"/>
      <c r="K732" s="347"/>
      <c r="M732" s="347"/>
    </row>
    <row r="733" spans="2:13">
      <c r="B733" s="347"/>
      <c r="C733" s="347"/>
      <c r="E733" s="581"/>
      <c r="F733" s="581"/>
      <c r="G733" s="347"/>
      <c r="H733" s="347"/>
      <c r="J733" s="347"/>
      <c r="K733" s="347"/>
      <c r="M733" s="347"/>
    </row>
    <row r="734" spans="2:13">
      <c r="B734" s="347"/>
      <c r="C734" s="347"/>
      <c r="E734" s="581"/>
      <c r="F734" s="581"/>
      <c r="G734" s="347"/>
      <c r="H734" s="347"/>
      <c r="J734" s="347"/>
      <c r="K734" s="347"/>
      <c r="M734" s="347"/>
    </row>
    <row r="735" spans="2:13">
      <c r="B735" s="347"/>
      <c r="C735" s="347"/>
      <c r="E735" s="581"/>
      <c r="F735" s="581"/>
      <c r="G735" s="347"/>
      <c r="H735" s="347"/>
      <c r="J735" s="347"/>
      <c r="K735" s="347"/>
      <c r="M735" s="347"/>
    </row>
    <row r="736" spans="2:13">
      <c r="B736" s="347"/>
      <c r="C736" s="347"/>
      <c r="E736" s="581"/>
      <c r="F736" s="581"/>
      <c r="G736" s="347"/>
      <c r="H736" s="347"/>
      <c r="J736" s="347"/>
      <c r="K736" s="347"/>
      <c r="M736" s="347"/>
    </row>
    <row r="737" spans="2:13">
      <c r="B737" s="347"/>
      <c r="C737" s="347"/>
      <c r="E737" s="581"/>
      <c r="F737" s="581"/>
      <c r="G737" s="347"/>
      <c r="H737" s="347"/>
      <c r="J737" s="347"/>
      <c r="K737" s="347"/>
      <c r="M737" s="347"/>
    </row>
    <row r="738" spans="2:13">
      <c r="B738" s="347"/>
      <c r="C738" s="347"/>
      <c r="E738" s="581"/>
      <c r="F738" s="581"/>
      <c r="G738" s="347"/>
      <c r="H738" s="347"/>
      <c r="J738" s="347"/>
      <c r="K738" s="347"/>
      <c r="M738" s="347"/>
    </row>
    <row r="739" spans="2:13">
      <c r="B739" s="347"/>
      <c r="C739" s="347"/>
      <c r="E739" s="581"/>
      <c r="F739" s="581"/>
      <c r="G739" s="347"/>
      <c r="H739" s="347"/>
      <c r="J739" s="347"/>
      <c r="K739" s="347"/>
      <c r="M739" s="347"/>
    </row>
    <row r="740" spans="2:13">
      <c r="B740" s="347"/>
      <c r="C740" s="347"/>
      <c r="E740" s="581"/>
      <c r="F740" s="581"/>
      <c r="G740" s="347"/>
      <c r="H740" s="347"/>
      <c r="J740" s="347"/>
      <c r="K740" s="347"/>
      <c r="M740" s="347"/>
    </row>
    <row r="741" spans="2:13">
      <c r="B741" s="347"/>
      <c r="C741" s="347"/>
      <c r="E741" s="581"/>
      <c r="F741" s="581"/>
      <c r="G741" s="347"/>
      <c r="H741" s="347"/>
      <c r="J741" s="347"/>
      <c r="K741" s="347"/>
      <c r="M741" s="347"/>
    </row>
    <row r="742" spans="2:13">
      <c r="B742" s="347"/>
      <c r="C742" s="347"/>
      <c r="E742" s="581"/>
      <c r="F742" s="581"/>
      <c r="G742" s="347"/>
      <c r="H742" s="347"/>
      <c r="J742" s="347"/>
      <c r="K742" s="347"/>
      <c r="M742" s="347"/>
    </row>
    <row r="743" spans="2:13">
      <c r="B743" s="347"/>
      <c r="C743" s="347"/>
      <c r="E743" s="581"/>
      <c r="F743" s="581"/>
      <c r="G743" s="347"/>
      <c r="H743" s="347"/>
      <c r="J743" s="347"/>
      <c r="K743" s="347"/>
      <c r="M743" s="347"/>
    </row>
    <row r="744" spans="2:13">
      <c r="B744" s="347"/>
      <c r="C744" s="347"/>
      <c r="E744" s="581"/>
      <c r="F744" s="581"/>
      <c r="G744" s="347"/>
      <c r="H744" s="347"/>
      <c r="J744" s="347"/>
      <c r="K744" s="347"/>
      <c r="M744" s="347"/>
    </row>
    <row r="745" spans="2:13">
      <c r="B745" s="347"/>
      <c r="C745" s="347"/>
      <c r="E745" s="581"/>
      <c r="F745" s="581"/>
      <c r="G745" s="347"/>
      <c r="H745" s="347"/>
      <c r="J745" s="347"/>
      <c r="K745" s="347"/>
      <c r="M745" s="347"/>
    </row>
    <row r="746" spans="2:13">
      <c r="B746" s="347"/>
      <c r="C746" s="347"/>
      <c r="E746" s="581"/>
      <c r="F746" s="581"/>
      <c r="G746" s="347"/>
      <c r="H746" s="347"/>
      <c r="J746" s="347"/>
      <c r="K746" s="347"/>
      <c r="M746" s="347"/>
    </row>
    <row r="747" spans="2:13">
      <c r="B747" s="347"/>
      <c r="C747" s="347"/>
      <c r="E747" s="581"/>
      <c r="F747" s="581"/>
      <c r="G747" s="347"/>
      <c r="H747" s="347"/>
      <c r="J747" s="347"/>
      <c r="K747" s="347"/>
      <c r="M747" s="347"/>
    </row>
    <row r="748" spans="2:13">
      <c r="B748" s="347"/>
      <c r="C748" s="347"/>
      <c r="E748" s="581"/>
      <c r="F748" s="581"/>
      <c r="G748" s="347"/>
      <c r="H748" s="347"/>
      <c r="J748" s="347"/>
      <c r="K748" s="347"/>
      <c r="M748" s="347"/>
    </row>
    <row r="749" spans="2:13">
      <c r="B749" s="347"/>
      <c r="C749" s="347"/>
      <c r="E749" s="581"/>
      <c r="F749" s="581"/>
      <c r="G749" s="347"/>
      <c r="H749" s="347"/>
      <c r="J749" s="347"/>
      <c r="K749" s="347"/>
      <c r="M749" s="347"/>
    </row>
    <row r="750" spans="2:13">
      <c r="B750" s="347"/>
      <c r="C750" s="347"/>
      <c r="E750" s="581"/>
      <c r="F750" s="581"/>
      <c r="G750" s="347"/>
      <c r="H750" s="347"/>
      <c r="J750" s="347"/>
      <c r="K750" s="347"/>
      <c r="M750" s="347"/>
    </row>
    <row r="751" spans="2:13">
      <c r="B751" s="347"/>
      <c r="C751" s="347"/>
      <c r="E751" s="581"/>
      <c r="F751" s="581"/>
      <c r="G751" s="347"/>
      <c r="H751" s="347"/>
      <c r="J751" s="347"/>
      <c r="K751" s="347"/>
      <c r="M751" s="347"/>
    </row>
    <row r="752" spans="2:13">
      <c r="B752" s="347"/>
      <c r="C752" s="347"/>
      <c r="E752" s="581"/>
      <c r="F752" s="581"/>
      <c r="G752" s="347"/>
      <c r="H752" s="347"/>
      <c r="J752" s="347"/>
      <c r="K752" s="347"/>
      <c r="M752" s="347"/>
    </row>
    <row r="753" spans="2:13">
      <c r="B753" s="347"/>
      <c r="C753" s="347"/>
      <c r="E753" s="581"/>
      <c r="F753" s="581"/>
      <c r="G753" s="347"/>
      <c r="H753" s="347"/>
      <c r="J753" s="347"/>
      <c r="K753" s="347"/>
      <c r="M753" s="347"/>
    </row>
    <row r="754" spans="2:13">
      <c r="B754" s="347"/>
      <c r="C754" s="347"/>
      <c r="E754" s="581"/>
      <c r="F754" s="581"/>
      <c r="G754" s="347"/>
      <c r="H754" s="347"/>
      <c r="J754" s="347"/>
      <c r="K754" s="347"/>
      <c r="M754" s="347"/>
    </row>
    <row r="755" spans="2:13">
      <c r="B755" s="347"/>
      <c r="C755" s="347"/>
      <c r="E755" s="581"/>
      <c r="F755" s="581"/>
      <c r="G755" s="347"/>
      <c r="H755" s="347"/>
      <c r="J755" s="347"/>
      <c r="K755" s="347"/>
      <c r="M755" s="347"/>
    </row>
    <row r="756" spans="2:13">
      <c r="B756" s="347"/>
      <c r="C756" s="347"/>
      <c r="E756" s="581"/>
      <c r="F756" s="581"/>
      <c r="G756" s="347"/>
      <c r="H756" s="347"/>
      <c r="J756" s="347"/>
      <c r="K756" s="347"/>
      <c r="M756" s="347"/>
    </row>
    <row r="757" spans="2:13">
      <c r="B757" s="347"/>
      <c r="C757" s="347"/>
      <c r="E757" s="581"/>
      <c r="F757" s="581"/>
      <c r="G757" s="347"/>
      <c r="H757" s="347"/>
      <c r="J757" s="347"/>
      <c r="K757" s="347"/>
      <c r="M757" s="347"/>
    </row>
    <row r="758" spans="2:13">
      <c r="B758" s="347"/>
      <c r="C758" s="347"/>
      <c r="E758" s="581"/>
      <c r="F758" s="581"/>
      <c r="G758" s="347"/>
      <c r="H758" s="347"/>
      <c r="J758" s="347"/>
      <c r="K758" s="347"/>
      <c r="M758" s="347"/>
    </row>
    <row r="759" spans="2:13">
      <c r="B759" s="347"/>
      <c r="C759" s="347"/>
      <c r="E759" s="581"/>
      <c r="F759" s="581"/>
      <c r="G759" s="347"/>
      <c r="H759" s="347"/>
      <c r="J759" s="347"/>
      <c r="K759" s="347"/>
      <c r="M759" s="347"/>
    </row>
    <row r="760" spans="2:13">
      <c r="B760" s="347"/>
      <c r="C760" s="347"/>
      <c r="E760" s="581"/>
      <c r="F760" s="581"/>
      <c r="G760" s="347"/>
      <c r="H760" s="347"/>
      <c r="J760" s="347"/>
      <c r="K760" s="347"/>
      <c r="M760" s="347"/>
    </row>
    <row r="761" spans="2:13">
      <c r="B761" s="347"/>
      <c r="C761" s="347"/>
      <c r="E761" s="581"/>
      <c r="F761" s="581"/>
      <c r="G761" s="347"/>
      <c r="H761" s="347"/>
      <c r="J761" s="347"/>
      <c r="K761" s="347"/>
      <c r="M761" s="347"/>
    </row>
    <row r="762" spans="2:13">
      <c r="B762" s="347"/>
      <c r="C762" s="347"/>
      <c r="E762" s="581"/>
      <c r="F762" s="581"/>
      <c r="G762" s="347"/>
      <c r="H762" s="347"/>
      <c r="J762" s="347"/>
      <c r="K762" s="347"/>
      <c r="M762" s="347"/>
    </row>
    <row r="763" spans="2:13">
      <c r="B763" s="347"/>
      <c r="C763" s="347"/>
      <c r="E763" s="581"/>
      <c r="F763" s="581"/>
      <c r="G763" s="347"/>
      <c r="H763" s="347"/>
      <c r="J763" s="347"/>
      <c r="K763" s="347"/>
      <c r="M763" s="347"/>
    </row>
    <row r="764" spans="2:13">
      <c r="B764" s="347"/>
      <c r="C764" s="347"/>
      <c r="E764" s="581"/>
      <c r="F764" s="581"/>
      <c r="G764" s="347"/>
      <c r="H764" s="347"/>
      <c r="J764" s="347"/>
      <c r="K764" s="347"/>
      <c r="M764" s="347"/>
    </row>
    <row r="765" spans="2:13">
      <c r="B765" s="347"/>
      <c r="C765" s="347"/>
      <c r="E765" s="581"/>
      <c r="F765" s="581"/>
      <c r="G765" s="347"/>
      <c r="H765" s="347"/>
      <c r="J765" s="347"/>
      <c r="K765" s="347"/>
      <c r="M765" s="347"/>
    </row>
    <row r="766" spans="2:13">
      <c r="B766" s="347"/>
      <c r="C766" s="347"/>
      <c r="E766" s="581"/>
      <c r="F766" s="581"/>
      <c r="G766" s="347"/>
      <c r="H766" s="347"/>
      <c r="J766" s="347"/>
      <c r="K766" s="347"/>
      <c r="M766" s="347"/>
    </row>
    <row r="767" spans="2:13">
      <c r="B767" s="347"/>
      <c r="C767" s="347"/>
      <c r="E767" s="581"/>
      <c r="F767" s="581"/>
      <c r="G767" s="347"/>
      <c r="H767" s="347"/>
      <c r="J767" s="347"/>
      <c r="K767" s="347"/>
      <c r="M767" s="347"/>
    </row>
    <row r="768" spans="2:13">
      <c r="B768" s="347"/>
      <c r="C768" s="347"/>
      <c r="E768" s="581"/>
      <c r="F768" s="581"/>
      <c r="G768" s="347"/>
      <c r="H768" s="347"/>
      <c r="J768" s="347"/>
      <c r="K768" s="347"/>
      <c r="M768" s="347"/>
    </row>
    <row r="769" spans="2:13">
      <c r="B769" s="347"/>
      <c r="C769" s="347"/>
      <c r="E769" s="581"/>
      <c r="F769" s="581"/>
      <c r="G769" s="347"/>
      <c r="H769" s="347"/>
      <c r="J769" s="347"/>
      <c r="K769" s="347"/>
      <c r="M769" s="347"/>
    </row>
    <row r="770" spans="2:13">
      <c r="B770" s="347"/>
      <c r="C770" s="347"/>
      <c r="E770" s="581"/>
      <c r="F770" s="581"/>
      <c r="G770" s="347"/>
      <c r="H770" s="347"/>
      <c r="J770" s="347"/>
      <c r="K770" s="347"/>
      <c r="M770" s="347"/>
    </row>
    <row r="771" spans="2:13">
      <c r="B771" s="347"/>
      <c r="C771" s="347"/>
      <c r="E771" s="581"/>
      <c r="F771" s="581"/>
      <c r="G771" s="347"/>
      <c r="H771" s="347"/>
      <c r="J771" s="347"/>
      <c r="K771" s="347"/>
      <c r="M771" s="347"/>
    </row>
    <row r="772" spans="2:13">
      <c r="B772" s="347"/>
      <c r="C772" s="347"/>
      <c r="E772" s="581"/>
      <c r="F772" s="581"/>
      <c r="G772" s="347"/>
      <c r="H772" s="347"/>
      <c r="J772" s="347"/>
      <c r="K772" s="347"/>
      <c r="M772" s="347"/>
    </row>
    <row r="773" spans="2:13">
      <c r="B773" s="347"/>
      <c r="C773" s="347"/>
      <c r="E773" s="581"/>
      <c r="F773" s="581"/>
      <c r="G773" s="347"/>
      <c r="H773" s="347"/>
      <c r="J773" s="347"/>
      <c r="K773" s="347"/>
      <c r="M773" s="347"/>
    </row>
    <row r="774" spans="2:13">
      <c r="B774" s="347"/>
      <c r="C774" s="347"/>
      <c r="E774" s="581"/>
      <c r="F774" s="581"/>
      <c r="G774" s="347"/>
      <c r="H774" s="347"/>
      <c r="J774" s="347"/>
      <c r="K774" s="347"/>
      <c r="M774" s="347"/>
    </row>
    <row r="775" spans="2:13">
      <c r="B775" s="347"/>
      <c r="C775" s="347"/>
      <c r="E775" s="581"/>
      <c r="F775" s="581"/>
      <c r="G775" s="347"/>
      <c r="H775" s="347"/>
      <c r="J775" s="347"/>
      <c r="K775" s="347"/>
      <c r="M775" s="347"/>
    </row>
    <row r="776" spans="2:13">
      <c r="B776" s="347"/>
      <c r="C776" s="347"/>
      <c r="E776" s="581"/>
      <c r="F776" s="581"/>
      <c r="G776" s="347"/>
      <c r="H776" s="347"/>
      <c r="J776" s="347"/>
      <c r="K776" s="347"/>
      <c r="M776" s="347"/>
    </row>
    <row r="777" spans="2:13">
      <c r="B777" s="347"/>
      <c r="C777" s="347"/>
      <c r="E777" s="581"/>
      <c r="F777" s="581"/>
      <c r="G777" s="347"/>
      <c r="H777" s="347"/>
      <c r="J777" s="347"/>
      <c r="K777" s="347"/>
      <c r="M777" s="347"/>
    </row>
    <row r="778" spans="2:13">
      <c r="B778" s="347"/>
      <c r="C778" s="347"/>
      <c r="E778" s="581"/>
      <c r="F778" s="581"/>
      <c r="G778" s="347"/>
      <c r="H778" s="347"/>
      <c r="J778" s="347"/>
      <c r="K778" s="347"/>
      <c r="M778" s="347"/>
    </row>
    <row r="779" spans="2:13">
      <c r="B779" s="347"/>
      <c r="C779" s="347"/>
      <c r="E779" s="581"/>
      <c r="F779" s="581"/>
      <c r="G779" s="347"/>
      <c r="H779" s="347"/>
      <c r="J779" s="347"/>
      <c r="K779" s="347"/>
      <c r="M779" s="347"/>
    </row>
    <row r="780" spans="2:13">
      <c r="B780" s="347"/>
      <c r="C780" s="347"/>
      <c r="E780" s="581"/>
      <c r="F780" s="581"/>
      <c r="G780" s="347"/>
      <c r="H780" s="347"/>
      <c r="J780" s="347"/>
      <c r="K780" s="347"/>
      <c r="M780" s="347"/>
    </row>
    <row r="781" spans="2:13">
      <c r="B781" s="347"/>
      <c r="C781" s="347"/>
      <c r="E781" s="581"/>
      <c r="F781" s="581"/>
      <c r="G781" s="347"/>
      <c r="H781" s="347"/>
      <c r="J781" s="347"/>
      <c r="K781" s="347"/>
      <c r="M781" s="347"/>
    </row>
    <row r="782" spans="2:13">
      <c r="B782" s="347"/>
      <c r="C782" s="347"/>
      <c r="E782" s="581"/>
      <c r="F782" s="581"/>
      <c r="G782" s="347"/>
      <c r="H782" s="347"/>
      <c r="J782" s="347"/>
      <c r="K782" s="347"/>
      <c r="M782" s="347"/>
    </row>
    <row r="783" spans="2:13">
      <c r="B783" s="347"/>
      <c r="C783" s="347"/>
      <c r="E783" s="581"/>
      <c r="F783" s="581"/>
      <c r="G783" s="347"/>
      <c r="H783" s="347"/>
      <c r="J783" s="347"/>
      <c r="K783" s="347"/>
      <c r="M783" s="347"/>
    </row>
    <row r="784" spans="2:13">
      <c r="B784" s="347"/>
      <c r="C784" s="347"/>
      <c r="E784" s="581"/>
      <c r="F784" s="581"/>
      <c r="G784" s="347"/>
      <c r="H784" s="347"/>
      <c r="J784" s="347"/>
      <c r="K784" s="347"/>
      <c r="M784" s="347"/>
    </row>
    <row r="785" spans="2:13">
      <c r="B785" s="347"/>
      <c r="C785" s="347"/>
      <c r="E785" s="581"/>
      <c r="F785" s="581"/>
      <c r="G785" s="347"/>
      <c r="H785" s="347"/>
      <c r="J785" s="347"/>
      <c r="K785" s="347"/>
      <c r="M785" s="347"/>
    </row>
    <row r="786" spans="2:13">
      <c r="B786" s="347"/>
      <c r="C786" s="347"/>
      <c r="E786" s="581"/>
      <c r="F786" s="581"/>
      <c r="G786" s="347"/>
      <c r="H786" s="347"/>
      <c r="J786" s="347"/>
      <c r="K786" s="347"/>
      <c r="M786" s="347"/>
    </row>
    <row r="787" spans="2:13">
      <c r="B787" s="347"/>
      <c r="C787" s="347"/>
      <c r="E787" s="581"/>
      <c r="F787" s="581"/>
      <c r="G787" s="347"/>
      <c r="H787" s="347"/>
      <c r="J787" s="347"/>
      <c r="K787" s="347"/>
      <c r="M787" s="347"/>
    </row>
    <row r="788" spans="2:13">
      <c r="B788" s="347"/>
      <c r="C788" s="347"/>
      <c r="E788" s="581"/>
      <c r="F788" s="581"/>
      <c r="G788" s="347"/>
      <c r="H788" s="347"/>
      <c r="J788" s="347"/>
      <c r="K788" s="347"/>
      <c r="M788" s="347"/>
    </row>
    <row r="789" spans="2:13">
      <c r="B789" s="347"/>
      <c r="C789" s="347"/>
      <c r="E789" s="581"/>
      <c r="F789" s="581"/>
      <c r="G789" s="347"/>
      <c r="H789" s="347"/>
      <c r="J789" s="347"/>
      <c r="K789" s="347"/>
      <c r="M789" s="347"/>
    </row>
    <row r="790" spans="2:13">
      <c r="B790" s="347"/>
      <c r="C790" s="347"/>
      <c r="E790" s="581"/>
      <c r="F790" s="581"/>
      <c r="G790" s="347"/>
      <c r="H790" s="347"/>
      <c r="J790" s="347"/>
      <c r="K790" s="347"/>
      <c r="M790" s="347"/>
    </row>
    <row r="791" spans="2:13">
      <c r="B791" s="347"/>
      <c r="C791" s="347"/>
      <c r="E791" s="581"/>
      <c r="F791" s="581"/>
      <c r="G791" s="347"/>
      <c r="H791" s="347"/>
      <c r="J791" s="347"/>
      <c r="K791" s="347"/>
      <c r="M791" s="347"/>
    </row>
    <row r="792" spans="2:13">
      <c r="B792" s="347"/>
      <c r="C792" s="347"/>
      <c r="E792" s="581"/>
      <c r="F792" s="581"/>
      <c r="G792" s="347"/>
      <c r="H792" s="347"/>
      <c r="J792" s="347"/>
      <c r="K792" s="347"/>
      <c r="M792" s="347"/>
    </row>
    <row r="793" spans="2:13">
      <c r="B793" s="347"/>
      <c r="C793" s="347"/>
      <c r="E793" s="581"/>
      <c r="F793" s="581"/>
      <c r="G793" s="347"/>
      <c r="H793" s="347"/>
      <c r="J793" s="347"/>
      <c r="K793" s="347"/>
      <c r="M793" s="347"/>
    </row>
    <row r="794" spans="2:13">
      <c r="B794" s="347"/>
      <c r="C794" s="347"/>
      <c r="E794" s="581"/>
      <c r="F794" s="581"/>
      <c r="G794" s="347"/>
      <c r="H794" s="347"/>
      <c r="J794" s="347"/>
      <c r="K794" s="347"/>
      <c r="M794" s="347"/>
    </row>
    <row r="795" spans="2:13">
      <c r="B795" s="347"/>
      <c r="C795" s="347"/>
      <c r="E795" s="581"/>
      <c r="F795" s="581"/>
      <c r="G795" s="347"/>
      <c r="H795" s="347"/>
      <c r="J795" s="347"/>
      <c r="K795" s="347"/>
      <c r="M795" s="347"/>
    </row>
    <row r="796" spans="2:13">
      <c r="B796" s="347"/>
      <c r="C796" s="347"/>
      <c r="E796" s="581"/>
      <c r="F796" s="581"/>
      <c r="G796" s="347"/>
      <c r="H796" s="347"/>
      <c r="J796" s="347"/>
      <c r="K796" s="347"/>
      <c r="M796" s="347"/>
    </row>
    <row r="797" spans="2:13">
      <c r="B797" s="347"/>
      <c r="C797" s="347"/>
      <c r="E797" s="581"/>
      <c r="F797" s="581"/>
      <c r="G797" s="347"/>
      <c r="H797" s="347"/>
      <c r="J797" s="347"/>
      <c r="K797" s="347"/>
      <c r="M797" s="347"/>
    </row>
    <row r="798" spans="2:13">
      <c r="B798" s="347"/>
      <c r="C798" s="347"/>
      <c r="E798" s="581"/>
      <c r="F798" s="581"/>
      <c r="G798" s="347"/>
      <c r="H798" s="347"/>
      <c r="J798" s="347"/>
      <c r="K798" s="347"/>
      <c r="M798" s="347"/>
    </row>
    <row r="799" spans="2:13">
      <c r="B799" s="347"/>
      <c r="C799" s="347"/>
      <c r="E799" s="581"/>
      <c r="F799" s="581"/>
      <c r="G799" s="347"/>
      <c r="H799" s="347"/>
      <c r="J799" s="347"/>
      <c r="K799" s="347"/>
      <c r="M799" s="347"/>
    </row>
    <row r="800" spans="2:13">
      <c r="B800" s="347"/>
      <c r="C800" s="347"/>
      <c r="E800" s="581"/>
      <c r="F800" s="581"/>
      <c r="G800" s="347"/>
      <c r="H800" s="347"/>
      <c r="J800" s="347"/>
      <c r="K800" s="347"/>
      <c r="M800" s="347"/>
    </row>
    <row r="801" spans="2:13">
      <c r="B801" s="347"/>
      <c r="C801" s="347"/>
      <c r="E801" s="581"/>
      <c r="F801" s="581"/>
      <c r="G801" s="347"/>
      <c r="H801" s="347"/>
      <c r="J801" s="347"/>
      <c r="K801" s="347"/>
      <c r="M801" s="347"/>
    </row>
    <row r="802" spans="2:13">
      <c r="B802" s="347"/>
      <c r="C802" s="347"/>
      <c r="E802" s="581"/>
      <c r="F802" s="581"/>
      <c r="G802" s="347"/>
      <c r="H802" s="347"/>
      <c r="J802" s="347"/>
      <c r="K802" s="347"/>
      <c r="M802" s="347"/>
    </row>
    <row r="803" spans="2:13">
      <c r="B803" s="347"/>
      <c r="C803" s="347"/>
      <c r="E803" s="581"/>
      <c r="F803" s="581"/>
      <c r="G803" s="347"/>
      <c r="H803" s="347"/>
      <c r="J803" s="347"/>
      <c r="K803" s="347"/>
      <c r="M803" s="347"/>
    </row>
    <row r="804" spans="2:13">
      <c r="B804" s="347"/>
      <c r="C804" s="347"/>
      <c r="E804" s="581"/>
      <c r="F804" s="581"/>
      <c r="G804" s="347"/>
      <c r="H804" s="347"/>
      <c r="J804" s="347"/>
      <c r="K804" s="347"/>
      <c r="M804" s="347"/>
    </row>
    <row r="805" spans="2:13">
      <c r="B805" s="347"/>
      <c r="C805" s="347"/>
      <c r="E805" s="581"/>
      <c r="F805" s="581"/>
      <c r="G805" s="347"/>
      <c r="H805" s="347"/>
      <c r="J805" s="347"/>
      <c r="K805" s="347"/>
      <c r="M805" s="347"/>
    </row>
    <row r="806" spans="2:13">
      <c r="B806" s="347"/>
      <c r="C806" s="347"/>
      <c r="E806" s="581"/>
      <c r="F806" s="581"/>
      <c r="G806" s="347"/>
      <c r="H806" s="347"/>
      <c r="J806" s="347"/>
      <c r="K806" s="347"/>
      <c r="M806" s="347"/>
    </row>
    <row r="807" spans="2:13">
      <c r="B807" s="347"/>
      <c r="C807" s="347"/>
      <c r="E807" s="581"/>
      <c r="F807" s="581"/>
      <c r="G807" s="347"/>
      <c r="H807" s="347"/>
      <c r="J807" s="347"/>
      <c r="K807" s="347"/>
      <c r="M807" s="347"/>
    </row>
    <row r="808" spans="2:13">
      <c r="B808" s="347"/>
      <c r="C808" s="347"/>
      <c r="E808" s="581"/>
      <c r="F808" s="581"/>
      <c r="G808" s="347"/>
      <c r="H808" s="347"/>
      <c r="J808" s="347"/>
      <c r="K808" s="347"/>
      <c r="M808" s="347"/>
    </row>
    <row r="809" spans="2:13">
      <c r="B809" s="347"/>
      <c r="C809" s="347"/>
      <c r="E809" s="581"/>
      <c r="F809" s="581"/>
      <c r="G809" s="347"/>
      <c r="H809" s="347"/>
      <c r="J809" s="347"/>
      <c r="K809" s="347"/>
      <c r="M809" s="347"/>
    </row>
    <row r="810" spans="2:13">
      <c r="B810" s="347"/>
      <c r="C810" s="347"/>
      <c r="E810" s="581"/>
      <c r="F810" s="581"/>
      <c r="G810" s="347"/>
      <c r="H810" s="347"/>
      <c r="J810" s="347"/>
      <c r="K810" s="347"/>
      <c r="M810" s="347"/>
    </row>
    <row r="811" spans="2:13">
      <c r="B811" s="347"/>
      <c r="C811" s="347"/>
      <c r="E811" s="581"/>
      <c r="F811" s="581"/>
      <c r="G811" s="347"/>
      <c r="H811" s="347"/>
      <c r="J811" s="347"/>
      <c r="K811" s="347"/>
      <c r="M811" s="347"/>
    </row>
    <row r="812" spans="2:13">
      <c r="B812" s="347"/>
      <c r="C812" s="347"/>
      <c r="E812" s="581"/>
      <c r="F812" s="581"/>
      <c r="G812" s="347"/>
      <c r="H812" s="347"/>
      <c r="J812" s="347"/>
      <c r="K812" s="347"/>
      <c r="M812" s="347"/>
    </row>
    <row r="813" spans="2:13">
      <c r="B813" s="347"/>
      <c r="C813" s="347"/>
      <c r="E813" s="581"/>
      <c r="F813" s="581"/>
      <c r="G813" s="347"/>
      <c r="H813" s="347"/>
      <c r="J813" s="347"/>
      <c r="K813" s="347"/>
      <c r="M813" s="347"/>
    </row>
    <row r="814" spans="2:13">
      <c r="B814" s="347"/>
      <c r="C814" s="347"/>
      <c r="E814" s="581"/>
      <c r="F814" s="581"/>
      <c r="G814" s="347"/>
      <c r="H814" s="347"/>
      <c r="J814" s="347"/>
      <c r="K814" s="347"/>
      <c r="M814" s="347"/>
    </row>
    <row r="815" spans="2:13">
      <c r="B815" s="347"/>
      <c r="C815" s="347"/>
      <c r="E815" s="581"/>
      <c r="F815" s="581"/>
      <c r="G815" s="347"/>
      <c r="H815" s="347"/>
      <c r="J815" s="347"/>
      <c r="K815" s="347"/>
      <c r="M815" s="347"/>
    </row>
    <row r="816" spans="2:13">
      <c r="B816" s="347"/>
      <c r="C816" s="347"/>
      <c r="E816" s="581"/>
      <c r="F816" s="581"/>
      <c r="G816" s="347"/>
      <c r="H816" s="347"/>
      <c r="J816" s="347"/>
      <c r="K816" s="347"/>
      <c r="M816" s="347"/>
    </row>
    <row r="817" spans="2:13">
      <c r="B817" s="347"/>
      <c r="C817" s="347"/>
      <c r="E817" s="581"/>
      <c r="F817" s="581"/>
      <c r="G817" s="347"/>
      <c r="H817" s="347"/>
      <c r="J817" s="347"/>
      <c r="K817" s="347"/>
      <c r="M817" s="347"/>
    </row>
    <row r="818" spans="2:13">
      <c r="B818" s="347"/>
      <c r="C818" s="347"/>
      <c r="E818" s="581"/>
      <c r="F818" s="581"/>
      <c r="G818" s="347"/>
      <c r="H818" s="347"/>
      <c r="J818" s="347"/>
      <c r="K818" s="347"/>
      <c r="M818" s="347"/>
    </row>
    <row r="819" spans="2:13">
      <c r="B819" s="347"/>
      <c r="C819" s="347"/>
      <c r="E819" s="581"/>
      <c r="F819" s="581"/>
      <c r="G819" s="347"/>
      <c r="H819" s="347"/>
      <c r="J819" s="347"/>
      <c r="K819" s="347"/>
      <c r="M819" s="347"/>
    </row>
    <row r="820" spans="2:13">
      <c r="B820" s="347"/>
      <c r="C820" s="347"/>
      <c r="E820" s="581"/>
      <c r="F820" s="581"/>
      <c r="G820" s="347"/>
      <c r="H820" s="347"/>
      <c r="J820" s="347"/>
      <c r="K820" s="347"/>
      <c r="M820" s="347"/>
    </row>
    <row r="821" spans="2:13">
      <c r="B821" s="347"/>
      <c r="C821" s="347"/>
      <c r="E821" s="581"/>
      <c r="F821" s="581"/>
      <c r="G821" s="347"/>
      <c r="H821" s="347"/>
      <c r="J821" s="347"/>
      <c r="K821" s="347"/>
      <c r="M821" s="347"/>
    </row>
    <row r="822" spans="2:13">
      <c r="B822" s="347"/>
      <c r="C822" s="347"/>
      <c r="E822" s="581"/>
      <c r="F822" s="581"/>
      <c r="G822" s="347"/>
      <c r="H822" s="347"/>
      <c r="J822" s="347"/>
      <c r="K822" s="347"/>
      <c r="M822" s="347"/>
    </row>
    <row r="823" spans="2:13">
      <c r="B823" s="347"/>
      <c r="C823" s="347"/>
      <c r="E823" s="581"/>
      <c r="F823" s="581"/>
      <c r="G823" s="347"/>
      <c r="H823" s="347"/>
      <c r="J823" s="347"/>
      <c r="K823" s="347"/>
      <c r="M823" s="347"/>
    </row>
    <row r="824" spans="2:13">
      <c r="B824" s="347"/>
      <c r="C824" s="347"/>
      <c r="E824" s="581"/>
      <c r="F824" s="581"/>
      <c r="G824" s="347"/>
      <c r="H824" s="347"/>
      <c r="J824" s="347"/>
      <c r="K824" s="347"/>
      <c r="M824" s="347"/>
    </row>
    <row r="825" spans="2:13">
      <c r="B825" s="347"/>
      <c r="C825" s="347"/>
      <c r="E825" s="581"/>
      <c r="F825" s="581"/>
      <c r="G825" s="347"/>
      <c r="H825" s="347"/>
      <c r="J825" s="347"/>
      <c r="K825" s="347"/>
      <c r="M825" s="347"/>
    </row>
    <row r="826" spans="2:13">
      <c r="B826" s="347"/>
      <c r="C826" s="347"/>
      <c r="E826" s="581"/>
      <c r="F826" s="581"/>
      <c r="G826" s="347"/>
      <c r="H826" s="347"/>
      <c r="J826" s="347"/>
      <c r="K826" s="347"/>
      <c r="M826" s="347"/>
    </row>
    <row r="827" spans="2:13">
      <c r="B827" s="347"/>
      <c r="C827" s="347"/>
      <c r="E827" s="581"/>
      <c r="F827" s="581"/>
      <c r="G827" s="347"/>
      <c r="H827" s="347"/>
      <c r="J827" s="347"/>
      <c r="K827" s="347"/>
      <c r="M827" s="347"/>
    </row>
    <row r="828" spans="2:13">
      <c r="B828" s="347"/>
      <c r="C828" s="347"/>
      <c r="E828" s="581"/>
      <c r="F828" s="581"/>
      <c r="G828" s="347"/>
      <c r="H828" s="347"/>
      <c r="J828" s="347"/>
      <c r="K828" s="347"/>
      <c r="M828" s="347"/>
    </row>
    <row r="829" spans="2:13">
      <c r="B829" s="347"/>
      <c r="C829" s="347"/>
      <c r="E829" s="581"/>
      <c r="F829" s="581"/>
      <c r="G829" s="347"/>
      <c r="H829" s="347"/>
      <c r="J829" s="347"/>
      <c r="K829" s="347"/>
      <c r="M829" s="347"/>
    </row>
    <row r="830" spans="2:13">
      <c r="B830" s="347"/>
      <c r="C830" s="347"/>
      <c r="E830" s="581"/>
      <c r="F830" s="581"/>
      <c r="G830" s="347"/>
      <c r="H830" s="347"/>
      <c r="J830" s="347"/>
      <c r="K830" s="347"/>
      <c r="M830" s="347"/>
    </row>
    <row r="831" spans="2:13">
      <c r="B831" s="347"/>
      <c r="C831" s="347"/>
      <c r="E831" s="581"/>
      <c r="F831" s="581"/>
      <c r="G831" s="347"/>
      <c r="H831" s="347"/>
      <c r="J831" s="347"/>
      <c r="K831" s="347"/>
      <c r="M831" s="347"/>
    </row>
    <row r="832" spans="2:13">
      <c r="B832" s="347"/>
      <c r="C832" s="347"/>
      <c r="E832" s="581"/>
      <c r="F832" s="581"/>
      <c r="G832" s="347"/>
      <c r="H832" s="347"/>
      <c r="J832" s="347"/>
      <c r="K832" s="347"/>
      <c r="M832" s="347"/>
    </row>
    <row r="833" spans="2:13">
      <c r="B833" s="347"/>
      <c r="C833" s="347"/>
      <c r="E833" s="581"/>
      <c r="F833" s="581"/>
      <c r="G833" s="347"/>
      <c r="H833" s="347"/>
      <c r="J833" s="347"/>
      <c r="K833" s="347"/>
      <c r="M833" s="347"/>
    </row>
    <row r="834" spans="2:13">
      <c r="B834" s="347"/>
      <c r="C834" s="347"/>
      <c r="E834" s="581"/>
      <c r="F834" s="581"/>
      <c r="G834" s="347"/>
      <c r="H834" s="347"/>
      <c r="J834" s="347"/>
      <c r="K834" s="347"/>
      <c r="M834" s="347"/>
    </row>
    <row r="835" spans="2:13">
      <c r="B835" s="347"/>
      <c r="C835" s="347"/>
      <c r="E835" s="581"/>
      <c r="F835" s="581"/>
      <c r="G835" s="347"/>
      <c r="H835" s="347"/>
      <c r="J835" s="347"/>
      <c r="K835" s="347"/>
      <c r="M835" s="347"/>
    </row>
    <row r="836" spans="2:13">
      <c r="B836" s="347"/>
      <c r="C836" s="347"/>
      <c r="E836" s="581"/>
      <c r="F836" s="581"/>
      <c r="G836" s="347"/>
      <c r="H836" s="347"/>
      <c r="J836" s="347"/>
      <c r="K836" s="347"/>
      <c r="M836" s="347"/>
    </row>
    <row r="837" spans="2:13">
      <c r="B837" s="347"/>
      <c r="C837" s="347"/>
      <c r="E837" s="581"/>
      <c r="F837" s="581"/>
      <c r="G837" s="347"/>
      <c r="H837" s="347"/>
      <c r="J837" s="347"/>
      <c r="K837" s="347"/>
      <c r="M837" s="347"/>
    </row>
    <row r="838" spans="2:13">
      <c r="B838" s="347"/>
      <c r="C838" s="347"/>
      <c r="E838" s="581"/>
      <c r="F838" s="581"/>
      <c r="G838" s="347"/>
      <c r="H838" s="347"/>
      <c r="J838" s="347"/>
      <c r="K838" s="347"/>
      <c r="M838" s="347"/>
    </row>
    <row r="839" spans="2:13">
      <c r="B839" s="347"/>
      <c r="C839" s="347"/>
      <c r="E839" s="581"/>
      <c r="F839" s="581"/>
      <c r="G839" s="347"/>
      <c r="H839" s="347"/>
      <c r="J839" s="347"/>
      <c r="K839" s="347"/>
      <c r="M839" s="347"/>
    </row>
    <row r="840" spans="2:13">
      <c r="B840" s="347"/>
      <c r="C840" s="347"/>
      <c r="E840" s="581"/>
      <c r="F840" s="581"/>
      <c r="G840" s="347"/>
      <c r="H840" s="347"/>
      <c r="J840" s="347"/>
      <c r="K840" s="347"/>
      <c r="M840" s="347"/>
    </row>
    <row r="841" spans="2:13">
      <c r="B841" s="347"/>
      <c r="C841" s="347"/>
      <c r="E841" s="581"/>
      <c r="F841" s="581"/>
      <c r="G841" s="347"/>
      <c r="H841" s="347"/>
      <c r="J841" s="347"/>
      <c r="K841" s="347"/>
      <c r="M841" s="347"/>
    </row>
    <row r="842" spans="2:13">
      <c r="B842" s="347"/>
      <c r="C842" s="347"/>
      <c r="E842" s="581"/>
      <c r="F842" s="581"/>
      <c r="G842" s="347"/>
      <c r="H842" s="347"/>
      <c r="J842" s="347"/>
      <c r="K842" s="347"/>
      <c r="M842" s="347"/>
    </row>
    <row r="843" spans="2:13">
      <c r="B843" s="347"/>
      <c r="C843" s="347"/>
      <c r="E843" s="581"/>
      <c r="F843" s="581"/>
      <c r="G843" s="347"/>
      <c r="H843" s="347"/>
      <c r="J843" s="347"/>
      <c r="K843" s="347"/>
      <c r="M843" s="347"/>
    </row>
    <row r="844" spans="2:13">
      <c r="B844" s="347"/>
      <c r="C844" s="347"/>
      <c r="E844" s="581"/>
      <c r="F844" s="581"/>
      <c r="G844" s="347"/>
      <c r="H844" s="347"/>
      <c r="J844" s="347"/>
      <c r="K844" s="347"/>
      <c r="M844" s="347"/>
    </row>
    <row r="845" spans="2:13">
      <c r="B845" s="347"/>
      <c r="C845" s="347"/>
      <c r="E845" s="581"/>
      <c r="F845" s="581"/>
      <c r="G845" s="347"/>
      <c r="H845" s="347"/>
      <c r="J845" s="347"/>
      <c r="K845" s="347"/>
      <c r="M845" s="347"/>
    </row>
    <row r="846" spans="2:13">
      <c r="B846" s="347"/>
      <c r="C846" s="347"/>
      <c r="E846" s="581"/>
      <c r="F846" s="581"/>
      <c r="G846" s="347"/>
      <c r="H846" s="347"/>
      <c r="J846" s="347"/>
      <c r="K846" s="347"/>
      <c r="M846" s="347"/>
    </row>
    <row r="847" spans="2:13">
      <c r="B847" s="347"/>
      <c r="C847" s="347"/>
      <c r="E847" s="581"/>
      <c r="F847" s="581"/>
      <c r="G847" s="347"/>
      <c r="H847" s="347"/>
      <c r="J847" s="347"/>
      <c r="K847" s="347"/>
      <c r="M847" s="347"/>
    </row>
    <row r="848" spans="2:13">
      <c r="B848" s="347"/>
      <c r="C848" s="347"/>
      <c r="E848" s="581"/>
      <c r="F848" s="581"/>
      <c r="G848" s="347"/>
      <c r="H848" s="347"/>
      <c r="J848" s="347"/>
      <c r="K848" s="347"/>
      <c r="M848" s="347"/>
    </row>
    <row r="849" spans="2:13">
      <c r="B849" s="347"/>
      <c r="C849" s="347"/>
      <c r="E849" s="581"/>
      <c r="F849" s="581"/>
      <c r="G849" s="347"/>
      <c r="H849" s="347"/>
      <c r="J849" s="347"/>
      <c r="K849" s="347"/>
      <c r="M849" s="347"/>
    </row>
    <row r="850" spans="2:13">
      <c r="B850" s="347"/>
      <c r="C850" s="347"/>
      <c r="E850" s="581"/>
      <c r="F850" s="581"/>
      <c r="G850" s="347"/>
      <c r="H850" s="347"/>
      <c r="J850" s="347"/>
      <c r="K850" s="347"/>
      <c r="M850" s="347"/>
    </row>
    <row r="851" spans="2:13">
      <c r="B851" s="347"/>
      <c r="C851" s="347"/>
      <c r="E851" s="581"/>
      <c r="F851" s="581"/>
      <c r="G851" s="347"/>
      <c r="H851" s="347"/>
      <c r="J851" s="347"/>
      <c r="K851" s="347"/>
      <c r="M851" s="347"/>
    </row>
    <row r="852" spans="2:13">
      <c r="B852" s="347"/>
      <c r="C852" s="347"/>
      <c r="E852" s="581"/>
      <c r="F852" s="581"/>
      <c r="G852" s="347"/>
      <c r="H852" s="347"/>
      <c r="J852" s="347"/>
      <c r="K852" s="347"/>
      <c r="M852" s="347"/>
    </row>
    <row r="853" spans="2:13">
      <c r="B853" s="347"/>
      <c r="C853" s="347"/>
      <c r="E853" s="581"/>
      <c r="F853" s="581"/>
      <c r="G853" s="347"/>
      <c r="H853" s="347"/>
      <c r="J853" s="347"/>
      <c r="K853" s="347"/>
      <c r="M853" s="347"/>
    </row>
    <row r="854" spans="2:13">
      <c r="B854" s="347"/>
      <c r="C854" s="347"/>
      <c r="E854" s="581"/>
      <c r="F854" s="581"/>
      <c r="G854" s="347"/>
      <c r="H854" s="347"/>
      <c r="J854" s="347"/>
      <c r="K854" s="347"/>
      <c r="M854" s="347"/>
    </row>
    <row r="855" spans="2:13">
      <c r="B855" s="347"/>
      <c r="C855" s="347"/>
      <c r="E855" s="581"/>
      <c r="F855" s="581"/>
      <c r="G855" s="347"/>
      <c r="H855" s="347"/>
      <c r="J855" s="347"/>
      <c r="K855" s="347"/>
      <c r="M855" s="347"/>
    </row>
    <row r="856" spans="2:13">
      <c r="B856" s="347"/>
      <c r="C856" s="347"/>
      <c r="E856" s="581"/>
      <c r="F856" s="581"/>
      <c r="G856" s="347"/>
      <c r="H856" s="347"/>
      <c r="J856" s="347"/>
      <c r="K856" s="347"/>
      <c r="M856" s="347"/>
    </row>
    <row r="857" spans="2:13">
      <c r="B857" s="347"/>
      <c r="C857" s="347"/>
      <c r="E857" s="581"/>
      <c r="F857" s="581"/>
      <c r="G857" s="347"/>
      <c r="H857" s="347"/>
      <c r="J857" s="347"/>
      <c r="K857" s="347"/>
      <c r="M857" s="347"/>
    </row>
    <row r="858" spans="2:13">
      <c r="B858" s="347"/>
      <c r="C858" s="347"/>
      <c r="E858" s="581"/>
      <c r="F858" s="581"/>
      <c r="G858" s="347"/>
      <c r="H858" s="347"/>
      <c r="J858" s="347"/>
      <c r="K858" s="347"/>
      <c r="M858" s="347"/>
    </row>
    <row r="859" spans="2:13">
      <c r="B859" s="347"/>
      <c r="C859" s="347"/>
      <c r="E859" s="581"/>
      <c r="F859" s="581"/>
      <c r="G859" s="347"/>
      <c r="H859" s="347"/>
      <c r="J859" s="347"/>
      <c r="K859" s="347"/>
      <c r="M859" s="347"/>
    </row>
    <row r="860" spans="2:13">
      <c r="B860" s="347"/>
      <c r="C860" s="347"/>
      <c r="E860" s="581"/>
      <c r="F860" s="581"/>
      <c r="G860" s="347"/>
      <c r="H860" s="347"/>
      <c r="J860" s="347"/>
      <c r="K860" s="347"/>
      <c r="M860" s="347"/>
    </row>
    <row r="861" spans="2:13">
      <c r="B861" s="347"/>
      <c r="C861" s="347"/>
      <c r="E861" s="581"/>
      <c r="F861" s="581"/>
      <c r="G861" s="347"/>
      <c r="H861" s="347"/>
      <c r="J861" s="347"/>
      <c r="K861" s="347"/>
      <c r="M861" s="347"/>
    </row>
    <row r="862" spans="2:13">
      <c r="B862" s="347"/>
      <c r="C862" s="347"/>
      <c r="E862" s="581"/>
      <c r="F862" s="581"/>
      <c r="G862" s="347"/>
      <c r="H862" s="347"/>
      <c r="J862" s="347"/>
      <c r="K862" s="347"/>
      <c r="M862" s="347"/>
    </row>
    <row r="863" spans="2:13">
      <c r="B863" s="347"/>
      <c r="C863" s="347"/>
      <c r="E863" s="581"/>
      <c r="F863" s="581"/>
      <c r="G863" s="347"/>
      <c r="H863" s="347"/>
      <c r="J863" s="347"/>
      <c r="K863" s="347"/>
      <c r="M863" s="347"/>
    </row>
    <row r="864" spans="2:13">
      <c r="B864" s="347"/>
      <c r="C864" s="347"/>
      <c r="E864" s="581"/>
      <c r="F864" s="581"/>
      <c r="G864" s="347"/>
      <c r="H864" s="347"/>
      <c r="J864" s="347"/>
      <c r="K864" s="347"/>
      <c r="M864" s="347"/>
    </row>
    <row r="865" spans="2:13">
      <c r="B865" s="347"/>
      <c r="C865" s="347"/>
      <c r="E865" s="581"/>
      <c r="F865" s="581"/>
      <c r="G865" s="347"/>
      <c r="H865" s="347"/>
      <c r="J865" s="347"/>
      <c r="K865" s="347"/>
      <c r="M865" s="347"/>
    </row>
    <row r="866" spans="2:13">
      <c r="B866" s="347"/>
      <c r="C866" s="347"/>
      <c r="E866" s="581"/>
      <c r="F866" s="581"/>
      <c r="G866" s="347"/>
      <c r="H866" s="347"/>
      <c r="J866" s="347"/>
      <c r="K866" s="347"/>
      <c r="M866" s="347"/>
    </row>
    <row r="867" spans="2:13">
      <c r="B867" s="347"/>
      <c r="C867" s="347"/>
      <c r="E867" s="581"/>
      <c r="F867" s="581"/>
      <c r="G867" s="347"/>
      <c r="H867" s="347"/>
      <c r="J867" s="347"/>
      <c r="K867" s="347"/>
      <c r="M867" s="347"/>
    </row>
    <row r="868" spans="2:13">
      <c r="B868" s="347"/>
      <c r="C868" s="347"/>
      <c r="E868" s="581"/>
      <c r="F868" s="581"/>
      <c r="G868" s="347"/>
      <c r="H868" s="347"/>
      <c r="J868" s="347"/>
      <c r="K868" s="347"/>
      <c r="M868" s="347"/>
    </row>
    <row r="869" spans="2:13">
      <c r="B869" s="347"/>
      <c r="C869" s="347"/>
      <c r="E869" s="581"/>
      <c r="F869" s="581"/>
      <c r="G869" s="347"/>
      <c r="H869" s="347"/>
      <c r="J869" s="347"/>
      <c r="K869" s="347"/>
      <c r="M869" s="347"/>
    </row>
    <row r="870" spans="2:13">
      <c r="B870" s="347"/>
      <c r="C870" s="347"/>
      <c r="E870" s="581"/>
      <c r="F870" s="581"/>
      <c r="G870" s="347"/>
      <c r="H870" s="347"/>
      <c r="J870" s="347"/>
      <c r="K870" s="347"/>
      <c r="M870" s="347"/>
    </row>
    <row r="871" spans="2:13">
      <c r="B871" s="347"/>
      <c r="C871" s="347"/>
      <c r="E871" s="581"/>
      <c r="F871" s="581"/>
      <c r="G871" s="347"/>
      <c r="H871" s="347"/>
      <c r="J871" s="347"/>
      <c r="K871" s="347"/>
      <c r="M871" s="347"/>
    </row>
    <row r="872" spans="2:13">
      <c r="B872" s="347"/>
      <c r="C872" s="347"/>
      <c r="E872" s="581"/>
      <c r="F872" s="581"/>
      <c r="G872" s="347"/>
      <c r="H872" s="347"/>
      <c r="J872" s="347"/>
      <c r="K872" s="347"/>
      <c r="M872" s="347"/>
    </row>
    <row r="873" spans="2:13">
      <c r="B873" s="347"/>
      <c r="C873" s="347"/>
      <c r="E873" s="581"/>
      <c r="F873" s="581"/>
      <c r="G873" s="347"/>
      <c r="H873" s="347"/>
      <c r="J873" s="347"/>
      <c r="K873" s="347"/>
      <c r="M873" s="347"/>
    </row>
    <row r="874" spans="2:13">
      <c r="B874" s="347"/>
      <c r="C874" s="347"/>
      <c r="E874" s="581"/>
      <c r="F874" s="581"/>
      <c r="G874" s="347"/>
      <c r="H874" s="347"/>
      <c r="J874" s="347"/>
      <c r="K874" s="347"/>
      <c r="M874" s="347"/>
    </row>
    <row r="875" spans="2:13">
      <c r="B875" s="347"/>
      <c r="C875" s="347"/>
      <c r="E875" s="581"/>
      <c r="F875" s="581"/>
      <c r="G875" s="347"/>
      <c r="H875" s="347"/>
      <c r="J875" s="347"/>
      <c r="K875" s="347"/>
      <c r="M875" s="347"/>
    </row>
    <row r="876" spans="2:13">
      <c r="B876" s="347"/>
      <c r="C876" s="347"/>
      <c r="E876" s="581"/>
      <c r="F876" s="581"/>
      <c r="G876" s="347"/>
      <c r="H876" s="347"/>
      <c r="J876" s="347"/>
      <c r="K876" s="347"/>
      <c r="M876" s="347"/>
    </row>
    <row r="877" spans="2:13">
      <c r="B877" s="347"/>
      <c r="C877" s="347"/>
      <c r="E877" s="581"/>
      <c r="F877" s="581"/>
      <c r="G877" s="347"/>
      <c r="H877" s="347"/>
      <c r="J877" s="347"/>
      <c r="K877" s="347"/>
      <c r="M877" s="347"/>
    </row>
    <row r="878" spans="2:13">
      <c r="B878" s="347"/>
      <c r="C878" s="347"/>
      <c r="E878" s="581"/>
      <c r="F878" s="581"/>
      <c r="G878" s="347"/>
      <c r="H878" s="347"/>
      <c r="J878" s="347"/>
      <c r="K878" s="347"/>
      <c r="M878" s="347"/>
    </row>
    <row r="879" spans="2:13">
      <c r="B879" s="347"/>
      <c r="C879" s="347"/>
      <c r="E879" s="581"/>
      <c r="F879" s="581"/>
      <c r="G879" s="347"/>
      <c r="H879" s="347"/>
      <c r="J879" s="347"/>
      <c r="K879" s="347"/>
      <c r="M879" s="347"/>
    </row>
    <row r="880" spans="2:13">
      <c r="B880" s="347"/>
      <c r="C880" s="347"/>
      <c r="E880" s="581"/>
      <c r="F880" s="581"/>
      <c r="G880" s="347"/>
      <c r="H880" s="347"/>
      <c r="J880" s="347"/>
      <c r="K880" s="347"/>
      <c r="M880" s="347"/>
    </row>
    <row r="881" spans="2:13">
      <c r="B881" s="347"/>
      <c r="C881" s="347"/>
      <c r="E881" s="581"/>
      <c r="F881" s="581"/>
      <c r="G881" s="347"/>
      <c r="H881" s="347"/>
      <c r="J881" s="347"/>
      <c r="K881" s="347"/>
      <c r="M881" s="347"/>
    </row>
    <row r="882" spans="2:13">
      <c r="B882" s="347"/>
      <c r="C882" s="347"/>
      <c r="E882" s="581"/>
      <c r="F882" s="581"/>
      <c r="G882" s="347"/>
      <c r="H882" s="347"/>
      <c r="J882" s="347"/>
      <c r="K882" s="347"/>
      <c r="M882" s="347"/>
    </row>
    <row r="883" spans="2:13">
      <c r="B883" s="347"/>
      <c r="C883" s="347"/>
      <c r="E883" s="581"/>
      <c r="F883" s="581"/>
      <c r="G883" s="347"/>
      <c r="H883" s="347"/>
      <c r="J883" s="347"/>
      <c r="K883" s="347"/>
      <c r="M883" s="347"/>
    </row>
    <row r="884" spans="2:13">
      <c r="B884" s="347"/>
      <c r="C884" s="347"/>
      <c r="E884" s="581"/>
      <c r="F884" s="581"/>
      <c r="G884" s="347"/>
      <c r="H884" s="347"/>
      <c r="J884" s="347"/>
      <c r="K884" s="347"/>
      <c r="M884" s="347"/>
    </row>
    <row r="885" spans="2:13">
      <c r="B885" s="347"/>
      <c r="C885" s="347"/>
      <c r="E885" s="581"/>
      <c r="F885" s="581"/>
      <c r="G885" s="347"/>
      <c r="H885" s="347"/>
      <c r="J885" s="347"/>
      <c r="K885" s="347"/>
      <c r="M885" s="347"/>
    </row>
    <row r="886" spans="2:13">
      <c r="B886" s="347"/>
      <c r="C886" s="347"/>
      <c r="E886" s="581"/>
      <c r="F886" s="581"/>
      <c r="G886" s="347"/>
      <c r="H886" s="347"/>
      <c r="J886" s="347"/>
      <c r="K886" s="347"/>
      <c r="M886" s="347"/>
    </row>
    <row r="887" spans="2:13">
      <c r="B887" s="347"/>
      <c r="C887" s="347"/>
      <c r="E887" s="581"/>
      <c r="F887" s="581"/>
      <c r="G887" s="347"/>
      <c r="H887" s="347"/>
      <c r="J887" s="347"/>
      <c r="K887" s="347"/>
      <c r="M887" s="347"/>
    </row>
    <row r="888" spans="2:13">
      <c r="B888" s="347"/>
      <c r="C888" s="347"/>
      <c r="E888" s="581"/>
      <c r="F888" s="581"/>
      <c r="G888" s="347"/>
      <c r="H888" s="347"/>
      <c r="J888" s="347"/>
      <c r="K888" s="347"/>
      <c r="M888" s="347"/>
    </row>
    <row r="889" spans="2:13">
      <c r="B889" s="347"/>
      <c r="C889" s="347"/>
      <c r="E889" s="581"/>
      <c r="F889" s="581"/>
      <c r="G889" s="347"/>
      <c r="H889" s="347"/>
      <c r="J889" s="347"/>
      <c r="K889" s="347"/>
      <c r="M889" s="347"/>
    </row>
    <row r="890" spans="2:13">
      <c r="B890" s="347"/>
      <c r="C890" s="347"/>
      <c r="E890" s="581"/>
      <c r="F890" s="581"/>
      <c r="G890" s="347"/>
      <c r="H890" s="347"/>
      <c r="J890" s="347"/>
      <c r="K890" s="347"/>
      <c r="M890" s="347"/>
    </row>
    <row r="891" spans="2:13">
      <c r="B891" s="347"/>
      <c r="C891" s="347"/>
      <c r="E891" s="581"/>
      <c r="F891" s="581"/>
      <c r="G891" s="347"/>
      <c r="H891" s="347"/>
      <c r="J891" s="347"/>
      <c r="K891" s="347"/>
      <c r="M891" s="347"/>
    </row>
    <row r="892" spans="2:13">
      <c r="B892" s="347"/>
      <c r="C892" s="347"/>
      <c r="E892" s="581"/>
      <c r="F892" s="581"/>
      <c r="G892" s="347"/>
      <c r="H892" s="347"/>
      <c r="J892" s="347"/>
      <c r="K892" s="347"/>
      <c r="M892" s="347"/>
    </row>
    <row r="893" spans="2:13">
      <c r="B893" s="347"/>
      <c r="C893" s="347"/>
      <c r="E893" s="581"/>
      <c r="F893" s="581"/>
      <c r="G893" s="347"/>
      <c r="H893" s="347"/>
      <c r="J893" s="347"/>
      <c r="K893" s="347"/>
      <c r="M893" s="347"/>
    </row>
    <row r="894" spans="2:13">
      <c r="B894" s="347"/>
      <c r="C894" s="347"/>
      <c r="E894" s="581"/>
      <c r="F894" s="581"/>
      <c r="G894" s="347"/>
      <c r="H894" s="347"/>
      <c r="J894" s="347"/>
      <c r="K894" s="347"/>
      <c r="M894" s="347"/>
    </row>
    <row r="895" spans="2:13">
      <c r="B895" s="347"/>
      <c r="C895" s="347"/>
      <c r="E895" s="581"/>
      <c r="F895" s="581"/>
      <c r="G895" s="347"/>
      <c r="H895" s="347"/>
      <c r="J895" s="347"/>
      <c r="K895" s="347"/>
      <c r="M895" s="347"/>
    </row>
    <row r="896" spans="2:13">
      <c r="B896" s="347"/>
      <c r="C896" s="347"/>
      <c r="E896" s="581"/>
      <c r="F896" s="581"/>
      <c r="G896" s="347"/>
      <c r="H896" s="347"/>
      <c r="J896" s="347"/>
      <c r="K896" s="347"/>
      <c r="M896" s="347"/>
    </row>
    <row r="897" spans="2:13">
      <c r="B897" s="347"/>
      <c r="C897" s="347"/>
      <c r="E897" s="581"/>
      <c r="F897" s="581"/>
      <c r="G897" s="347"/>
      <c r="H897" s="347"/>
      <c r="J897" s="347"/>
      <c r="K897" s="347"/>
      <c r="M897" s="347"/>
    </row>
    <row r="898" spans="2:13">
      <c r="B898" s="347"/>
      <c r="C898" s="347"/>
      <c r="E898" s="581"/>
      <c r="F898" s="581"/>
      <c r="G898" s="347"/>
      <c r="H898" s="347"/>
      <c r="J898" s="347"/>
      <c r="K898" s="347"/>
      <c r="M898" s="347"/>
    </row>
    <row r="899" spans="2:13">
      <c r="B899" s="347"/>
      <c r="C899" s="347"/>
      <c r="E899" s="581"/>
      <c r="F899" s="581"/>
      <c r="G899" s="347"/>
      <c r="H899" s="347"/>
      <c r="J899" s="347"/>
      <c r="K899" s="347"/>
      <c r="M899" s="347"/>
    </row>
    <row r="900" spans="2:13">
      <c r="B900" s="347"/>
      <c r="C900" s="347"/>
      <c r="E900" s="581"/>
      <c r="F900" s="581"/>
      <c r="G900" s="347"/>
      <c r="H900" s="347"/>
      <c r="J900" s="347"/>
      <c r="K900" s="347"/>
      <c r="M900" s="347"/>
    </row>
    <row r="901" spans="2:13">
      <c r="B901" s="347"/>
      <c r="C901" s="347"/>
      <c r="E901" s="581"/>
      <c r="F901" s="581"/>
      <c r="G901" s="347"/>
      <c r="H901" s="347"/>
      <c r="J901" s="347"/>
      <c r="K901" s="347"/>
      <c r="M901" s="347"/>
    </row>
    <row r="902" spans="2:13">
      <c r="B902" s="347"/>
      <c r="C902" s="347"/>
      <c r="E902" s="581"/>
      <c r="F902" s="581"/>
      <c r="G902" s="347"/>
      <c r="H902" s="347"/>
      <c r="J902" s="347"/>
      <c r="K902" s="347"/>
      <c r="M902" s="347"/>
    </row>
    <row r="903" spans="2:13">
      <c r="B903" s="347"/>
      <c r="C903" s="347"/>
      <c r="E903" s="581"/>
      <c r="F903" s="581"/>
      <c r="G903" s="347"/>
      <c r="H903" s="347"/>
      <c r="J903" s="347"/>
      <c r="K903" s="347"/>
      <c r="M903" s="347"/>
    </row>
    <row r="904" spans="2:13">
      <c r="B904" s="347"/>
      <c r="C904" s="347"/>
      <c r="E904" s="581"/>
      <c r="F904" s="581"/>
      <c r="G904" s="347"/>
      <c r="H904" s="347"/>
      <c r="J904" s="347"/>
      <c r="K904" s="347"/>
      <c r="M904" s="347"/>
    </row>
    <row r="905" spans="2:13">
      <c r="B905" s="347"/>
      <c r="C905" s="347"/>
      <c r="E905" s="581"/>
      <c r="F905" s="581"/>
      <c r="G905" s="347"/>
      <c r="H905" s="347"/>
      <c r="J905" s="347"/>
      <c r="K905" s="347"/>
      <c r="M905" s="347"/>
    </row>
    <row r="906" spans="2:13">
      <c r="B906" s="347"/>
      <c r="C906" s="347"/>
      <c r="E906" s="581"/>
      <c r="F906" s="581"/>
      <c r="G906" s="347"/>
      <c r="H906" s="347"/>
      <c r="J906" s="347"/>
      <c r="K906" s="347"/>
      <c r="M906" s="347"/>
    </row>
    <row r="907" spans="2:13">
      <c r="B907" s="347"/>
      <c r="C907" s="347"/>
      <c r="E907" s="581"/>
      <c r="F907" s="581"/>
      <c r="G907" s="347"/>
      <c r="H907" s="347"/>
      <c r="J907" s="347"/>
      <c r="K907" s="347"/>
      <c r="M907" s="347"/>
    </row>
    <row r="908" spans="2:13">
      <c r="B908" s="347"/>
      <c r="C908" s="347"/>
      <c r="E908" s="581"/>
      <c r="F908" s="581"/>
      <c r="G908" s="347"/>
      <c r="H908" s="347"/>
      <c r="J908" s="347"/>
      <c r="K908" s="347"/>
      <c r="M908" s="347"/>
    </row>
    <row r="909" spans="2:13">
      <c r="B909" s="347"/>
      <c r="C909" s="347"/>
      <c r="E909" s="581"/>
      <c r="F909" s="581"/>
      <c r="G909" s="347"/>
      <c r="H909" s="347"/>
      <c r="J909" s="347"/>
      <c r="K909" s="347"/>
      <c r="M909" s="347"/>
    </row>
    <row r="910" spans="2:13">
      <c r="B910" s="347"/>
      <c r="C910" s="347"/>
      <c r="E910" s="581"/>
      <c r="F910" s="581"/>
      <c r="G910" s="347"/>
      <c r="H910" s="347"/>
      <c r="J910" s="347"/>
      <c r="K910" s="347"/>
      <c r="M910" s="347"/>
    </row>
    <row r="911" spans="2:13">
      <c r="B911" s="347"/>
      <c r="C911" s="347"/>
      <c r="E911" s="581"/>
      <c r="F911" s="581"/>
      <c r="G911" s="347"/>
      <c r="H911" s="347"/>
      <c r="J911" s="347"/>
      <c r="K911" s="347"/>
      <c r="M911" s="347"/>
    </row>
    <row r="912" spans="2:13">
      <c r="B912" s="347"/>
      <c r="C912" s="347"/>
      <c r="E912" s="581"/>
      <c r="F912" s="581"/>
      <c r="G912" s="347"/>
      <c r="H912" s="347"/>
      <c r="J912" s="347"/>
      <c r="K912" s="347"/>
      <c r="M912" s="347"/>
    </row>
    <row r="913" spans="2:13">
      <c r="B913" s="347"/>
      <c r="C913" s="347"/>
      <c r="E913" s="581"/>
      <c r="F913" s="581"/>
      <c r="G913" s="347"/>
      <c r="H913" s="347"/>
      <c r="J913" s="347"/>
      <c r="K913" s="347"/>
      <c r="M913" s="347"/>
    </row>
    <row r="914" spans="2:13">
      <c r="B914" s="347"/>
      <c r="C914" s="347"/>
      <c r="E914" s="581"/>
      <c r="F914" s="581"/>
      <c r="G914" s="347"/>
      <c r="H914" s="347"/>
      <c r="J914" s="347"/>
      <c r="K914" s="347"/>
      <c r="M914" s="347"/>
    </row>
    <row r="915" spans="2:13">
      <c r="B915" s="347"/>
      <c r="C915" s="347"/>
      <c r="E915" s="581"/>
      <c r="F915" s="581"/>
      <c r="G915" s="347"/>
      <c r="H915" s="347"/>
      <c r="J915" s="347"/>
      <c r="K915" s="347"/>
      <c r="M915" s="347"/>
    </row>
    <row r="916" spans="2:13">
      <c r="B916" s="347"/>
      <c r="C916" s="347"/>
      <c r="E916" s="581"/>
      <c r="F916" s="581"/>
      <c r="G916" s="347"/>
      <c r="H916" s="347"/>
      <c r="J916" s="347"/>
      <c r="K916" s="347"/>
      <c r="M916" s="347"/>
    </row>
    <row r="917" spans="2:13">
      <c r="B917" s="347"/>
      <c r="C917" s="347"/>
      <c r="E917" s="581"/>
      <c r="F917" s="581"/>
      <c r="G917" s="347"/>
      <c r="H917" s="347"/>
      <c r="J917" s="347"/>
      <c r="K917" s="347"/>
      <c r="M917" s="347"/>
    </row>
    <row r="918" spans="2:13">
      <c r="B918" s="347"/>
      <c r="C918" s="347"/>
      <c r="E918" s="581"/>
      <c r="F918" s="581"/>
      <c r="G918" s="347"/>
      <c r="H918" s="347"/>
      <c r="J918" s="347"/>
      <c r="K918" s="347"/>
      <c r="M918" s="347"/>
    </row>
    <row r="919" spans="2:13">
      <c r="B919" s="347"/>
      <c r="C919" s="347"/>
      <c r="E919" s="581"/>
      <c r="F919" s="581"/>
      <c r="G919" s="347"/>
      <c r="H919" s="347"/>
      <c r="J919" s="347"/>
      <c r="K919" s="347"/>
      <c r="M919" s="347"/>
    </row>
    <row r="920" spans="2:13">
      <c r="B920" s="347"/>
      <c r="C920" s="347"/>
      <c r="E920" s="581"/>
      <c r="F920" s="581"/>
      <c r="G920" s="347"/>
      <c r="H920" s="347"/>
      <c r="J920" s="347"/>
      <c r="K920" s="347"/>
      <c r="M920" s="347"/>
    </row>
    <row r="921" spans="2:13">
      <c r="B921" s="347"/>
      <c r="C921" s="347"/>
      <c r="E921" s="581"/>
      <c r="F921" s="581"/>
      <c r="G921" s="347"/>
      <c r="H921" s="347"/>
      <c r="J921" s="347"/>
      <c r="K921" s="347"/>
      <c r="M921" s="347"/>
    </row>
    <row r="922" spans="2:13">
      <c r="B922" s="347"/>
      <c r="C922" s="347"/>
      <c r="E922" s="581"/>
      <c r="F922" s="581"/>
      <c r="G922" s="347"/>
      <c r="H922" s="347"/>
      <c r="J922" s="347"/>
      <c r="K922" s="347"/>
      <c r="M922" s="347"/>
    </row>
    <row r="923" spans="2:13">
      <c r="B923" s="347"/>
      <c r="C923" s="347"/>
      <c r="E923" s="581"/>
      <c r="F923" s="581"/>
      <c r="G923" s="347"/>
      <c r="H923" s="347"/>
      <c r="J923" s="347"/>
      <c r="K923" s="347"/>
      <c r="M923" s="347"/>
    </row>
    <row r="924" spans="2:13">
      <c r="B924" s="347"/>
      <c r="C924" s="347"/>
      <c r="E924" s="581"/>
      <c r="F924" s="581"/>
      <c r="G924" s="347"/>
      <c r="H924" s="347"/>
      <c r="J924" s="347"/>
      <c r="K924" s="347"/>
      <c r="M924" s="347"/>
    </row>
    <row r="925" spans="2:13">
      <c r="B925" s="347"/>
      <c r="C925" s="347"/>
      <c r="E925" s="581"/>
      <c r="F925" s="581"/>
      <c r="G925" s="347"/>
      <c r="H925" s="347"/>
      <c r="J925" s="347"/>
      <c r="K925" s="347"/>
      <c r="M925" s="347"/>
    </row>
    <row r="926" spans="2:13">
      <c r="B926" s="347"/>
      <c r="C926" s="347"/>
      <c r="E926" s="581"/>
      <c r="F926" s="581"/>
      <c r="G926" s="347"/>
      <c r="H926" s="347"/>
      <c r="J926" s="347"/>
      <c r="K926" s="347"/>
      <c r="M926" s="347"/>
    </row>
    <row r="927" spans="2:13">
      <c r="B927" s="347"/>
      <c r="C927" s="347"/>
      <c r="E927" s="581"/>
      <c r="F927" s="581"/>
      <c r="G927" s="347"/>
      <c r="H927" s="347"/>
      <c r="J927" s="347"/>
      <c r="K927" s="347"/>
      <c r="M927" s="347"/>
    </row>
    <row r="928" spans="2:13">
      <c r="B928" s="347"/>
      <c r="C928" s="347"/>
      <c r="E928" s="581"/>
      <c r="F928" s="581"/>
      <c r="G928" s="347"/>
      <c r="H928" s="347"/>
      <c r="J928" s="347"/>
      <c r="K928" s="347"/>
      <c r="M928" s="347"/>
    </row>
    <row r="929" spans="2:13">
      <c r="B929" s="347"/>
      <c r="C929" s="347"/>
      <c r="E929" s="581"/>
      <c r="F929" s="581"/>
      <c r="G929" s="347"/>
      <c r="H929" s="347"/>
      <c r="J929" s="347"/>
      <c r="K929" s="347"/>
      <c r="M929" s="347"/>
    </row>
    <row r="930" spans="2:13">
      <c r="B930" s="347"/>
      <c r="C930" s="347"/>
      <c r="E930" s="581"/>
      <c r="F930" s="581"/>
      <c r="G930" s="347"/>
      <c r="H930" s="347"/>
      <c r="J930" s="347"/>
      <c r="K930" s="347"/>
      <c r="M930" s="347"/>
    </row>
    <row r="931" spans="2:13">
      <c r="B931" s="347"/>
      <c r="C931" s="347"/>
      <c r="E931" s="581"/>
      <c r="F931" s="581"/>
      <c r="G931" s="347"/>
      <c r="H931" s="347"/>
      <c r="J931" s="347"/>
      <c r="K931" s="347"/>
      <c r="M931" s="347"/>
    </row>
    <row r="932" spans="2:13">
      <c r="B932" s="347"/>
      <c r="C932" s="347"/>
      <c r="E932" s="581"/>
      <c r="F932" s="581"/>
      <c r="G932" s="347"/>
      <c r="H932" s="347"/>
      <c r="J932" s="347"/>
      <c r="K932" s="347"/>
      <c r="M932" s="347"/>
    </row>
    <row r="933" spans="2:13">
      <c r="B933" s="347"/>
      <c r="C933" s="347"/>
      <c r="E933" s="581"/>
      <c r="F933" s="581"/>
      <c r="G933" s="347"/>
      <c r="H933" s="347"/>
      <c r="J933" s="347"/>
      <c r="K933" s="347"/>
      <c r="M933" s="347"/>
    </row>
    <row r="934" spans="2:13">
      <c r="B934" s="347"/>
      <c r="C934" s="347"/>
      <c r="E934" s="581"/>
      <c r="F934" s="581"/>
      <c r="G934" s="347"/>
      <c r="H934" s="347"/>
      <c r="J934" s="347"/>
      <c r="K934" s="347"/>
      <c r="M934" s="347"/>
    </row>
    <row r="935" spans="2:13">
      <c r="B935" s="347"/>
      <c r="C935" s="347"/>
      <c r="E935" s="581"/>
      <c r="F935" s="581"/>
      <c r="G935" s="347"/>
      <c r="H935" s="347"/>
      <c r="J935" s="347"/>
      <c r="K935" s="347"/>
      <c r="M935" s="347"/>
    </row>
    <row r="936" spans="2:13">
      <c r="B936" s="347"/>
      <c r="C936" s="347"/>
      <c r="E936" s="581"/>
      <c r="F936" s="581"/>
      <c r="G936" s="347"/>
      <c r="H936" s="347"/>
      <c r="J936" s="347"/>
      <c r="K936" s="347"/>
      <c r="M936" s="347"/>
    </row>
    <row r="937" spans="2:13">
      <c r="B937" s="347"/>
      <c r="C937" s="347"/>
      <c r="E937" s="581"/>
      <c r="F937" s="581"/>
      <c r="G937" s="347"/>
      <c r="H937" s="347"/>
      <c r="J937" s="347"/>
      <c r="K937" s="347"/>
      <c r="M937" s="347"/>
    </row>
    <row r="938" spans="2:13">
      <c r="B938" s="347"/>
      <c r="C938" s="347"/>
      <c r="E938" s="581"/>
      <c r="F938" s="581"/>
      <c r="G938" s="347"/>
      <c r="H938" s="347"/>
      <c r="J938" s="347"/>
      <c r="K938" s="347"/>
      <c r="M938" s="347"/>
    </row>
    <row r="939" spans="2:13">
      <c r="B939" s="347"/>
      <c r="C939" s="347"/>
      <c r="E939" s="581"/>
      <c r="F939" s="581"/>
      <c r="G939" s="347"/>
      <c r="H939" s="347"/>
      <c r="J939" s="347"/>
      <c r="K939" s="347"/>
      <c r="M939" s="347"/>
    </row>
    <row r="940" spans="2:13">
      <c r="B940" s="347"/>
      <c r="C940" s="347"/>
      <c r="E940" s="581"/>
      <c r="F940" s="581"/>
      <c r="G940" s="347"/>
      <c r="H940" s="347"/>
      <c r="J940" s="347"/>
      <c r="K940" s="347"/>
      <c r="M940" s="347"/>
    </row>
    <row r="941" spans="2:13">
      <c r="B941" s="347"/>
      <c r="C941" s="347"/>
      <c r="E941" s="581"/>
      <c r="F941" s="581"/>
      <c r="G941" s="347"/>
      <c r="H941" s="347"/>
      <c r="J941" s="347"/>
      <c r="K941" s="347"/>
      <c r="M941" s="347"/>
    </row>
    <row r="942" spans="2:13">
      <c r="B942" s="347"/>
      <c r="C942" s="347"/>
      <c r="E942" s="581"/>
      <c r="F942" s="581"/>
      <c r="G942" s="347"/>
      <c r="H942" s="347"/>
      <c r="J942" s="347"/>
      <c r="K942" s="347"/>
      <c r="M942" s="347"/>
    </row>
    <row r="943" spans="2:13">
      <c r="B943" s="347"/>
      <c r="C943" s="347"/>
      <c r="E943" s="581"/>
      <c r="F943" s="581"/>
      <c r="G943" s="347"/>
      <c r="H943" s="347"/>
      <c r="J943" s="347"/>
      <c r="K943" s="347"/>
      <c r="M943" s="347"/>
    </row>
    <row r="944" spans="2:13">
      <c r="B944" s="347"/>
      <c r="C944" s="347"/>
      <c r="E944" s="581"/>
      <c r="F944" s="581"/>
      <c r="G944" s="347"/>
      <c r="H944" s="347"/>
      <c r="J944" s="347"/>
      <c r="K944" s="347"/>
      <c r="M944" s="347"/>
    </row>
    <row r="945" spans="2:13">
      <c r="B945" s="347"/>
      <c r="C945" s="347"/>
      <c r="E945" s="581"/>
      <c r="F945" s="581"/>
      <c r="G945" s="347"/>
      <c r="H945" s="347"/>
      <c r="J945" s="347"/>
      <c r="K945" s="347"/>
      <c r="M945" s="347"/>
    </row>
    <row r="946" spans="2:13">
      <c r="B946" s="347"/>
      <c r="C946" s="347"/>
      <c r="E946" s="581"/>
      <c r="F946" s="581"/>
      <c r="G946" s="347"/>
      <c r="H946" s="347"/>
      <c r="J946" s="347"/>
      <c r="K946" s="347"/>
      <c r="M946" s="347"/>
    </row>
    <row r="947" spans="2:13">
      <c r="B947" s="347"/>
      <c r="C947" s="347"/>
      <c r="E947" s="581"/>
      <c r="F947" s="581"/>
      <c r="G947" s="347"/>
      <c r="H947" s="347"/>
      <c r="J947" s="347"/>
      <c r="K947" s="347"/>
      <c r="M947" s="347"/>
    </row>
    <row r="948" spans="2:13">
      <c r="B948" s="347"/>
      <c r="C948" s="347"/>
      <c r="E948" s="581"/>
      <c r="F948" s="581"/>
      <c r="G948" s="347"/>
      <c r="H948" s="347"/>
      <c r="J948" s="347"/>
      <c r="K948" s="347"/>
      <c r="M948" s="347"/>
    </row>
    <row r="949" spans="2:13">
      <c r="B949" s="347"/>
      <c r="C949" s="347"/>
      <c r="E949" s="581"/>
      <c r="F949" s="581"/>
      <c r="G949" s="347"/>
      <c r="H949" s="347"/>
      <c r="J949" s="347"/>
      <c r="K949" s="347"/>
      <c r="M949" s="347"/>
    </row>
    <row r="950" spans="2:13">
      <c r="B950" s="347"/>
      <c r="C950" s="347"/>
      <c r="E950" s="581"/>
      <c r="F950" s="581"/>
      <c r="G950" s="347"/>
      <c r="H950" s="347"/>
      <c r="J950" s="347"/>
      <c r="K950" s="347"/>
      <c r="M950" s="347"/>
    </row>
    <row r="951" spans="2:13">
      <c r="B951" s="347"/>
      <c r="C951" s="347"/>
      <c r="E951" s="581"/>
      <c r="F951" s="581"/>
      <c r="G951" s="347"/>
      <c r="H951" s="347"/>
      <c r="J951" s="347"/>
      <c r="K951" s="347"/>
      <c r="M951" s="347"/>
    </row>
    <row r="952" spans="2:13">
      <c r="B952" s="347"/>
      <c r="C952" s="347"/>
      <c r="E952" s="581"/>
      <c r="F952" s="581"/>
      <c r="G952" s="347"/>
      <c r="H952" s="347"/>
      <c r="J952" s="347"/>
      <c r="K952" s="347"/>
      <c r="M952" s="347"/>
    </row>
    <row r="953" spans="2:13">
      <c r="B953" s="347"/>
      <c r="C953" s="347"/>
      <c r="E953" s="581"/>
      <c r="F953" s="581"/>
      <c r="G953" s="347"/>
      <c r="H953" s="347"/>
      <c r="J953" s="347"/>
      <c r="K953" s="347"/>
      <c r="M953" s="347"/>
    </row>
    <row r="954" spans="2:13">
      <c r="B954" s="347"/>
      <c r="C954" s="347"/>
      <c r="E954" s="581"/>
      <c r="F954" s="581"/>
      <c r="G954" s="347"/>
      <c r="H954" s="347"/>
      <c r="J954" s="347"/>
      <c r="K954" s="347"/>
      <c r="M954" s="347"/>
    </row>
    <row r="955" spans="2:13">
      <c r="B955" s="347"/>
      <c r="C955" s="347"/>
      <c r="E955" s="581"/>
      <c r="F955" s="581"/>
      <c r="G955" s="347"/>
      <c r="H955" s="347"/>
      <c r="J955" s="347"/>
      <c r="K955" s="347"/>
      <c r="M955" s="347"/>
    </row>
    <row r="956" spans="2:13">
      <c r="B956" s="347"/>
      <c r="C956" s="347"/>
      <c r="E956" s="581"/>
      <c r="F956" s="581"/>
      <c r="G956" s="347"/>
      <c r="H956" s="347"/>
      <c r="J956" s="347"/>
      <c r="K956" s="347"/>
      <c r="M956" s="347"/>
    </row>
    <row r="957" spans="2:13">
      <c r="B957" s="347"/>
      <c r="C957" s="347"/>
      <c r="E957" s="581"/>
      <c r="F957" s="581"/>
      <c r="G957" s="347"/>
      <c r="H957" s="347"/>
      <c r="J957" s="347"/>
      <c r="K957" s="347"/>
      <c r="M957" s="347"/>
    </row>
    <row r="958" spans="2:13">
      <c r="B958" s="347"/>
      <c r="C958" s="347"/>
      <c r="E958" s="581"/>
      <c r="F958" s="581"/>
      <c r="G958" s="347"/>
      <c r="H958" s="347"/>
      <c r="J958" s="347"/>
      <c r="K958" s="347"/>
      <c r="M958" s="347"/>
    </row>
    <row r="959" spans="2:13">
      <c r="B959" s="347"/>
      <c r="C959" s="347"/>
      <c r="E959" s="581"/>
      <c r="F959" s="581"/>
      <c r="G959" s="347"/>
      <c r="H959" s="347"/>
      <c r="J959" s="347"/>
      <c r="K959" s="347"/>
      <c r="M959" s="347"/>
    </row>
    <row r="960" spans="2:13">
      <c r="B960" s="347"/>
      <c r="C960" s="347"/>
      <c r="E960" s="581"/>
      <c r="F960" s="581"/>
      <c r="G960" s="347"/>
      <c r="H960" s="347"/>
      <c r="J960" s="347"/>
      <c r="K960" s="347"/>
      <c r="M960" s="347"/>
    </row>
    <row r="961" spans="2:13">
      <c r="B961" s="347"/>
      <c r="C961" s="347"/>
      <c r="E961" s="581"/>
      <c r="F961" s="581"/>
      <c r="G961" s="347"/>
      <c r="H961" s="347"/>
      <c r="J961" s="347"/>
      <c r="K961" s="347"/>
      <c r="M961" s="347"/>
    </row>
    <row r="962" spans="2:13">
      <c r="B962" s="347"/>
      <c r="C962" s="347"/>
      <c r="E962" s="581"/>
      <c r="F962" s="581"/>
      <c r="G962" s="347"/>
      <c r="H962" s="347"/>
      <c r="J962" s="347"/>
      <c r="K962" s="347"/>
      <c r="M962" s="347"/>
    </row>
    <row r="963" spans="2:13">
      <c r="B963" s="347"/>
      <c r="C963" s="347"/>
      <c r="E963" s="581"/>
      <c r="F963" s="581"/>
      <c r="G963" s="347"/>
      <c r="H963" s="347"/>
      <c r="J963" s="347"/>
      <c r="K963" s="347"/>
      <c r="M963" s="347"/>
    </row>
    <row r="964" spans="2:13">
      <c r="B964" s="347"/>
      <c r="C964" s="347"/>
      <c r="E964" s="581"/>
      <c r="F964" s="581"/>
      <c r="G964" s="347"/>
      <c r="H964" s="347"/>
      <c r="J964" s="347"/>
      <c r="K964" s="347"/>
      <c r="M964" s="347"/>
    </row>
    <row r="965" spans="2:13">
      <c r="B965" s="347"/>
      <c r="C965" s="347"/>
      <c r="E965" s="581"/>
      <c r="F965" s="581"/>
      <c r="G965" s="347"/>
      <c r="H965" s="347"/>
      <c r="J965" s="347"/>
      <c r="K965" s="347"/>
      <c r="M965" s="347"/>
    </row>
    <row r="966" spans="2:13">
      <c r="B966" s="347"/>
      <c r="C966" s="347"/>
      <c r="E966" s="581"/>
      <c r="F966" s="581"/>
      <c r="G966" s="347"/>
      <c r="H966" s="347"/>
      <c r="J966" s="347"/>
      <c r="K966" s="347"/>
      <c r="M966" s="347"/>
    </row>
    <row r="967" spans="2:13">
      <c r="B967" s="347"/>
      <c r="C967" s="347"/>
      <c r="E967" s="581"/>
      <c r="F967" s="581"/>
      <c r="G967" s="347"/>
      <c r="H967" s="347"/>
      <c r="J967" s="347"/>
      <c r="K967" s="347"/>
      <c r="M967" s="347"/>
    </row>
    <row r="968" spans="2:13">
      <c r="B968" s="347"/>
      <c r="C968" s="347"/>
      <c r="E968" s="581"/>
      <c r="F968" s="581"/>
      <c r="G968" s="347"/>
      <c r="H968" s="347"/>
      <c r="J968" s="347"/>
      <c r="K968" s="347"/>
      <c r="M968" s="347"/>
    </row>
    <row r="969" spans="2:13">
      <c r="B969" s="347"/>
      <c r="C969" s="347"/>
      <c r="E969" s="581"/>
      <c r="F969" s="581"/>
      <c r="G969" s="347"/>
      <c r="H969" s="347"/>
      <c r="J969" s="347"/>
      <c r="K969" s="347"/>
      <c r="M969" s="347"/>
    </row>
    <row r="970" spans="2:13">
      <c r="B970" s="347"/>
      <c r="C970" s="347"/>
      <c r="E970" s="581"/>
      <c r="F970" s="581"/>
      <c r="G970" s="347"/>
      <c r="H970" s="347"/>
      <c r="J970" s="347"/>
      <c r="K970" s="347"/>
      <c r="M970" s="347"/>
    </row>
    <row r="971" spans="2:13">
      <c r="B971" s="347"/>
      <c r="C971" s="347"/>
      <c r="E971" s="581"/>
      <c r="F971" s="581"/>
      <c r="G971" s="347"/>
      <c r="H971" s="347"/>
      <c r="J971" s="347"/>
      <c r="K971" s="347"/>
      <c r="M971" s="347"/>
    </row>
    <row r="972" spans="2:13">
      <c r="B972" s="347"/>
      <c r="C972" s="347"/>
      <c r="E972" s="581"/>
      <c r="F972" s="581"/>
      <c r="G972" s="347"/>
      <c r="H972" s="347"/>
      <c r="J972" s="347"/>
      <c r="K972" s="347"/>
      <c r="M972" s="347"/>
    </row>
    <row r="973" spans="2:13">
      <c r="B973" s="347"/>
      <c r="C973" s="347"/>
      <c r="E973" s="581"/>
      <c r="F973" s="581"/>
      <c r="G973" s="347"/>
      <c r="H973" s="347"/>
      <c r="J973" s="347"/>
      <c r="K973" s="347"/>
      <c r="M973" s="347"/>
    </row>
    <row r="974" spans="2:13">
      <c r="B974" s="347"/>
      <c r="C974" s="347"/>
      <c r="E974" s="581"/>
      <c r="F974" s="581"/>
      <c r="G974" s="347"/>
      <c r="H974" s="347"/>
      <c r="J974" s="347"/>
      <c r="K974" s="347"/>
      <c r="M974" s="347"/>
    </row>
    <row r="975" spans="2:13">
      <c r="B975" s="347"/>
      <c r="C975" s="347"/>
      <c r="E975" s="581"/>
      <c r="F975" s="581"/>
      <c r="G975" s="347"/>
      <c r="H975" s="347"/>
      <c r="J975" s="347"/>
      <c r="K975" s="347"/>
      <c r="M975" s="347"/>
    </row>
    <row r="976" spans="2:13">
      <c r="B976" s="347"/>
      <c r="C976" s="347"/>
      <c r="E976" s="581"/>
      <c r="F976" s="581"/>
      <c r="G976" s="347"/>
      <c r="H976" s="347"/>
      <c r="J976" s="347"/>
      <c r="K976" s="347"/>
      <c r="M976" s="347"/>
    </row>
    <row r="977" spans="2:13">
      <c r="B977" s="347"/>
      <c r="C977" s="347"/>
      <c r="E977" s="581"/>
      <c r="F977" s="581"/>
      <c r="G977" s="347"/>
      <c r="H977" s="347"/>
      <c r="J977" s="347"/>
      <c r="K977" s="347"/>
      <c r="M977" s="347"/>
    </row>
    <row r="978" spans="2:13">
      <c r="B978" s="347"/>
      <c r="C978" s="347"/>
      <c r="E978" s="581"/>
      <c r="F978" s="581"/>
      <c r="G978" s="347"/>
      <c r="H978" s="347"/>
      <c r="J978" s="347"/>
      <c r="K978" s="347"/>
      <c r="M978" s="347"/>
    </row>
    <row r="979" spans="2:13">
      <c r="B979" s="347"/>
      <c r="C979" s="347"/>
      <c r="E979" s="581"/>
      <c r="F979" s="581"/>
      <c r="G979" s="347"/>
      <c r="H979" s="347"/>
      <c r="J979" s="347"/>
      <c r="K979" s="347"/>
      <c r="M979" s="347"/>
    </row>
    <row r="980" spans="2:13">
      <c r="B980" s="347"/>
      <c r="C980" s="347"/>
      <c r="E980" s="581"/>
      <c r="F980" s="581"/>
      <c r="G980" s="347"/>
      <c r="H980" s="347"/>
      <c r="J980" s="347"/>
      <c r="K980" s="347"/>
      <c r="M980" s="347"/>
    </row>
    <row r="981" spans="2:13">
      <c r="B981" s="347"/>
      <c r="C981" s="347"/>
      <c r="E981" s="581"/>
      <c r="F981" s="581"/>
      <c r="G981" s="347"/>
      <c r="H981" s="347"/>
      <c r="J981" s="347"/>
      <c r="K981" s="347"/>
      <c r="M981" s="347"/>
    </row>
    <row r="982" spans="2:13">
      <c r="B982" s="347"/>
      <c r="C982" s="347"/>
      <c r="E982" s="581"/>
      <c r="F982" s="581"/>
      <c r="G982" s="347"/>
      <c r="H982" s="347"/>
      <c r="J982" s="347"/>
      <c r="K982" s="347"/>
      <c r="M982" s="347"/>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F468"/>
  <sheetViews>
    <sheetView workbookViewId="0"/>
  </sheetViews>
  <sheetFormatPr defaultColWidth="12.7109375" defaultRowHeight="12.75" customHeight="1"/>
  <cols>
    <col min="2" max="2" width="16.7109375" customWidth="1"/>
    <col min="3" max="3" width="7.7109375" customWidth="1"/>
    <col min="4" max="4" width="10.140625" customWidth="1"/>
  </cols>
  <sheetData>
    <row r="1" spans="1:6">
      <c r="A1" s="778" t="s">
        <v>5073</v>
      </c>
      <c r="B1" s="779"/>
      <c r="C1" s="778" t="s">
        <v>1</v>
      </c>
      <c r="D1" s="778" t="s">
        <v>5074</v>
      </c>
      <c r="E1" s="780" t="s">
        <v>5075</v>
      </c>
      <c r="F1" s="780" t="s">
        <v>5076</v>
      </c>
    </row>
    <row r="2" spans="1:6">
      <c r="A2" s="781">
        <v>44361</v>
      </c>
      <c r="B2" s="782" t="s">
        <v>5077</v>
      </c>
      <c r="C2" s="782" t="s">
        <v>566</v>
      </c>
      <c r="D2" s="783">
        <v>3</v>
      </c>
      <c r="E2" s="783">
        <v>194.51</v>
      </c>
      <c r="F2" s="784">
        <v>1.4999999999999999E-2</v>
      </c>
    </row>
    <row r="3" spans="1:6">
      <c r="A3" s="781">
        <v>44336</v>
      </c>
      <c r="B3" s="782" t="s">
        <v>591</v>
      </c>
      <c r="C3" s="782" t="s">
        <v>160</v>
      </c>
      <c r="D3" s="783">
        <v>14</v>
      </c>
      <c r="E3" s="783">
        <v>133.06</v>
      </c>
      <c r="F3" s="784">
        <v>0.105</v>
      </c>
    </row>
    <row r="4" spans="1:6">
      <c r="A4" s="781">
        <v>44326</v>
      </c>
      <c r="B4" s="782" t="s">
        <v>5078</v>
      </c>
      <c r="C4" s="782" t="s">
        <v>623</v>
      </c>
      <c r="D4" s="783">
        <v>2.5</v>
      </c>
      <c r="E4" s="783">
        <v>13.6</v>
      </c>
      <c r="F4" s="784">
        <v>0.184</v>
      </c>
    </row>
    <row r="5" spans="1:6">
      <c r="A5" s="781">
        <v>44319</v>
      </c>
      <c r="B5" s="782" t="s">
        <v>639</v>
      </c>
      <c r="C5" s="782" t="s">
        <v>638</v>
      </c>
      <c r="D5" s="783">
        <v>3.5</v>
      </c>
      <c r="E5" s="783">
        <v>71.59</v>
      </c>
      <c r="F5" s="784">
        <v>4.9000000000000002E-2</v>
      </c>
    </row>
    <row r="6" spans="1:6">
      <c r="A6" s="781">
        <v>44315</v>
      </c>
      <c r="B6" s="782" t="s">
        <v>5079</v>
      </c>
      <c r="C6" s="782" t="s">
        <v>598</v>
      </c>
      <c r="D6" s="783">
        <v>2.5499999999999998</v>
      </c>
      <c r="E6" s="783">
        <v>55.23</v>
      </c>
      <c r="F6" s="784">
        <v>4.5999999999999999E-2</v>
      </c>
    </row>
    <row r="7" spans="1:6">
      <c r="A7" s="781">
        <v>44293</v>
      </c>
      <c r="B7" s="782" t="s">
        <v>675</v>
      </c>
      <c r="C7" s="782" t="s">
        <v>674</v>
      </c>
      <c r="D7" s="785" t="s">
        <v>5080</v>
      </c>
      <c r="E7" s="783">
        <v>15.62</v>
      </c>
      <c r="F7" s="785" t="s">
        <v>5081</v>
      </c>
    </row>
    <row r="8" spans="1:6">
      <c r="A8" s="781">
        <v>44252</v>
      </c>
      <c r="B8" s="782" t="s">
        <v>5082</v>
      </c>
      <c r="C8" s="782" t="s">
        <v>638</v>
      </c>
      <c r="D8" s="783">
        <v>3.5</v>
      </c>
      <c r="E8" s="783">
        <v>67.31</v>
      </c>
      <c r="F8" s="784">
        <v>5.1999999999999998E-2</v>
      </c>
    </row>
    <row r="9" spans="1:6">
      <c r="A9" s="781">
        <v>44223</v>
      </c>
      <c r="B9" s="782" t="s">
        <v>732</v>
      </c>
      <c r="C9" s="782" t="s">
        <v>453</v>
      </c>
      <c r="D9" s="783">
        <v>2.5</v>
      </c>
      <c r="E9" s="783">
        <v>78.569999999999993</v>
      </c>
      <c r="F9" s="784">
        <v>3.2000000000000001E-2</v>
      </c>
    </row>
    <row r="10" spans="1:6">
      <c r="A10" s="781">
        <v>44188</v>
      </c>
      <c r="B10" s="782" t="s">
        <v>775</v>
      </c>
      <c r="C10" s="782" t="s">
        <v>680</v>
      </c>
      <c r="D10" s="783">
        <v>11</v>
      </c>
      <c r="E10" s="783">
        <v>37.65</v>
      </c>
      <c r="F10" s="784">
        <v>0.29199999999999998</v>
      </c>
    </row>
    <row r="11" spans="1:6">
      <c r="A11" s="781">
        <v>44187</v>
      </c>
      <c r="B11" s="782" t="s">
        <v>5083</v>
      </c>
      <c r="C11" s="782" t="s">
        <v>814</v>
      </c>
      <c r="D11" s="783">
        <v>5</v>
      </c>
      <c r="E11" s="783">
        <v>103.44</v>
      </c>
      <c r="F11" s="784">
        <v>4.8000000000000001E-2</v>
      </c>
    </row>
    <row r="12" spans="1:6">
      <c r="A12" s="781">
        <v>44175</v>
      </c>
      <c r="B12" s="782" t="s">
        <v>5084</v>
      </c>
      <c r="C12" s="782" t="s">
        <v>828</v>
      </c>
      <c r="D12" s="783">
        <v>2</v>
      </c>
      <c r="E12" s="783">
        <v>435</v>
      </c>
      <c r="F12" s="784">
        <v>6.0000000000000001E-3</v>
      </c>
    </row>
    <row r="13" spans="1:6">
      <c r="A13" s="781">
        <v>44174</v>
      </c>
      <c r="B13" s="782" t="s">
        <v>591</v>
      </c>
      <c r="C13" s="782" t="s">
        <v>160</v>
      </c>
      <c r="D13" s="783">
        <v>2</v>
      </c>
      <c r="E13" s="783">
        <v>88.33</v>
      </c>
      <c r="F13" s="784">
        <v>2.3E-2</v>
      </c>
    </row>
    <row r="14" spans="1:6">
      <c r="A14" s="781">
        <v>44174</v>
      </c>
      <c r="B14" s="782" t="s">
        <v>5085</v>
      </c>
      <c r="C14" s="782" t="s">
        <v>104</v>
      </c>
      <c r="D14" s="783">
        <v>2</v>
      </c>
      <c r="E14" s="783">
        <v>138.15</v>
      </c>
      <c r="F14" s="784">
        <v>1.4E-2</v>
      </c>
    </row>
    <row r="15" spans="1:6">
      <c r="A15" s="781">
        <v>44173</v>
      </c>
      <c r="B15" s="782" t="s">
        <v>838</v>
      </c>
      <c r="C15" s="782" t="s">
        <v>107</v>
      </c>
      <c r="D15" s="783">
        <v>2</v>
      </c>
      <c r="E15" s="783">
        <v>31.56</v>
      </c>
      <c r="F15" s="784">
        <v>6.3E-2</v>
      </c>
    </row>
    <row r="16" spans="1:6">
      <c r="A16" s="781">
        <v>44173</v>
      </c>
      <c r="B16" s="782" t="s">
        <v>5086</v>
      </c>
      <c r="C16" s="782" t="s">
        <v>830</v>
      </c>
      <c r="D16" s="783">
        <v>2</v>
      </c>
      <c r="E16" s="783">
        <v>35.869999999999997</v>
      </c>
      <c r="F16" s="784">
        <v>5.6000000000000001E-2</v>
      </c>
    </row>
    <row r="17" spans="1:6">
      <c r="A17" s="781">
        <v>44172</v>
      </c>
      <c r="B17" s="782" t="s">
        <v>5079</v>
      </c>
      <c r="C17" s="782" t="s">
        <v>598</v>
      </c>
      <c r="D17" s="783">
        <v>2</v>
      </c>
      <c r="E17" s="783">
        <v>43.03</v>
      </c>
      <c r="F17" s="784">
        <v>4.5999999999999999E-2</v>
      </c>
    </row>
    <row r="18" spans="1:6">
      <c r="A18" s="781">
        <v>44168</v>
      </c>
      <c r="B18" s="782" t="s">
        <v>5087</v>
      </c>
      <c r="C18" s="782" t="s">
        <v>841</v>
      </c>
      <c r="D18" s="783">
        <v>2</v>
      </c>
      <c r="E18" s="783">
        <v>74.59</v>
      </c>
      <c r="F18" s="784">
        <v>2.7E-2</v>
      </c>
    </row>
    <row r="19" spans="1:6">
      <c r="A19" s="781">
        <v>44168</v>
      </c>
      <c r="B19" s="782" t="s">
        <v>836</v>
      </c>
      <c r="C19" s="782" t="s">
        <v>695</v>
      </c>
      <c r="D19" s="783">
        <v>2.14</v>
      </c>
      <c r="E19" s="783">
        <v>69.64</v>
      </c>
      <c r="F19" s="784">
        <v>3.1E-2</v>
      </c>
    </row>
    <row r="20" spans="1:6">
      <c r="A20" s="781">
        <v>44166</v>
      </c>
      <c r="B20" s="782" t="s">
        <v>5088</v>
      </c>
      <c r="C20" s="782" t="s">
        <v>849</v>
      </c>
      <c r="D20" s="783">
        <v>5.97</v>
      </c>
      <c r="E20" s="783">
        <v>16.59</v>
      </c>
      <c r="F20" s="784">
        <v>0.36</v>
      </c>
    </row>
    <row r="21" spans="1:6">
      <c r="A21" s="781">
        <v>44158</v>
      </c>
      <c r="B21" s="782" t="s">
        <v>5089</v>
      </c>
      <c r="C21" s="782" t="s">
        <v>701</v>
      </c>
      <c r="D21" s="783">
        <v>10</v>
      </c>
      <c r="E21" s="783">
        <v>647</v>
      </c>
      <c r="F21" s="784">
        <v>1.4999999999999999E-2</v>
      </c>
    </row>
    <row r="22" spans="1:6">
      <c r="A22" s="781">
        <v>44155</v>
      </c>
      <c r="B22" s="782" t="s">
        <v>859</v>
      </c>
      <c r="C22" s="782" t="s">
        <v>858</v>
      </c>
      <c r="D22" s="783">
        <v>1.5</v>
      </c>
      <c r="E22" s="783">
        <v>9.94</v>
      </c>
      <c r="F22" s="784">
        <v>0.151</v>
      </c>
    </row>
    <row r="23" spans="1:6">
      <c r="A23" s="781">
        <v>44154</v>
      </c>
      <c r="B23" s="782" t="s">
        <v>860</v>
      </c>
      <c r="C23" s="782" t="s">
        <v>124</v>
      </c>
      <c r="D23" s="783">
        <v>2.0699999999999998</v>
      </c>
      <c r="E23" s="783">
        <v>11.58</v>
      </c>
      <c r="F23" s="784">
        <v>0.17899999999999999</v>
      </c>
    </row>
    <row r="24" spans="1:6">
      <c r="A24" s="781">
        <v>44152</v>
      </c>
      <c r="B24" s="782" t="s">
        <v>862</v>
      </c>
      <c r="C24" s="782" t="s">
        <v>861</v>
      </c>
      <c r="D24" s="783">
        <v>3.5</v>
      </c>
      <c r="E24" s="783">
        <v>83.27</v>
      </c>
      <c r="F24" s="784">
        <v>4.2000000000000003E-2</v>
      </c>
    </row>
    <row r="25" spans="1:6">
      <c r="A25" s="781">
        <v>44151</v>
      </c>
      <c r="B25" s="782" t="s">
        <v>5090</v>
      </c>
      <c r="C25" s="782" t="s">
        <v>92</v>
      </c>
      <c r="D25" s="783">
        <v>10</v>
      </c>
      <c r="E25" s="783">
        <v>379.8</v>
      </c>
      <c r="F25" s="784">
        <v>2.5999999999999999E-2</v>
      </c>
    </row>
    <row r="26" spans="1:6">
      <c r="A26" s="781">
        <v>44146</v>
      </c>
      <c r="B26" s="782" t="s">
        <v>5091</v>
      </c>
      <c r="C26" s="782" t="s">
        <v>5092</v>
      </c>
      <c r="D26" s="783">
        <v>1.5</v>
      </c>
      <c r="E26" s="783">
        <v>30.26</v>
      </c>
      <c r="F26" s="784">
        <v>0.05</v>
      </c>
    </row>
    <row r="27" spans="1:6">
      <c r="A27" s="781">
        <v>44144</v>
      </c>
      <c r="B27" s="782" t="s">
        <v>5093</v>
      </c>
      <c r="C27" s="782" t="s">
        <v>158</v>
      </c>
      <c r="D27" s="783">
        <v>15.44</v>
      </c>
      <c r="E27" s="783">
        <v>148.75</v>
      </c>
      <c r="F27" s="784">
        <v>0.104</v>
      </c>
    </row>
    <row r="28" spans="1:6">
      <c r="A28" s="781">
        <v>44141</v>
      </c>
      <c r="B28" s="782" t="s">
        <v>5094</v>
      </c>
      <c r="C28" s="782" t="s">
        <v>5095</v>
      </c>
      <c r="D28" s="783">
        <v>2.2000000000000002</v>
      </c>
      <c r="E28" s="783">
        <v>26.42</v>
      </c>
      <c r="F28" s="784">
        <v>8.3000000000000004E-2</v>
      </c>
    </row>
    <row r="29" spans="1:6">
      <c r="A29" s="781">
        <v>44137</v>
      </c>
      <c r="B29" s="782" t="s">
        <v>5096</v>
      </c>
      <c r="C29" s="782" t="s">
        <v>5097</v>
      </c>
      <c r="D29" s="783">
        <v>5</v>
      </c>
      <c r="E29" s="783">
        <v>115.79</v>
      </c>
      <c r="F29" s="784">
        <v>4.2999999999999997E-2</v>
      </c>
    </row>
    <row r="30" spans="1:6">
      <c r="A30" s="781">
        <v>44133</v>
      </c>
      <c r="B30" s="782" t="s">
        <v>5098</v>
      </c>
      <c r="C30" s="782" t="s">
        <v>5099</v>
      </c>
      <c r="D30" s="783">
        <v>1.27</v>
      </c>
      <c r="E30" s="783">
        <v>23.42</v>
      </c>
      <c r="F30" s="784">
        <v>5.3999999999999999E-2</v>
      </c>
    </row>
    <row r="31" spans="1:6">
      <c r="A31" s="781">
        <v>44132</v>
      </c>
      <c r="B31" s="782" t="s">
        <v>5100</v>
      </c>
      <c r="C31" s="782" t="s">
        <v>165</v>
      </c>
      <c r="D31" s="783">
        <v>3.5</v>
      </c>
      <c r="E31" s="783">
        <v>60.42</v>
      </c>
      <c r="F31" s="784">
        <v>5.8000000000000003E-2</v>
      </c>
    </row>
    <row r="32" spans="1:6">
      <c r="A32" s="781">
        <v>44090</v>
      </c>
      <c r="B32" s="782" t="s">
        <v>5101</v>
      </c>
      <c r="C32" s="782" t="s">
        <v>5102</v>
      </c>
      <c r="D32" s="783">
        <v>3.5</v>
      </c>
      <c r="E32" s="783">
        <v>30.1</v>
      </c>
      <c r="F32" s="784">
        <v>0.11600000000000001</v>
      </c>
    </row>
    <row r="33" spans="1:6">
      <c r="A33" s="781">
        <v>44048</v>
      </c>
      <c r="B33" s="782" t="s">
        <v>5103</v>
      </c>
      <c r="C33" s="782" t="s">
        <v>5104</v>
      </c>
      <c r="D33" s="783">
        <v>3.1</v>
      </c>
      <c r="E33" s="783">
        <v>12.65</v>
      </c>
      <c r="F33" s="784">
        <v>0.245</v>
      </c>
    </row>
    <row r="34" spans="1:6">
      <c r="A34" s="781">
        <v>44042</v>
      </c>
      <c r="B34" s="782" t="s">
        <v>5105</v>
      </c>
      <c r="C34" s="782" t="s">
        <v>149</v>
      </c>
      <c r="D34" s="783">
        <v>5.42</v>
      </c>
      <c r="E34" s="783">
        <v>81.88</v>
      </c>
      <c r="F34" s="784">
        <v>6.0999999999999999E-2</v>
      </c>
    </row>
    <row r="35" spans="1:6">
      <c r="A35" s="781">
        <v>44041</v>
      </c>
      <c r="B35" s="782" t="s">
        <v>5106</v>
      </c>
      <c r="C35" s="782" t="s">
        <v>5107</v>
      </c>
      <c r="D35" s="783">
        <v>5.62</v>
      </c>
      <c r="E35" s="783">
        <v>162.07</v>
      </c>
      <c r="F35" s="784">
        <v>3.5000000000000003E-2</v>
      </c>
    </row>
    <row r="36" spans="1:6">
      <c r="A36" s="781">
        <v>44035</v>
      </c>
      <c r="B36" s="782" t="s">
        <v>5108</v>
      </c>
      <c r="C36" s="782" t="s">
        <v>5109</v>
      </c>
      <c r="D36" s="783">
        <v>1.19</v>
      </c>
      <c r="E36" s="783">
        <v>6.34</v>
      </c>
      <c r="F36" s="783" t="s">
        <v>5110</v>
      </c>
    </row>
    <row r="37" spans="1:6">
      <c r="A37" s="781">
        <v>44006</v>
      </c>
      <c r="B37" s="782" t="s">
        <v>5111</v>
      </c>
      <c r="C37" s="782" t="s">
        <v>5112</v>
      </c>
      <c r="D37" s="783">
        <v>1.25</v>
      </c>
      <c r="E37" s="783">
        <v>45.31</v>
      </c>
      <c r="F37" s="784">
        <v>2.8000000000000001E-2</v>
      </c>
    </row>
    <row r="38" spans="1:6">
      <c r="A38" s="781">
        <v>43959</v>
      </c>
      <c r="B38" s="782" t="s">
        <v>5113</v>
      </c>
      <c r="C38" s="782" t="s">
        <v>5114</v>
      </c>
      <c r="D38" s="783">
        <v>1</v>
      </c>
      <c r="E38" s="783">
        <v>6.45</v>
      </c>
      <c r="F38" s="784">
        <v>0.155</v>
      </c>
    </row>
    <row r="39" spans="1:6">
      <c r="A39" s="781">
        <v>43951</v>
      </c>
      <c r="B39" s="782" t="s">
        <v>5115</v>
      </c>
      <c r="C39" s="782" t="s">
        <v>5116</v>
      </c>
      <c r="D39" s="783">
        <v>5.5</v>
      </c>
      <c r="E39" s="783">
        <v>22.27</v>
      </c>
      <c r="F39" s="784">
        <v>0.247</v>
      </c>
    </row>
    <row r="40" spans="1:6">
      <c r="A40" s="781">
        <v>43871</v>
      </c>
      <c r="B40" s="782" t="s">
        <v>5117</v>
      </c>
      <c r="C40" s="782" t="s">
        <v>447</v>
      </c>
      <c r="D40" s="783">
        <v>2.83</v>
      </c>
      <c r="E40" s="783">
        <v>46.65</v>
      </c>
      <c r="F40" s="784">
        <v>6.0999999999999999E-2</v>
      </c>
    </row>
    <row r="41" spans="1:6">
      <c r="A41" s="781">
        <v>43854</v>
      </c>
      <c r="B41" s="782" t="s">
        <v>5118</v>
      </c>
      <c r="C41" s="782" t="s">
        <v>564</v>
      </c>
      <c r="D41" s="783">
        <v>1</v>
      </c>
      <c r="E41" s="783">
        <v>8.86</v>
      </c>
      <c r="F41" s="784">
        <v>0.113</v>
      </c>
    </row>
    <row r="42" spans="1:6">
      <c r="A42" s="781">
        <v>43840</v>
      </c>
      <c r="B42" s="782" t="s">
        <v>5119</v>
      </c>
      <c r="C42" s="782" t="s">
        <v>5120</v>
      </c>
      <c r="D42" s="783">
        <v>12</v>
      </c>
      <c r="E42" s="783">
        <v>26.3</v>
      </c>
      <c r="F42" s="784">
        <v>0.45600000000000002</v>
      </c>
    </row>
    <row r="43" spans="1:6">
      <c r="A43" s="781">
        <v>43823</v>
      </c>
      <c r="B43" s="782" t="s">
        <v>5121</v>
      </c>
      <c r="C43" s="782" t="s">
        <v>544</v>
      </c>
      <c r="D43" s="783">
        <v>0.5</v>
      </c>
      <c r="E43" s="783">
        <v>3.75</v>
      </c>
      <c r="F43" s="784">
        <v>0.13300000000000001</v>
      </c>
    </row>
    <row r="44" spans="1:6">
      <c r="A44" s="781">
        <v>43818</v>
      </c>
      <c r="B44" s="782" t="s">
        <v>5122</v>
      </c>
      <c r="C44" s="782" t="s">
        <v>127</v>
      </c>
      <c r="D44" s="783">
        <v>32.5</v>
      </c>
      <c r="E44" s="783">
        <v>591.29</v>
      </c>
      <c r="F44" s="784">
        <v>5.5E-2</v>
      </c>
    </row>
    <row r="45" spans="1:6">
      <c r="A45" s="781">
        <v>43817</v>
      </c>
      <c r="B45" s="782" t="s">
        <v>862</v>
      </c>
      <c r="C45" s="782" t="s">
        <v>861</v>
      </c>
      <c r="D45" s="783">
        <v>5.75</v>
      </c>
      <c r="E45" s="783">
        <v>75.900000000000006</v>
      </c>
      <c r="F45" s="784">
        <v>7.5999999999999998E-2</v>
      </c>
    </row>
    <row r="46" spans="1:6">
      <c r="A46" s="781">
        <v>43817</v>
      </c>
      <c r="B46" s="782" t="s">
        <v>5123</v>
      </c>
      <c r="C46" s="782" t="s">
        <v>5124</v>
      </c>
      <c r="D46" s="783">
        <v>1.95</v>
      </c>
      <c r="E46" s="783">
        <v>66.36</v>
      </c>
      <c r="F46" s="784">
        <v>2.9000000000000001E-2</v>
      </c>
    </row>
    <row r="47" spans="1:6">
      <c r="A47" s="781">
        <v>43816</v>
      </c>
      <c r="B47" s="782" t="s">
        <v>5125</v>
      </c>
      <c r="C47" s="782" t="s">
        <v>5126</v>
      </c>
      <c r="D47" s="783">
        <v>3.5</v>
      </c>
      <c r="E47" s="783">
        <v>111.5</v>
      </c>
      <c r="F47" s="784">
        <v>3.1E-2</v>
      </c>
    </row>
    <row r="48" spans="1:6">
      <c r="A48" s="781">
        <v>43809</v>
      </c>
      <c r="B48" s="782" t="s">
        <v>5127</v>
      </c>
      <c r="C48" s="782" t="s">
        <v>110</v>
      </c>
      <c r="D48" s="783">
        <v>2.2999999999999998</v>
      </c>
      <c r="E48" s="783">
        <v>81.209999999999994</v>
      </c>
      <c r="F48" s="784">
        <v>2.8000000000000001E-2</v>
      </c>
    </row>
    <row r="49" spans="1:6">
      <c r="A49" s="781">
        <v>43803</v>
      </c>
      <c r="B49" s="782" t="s">
        <v>5128</v>
      </c>
      <c r="C49" s="782" t="s">
        <v>5129</v>
      </c>
      <c r="D49" s="783">
        <v>3.15</v>
      </c>
      <c r="E49" s="783">
        <v>19.25</v>
      </c>
      <c r="F49" s="784">
        <v>0.16400000000000001</v>
      </c>
    </row>
    <row r="50" spans="1:6">
      <c r="A50" s="781">
        <v>43802</v>
      </c>
      <c r="B50" s="782" t="s">
        <v>5130</v>
      </c>
      <c r="C50" s="782" t="s">
        <v>5131</v>
      </c>
      <c r="D50" s="783">
        <v>0.5</v>
      </c>
      <c r="E50" s="783">
        <v>4.01</v>
      </c>
      <c r="F50" s="784">
        <v>0.125</v>
      </c>
    </row>
    <row r="51" spans="1:6">
      <c r="A51" s="781">
        <v>43788</v>
      </c>
      <c r="B51" s="782" t="s">
        <v>5132</v>
      </c>
      <c r="C51" s="782" t="s">
        <v>5133</v>
      </c>
      <c r="D51" s="783">
        <v>3.35</v>
      </c>
      <c r="E51" s="783">
        <v>11.56</v>
      </c>
      <c r="F51" s="784">
        <v>0.28999999999999998</v>
      </c>
    </row>
    <row r="52" spans="1:6">
      <c r="A52" s="781">
        <v>43781</v>
      </c>
      <c r="B52" s="782" t="s">
        <v>5093</v>
      </c>
      <c r="C52" s="782" t="s">
        <v>158</v>
      </c>
      <c r="D52" s="783">
        <v>8.4</v>
      </c>
      <c r="E52" s="783">
        <v>163.5</v>
      </c>
      <c r="F52" s="784">
        <v>5.0999999999999997E-2</v>
      </c>
    </row>
    <row r="53" spans="1:6">
      <c r="A53" s="781">
        <v>43776</v>
      </c>
      <c r="B53" s="782" t="s">
        <v>5134</v>
      </c>
      <c r="C53" s="782" t="s">
        <v>5135</v>
      </c>
      <c r="D53" s="783">
        <v>6.25</v>
      </c>
      <c r="E53" s="783">
        <v>17.91</v>
      </c>
      <c r="F53" s="784">
        <v>0.34899999999999998</v>
      </c>
    </row>
    <row r="54" spans="1:6">
      <c r="A54" s="781">
        <v>43770</v>
      </c>
      <c r="B54" s="782" t="s">
        <v>243</v>
      </c>
      <c r="C54" s="782" t="s">
        <v>165</v>
      </c>
      <c r="D54" s="783">
        <v>3.5</v>
      </c>
      <c r="E54" s="783">
        <v>69.010000000000005</v>
      </c>
      <c r="F54" s="784">
        <v>5.0999999999999997E-2</v>
      </c>
    </row>
    <row r="55" spans="1:6">
      <c r="A55" s="781">
        <v>43768</v>
      </c>
      <c r="B55" s="782" t="s">
        <v>5136</v>
      </c>
      <c r="C55" s="782" t="s">
        <v>453</v>
      </c>
      <c r="D55" s="783">
        <v>2</v>
      </c>
      <c r="E55" s="783">
        <v>105.27</v>
      </c>
      <c r="F55" s="784">
        <v>1.9E-2</v>
      </c>
    </row>
    <row r="56" spans="1:6">
      <c r="A56" s="781">
        <v>43733</v>
      </c>
      <c r="B56" s="782" t="s">
        <v>5101</v>
      </c>
      <c r="C56" s="782" t="s">
        <v>5102</v>
      </c>
      <c r="D56" s="783">
        <v>3.5</v>
      </c>
      <c r="E56" s="783">
        <v>34.01</v>
      </c>
      <c r="F56" s="784">
        <v>0.10299999999999999</v>
      </c>
    </row>
    <row r="57" spans="1:6">
      <c r="A57" s="781">
        <v>43683</v>
      </c>
      <c r="B57" s="782" t="s">
        <v>5122</v>
      </c>
      <c r="C57" s="782" t="s">
        <v>127</v>
      </c>
      <c r="D57" s="783">
        <v>30</v>
      </c>
      <c r="E57" s="783">
        <v>524.39</v>
      </c>
      <c r="F57" s="784">
        <v>5.7000000000000002E-2</v>
      </c>
    </row>
    <row r="58" spans="1:6">
      <c r="A58" s="781">
        <v>43675</v>
      </c>
      <c r="B58" s="782" t="s">
        <v>5117</v>
      </c>
      <c r="C58" s="782" t="s">
        <v>447</v>
      </c>
      <c r="D58" s="783">
        <v>2.25</v>
      </c>
      <c r="E58" s="783">
        <v>41.01</v>
      </c>
      <c r="F58" s="784">
        <v>5.5E-2</v>
      </c>
    </row>
    <row r="59" spans="1:6">
      <c r="A59" s="781">
        <v>43657</v>
      </c>
      <c r="B59" s="782" t="s">
        <v>5136</v>
      </c>
      <c r="C59" s="782" t="s">
        <v>453</v>
      </c>
      <c r="D59" s="783">
        <v>3</v>
      </c>
      <c r="E59" s="783">
        <v>80.78</v>
      </c>
      <c r="F59" s="784">
        <v>3.6999999999999998E-2</v>
      </c>
    </row>
    <row r="60" spans="1:6">
      <c r="A60" s="781">
        <v>43615</v>
      </c>
      <c r="B60" s="782" t="s">
        <v>5137</v>
      </c>
      <c r="C60" s="782" t="s">
        <v>5138</v>
      </c>
      <c r="D60" s="783">
        <v>1.5</v>
      </c>
      <c r="E60" s="783">
        <v>10.14</v>
      </c>
      <c r="F60" s="784">
        <v>0.14799999999999999</v>
      </c>
    </row>
    <row r="61" spans="1:6">
      <c r="A61" s="781">
        <v>43600</v>
      </c>
      <c r="B61" s="782" t="s">
        <v>5139</v>
      </c>
      <c r="C61" s="782" t="s">
        <v>5140</v>
      </c>
      <c r="D61" s="783">
        <v>3.75</v>
      </c>
      <c r="E61" s="783">
        <v>32.590000000000003</v>
      </c>
      <c r="F61" s="784">
        <v>0.115</v>
      </c>
    </row>
    <row r="62" spans="1:6">
      <c r="A62" s="781">
        <v>43578</v>
      </c>
      <c r="B62" s="782" t="s">
        <v>5141</v>
      </c>
      <c r="C62" s="782" t="s">
        <v>5142</v>
      </c>
      <c r="D62" s="783">
        <v>4.41</v>
      </c>
      <c r="E62" s="783">
        <v>32.26</v>
      </c>
      <c r="F62" s="784">
        <v>0.13700000000000001</v>
      </c>
    </row>
    <row r="63" spans="1:6">
      <c r="A63" s="781">
        <v>43559</v>
      </c>
      <c r="B63" s="782" t="s">
        <v>5143</v>
      </c>
      <c r="C63" s="782" t="s">
        <v>5144</v>
      </c>
      <c r="D63" s="783">
        <v>1.77</v>
      </c>
      <c r="E63" s="783">
        <v>2.27</v>
      </c>
      <c r="F63" s="784">
        <v>0.78</v>
      </c>
    </row>
    <row r="64" spans="1:6">
      <c r="A64" s="781">
        <v>43530</v>
      </c>
      <c r="B64" s="782" t="s">
        <v>5145</v>
      </c>
      <c r="C64" s="782" t="s">
        <v>5146</v>
      </c>
      <c r="D64" s="783">
        <v>1.1499999999999999</v>
      </c>
      <c r="E64" s="783">
        <v>6.85</v>
      </c>
      <c r="F64" s="784">
        <v>0.16800000000000001</v>
      </c>
    </row>
    <row r="65" spans="1:6">
      <c r="A65" s="781">
        <v>43507</v>
      </c>
      <c r="B65" s="782" t="s">
        <v>5147</v>
      </c>
      <c r="C65" s="782" t="s">
        <v>5148</v>
      </c>
      <c r="D65" s="783">
        <v>2.35</v>
      </c>
      <c r="E65" s="783">
        <v>44.53</v>
      </c>
      <c r="F65" s="784">
        <v>5.2999999999999999E-2</v>
      </c>
    </row>
    <row r="66" spans="1:6">
      <c r="A66" s="781">
        <v>43497</v>
      </c>
      <c r="B66" s="782" t="s">
        <v>5149</v>
      </c>
      <c r="C66" s="782" t="s">
        <v>5150</v>
      </c>
      <c r="D66" s="783">
        <v>1.75</v>
      </c>
      <c r="E66" s="783">
        <v>42.25</v>
      </c>
      <c r="F66" s="784">
        <v>4.1000000000000002E-2</v>
      </c>
    </row>
    <row r="67" spans="1:6">
      <c r="A67" s="781">
        <v>43497</v>
      </c>
      <c r="B67" s="782" t="s">
        <v>5118</v>
      </c>
      <c r="C67" s="782" t="s">
        <v>564</v>
      </c>
      <c r="D67" s="783">
        <v>1</v>
      </c>
      <c r="E67" s="783">
        <v>12.89</v>
      </c>
      <c r="F67" s="784">
        <v>7.8E-2</v>
      </c>
    </row>
    <row r="68" spans="1:6">
      <c r="A68" s="781">
        <v>43468</v>
      </c>
      <c r="B68" s="782" t="s">
        <v>5151</v>
      </c>
      <c r="C68" s="782" t="s">
        <v>5152</v>
      </c>
      <c r="D68" s="783">
        <v>4.25</v>
      </c>
      <c r="E68" s="783">
        <v>20.91</v>
      </c>
      <c r="F68" s="784">
        <v>0.20300000000000001</v>
      </c>
    </row>
    <row r="69" spans="1:6">
      <c r="A69" s="781">
        <v>43444</v>
      </c>
      <c r="B69" s="782" t="s">
        <v>5086</v>
      </c>
      <c r="C69" s="782" t="s">
        <v>830</v>
      </c>
      <c r="D69" s="783">
        <v>6.5</v>
      </c>
      <c r="E69" s="783">
        <v>29.8</v>
      </c>
      <c r="F69" s="784">
        <v>0.218</v>
      </c>
    </row>
    <row r="70" spans="1:6">
      <c r="A70" s="781">
        <v>43438</v>
      </c>
      <c r="B70" s="782" t="s">
        <v>5127</v>
      </c>
      <c r="C70" s="782" t="s">
        <v>110</v>
      </c>
      <c r="D70" s="783">
        <v>2</v>
      </c>
      <c r="E70" s="783">
        <v>57.12</v>
      </c>
      <c r="F70" s="784">
        <v>3.5000000000000003E-2</v>
      </c>
    </row>
    <row r="71" spans="1:6">
      <c r="A71" s="781">
        <v>43424</v>
      </c>
      <c r="B71" s="782" t="s">
        <v>852</v>
      </c>
      <c r="C71" s="782" t="s">
        <v>851</v>
      </c>
      <c r="D71" s="783">
        <v>2.9</v>
      </c>
      <c r="E71" s="783">
        <v>93.64</v>
      </c>
      <c r="F71" s="784">
        <v>3.1E-2</v>
      </c>
    </row>
    <row r="72" spans="1:6">
      <c r="A72" s="781">
        <v>43418</v>
      </c>
      <c r="B72" s="782" t="s">
        <v>5096</v>
      </c>
      <c r="C72" s="782" t="s">
        <v>5097</v>
      </c>
      <c r="D72" s="783">
        <v>3.05</v>
      </c>
      <c r="E72" s="783">
        <v>65.27</v>
      </c>
      <c r="F72" s="784">
        <v>4.7E-2</v>
      </c>
    </row>
    <row r="73" spans="1:6">
      <c r="A73" s="781">
        <v>43418</v>
      </c>
      <c r="B73" s="782" t="s">
        <v>5096</v>
      </c>
      <c r="C73" s="782" t="s">
        <v>5097</v>
      </c>
      <c r="D73" s="783">
        <v>3.05</v>
      </c>
      <c r="E73" s="783">
        <v>65.27</v>
      </c>
      <c r="F73" s="784">
        <v>4.7E-2</v>
      </c>
    </row>
    <row r="74" spans="1:6">
      <c r="A74" s="781">
        <v>43417</v>
      </c>
      <c r="B74" s="782" t="s">
        <v>5093</v>
      </c>
      <c r="C74" s="782" t="s">
        <v>158</v>
      </c>
      <c r="D74" s="783">
        <v>11</v>
      </c>
      <c r="E74" s="783">
        <v>189.5</v>
      </c>
      <c r="F74" s="784">
        <v>0.06</v>
      </c>
    </row>
    <row r="75" spans="1:6">
      <c r="A75" s="781">
        <v>43417</v>
      </c>
      <c r="B75" s="782" t="s">
        <v>5093</v>
      </c>
      <c r="C75" s="782" t="s">
        <v>158</v>
      </c>
      <c r="D75" s="783">
        <v>11</v>
      </c>
      <c r="E75" s="783">
        <v>189.5</v>
      </c>
      <c r="F75" s="784">
        <v>0.06</v>
      </c>
    </row>
    <row r="76" spans="1:6">
      <c r="A76" s="781">
        <v>43416</v>
      </c>
      <c r="B76" s="782" t="s">
        <v>5153</v>
      </c>
      <c r="C76" s="782" t="s">
        <v>5154</v>
      </c>
      <c r="D76" s="783">
        <v>3.45</v>
      </c>
      <c r="E76" s="783">
        <v>38.119999999999997</v>
      </c>
      <c r="F76" s="784">
        <v>0.09</v>
      </c>
    </row>
    <row r="77" spans="1:6">
      <c r="A77" s="781">
        <v>43416</v>
      </c>
      <c r="B77" s="782" t="s">
        <v>5153</v>
      </c>
      <c r="C77" s="782" t="s">
        <v>5154</v>
      </c>
      <c r="D77" s="783">
        <v>3.45</v>
      </c>
      <c r="E77" s="783">
        <v>38.119999999999997</v>
      </c>
      <c r="F77" s="784">
        <v>0.09</v>
      </c>
    </row>
    <row r="78" spans="1:6">
      <c r="A78" s="781">
        <v>43411</v>
      </c>
      <c r="B78" s="782" t="s">
        <v>5155</v>
      </c>
      <c r="C78" s="782" t="s">
        <v>5156</v>
      </c>
      <c r="D78" s="783">
        <v>2.83</v>
      </c>
      <c r="E78" s="783">
        <v>39.6</v>
      </c>
      <c r="F78" s="784">
        <v>7.0999999999999994E-2</v>
      </c>
    </row>
    <row r="79" spans="1:6">
      <c r="A79" s="781">
        <v>43399</v>
      </c>
      <c r="B79" s="786" t="s">
        <v>5157</v>
      </c>
      <c r="C79" s="782" t="s">
        <v>5158</v>
      </c>
      <c r="D79" s="783">
        <v>2.14</v>
      </c>
      <c r="E79" s="783">
        <v>34.840000000000003</v>
      </c>
      <c r="F79" s="784">
        <v>6.0999999999999999E-2</v>
      </c>
    </row>
    <row r="80" spans="1:6">
      <c r="A80" s="781">
        <v>43399</v>
      </c>
      <c r="B80" s="782" t="s">
        <v>5159</v>
      </c>
      <c r="C80" s="782" t="s">
        <v>5160</v>
      </c>
      <c r="D80" s="783">
        <v>5</v>
      </c>
      <c r="E80" s="783">
        <v>18.2</v>
      </c>
      <c r="F80" s="784">
        <v>0.27500000000000002</v>
      </c>
    </row>
    <row r="81" spans="1:6">
      <c r="A81" s="781">
        <v>43369</v>
      </c>
      <c r="B81" s="782" t="s">
        <v>5101</v>
      </c>
      <c r="C81" s="782" t="s">
        <v>5102</v>
      </c>
      <c r="D81" s="783">
        <v>2.5</v>
      </c>
      <c r="E81" s="783">
        <v>31.68</v>
      </c>
      <c r="F81" s="784">
        <v>7.9000000000000001E-2</v>
      </c>
    </row>
    <row r="82" spans="1:6">
      <c r="A82" s="781">
        <v>43369</v>
      </c>
      <c r="B82" s="782" t="s">
        <v>5101</v>
      </c>
      <c r="C82" s="782" t="s">
        <v>5102</v>
      </c>
      <c r="D82" s="783">
        <v>2.5</v>
      </c>
      <c r="E82" s="783">
        <v>31.68</v>
      </c>
      <c r="F82" s="784">
        <v>7.9000000000000001E-2</v>
      </c>
    </row>
    <row r="83" spans="1:6">
      <c r="A83" s="781">
        <v>43342</v>
      </c>
      <c r="B83" s="782" t="s">
        <v>208</v>
      </c>
      <c r="C83" s="782" t="s">
        <v>207</v>
      </c>
      <c r="D83" s="783">
        <v>3.54</v>
      </c>
      <c r="E83" s="783">
        <v>48.35</v>
      </c>
      <c r="F83" s="784">
        <v>7.2999999999999995E-2</v>
      </c>
    </row>
    <row r="84" spans="1:6">
      <c r="A84" s="781">
        <v>43342</v>
      </c>
      <c r="B84" s="782" t="s">
        <v>208</v>
      </c>
      <c r="C84" s="782" t="s">
        <v>207</v>
      </c>
      <c r="D84" s="783">
        <v>3.54</v>
      </c>
      <c r="E84" s="783">
        <v>48.35</v>
      </c>
      <c r="F84" s="784">
        <v>7.2999999999999995E-2</v>
      </c>
    </row>
    <row r="85" spans="1:6">
      <c r="A85" s="781">
        <v>43326</v>
      </c>
      <c r="B85" s="782" t="s">
        <v>5161</v>
      </c>
      <c r="C85" s="782" t="s">
        <v>5162</v>
      </c>
      <c r="D85" s="783">
        <v>4.3</v>
      </c>
      <c r="E85" s="783">
        <v>10.93</v>
      </c>
      <c r="F85" s="784">
        <v>0.36599999999999999</v>
      </c>
    </row>
    <row r="86" spans="1:6">
      <c r="A86" s="781">
        <v>43326</v>
      </c>
      <c r="B86" s="782" t="s">
        <v>5161</v>
      </c>
      <c r="C86" s="782" t="s">
        <v>5162</v>
      </c>
      <c r="D86" s="783">
        <v>4.3</v>
      </c>
      <c r="E86" s="783">
        <v>10.93</v>
      </c>
      <c r="F86" s="784">
        <v>0.36599999999999999</v>
      </c>
    </row>
    <row r="87" spans="1:6">
      <c r="A87" s="781">
        <v>43320</v>
      </c>
      <c r="B87" s="782" t="s">
        <v>5163</v>
      </c>
      <c r="C87" s="782" t="s">
        <v>5164</v>
      </c>
      <c r="D87" s="783">
        <v>6</v>
      </c>
      <c r="E87" s="783">
        <v>5.9</v>
      </c>
      <c r="F87" s="784">
        <v>1.02</v>
      </c>
    </row>
    <row r="88" spans="1:6">
      <c r="A88" s="781">
        <v>43313</v>
      </c>
      <c r="B88" s="782" t="s">
        <v>5165</v>
      </c>
      <c r="C88" s="782" t="s">
        <v>5166</v>
      </c>
      <c r="D88" s="783">
        <v>3</v>
      </c>
      <c r="E88" s="783">
        <v>52.77</v>
      </c>
      <c r="F88" s="784">
        <v>5.7000000000000002E-2</v>
      </c>
    </row>
    <row r="89" spans="1:6">
      <c r="A89" s="781">
        <v>43305</v>
      </c>
      <c r="B89" s="782" t="s">
        <v>5167</v>
      </c>
      <c r="C89" s="782" t="s">
        <v>5168</v>
      </c>
      <c r="D89" s="783">
        <v>3</v>
      </c>
      <c r="E89" s="783">
        <v>58.83</v>
      </c>
      <c r="F89" s="784">
        <v>5.0999999999999997E-2</v>
      </c>
    </row>
    <row r="90" spans="1:6">
      <c r="A90" s="781">
        <v>43305</v>
      </c>
      <c r="B90" s="782" t="s">
        <v>5167</v>
      </c>
      <c r="C90" s="782" t="s">
        <v>5168</v>
      </c>
      <c r="D90" s="783">
        <v>3</v>
      </c>
      <c r="E90" s="783">
        <v>58.83</v>
      </c>
      <c r="F90" s="784">
        <v>5.0999999999999997E-2</v>
      </c>
    </row>
    <row r="91" spans="1:6">
      <c r="A91" s="781">
        <v>43245</v>
      </c>
      <c r="B91" s="782" t="s">
        <v>5169</v>
      </c>
      <c r="C91" s="782" t="s">
        <v>5170</v>
      </c>
      <c r="D91" s="783">
        <v>1</v>
      </c>
      <c r="E91" s="783">
        <v>7.39</v>
      </c>
      <c r="F91" s="784">
        <v>0.13500000000000001</v>
      </c>
    </row>
    <row r="92" spans="1:6">
      <c r="A92" s="781">
        <v>43242</v>
      </c>
      <c r="B92" s="782" t="s">
        <v>5171</v>
      </c>
      <c r="C92" s="782" t="s">
        <v>5172</v>
      </c>
      <c r="D92" s="787" t="s">
        <v>5173</v>
      </c>
      <c r="E92" s="783">
        <v>157.81</v>
      </c>
      <c r="F92" s="787" t="s">
        <v>5174</v>
      </c>
    </row>
    <row r="93" spans="1:6">
      <c r="A93" s="781">
        <v>43234</v>
      </c>
      <c r="B93" s="782" t="s">
        <v>5175</v>
      </c>
      <c r="C93" s="782" t="s">
        <v>5176</v>
      </c>
      <c r="D93" s="783">
        <v>2.04</v>
      </c>
      <c r="E93" s="783">
        <v>19.46</v>
      </c>
      <c r="F93" s="784">
        <v>0.105</v>
      </c>
    </row>
    <row r="94" spans="1:6">
      <c r="A94" s="781">
        <v>43234</v>
      </c>
      <c r="B94" s="782" t="s">
        <v>5175</v>
      </c>
      <c r="C94" s="782" t="s">
        <v>5176</v>
      </c>
      <c r="D94" s="783">
        <v>2.04</v>
      </c>
      <c r="E94" s="783">
        <v>19.46</v>
      </c>
      <c r="F94" s="784">
        <v>0.105</v>
      </c>
    </row>
    <row r="95" spans="1:6">
      <c r="A95" s="781">
        <v>43227</v>
      </c>
      <c r="B95" s="782" t="s">
        <v>615</v>
      </c>
      <c r="C95" s="782" t="s">
        <v>614</v>
      </c>
      <c r="D95" s="783">
        <v>1</v>
      </c>
      <c r="E95" s="783">
        <v>4.3</v>
      </c>
      <c r="F95" s="784">
        <v>0.23300000000000001</v>
      </c>
    </row>
    <row r="96" spans="1:6">
      <c r="A96" s="781">
        <v>43227</v>
      </c>
      <c r="B96" s="782" t="s">
        <v>615</v>
      </c>
      <c r="C96" s="782" t="s">
        <v>614</v>
      </c>
      <c r="D96" s="783">
        <v>1</v>
      </c>
      <c r="E96" s="783">
        <v>4.3</v>
      </c>
      <c r="F96" s="784">
        <v>0.23300000000000001</v>
      </c>
    </row>
    <row r="97" spans="1:6">
      <c r="A97" s="781">
        <v>43194</v>
      </c>
      <c r="B97" s="782" t="s">
        <v>5141</v>
      </c>
      <c r="C97" s="782" t="s">
        <v>5142</v>
      </c>
      <c r="D97" s="783">
        <v>6.53</v>
      </c>
      <c r="E97" s="783">
        <v>28.58</v>
      </c>
      <c r="F97" s="784">
        <v>0.22800000000000001</v>
      </c>
    </row>
    <row r="98" spans="1:6">
      <c r="A98" s="781">
        <v>43146</v>
      </c>
      <c r="B98" s="782" t="s">
        <v>5177</v>
      </c>
      <c r="C98" s="782" t="s">
        <v>5178</v>
      </c>
      <c r="D98" s="783">
        <v>3</v>
      </c>
      <c r="E98" s="783">
        <v>38.67</v>
      </c>
      <c r="F98" s="784">
        <v>8.4000000000000005E-2</v>
      </c>
    </row>
    <row r="99" spans="1:6">
      <c r="A99" s="781">
        <v>43138</v>
      </c>
      <c r="B99" s="782" t="s">
        <v>5079</v>
      </c>
      <c r="C99" s="782" t="s">
        <v>598</v>
      </c>
      <c r="D99" s="783">
        <v>1.97</v>
      </c>
      <c r="E99" s="783">
        <v>49.75</v>
      </c>
      <c r="F99" s="784">
        <v>0.04</v>
      </c>
    </row>
    <row r="100" spans="1:6">
      <c r="A100" s="781">
        <v>43136</v>
      </c>
      <c r="B100" s="782" t="s">
        <v>5179</v>
      </c>
      <c r="C100" s="782" t="s">
        <v>5180</v>
      </c>
      <c r="D100" s="783">
        <v>7.15</v>
      </c>
      <c r="E100" s="783">
        <v>5.3</v>
      </c>
      <c r="F100" s="784">
        <v>0.74099999999999999</v>
      </c>
    </row>
    <row r="101" spans="1:6">
      <c r="A101" s="781">
        <v>43131</v>
      </c>
      <c r="B101" s="782" t="s">
        <v>5096</v>
      </c>
      <c r="C101" s="782" t="s">
        <v>5097</v>
      </c>
      <c r="D101" s="783">
        <v>3.17</v>
      </c>
      <c r="E101" s="783">
        <v>48.54</v>
      </c>
      <c r="F101" s="784">
        <v>6.5000000000000002E-2</v>
      </c>
    </row>
    <row r="102" spans="1:6">
      <c r="A102" s="781">
        <v>43131</v>
      </c>
      <c r="B102" s="782" t="s">
        <v>5096</v>
      </c>
      <c r="C102" s="782" t="s">
        <v>5097</v>
      </c>
      <c r="D102" s="783">
        <v>3.17</v>
      </c>
      <c r="E102" s="783">
        <v>48.54</v>
      </c>
      <c r="F102" s="784">
        <v>6.5000000000000002E-2</v>
      </c>
    </row>
    <row r="103" spans="1:6">
      <c r="A103" s="781">
        <v>43104</v>
      </c>
      <c r="B103" s="782" t="s">
        <v>5151</v>
      </c>
      <c r="C103" s="782" t="s">
        <v>5152</v>
      </c>
      <c r="D103" s="783">
        <v>3</v>
      </c>
      <c r="E103" s="783">
        <v>20.3</v>
      </c>
      <c r="F103" s="784">
        <v>0.14799999999999999</v>
      </c>
    </row>
    <row r="104" spans="1:6">
      <c r="A104" s="781">
        <v>43104</v>
      </c>
      <c r="B104" s="782" t="s">
        <v>5151</v>
      </c>
      <c r="C104" s="782" t="s">
        <v>5152</v>
      </c>
      <c r="D104" s="783">
        <v>3</v>
      </c>
      <c r="E104" s="783">
        <v>20.3</v>
      </c>
      <c r="F104" s="784">
        <v>0.14799999999999999</v>
      </c>
    </row>
    <row r="105" spans="1:6">
      <c r="A105" s="781">
        <v>43095</v>
      </c>
      <c r="B105" s="782" t="s">
        <v>5086</v>
      </c>
      <c r="C105" s="782" t="s">
        <v>830</v>
      </c>
      <c r="D105" s="783">
        <v>1.5</v>
      </c>
      <c r="E105" s="783">
        <v>32.909999999999997</v>
      </c>
      <c r="F105" s="784">
        <v>4.5999999999999999E-2</v>
      </c>
    </row>
    <row r="106" spans="1:6">
      <c r="A106" s="781">
        <v>43082</v>
      </c>
      <c r="B106" s="782" t="s">
        <v>5085</v>
      </c>
      <c r="C106" s="782" t="s">
        <v>104</v>
      </c>
      <c r="D106" s="783">
        <v>1.5</v>
      </c>
      <c r="E106" s="783">
        <v>103.75</v>
      </c>
      <c r="F106" s="784">
        <v>1.4E-2</v>
      </c>
    </row>
    <row r="107" spans="1:6">
      <c r="A107" s="781">
        <v>43080</v>
      </c>
      <c r="B107" s="782" t="s">
        <v>5181</v>
      </c>
      <c r="C107" s="782" t="s">
        <v>5182</v>
      </c>
      <c r="D107" s="783">
        <v>0.5</v>
      </c>
      <c r="E107" s="783">
        <v>3.22</v>
      </c>
      <c r="F107" s="784">
        <v>0.157</v>
      </c>
    </row>
    <row r="108" spans="1:6">
      <c r="A108" s="781">
        <v>43080</v>
      </c>
      <c r="B108" s="782" t="s">
        <v>5183</v>
      </c>
      <c r="C108" s="782" t="s">
        <v>5184</v>
      </c>
      <c r="D108" s="783">
        <v>1</v>
      </c>
      <c r="E108" s="783">
        <v>7.38</v>
      </c>
      <c r="F108" s="784">
        <v>0.13600000000000001</v>
      </c>
    </row>
    <row r="109" spans="1:6">
      <c r="A109" s="781">
        <v>43068</v>
      </c>
      <c r="B109" s="782" t="s">
        <v>5185</v>
      </c>
      <c r="C109" s="782" t="s">
        <v>5186</v>
      </c>
      <c r="D109" s="783">
        <v>5</v>
      </c>
      <c r="E109" s="783">
        <v>62.4</v>
      </c>
      <c r="F109" s="784">
        <v>0.08</v>
      </c>
    </row>
    <row r="110" spans="1:6">
      <c r="A110" s="781">
        <v>43055</v>
      </c>
      <c r="B110" s="782" t="s">
        <v>225</v>
      </c>
      <c r="C110" s="782" t="s">
        <v>224</v>
      </c>
      <c r="D110" s="783">
        <v>2.2999999999999998</v>
      </c>
      <c r="E110" s="783">
        <v>110.7</v>
      </c>
      <c r="F110" s="784">
        <v>2.1000000000000001E-2</v>
      </c>
    </row>
    <row r="111" spans="1:6">
      <c r="A111" s="781">
        <v>43053</v>
      </c>
      <c r="B111" s="782" t="s">
        <v>5093</v>
      </c>
      <c r="C111" s="782" t="s">
        <v>158</v>
      </c>
      <c r="D111" s="783">
        <v>2.8</v>
      </c>
      <c r="E111" s="783">
        <v>186.47</v>
      </c>
      <c r="F111" s="784">
        <v>1.4999999999999999E-2</v>
      </c>
    </row>
    <row r="112" spans="1:6">
      <c r="A112" s="781">
        <v>43046</v>
      </c>
      <c r="B112" s="782" t="s">
        <v>591</v>
      </c>
      <c r="C112" s="782" t="s">
        <v>160</v>
      </c>
      <c r="D112" s="783">
        <v>2</v>
      </c>
      <c r="E112" s="783">
        <v>104.96</v>
      </c>
      <c r="F112" s="784">
        <v>1.9E-2</v>
      </c>
    </row>
    <row r="113" spans="1:6">
      <c r="A113" s="781">
        <v>43042</v>
      </c>
      <c r="B113" s="782" t="s">
        <v>5141</v>
      </c>
      <c r="C113" s="782" t="s">
        <v>5142</v>
      </c>
      <c r="D113" s="783">
        <v>11.21</v>
      </c>
      <c r="E113" s="783">
        <v>26.7</v>
      </c>
      <c r="F113" s="784">
        <v>0.42</v>
      </c>
    </row>
    <row r="114" spans="1:6">
      <c r="A114" s="781">
        <v>43041</v>
      </c>
      <c r="B114" s="782" t="s">
        <v>5187</v>
      </c>
      <c r="C114" s="782" t="s">
        <v>5188</v>
      </c>
      <c r="D114" s="783">
        <v>5</v>
      </c>
      <c r="E114" s="783">
        <v>81.61</v>
      </c>
      <c r="F114" s="784">
        <v>6.0999999999999999E-2</v>
      </c>
    </row>
    <row r="115" spans="1:6">
      <c r="A115" s="781">
        <v>43011</v>
      </c>
      <c r="B115" s="782" t="s">
        <v>5189</v>
      </c>
      <c r="C115" s="782" t="s">
        <v>5190</v>
      </c>
      <c r="D115" s="783">
        <v>1</v>
      </c>
      <c r="E115" s="783">
        <v>7.36</v>
      </c>
      <c r="F115" s="784">
        <v>0.13600000000000001</v>
      </c>
    </row>
    <row r="116" spans="1:6">
      <c r="A116" s="781">
        <v>43004</v>
      </c>
      <c r="B116" s="782" t="s">
        <v>5191</v>
      </c>
      <c r="C116" s="782" t="s">
        <v>5192</v>
      </c>
      <c r="D116" s="783">
        <v>1.1499999999999999</v>
      </c>
      <c r="E116" s="783">
        <v>4.05</v>
      </c>
      <c r="F116" s="784">
        <v>0.28399999999999997</v>
      </c>
    </row>
    <row r="117" spans="1:6">
      <c r="A117" s="781">
        <v>42971</v>
      </c>
      <c r="B117" s="782" t="s">
        <v>5122</v>
      </c>
      <c r="C117" s="782" t="s">
        <v>127</v>
      </c>
      <c r="D117" s="783">
        <v>22</v>
      </c>
      <c r="E117" s="783">
        <v>272.63</v>
      </c>
      <c r="F117" s="784">
        <v>7.2999999999999995E-2</v>
      </c>
    </row>
    <row r="118" spans="1:6">
      <c r="A118" s="781">
        <v>42928</v>
      </c>
      <c r="B118" s="782" t="s">
        <v>5193</v>
      </c>
      <c r="C118" s="782" t="s">
        <v>453</v>
      </c>
      <c r="D118" s="783">
        <v>2.5</v>
      </c>
      <c r="E118" s="783">
        <v>63.15</v>
      </c>
      <c r="F118" s="784">
        <v>0.04</v>
      </c>
    </row>
    <row r="119" spans="1:6">
      <c r="A119" s="781">
        <v>42908</v>
      </c>
      <c r="B119" s="782" t="s">
        <v>5194</v>
      </c>
      <c r="C119" s="782" t="s">
        <v>5195</v>
      </c>
      <c r="D119" s="783">
        <v>1.03</v>
      </c>
      <c r="E119" s="783">
        <v>4.96</v>
      </c>
      <c r="F119" s="784">
        <v>0.20799999999999999</v>
      </c>
    </row>
    <row r="120" spans="1:6">
      <c r="A120" s="781">
        <v>42878</v>
      </c>
      <c r="B120" s="782" t="s">
        <v>5171</v>
      </c>
      <c r="C120" s="782" t="s">
        <v>5172</v>
      </c>
      <c r="D120" s="783">
        <v>3.5</v>
      </c>
      <c r="E120" s="783">
        <v>161</v>
      </c>
      <c r="F120" s="784">
        <v>2.1999999999999999E-2</v>
      </c>
    </row>
    <row r="121" spans="1:6">
      <c r="A121" s="781">
        <v>42856</v>
      </c>
      <c r="B121" s="782" t="s">
        <v>5196</v>
      </c>
      <c r="C121" s="782" t="s">
        <v>5197</v>
      </c>
      <c r="D121" s="783">
        <v>7.5</v>
      </c>
      <c r="E121" s="783">
        <v>67.52</v>
      </c>
      <c r="F121" s="784">
        <v>0.111</v>
      </c>
    </row>
    <row r="122" spans="1:6">
      <c r="A122" s="781">
        <v>42851</v>
      </c>
      <c r="B122" s="782" t="s">
        <v>5090</v>
      </c>
      <c r="C122" s="782" t="s">
        <v>92</v>
      </c>
      <c r="D122" s="783">
        <v>7</v>
      </c>
      <c r="E122" s="783">
        <v>176.8</v>
      </c>
      <c r="F122" s="784">
        <v>3.9E-2</v>
      </c>
    </row>
    <row r="123" spans="1:6">
      <c r="A123" s="781">
        <v>42831</v>
      </c>
      <c r="B123" s="782" t="s">
        <v>5130</v>
      </c>
      <c r="C123" s="782" t="s">
        <v>5131</v>
      </c>
      <c r="D123" s="783">
        <v>1.06</v>
      </c>
      <c r="E123" s="783">
        <v>3.19</v>
      </c>
      <c r="F123" s="784">
        <v>0.33200000000000002</v>
      </c>
    </row>
    <row r="124" spans="1:6">
      <c r="A124" s="781">
        <v>42772</v>
      </c>
      <c r="B124" s="782" t="s">
        <v>5147</v>
      </c>
      <c r="C124" s="782" t="s">
        <v>5148</v>
      </c>
      <c r="D124" s="783">
        <v>2</v>
      </c>
      <c r="E124" s="783">
        <v>42.12</v>
      </c>
      <c r="F124" s="784">
        <v>4.7E-2</v>
      </c>
    </row>
    <row r="125" spans="1:6">
      <c r="A125" s="781">
        <v>42760</v>
      </c>
      <c r="B125" s="782" t="s">
        <v>5149</v>
      </c>
      <c r="C125" s="782" t="s">
        <v>5198</v>
      </c>
      <c r="D125" s="783">
        <v>1.57</v>
      </c>
      <c r="E125" s="783">
        <v>29.76</v>
      </c>
      <c r="F125" s="784">
        <v>5.2999999999999999E-2</v>
      </c>
    </row>
    <row r="126" spans="1:6">
      <c r="A126" s="781">
        <v>42760</v>
      </c>
      <c r="B126" s="782" t="s">
        <v>5199</v>
      </c>
      <c r="C126" s="782" t="s">
        <v>5200</v>
      </c>
      <c r="D126" s="787">
        <v>3</v>
      </c>
      <c r="E126" s="783">
        <v>40.58</v>
      </c>
      <c r="F126" s="787" t="s">
        <v>5201</v>
      </c>
    </row>
    <row r="127" spans="1:6">
      <c r="A127" s="781">
        <v>42747</v>
      </c>
      <c r="B127" s="782" t="s">
        <v>5202</v>
      </c>
      <c r="C127" s="782" t="s">
        <v>5203</v>
      </c>
      <c r="D127" s="783">
        <v>1.31</v>
      </c>
      <c r="E127" s="783">
        <v>17.260000000000002</v>
      </c>
      <c r="F127" s="784">
        <v>7.5999999999999998E-2</v>
      </c>
    </row>
    <row r="128" spans="1:6">
      <c r="A128" s="781">
        <v>42738</v>
      </c>
      <c r="B128" s="782" t="s">
        <v>5204</v>
      </c>
      <c r="C128" s="782" t="s">
        <v>5205</v>
      </c>
      <c r="D128" s="783">
        <v>5.77</v>
      </c>
      <c r="E128" s="783">
        <v>36.049999999999997</v>
      </c>
      <c r="F128" s="784">
        <v>0.16</v>
      </c>
    </row>
    <row r="129" spans="1:6">
      <c r="A129" s="781">
        <v>42704</v>
      </c>
      <c r="B129" s="782" t="s">
        <v>5078</v>
      </c>
      <c r="C129" s="782" t="s">
        <v>623</v>
      </c>
      <c r="D129" s="783">
        <v>2.29</v>
      </c>
      <c r="E129" s="783">
        <v>14.71</v>
      </c>
      <c r="F129" s="784">
        <v>0.156</v>
      </c>
    </row>
    <row r="130" spans="1:6">
      <c r="A130" s="781">
        <v>42704</v>
      </c>
      <c r="B130" s="782" t="s">
        <v>5185</v>
      </c>
      <c r="C130" s="782" t="s">
        <v>5186</v>
      </c>
      <c r="D130" s="783">
        <v>5</v>
      </c>
      <c r="E130" s="783">
        <v>56.05</v>
      </c>
      <c r="F130" s="784">
        <v>8.7999999999999995E-2</v>
      </c>
    </row>
    <row r="131" spans="1:6">
      <c r="A131" s="781">
        <v>42692</v>
      </c>
      <c r="B131" s="782" t="s">
        <v>5206</v>
      </c>
      <c r="C131" s="782" t="s">
        <v>5207</v>
      </c>
      <c r="D131" s="783">
        <v>2.91</v>
      </c>
      <c r="E131" s="783">
        <v>3.03</v>
      </c>
      <c r="F131" s="784">
        <v>0.96</v>
      </c>
    </row>
    <row r="132" spans="1:6">
      <c r="A132" s="781">
        <v>42684</v>
      </c>
      <c r="B132" s="782" t="s">
        <v>5208</v>
      </c>
      <c r="C132" s="782" t="s">
        <v>5209</v>
      </c>
      <c r="D132" s="783">
        <v>2.78</v>
      </c>
      <c r="E132" s="783">
        <v>23.96</v>
      </c>
      <c r="F132" s="784">
        <v>0.11600000000000001</v>
      </c>
    </row>
    <row r="133" spans="1:6">
      <c r="A133" s="781">
        <v>42684</v>
      </c>
      <c r="B133" s="782" t="s">
        <v>5210</v>
      </c>
      <c r="C133" s="782" t="s">
        <v>118</v>
      </c>
      <c r="D133" s="783">
        <v>2.2000000000000002</v>
      </c>
      <c r="E133" s="783">
        <v>60.8</v>
      </c>
      <c r="F133" s="784">
        <v>3.5999999999999997E-2</v>
      </c>
    </row>
    <row r="134" spans="1:6">
      <c r="A134" s="781">
        <v>42668</v>
      </c>
      <c r="B134" s="782" t="s">
        <v>243</v>
      </c>
      <c r="C134" s="782" t="s">
        <v>165</v>
      </c>
      <c r="D134" s="783">
        <v>3.43</v>
      </c>
      <c r="E134" s="783">
        <v>57.4</v>
      </c>
      <c r="F134" s="784">
        <v>0.06</v>
      </c>
    </row>
    <row r="135" spans="1:6">
      <c r="A135" s="781">
        <v>42658</v>
      </c>
      <c r="B135" s="788" t="s">
        <v>5122</v>
      </c>
      <c r="C135" s="782" t="s">
        <v>127</v>
      </c>
      <c r="D135" s="783">
        <v>24</v>
      </c>
      <c r="E135" s="783">
        <v>277.52</v>
      </c>
      <c r="F135" s="784">
        <v>8.5999999999999993E-2</v>
      </c>
    </row>
    <row r="136" spans="1:6">
      <c r="A136" s="781">
        <v>42627</v>
      </c>
      <c r="B136" s="782" t="s">
        <v>5211</v>
      </c>
      <c r="C136" s="782" t="s">
        <v>5212</v>
      </c>
      <c r="D136" s="783">
        <v>3.5</v>
      </c>
      <c r="E136" s="783">
        <v>63.61</v>
      </c>
      <c r="F136" s="784">
        <v>5.5E-2</v>
      </c>
    </row>
    <row r="137" spans="1:6">
      <c r="A137" s="781">
        <v>42626</v>
      </c>
      <c r="B137" s="782" t="s">
        <v>5213</v>
      </c>
      <c r="C137" s="782" t="s">
        <v>5214</v>
      </c>
      <c r="D137" s="783">
        <v>4.25</v>
      </c>
      <c r="E137" s="783">
        <v>84.36</v>
      </c>
      <c r="F137" s="784">
        <v>0.05</v>
      </c>
    </row>
    <row r="138" spans="1:6">
      <c r="A138" s="781">
        <v>42625</v>
      </c>
      <c r="B138" s="782" t="s">
        <v>5215</v>
      </c>
      <c r="C138" s="782" t="s">
        <v>5216</v>
      </c>
      <c r="D138" s="783">
        <v>15</v>
      </c>
      <c r="E138" s="783">
        <v>45.45</v>
      </c>
      <c r="F138" s="784">
        <v>0.33</v>
      </c>
    </row>
    <row r="139" spans="1:6">
      <c r="A139" s="781">
        <v>42612</v>
      </c>
      <c r="B139" s="782" t="s">
        <v>5217</v>
      </c>
      <c r="C139" s="782" t="s">
        <v>5218</v>
      </c>
      <c r="D139" s="783">
        <v>1.5</v>
      </c>
      <c r="E139" s="783">
        <v>21.1</v>
      </c>
      <c r="F139" s="784">
        <v>7.0999999999999994E-2</v>
      </c>
    </row>
    <row r="140" spans="1:6">
      <c r="A140" s="781">
        <v>42585</v>
      </c>
      <c r="B140" s="782" t="s">
        <v>5219</v>
      </c>
      <c r="C140" s="782" t="s">
        <v>5220</v>
      </c>
      <c r="D140" s="783">
        <v>1.25</v>
      </c>
      <c r="E140" s="783">
        <v>2.98</v>
      </c>
      <c r="F140" s="784">
        <v>0.41899999999999998</v>
      </c>
    </row>
    <row r="141" spans="1:6">
      <c r="A141" s="781">
        <v>42558</v>
      </c>
      <c r="B141" s="782" t="s">
        <v>5136</v>
      </c>
      <c r="C141" s="782" t="s">
        <v>453</v>
      </c>
      <c r="D141" s="783">
        <v>2.5</v>
      </c>
      <c r="E141" s="783">
        <v>45.2</v>
      </c>
      <c r="F141" s="784">
        <v>5.5E-2</v>
      </c>
    </row>
    <row r="142" spans="1:6">
      <c r="A142" s="781">
        <v>42557</v>
      </c>
      <c r="B142" s="782" t="s">
        <v>5221</v>
      </c>
      <c r="C142" s="782" t="s">
        <v>5222</v>
      </c>
      <c r="D142" s="783">
        <v>1.5</v>
      </c>
      <c r="E142" s="783">
        <v>6.15</v>
      </c>
      <c r="F142" s="784">
        <v>0.24299999999999999</v>
      </c>
    </row>
    <row r="143" spans="1:6">
      <c r="A143" s="781">
        <v>42552</v>
      </c>
      <c r="B143" s="782" t="s">
        <v>5096</v>
      </c>
      <c r="C143" s="782" t="s">
        <v>5097</v>
      </c>
      <c r="D143" s="783">
        <v>2.9</v>
      </c>
      <c r="E143" s="783">
        <v>27.8</v>
      </c>
      <c r="F143" s="784">
        <v>0.104</v>
      </c>
    </row>
    <row r="144" spans="1:6">
      <c r="A144" s="781">
        <v>42541</v>
      </c>
      <c r="B144" s="782" t="s">
        <v>5223</v>
      </c>
      <c r="C144" s="782" t="s">
        <v>5224</v>
      </c>
      <c r="D144" s="783">
        <v>1.68</v>
      </c>
      <c r="E144" s="783">
        <v>19.489999999999998</v>
      </c>
      <c r="F144" s="784">
        <v>8.5999999999999993E-2</v>
      </c>
    </row>
    <row r="145" spans="1:6">
      <c r="A145" s="781">
        <v>42541</v>
      </c>
      <c r="B145" s="782" t="s">
        <v>5225</v>
      </c>
      <c r="C145" s="782" t="s">
        <v>5226</v>
      </c>
      <c r="D145" s="783">
        <v>1.71</v>
      </c>
      <c r="E145" s="783">
        <v>12.99</v>
      </c>
      <c r="F145" s="784">
        <v>0.13200000000000001</v>
      </c>
    </row>
    <row r="146" spans="1:6">
      <c r="A146" s="781">
        <v>42522</v>
      </c>
      <c r="B146" s="782" t="s">
        <v>5171</v>
      </c>
      <c r="C146" s="782" t="s">
        <v>5172</v>
      </c>
      <c r="D146" s="783">
        <v>4.4000000000000004</v>
      </c>
      <c r="E146" s="783">
        <v>163.6</v>
      </c>
      <c r="F146" s="784">
        <v>2.7E-2</v>
      </c>
    </row>
    <row r="147" spans="1:6">
      <c r="A147" s="781">
        <v>42517</v>
      </c>
      <c r="B147" s="782" t="s">
        <v>5227</v>
      </c>
      <c r="C147" s="782" t="s">
        <v>5228</v>
      </c>
      <c r="D147" s="783">
        <v>4.3</v>
      </c>
      <c r="E147" s="783">
        <v>14.81</v>
      </c>
      <c r="F147" s="784">
        <v>0.29599999999999999</v>
      </c>
    </row>
    <row r="148" spans="1:6">
      <c r="A148" s="781">
        <v>42516</v>
      </c>
      <c r="B148" s="782" t="s">
        <v>5217</v>
      </c>
      <c r="C148" s="782" t="s">
        <v>5218</v>
      </c>
      <c r="D148" s="783">
        <v>9.25</v>
      </c>
      <c r="E148" s="783">
        <v>30.3</v>
      </c>
      <c r="F148" s="784">
        <v>0.30499999999999999</v>
      </c>
    </row>
    <row r="149" spans="1:6">
      <c r="A149" s="781">
        <v>42348</v>
      </c>
      <c r="B149" s="782" t="s">
        <v>5229</v>
      </c>
      <c r="C149" s="782" t="s">
        <v>5230</v>
      </c>
      <c r="D149" s="783">
        <v>43.4</v>
      </c>
      <c r="E149" s="783">
        <v>119.02</v>
      </c>
      <c r="F149" s="784">
        <v>0.36499999999999999</v>
      </c>
    </row>
    <row r="150" spans="1:6">
      <c r="A150" s="781">
        <v>42324</v>
      </c>
      <c r="B150" s="782" t="s">
        <v>5231</v>
      </c>
      <c r="C150" s="782" t="s">
        <v>5232</v>
      </c>
      <c r="D150" s="783">
        <v>5.5</v>
      </c>
      <c r="E150" s="783">
        <v>111.52</v>
      </c>
      <c r="F150" s="784">
        <v>4.9000000000000002E-2</v>
      </c>
    </row>
    <row r="151" spans="1:6">
      <c r="A151" s="781">
        <v>42321</v>
      </c>
      <c r="B151" s="782" t="s">
        <v>5233</v>
      </c>
      <c r="C151" s="782" t="s">
        <v>118</v>
      </c>
      <c r="D151" s="783">
        <v>2.19</v>
      </c>
      <c r="E151" s="783">
        <v>60.25</v>
      </c>
      <c r="F151" s="784">
        <v>3.5999999999999997E-2</v>
      </c>
    </row>
    <row r="152" spans="1:6">
      <c r="A152" s="781">
        <v>42309</v>
      </c>
      <c r="B152" s="782" t="s">
        <v>5234</v>
      </c>
      <c r="C152" s="782" t="s">
        <v>5235</v>
      </c>
      <c r="D152" s="783">
        <v>2</v>
      </c>
      <c r="E152" s="783">
        <v>85.84</v>
      </c>
      <c r="F152" s="784">
        <v>2.3E-2</v>
      </c>
    </row>
    <row r="153" spans="1:6">
      <c r="A153" s="781">
        <v>42305</v>
      </c>
      <c r="B153" s="782" t="s">
        <v>5136</v>
      </c>
      <c r="C153" s="782" t="s">
        <v>453</v>
      </c>
      <c r="D153" s="783">
        <v>2</v>
      </c>
      <c r="E153" s="783">
        <v>60.29</v>
      </c>
      <c r="F153" s="784">
        <v>3.3000000000000002E-2</v>
      </c>
    </row>
    <row r="154" spans="1:6">
      <c r="A154" s="781">
        <v>42286</v>
      </c>
      <c r="B154" s="782" t="s">
        <v>5236</v>
      </c>
      <c r="C154" s="782" t="s">
        <v>5237</v>
      </c>
      <c r="D154" s="783">
        <v>0.75</v>
      </c>
      <c r="E154" s="783">
        <v>7.67</v>
      </c>
      <c r="F154" s="784">
        <v>9.8000000000000004E-2</v>
      </c>
    </row>
    <row r="155" spans="1:6">
      <c r="A155" s="781">
        <v>42278</v>
      </c>
      <c r="B155" s="782" t="s">
        <v>5238</v>
      </c>
      <c r="C155" s="782" t="s">
        <v>5239</v>
      </c>
      <c r="D155" s="783">
        <v>4.8499999999999996</v>
      </c>
      <c r="E155" s="783">
        <v>74.36</v>
      </c>
      <c r="F155" s="784">
        <v>6.5000000000000002E-2</v>
      </c>
    </row>
    <row r="156" spans="1:6">
      <c r="A156" s="781">
        <v>42277</v>
      </c>
      <c r="B156" s="782" t="s">
        <v>5240</v>
      </c>
      <c r="C156" s="782" t="s">
        <v>5241</v>
      </c>
      <c r="D156" s="783">
        <v>10.95</v>
      </c>
      <c r="E156" s="783">
        <v>270.10000000000002</v>
      </c>
      <c r="F156" s="784">
        <v>4.1000000000000002E-2</v>
      </c>
    </row>
    <row r="157" spans="1:6">
      <c r="A157" s="781">
        <v>42261</v>
      </c>
      <c r="B157" s="782" t="s">
        <v>5242</v>
      </c>
      <c r="C157" s="782" t="s">
        <v>5243</v>
      </c>
      <c r="D157" s="783">
        <v>2</v>
      </c>
      <c r="E157" s="783">
        <v>15.4</v>
      </c>
      <c r="F157" s="784">
        <v>0.13</v>
      </c>
    </row>
    <row r="158" spans="1:6">
      <c r="A158" s="781">
        <v>42248</v>
      </c>
      <c r="B158" s="782" t="s">
        <v>5244</v>
      </c>
      <c r="C158" s="782" t="s">
        <v>828</v>
      </c>
      <c r="D158" s="783">
        <v>3</v>
      </c>
      <c r="E158" s="783">
        <v>366.35</v>
      </c>
      <c r="F158" s="784">
        <v>8.0000000000000002E-3</v>
      </c>
    </row>
    <row r="159" spans="1:6">
      <c r="A159" s="781">
        <v>42180</v>
      </c>
      <c r="B159" s="782" t="s">
        <v>5245</v>
      </c>
      <c r="C159" s="782" t="s">
        <v>5246</v>
      </c>
      <c r="D159" s="783">
        <v>2.31</v>
      </c>
      <c r="E159" s="783">
        <v>30.41</v>
      </c>
      <c r="F159" s="784">
        <v>7.5999999999999998E-2</v>
      </c>
    </row>
    <row r="160" spans="1:6">
      <c r="A160" s="781">
        <v>42157</v>
      </c>
      <c r="B160" s="782" t="s">
        <v>5171</v>
      </c>
      <c r="C160" s="782" t="s">
        <v>5172</v>
      </c>
      <c r="D160" s="783">
        <v>4.0999999999999996</v>
      </c>
      <c r="E160" s="783">
        <v>140.96</v>
      </c>
      <c r="F160" s="784">
        <v>2.9000000000000001E-2</v>
      </c>
    </row>
    <row r="161" spans="1:6">
      <c r="A161" s="781">
        <v>42139</v>
      </c>
      <c r="B161" s="782" t="s">
        <v>5247</v>
      </c>
      <c r="C161" s="782" t="s">
        <v>5248</v>
      </c>
      <c r="D161" s="783">
        <v>2.6</v>
      </c>
      <c r="E161" s="783">
        <v>7.54</v>
      </c>
      <c r="F161" s="784">
        <v>0.34499999999999997</v>
      </c>
    </row>
    <row r="162" spans="1:6">
      <c r="A162" s="781">
        <v>42080</v>
      </c>
      <c r="B162" s="782" t="s">
        <v>5249</v>
      </c>
      <c r="C162" s="782" t="s">
        <v>5250</v>
      </c>
      <c r="D162" s="783">
        <v>2</v>
      </c>
      <c r="E162" s="783">
        <v>61.82</v>
      </c>
      <c r="F162" s="784">
        <v>3.2000000000000001E-2</v>
      </c>
    </row>
    <row r="163" spans="1:6">
      <c r="A163" s="781">
        <v>42075</v>
      </c>
      <c r="B163" s="782" t="s">
        <v>5251</v>
      </c>
      <c r="C163" s="782" t="s">
        <v>5252</v>
      </c>
      <c r="D163" s="783">
        <v>1.5</v>
      </c>
      <c r="E163" s="783">
        <v>33.85</v>
      </c>
      <c r="F163" s="784">
        <v>4.3999999999999997E-2</v>
      </c>
    </row>
    <row r="164" spans="1:6">
      <c r="A164" s="781">
        <v>42073</v>
      </c>
      <c r="B164" s="782" t="s">
        <v>5187</v>
      </c>
      <c r="C164" s="782" t="s">
        <v>5188</v>
      </c>
      <c r="D164" s="783">
        <v>25</v>
      </c>
      <c r="E164" s="783">
        <v>73.09</v>
      </c>
      <c r="F164" s="784">
        <v>0.34200000000000003</v>
      </c>
    </row>
    <row r="165" spans="1:6">
      <c r="A165" s="781">
        <v>42069</v>
      </c>
      <c r="B165" s="782" t="s">
        <v>5204</v>
      </c>
      <c r="C165" s="782" t="s">
        <v>5205</v>
      </c>
      <c r="D165" s="783">
        <v>6.73</v>
      </c>
      <c r="E165" s="783">
        <v>95.94</v>
      </c>
      <c r="F165" s="784">
        <v>0.10199999999999999</v>
      </c>
    </row>
    <row r="166" spans="1:6">
      <c r="A166" s="781">
        <v>42054</v>
      </c>
      <c r="B166" s="782" t="s">
        <v>5077</v>
      </c>
      <c r="C166" s="782" t="s">
        <v>566</v>
      </c>
      <c r="D166" s="783">
        <v>2</v>
      </c>
      <c r="E166" s="783">
        <v>83.1</v>
      </c>
      <c r="F166" s="784">
        <v>2.4E-2</v>
      </c>
    </row>
    <row r="167" spans="1:6">
      <c r="A167" s="781">
        <v>42048</v>
      </c>
      <c r="B167" s="782" t="s">
        <v>5253</v>
      </c>
      <c r="C167" s="782" t="s">
        <v>5254</v>
      </c>
      <c r="D167" s="783">
        <v>4.05</v>
      </c>
      <c r="E167" s="783">
        <v>63.63</v>
      </c>
      <c r="F167" s="784">
        <v>6.4000000000000001E-2</v>
      </c>
    </row>
    <row r="168" spans="1:6">
      <c r="A168" s="781">
        <v>42039</v>
      </c>
      <c r="B168" s="782" t="s">
        <v>5255</v>
      </c>
      <c r="C168" s="782" t="s">
        <v>5256</v>
      </c>
      <c r="D168" s="783">
        <v>5</v>
      </c>
      <c r="E168" s="783">
        <v>15.93</v>
      </c>
      <c r="F168" s="784">
        <v>0.314</v>
      </c>
    </row>
    <row r="169" spans="1:6">
      <c r="A169" s="781">
        <v>42034</v>
      </c>
      <c r="B169" s="782" t="s">
        <v>5090</v>
      </c>
      <c r="C169" s="782" t="s">
        <v>92</v>
      </c>
      <c r="D169" s="783">
        <v>5</v>
      </c>
      <c r="E169" s="783">
        <v>142.99</v>
      </c>
      <c r="F169" s="784">
        <v>3.5000000000000003E-2</v>
      </c>
    </row>
    <row r="170" spans="1:6">
      <c r="A170" s="781">
        <v>42032</v>
      </c>
      <c r="B170" s="782" t="s">
        <v>5257</v>
      </c>
      <c r="C170" s="782" t="s">
        <v>5258</v>
      </c>
      <c r="D170" s="783">
        <v>10</v>
      </c>
      <c r="E170" s="783">
        <v>75</v>
      </c>
      <c r="F170" s="784">
        <v>0.13300000000000001</v>
      </c>
    </row>
    <row r="171" spans="1:6">
      <c r="A171" s="781">
        <v>42031</v>
      </c>
      <c r="B171" s="782" t="s">
        <v>5259</v>
      </c>
      <c r="C171" s="782" t="s">
        <v>5260</v>
      </c>
      <c r="D171" s="783">
        <v>0.65</v>
      </c>
      <c r="E171" s="783">
        <v>4.04</v>
      </c>
      <c r="F171" s="784">
        <v>0.161</v>
      </c>
    </row>
    <row r="172" spans="1:6">
      <c r="A172" s="781">
        <v>42026</v>
      </c>
      <c r="B172" s="782" t="s">
        <v>5151</v>
      </c>
      <c r="C172" s="782" t="s">
        <v>5152</v>
      </c>
      <c r="D172" s="783">
        <v>1.5</v>
      </c>
      <c r="E172" s="783">
        <v>21.67</v>
      </c>
      <c r="F172" s="784">
        <v>6.9000000000000006E-2</v>
      </c>
    </row>
    <row r="173" spans="1:6">
      <c r="A173" s="781">
        <v>42025</v>
      </c>
      <c r="B173" s="782" t="s">
        <v>5261</v>
      </c>
      <c r="C173" s="782" t="s">
        <v>5262</v>
      </c>
      <c r="D173" s="783">
        <v>2.06</v>
      </c>
      <c r="E173" s="783">
        <v>68.37</v>
      </c>
      <c r="F173" s="784">
        <v>0.03</v>
      </c>
    </row>
    <row r="174" spans="1:6">
      <c r="A174" s="781">
        <v>42019</v>
      </c>
      <c r="B174" s="782" t="s">
        <v>5263</v>
      </c>
      <c r="C174" s="782" t="s">
        <v>5264</v>
      </c>
      <c r="D174" s="783">
        <v>5.77</v>
      </c>
      <c r="E174" s="783">
        <v>34.57</v>
      </c>
      <c r="F174" s="784">
        <v>0.16700000000000001</v>
      </c>
    </row>
    <row r="175" spans="1:6">
      <c r="A175" s="781">
        <v>41989</v>
      </c>
      <c r="B175" s="782" t="s">
        <v>5265</v>
      </c>
      <c r="C175" s="782" t="s">
        <v>5266</v>
      </c>
      <c r="D175" s="783">
        <v>2.25</v>
      </c>
      <c r="E175" s="783">
        <v>17.45</v>
      </c>
      <c r="F175" s="784">
        <v>0.129</v>
      </c>
    </row>
    <row r="176" spans="1:6">
      <c r="A176" s="781">
        <v>41989</v>
      </c>
      <c r="B176" s="782" t="s">
        <v>5267</v>
      </c>
      <c r="C176" s="782" t="s">
        <v>5268</v>
      </c>
      <c r="D176" s="783">
        <v>0.85</v>
      </c>
      <c r="E176" s="783">
        <v>1.34</v>
      </c>
      <c r="F176" s="784">
        <v>0.63400000000000001</v>
      </c>
    </row>
    <row r="177" spans="1:6">
      <c r="A177" s="781">
        <v>41988</v>
      </c>
      <c r="B177" s="782" t="s">
        <v>5183</v>
      </c>
      <c r="C177" s="782" t="s">
        <v>5184</v>
      </c>
      <c r="D177" s="783">
        <v>2</v>
      </c>
      <c r="E177" s="783">
        <v>8.1199999999999992</v>
      </c>
      <c r="F177" s="784">
        <v>0.246</v>
      </c>
    </row>
    <row r="178" spans="1:6">
      <c r="A178" s="781">
        <v>41985</v>
      </c>
      <c r="B178" s="782" t="s">
        <v>5269</v>
      </c>
      <c r="C178" s="782" t="s">
        <v>5270</v>
      </c>
      <c r="D178" s="783">
        <v>2.25</v>
      </c>
      <c r="E178" s="783">
        <v>12.32</v>
      </c>
      <c r="F178" s="784">
        <v>0.183</v>
      </c>
    </row>
    <row r="179" spans="1:6">
      <c r="A179" s="781">
        <v>41982</v>
      </c>
      <c r="B179" s="782" t="s">
        <v>838</v>
      </c>
      <c r="C179" s="782" t="s">
        <v>107</v>
      </c>
      <c r="D179" s="783">
        <v>3</v>
      </c>
      <c r="E179" s="783">
        <v>49.59</v>
      </c>
      <c r="F179" s="784">
        <v>0.06</v>
      </c>
    </row>
    <row r="180" spans="1:6">
      <c r="A180" s="781">
        <v>41982</v>
      </c>
      <c r="B180" s="782" t="s">
        <v>5271</v>
      </c>
      <c r="C180" s="782" t="s">
        <v>5272</v>
      </c>
      <c r="D180" s="783">
        <v>5.15</v>
      </c>
      <c r="E180" s="783">
        <v>133.32</v>
      </c>
      <c r="F180" s="784">
        <v>3.9E-2</v>
      </c>
    </row>
    <row r="181" spans="1:6">
      <c r="A181" s="781">
        <v>41977</v>
      </c>
      <c r="B181" s="782" t="s">
        <v>5273</v>
      </c>
      <c r="C181" s="782" t="s">
        <v>5274</v>
      </c>
      <c r="D181" s="783">
        <v>2.5</v>
      </c>
      <c r="E181" s="783">
        <v>143.97999999999999</v>
      </c>
      <c r="F181" s="784">
        <v>1.7000000000000001E-2</v>
      </c>
    </row>
    <row r="182" spans="1:6">
      <c r="A182" s="781">
        <v>41974</v>
      </c>
      <c r="B182" s="782" t="s">
        <v>225</v>
      </c>
      <c r="C182" s="782" t="s">
        <v>224</v>
      </c>
      <c r="D182" s="783">
        <v>2</v>
      </c>
      <c r="E182" s="783">
        <v>33</v>
      </c>
      <c r="F182" s="784">
        <v>6.0999999999999999E-2</v>
      </c>
    </row>
    <row r="183" spans="1:6">
      <c r="A183" s="781">
        <v>41956</v>
      </c>
      <c r="B183" s="782" t="s">
        <v>5233</v>
      </c>
      <c r="C183" s="782" t="s">
        <v>118</v>
      </c>
      <c r="D183" s="783">
        <v>3.18</v>
      </c>
      <c r="E183" s="783">
        <v>48.96</v>
      </c>
      <c r="F183" s="784">
        <v>6.5000000000000002E-2</v>
      </c>
    </row>
    <row r="184" spans="1:6">
      <c r="A184" s="781">
        <v>41946</v>
      </c>
      <c r="B184" s="782" t="s">
        <v>5275</v>
      </c>
      <c r="C184" s="782" t="s">
        <v>5276</v>
      </c>
      <c r="D184" s="783">
        <v>2</v>
      </c>
      <c r="E184" s="783">
        <v>45.31</v>
      </c>
      <c r="F184" s="784">
        <v>4.3999999999999997E-2</v>
      </c>
    </row>
    <row r="185" spans="1:6">
      <c r="A185" s="781">
        <v>41940</v>
      </c>
      <c r="B185" s="782" t="s">
        <v>5277</v>
      </c>
      <c r="C185" s="782" t="s">
        <v>861</v>
      </c>
      <c r="D185" s="783">
        <v>3</v>
      </c>
      <c r="E185" s="783">
        <v>84.22</v>
      </c>
      <c r="F185" s="784">
        <v>3.5999999999999997E-2</v>
      </c>
    </row>
    <row r="186" spans="1:6">
      <c r="A186" s="781">
        <v>41936</v>
      </c>
      <c r="B186" s="782" t="s">
        <v>5278</v>
      </c>
      <c r="C186" s="782" t="s">
        <v>5279</v>
      </c>
      <c r="D186" s="783">
        <v>16.5</v>
      </c>
      <c r="E186" s="783">
        <v>75.900000000000006</v>
      </c>
      <c r="F186" s="784">
        <v>0.217</v>
      </c>
    </row>
    <row r="187" spans="1:6">
      <c r="A187" s="781">
        <v>41932</v>
      </c>
      <c r="B187" s="782" t="s">
        <v>5280</v>
      </c>
      <c r="C187" s="782" t="s">
        <v>5281</v>
      </c>
      <c r="D187" s="783">
        <v>3</v>
      </c>
      <c r="E187" s="783">
        <v>24.63</v>
      </c>
      <c r="F187" s="784">
        <v>0.122</v>
      </c>
    </row>
    <row r="188" spans="1:6">
      <c r="A188" s="781">
        <v>41929</v>
      </c>
      <c r="B188" s="782" t="s">
        <v>5282</v>
      </c>
      <c r="C188" s="782" t="s">
        <v>5283</v>
      </c>
      <c r="D188" s="783">
        <v>0.88</v>
      </c>
      <c r="E188" s="783">
        <v>6.79</v>
      </c>
      <c r="F188" s="784">
        <v>0.13</v>
      </c>
    </row>
    <row r="189" spans="1:6">
      <c r="A189" s="781">
        <v>41911</v>
      </c>
      <c r="B189" s="789" t="s">
        <v>5284</v>
      </c>
      <c r="C189" s="782" t="s">
        <v>889</v>
      </c>
      <c r="D189" s="783">
        <v>0.67</v>
      </c>
      <c r="E189" s="783">
        <v>6.06</v>
      </c>
      <c r="F189" s="784">
        <v>0.111</v>
      </c>
    </row>
    <row r="190" spans="1:6">
      <c r="A190" s="781">
        <v>41873</v>
      </c>
      <c r="B190" s="782" t="s">
        <v>5285</v>
      </c>
      <c r="C190" s="782" t="s">
        <v>5286</v>
      </c>
      <c r="D190" s="783">
        <v>0.7</v>
      </c>
      <c r="E190" s="783">
        <v>1.92</v>
      </c>
      <c r="F190" s="784">
        <v>0.36499999999999999</v>
      </c>
    </row>
    <row r="191" spans="1:6">
      <c r="A191" s="781">
        <v>41863</v>
      </c>
      <c r="B191" s="782" t="s">
        <v>5094</v>
      </c>
      <c r="C191" s="782" t="s">
        <v>5095</v>
      </c>
      <c r="D191" s="783">
        <v>1.08</v>
      </c>
      <c r="E191" s="783">
        <v>23.68</v>
      </c>
      <c r="F191" s="784">
        <v>4.5999999999999999E-2</v>
      </c>
    </row>
    <row r="192" spans="1:6">
      <c r="A192" s="781">
        <v>41862</v>
      </c>
      <c r="B192" s="782" t="s">
        <v>5106</v>
      </c>
      <c r="C192" s="782" t="s">
        <v>5107</v>
      </c>
      <c r="D192" s="783">
        <v>2</v>
      </c>
      <c r="E192" s="783">
        <v>56.98</v>
      </c>
      <c r="F192" s="784">
        <v>3.5000000000000003E-2</v>
      </c>
    </row>
    <row r="193" spans="1:6">
      <c r="A193" s="781">
        <v>41850</v>
      </c>
      <c r="B193" s="782" t="s">
        <v>5287</v>
      </c>
      <c r="C193" s="782" t="s">
        <v>5288</v>
      </c>
      <c r="D193" s="783">
        <v>2.11</v>
      </c>
      <c r="E193" s="783">
        <v>22.24</v>
      </c>
      <c r="F193" s="784">
        <v>9.4E-2</v>
      </c>
    </row>
    <row r="194" spans="1:6">
      <c r="A194" s="781">
        <v>41837</v>
      </c>
      <c r="B194" s="782" t="s">
        <v>622</v>
      </c>
      <c r="C194" s="782" t="s">
        <v>621</v>
      </c>
      <c r="D194" s="783">
        <v>2</v>
      </c>
      <c r="E194" s="783">
        <v>48.48</v>
      </c>
      <c r="F194" s="784">
        <v>4.1000000000000002E-2</v>
      </c>
    </row>
    <row r="195" spans="1:6">
      <c r="A195" s="781">
        <v>41816</v>
      </c>
      <c r="B195" s="782" t="s">
        <v>5289</v>
      </c>
      <c r="C195" s="782" t="s">
        <v>5290</v>
      </c>
      <c r="D195" s="783">
        <v>1.75</v>
      </c>
      <c r="E195" s="783">
        <v>6.55</v>
      </c>
      <c r="F195" s="784">
        <v>0.26700000000000002</v>
      </c>
    </row>
    <row r="196" spans="1:6">
      <c r="A196" s="781">
        <v>41795</v>
      </c>
      <c r="B196" s="782" t="s">
        <v>5122</v>
      </c>
      <c r="C196" s="782" t="s">
        <v>127</v>
      </c>
      <c r="D196" s="783">
        <v>25</v>
      </c>
      <c r="E196" s="783">
        <v>190.59</v>
      </c>
      <c r="F196" s="784">
        <v>0.13100000000000001</v>
      </c>
    </row>
    <row r="197" spans="1:6">
      <c r="A197" s="781">
        <v>41775</v>
      </c>
      <c r="B197" s="782" t="s">
        <v>5269</v>
      </c>
      <c r="C197" s="782" t="s">
        <v>5270</v>
      </c>
      <c r="D197" s="783">
        <v>1.5</v>
      </c>
      <c r="E197" s="783">
        <v>11.56</v>
      </c>
      <c r="F197" s="784">
        <v>0.13</v>
      </c>
    </row>
    <row r="198" spans="1:6">
      <c r="A198" s="781">
        <v>41773</v>
      </c>
      <c r="B198" s="782" t="s">
        <v>5291</v>
      </c>
      <c r="C198" s="782" t="s">
        <v>5292</v>
      </c>
      <c r="D198" s="783">
        <v>1.33</v>
      </c>
      <c r="E198" s="783">
        <v>3.08</v>
      </c>
      <c r="F198" s="784">
        <v>0.432</v>
      </c>
    </row>
    <row r="199" spans="1:6">
      <c r="A199" s="781">
        <v>41768</v>
      </c>
      <c r="B199" s="782" t="s">
        <v>5293</v>
      </c>
      <c r="C199" s="782" t="s">
        <v>5294</v>
      </c>
      <c r="D199" s="783">
        <v>2</v>
      </c>
      <c r="E199" s="783">
        <v>21.49</v>
      </c>
      <c r="F199" s="784">
        <v>9.2999999999999999E-2</v>
      </c>
    </row>
    <row r="200" spans="1:6">
      <c r="A200" s="781">
        <v>41758</v>
      </c>
      <c r="B200" s="782" t="s">
        <v>5295</v>
      </c>
      <c r="C200" s="782" t="s">
        <v>5296</v>
      </c>
      <c r="D200" s="783">
        <v>6</v>
      </c>
      <c r="E200" s="783">
        <v>55.17</v>
      </c>
      <c r="F200" s="784">
        <v>0.109</v>
      </c>
    </row>
    <row r="201" spans="1:6">
      <c r="A201" s="781">
        <v>41731</v>
      </c>
      <c r="B201" s="782" t="s">
        <v>5297</v>
      </c>
      <c r="C201" s="782" t="s">
        <v>5298</v>
      </c>
      <c r="D201" s="783">
        <v>0.5</v>
      </c>
      <c r="E201" s="783">
        <v>3.44</v>
      </c>
      <c r="F201" s="784">
        <v>0.14499999999999999</v>
      </c>
    </row>
    <row r="202" spans="1:6">
      <c r="A202" s="781">
        <v>41675</v>
      </c>
      <c r="B202" s="782" t="s">
        <v>5299</v>
      </c>
      <c r="C202" s="782" t="s">
        <v>170</v>
      </c>
      <c r="D202" s="783">
        <v>5</v>
      </c>
      <c r="E202" s="783">
        <v>83.53</v>
      </c>
      <c r="F202" s="784">
        <v>0.06</v>
      </c>
    </row>
    <row r="203" spans="1:6">
      <c r="A203" s="781">
        <v>41668</v>
      </c>
      <c r="B203" s="782" t="s">
        <v>5300</v>
      </c>
      <c r="C203" s="782" t="s">
        <v>5301</v>
      </c>
      <c r="D203" s="783">
        <v>4.34</v>
      </c>
      <c r="E203" s="783">
        <v>48.73</v>
      </c>
      <c r="F203" s="784">
        <v>8.8999999999999996E-2</v>
      </c>
    </row>
    <row r="204" spans="1:6">
      <c r="A204" s="781">
        <v>41663</v>
      </c>
      <c r="B204" s="782" t="s">
        <v>5302</v>
      </c>
      <c r="C204" s="782" t="s">
        <v>5303</v>
      </c>
      <c r="D204" s="783">
        <v>1.5</v>
      </c>
      <c r="E204" s="783">
        <v>27.44</v>
      </c>
      <c r="F204" s="784">
        <v>5.5E-2</v>
      </c>
    </row>
    <row r="205" spans="1:6">
      <c r="A205" s="781">
        <v>41660</v>
      </c>
      <c r="B205" s="782" t="s">
        <v>5151</v>
      </c>
      <c r="C205" s="782" t="s">
        <v>5152</v>
      </c>
      <c r="D205" s="783">
        <v>2.5</v>
      </c>
      <c r="E205" s="783">
        <v>29.68</v>
      </c>
      <c r="F205" s="784">
        <v>8.4000000000000005E-2</v>
      </c>
    </row>
    <row r="206" spans="1:6">
      <c r="A206" s="781">
        <v>41655</v>
      </c>
      <c r="B206" s="782" t="s">
        <v>5149</v>
      </c>
      <c r="C206" s="782" t="s">
        <v>5198</v>
      </c>
      <c r="D206" s="783">
        <v>1.83</v>
      </c>
      <c r="E206" s="783">
        <v>30.29</v>
      </c>
      <c r="F206" s="784">
        <v>0.06</v>
      </c>
    </row>
    <row r="207" spans="1:6">
      <c r="A207" s="781">
        <v>41646</v>
      </c>
      <c r="B207" s="782" t="s">
        <v>5304</v>
      </c>
      <c r="C207" s="782" t="s">
        <v>5305</v>
      </c>
      <c r="D207" s="783">
        <v>0.72</v>
      </c>
      <c r="E207" s="783">
        <v>5.73</v>
      </c>
      <c r="F207" s="784">
        <v>0.126</v>
      </c>
    </row>
    <row r="208" spans="1:6">
      <c r="A208" s="781">
        <v>41620</v>
      </c>
      <c r="B208" s="782" t="s">
        <v>5306</v>
      </c>
      <c r="C208" s="782" t="s">
        <v>610</v>
      </c>
      <c r="D208" s="783">
        <v>2.6</v>
      </c>
      <c r="E208" s="783">
        <v>79.72</v>
      </c>
      <c r="F208" s="784">
        <v>3.3000000000000002E-2</v>
      </c>
    </row>
    <row r="209" spans="1:6">
      <c r="A209" s="781">
        <v>41610</v>
      </c>
      <c r="B209" s="782" t="s">
        <v>5271</v>
      </c>
      <c r="C209" s="782" t="s">
        <v>5272</v>
      </c>
      <c r="D209" s="783">
        <v>2.9</v>
      </c>
      <c r="E209" s="783">
        <v>100.85</v>
      </c>
      <c r="F209" s="784">
        <v>2.9000000000000001E-2</v>
      </c>
    </row>
    <row r="210" spans="1:6">
      <c r="A210" s="781">
        <v>41604</v>
      </c>
      <c r="B210" s="782" t="s">
        <v>5307</v>
      </c>
      <c r="C210" s="782" t="s">
        <v>5308</v>
      </c>
      <c r="D210" s="783">
        <v>5</v>
      </c>
      <c r="E210" s="783">
        <v>87.18</v>
      </c>
      <c r="F210" s="784">
        <v>5.7000000000000002E-2</v>
      </c>
    </row>
    <row r="211" spans="1:6">
      <c r="A211" s="781">
        <v>41603</v>
      </c>
      <c r="B211" s="782" t="s">
        <v>5309</v>
      </c>
      <c r="C211" s="782" t="s">
        <v>248</v>
      </c>
      <c r="D211" s="783">
        <v>3</v>
      </c>
      <c r="E211" s="783">
        <v>122</v>
      </c>
      <c r="F211" s="784">
        <v>2.5000000000000001E-2</v>
      </c>
    </row>
    <row r="212" spans="1:6">
      <c r="A212" s="781">
        <v>41603</v>
      </c>
      <c r="B212" s="782" t="s">
        <v>5249</v>
      </c>
      <c r="C212" s="782" t="s">
        <v>5250</v>
      </c>
      <c r="D212" s="783">
        <v>2</v>
      </c>
      <c r="E212" s="783">
        <v>52.39</v>
      </c>
      <c r="F212" s="784">
        <v>3.7999999999999999E-2</v>
      </c>
    </row>
    <row r="213" spans="1:6">
      <c r="A213" s="781">
        <v>41600</v>
      </c>
      <c r="B213" s="782" t="s">
        <v>5310</v>
      </c>
      <c r="C213" s="782" t="s">
        <v>5311</v>
      </c>
      <c r="D213" s="783">
        <v>1.75</v>
      </c>
      <c r="E213" s="783">
        <v>7.56</v>
      </c>
      <c r="F213" s="784">
        <v>0.23100000000000001</v>
      </c>
    </row>
    <row r="214" spans="1:6">
      <c r="A214" s="781">
        <v>41592</v>
      </c>
      <c r="B214" s="782" t="s">
        <v>5273</v>
      </c>
      <c r="C214" s="782" t="s">
        <v>5274</v>
      </c>
      <c r="D214" s="783">
        <v>2.25</v>
      </c>
      <c r="E214" s="783">
        <v>106.3</v>
      </c>
      <c r="F214" s="784">
        <v>2.1000000000000001E-2</v>
      </c>
    </row>
    <row r="215" spans="1:6">
      <c r="A215" s="781">
        <v>41592</v>
      </c>
      <c r="B215" s="782" t="s">
        <v>5233</v>
      </c>
      <c r="C215" s="782" t="s">
        <v>118</v>
      </c>
      <c r="D215" s="783">
        <v>3.34</v>
      </c>
      <c r="E215" s="783">
        <v>96.9</v>
      </c>
      <c r="F215" s="784">
        <v>3.4000000000000002E-2</v>
      </c>
    </row>
    <row r="216" spans="1:6">
      <c r="A216" s="781">
        <v>41583</v>
      </c>
      <c r="B216" s="782" t="s">
        <v>5312</v>
      </c>
      <c r="C216" s="782" t="s">
        <v>5313</v>
      </c>
      <c r="D216" s="783">
        <v>3</v>
      </c>
      <c r="E216" s="783">
        <v>165.2</v>
      </c>
      <c r="F216" s="784">
        <v>1.7999999999999999E-2</v>
      </c>
    </row>
    <row r="217" spans="1:6">
      <c r="A217" s="781">
        <v>41578</v>
      </c>
      <c r="B217" s="782" t="s">
        <v>5314</v>
      </c>
      <c r="C217" s="782" t="s">
        <v>5315</v>
      </c>
      <c r="D217" s="783">
        <v>2.65</v>
      </c>
      <c r="E217" s="783">
        <v>19</v>
      </c>
      <c r="F217" s="784">
        <v>0.13900000000000001</v>
      </c>
    </row>
    <row r="218" spans="1:6">
      <c r="A218" s="781">
        <v>41576</v>
      </c>
      <c r="B218" s="782" t="s">
        <v>5136</v>
      </c>
      <c r="C218" s="782" t="s">
        <v>453</v>
      </c>
      <c r="D218" s="783">
        <v>1.5</v>
      </c>
      <c r="E218" s="783">
        <v>24.05</v>
      </c>
      <c r="F218" s="784">
        <v>6.2E-2</v>
      </c>
    </row>
    <row r="219" spans="1:6">
      <c r="A219" s="781">
        <v>41572</v>
      </c>
      <c r="B219" s="782" t="s">
        <v>5302</v>
      </c>
      <c r="C219" s="782" t="s">
        <v>5303</v>
      </c>
      <c r="D219" s="783">
        <v>2.5</v>
      </c>
      <c r="E219" s="783">
        <v>26.8</v>
      </c>
      <c r="F219" s="784">
        <v>9.2999999999999999E-2</v>
      </c>
    </row>
    <row r="220" spans="1:6">
      <c r="A220" s="781">
        <v>41568</v>
      </c>
      <c r="B220" s="782" t="s">
        <v>5316</v>
      </c>
      <c r="C220" s="782" t="s">
        <v>5317</v>
      </c>
      <c r="D220" s="783">
        <v>0.56000000000000005</v>
      </c>
      <c r="E220" s="783">
        <v>9.17</v>
      </c>
      <c r="F220" s="784">
        <v>6.0999999999999999E-2</v>
      </c>
    </row>
    <row r="221" spans="1:6">
      <c r="A221" s="781">
        <v>41523</v>
      </c>
      <c r="B221" s="782" t="s">
        <v>5242</v>
      </c>
      <c r="C221" s="782" t="s">
        <v>5243</v>
      </c>
      <c r="D221" s="783">
        <v>2</v>
      </c>
      <c r="E221" s="783">
        <v>25.75</v>
      </c>
      <c r="F221" s="784">
        <v>7.8E-2</v>
      </c>
    </row>
    <row r="222" spans="1:6">
      <c r="A222" s="781">
        <v>41515</v>
      </c>
      <c r="B222" s="782" t="s">
        <v>5318</v>
      </c>
      <c r="C222" s="782" t="s">
        <v>5319</v>
      </c>
      <c r="D222" s="783">
        <v>3.6</v>
      </c>
      <c r="E222" s="783">
        <v>13.83</v>
      </c>
      <c r="F222" s="784">
        <v>0.26</v>
      </c>
    </row>
    <row r="223" spans="1:6">
      <c r="A223" s="781">
        <v>41513</v>
      </c>
      <c r="B223" s="782" t="s">
        <v>5320</v>
      </c>
      <c r="C223" s="782" t="s">
        <v>5321</v>
      </c>
      <c r="D223" s="783">
        <v>2</v>
      </c>
      <c r="E223" s="783">
        <v>44.15</v>
      </c>
      <c r="F223" s="784">
        <v>4.4999999999999998E-2</v>
      </c>
    </row>
    <row r="224" spans="1:6">
      <c r="A224" s="781">
        <v>41495</v>
      </c>
      <c r="B224" s="782" t="s">
        <v>5322</v>
      </c>
      <c r="C224" s="782" t="s">
        <v>5323</v>
      </c>
      <c r="D224" s="783">
        <v>1.6</v>
      </c>
      <c r="E224" s="783">
        <v>18.71</v>
      </c>
      <c r="F224" s="784">
        <v>8.5999999999999993E-2</v>
      </c>
    </row>
    <row r="225" spans="1:6">
      <c r="A225" s="781">
        <v>41493</v>
      </c>
      <c r="B225" s="782" t="s">
        <v>5324</v>
      </c>
      <c r="C225" s="782" t="s">
        <v>5325</v>
      </c>
      <c r="D225" s="783">
        <v>8.5</v>
      </c>
      <c r="E225" s="783">
        <v>12.22</v>
      </c>
      <c r="F225" s="784">
        <v>0.69599999999999995</v>
      </c>
    </row>
    <row r="226" spans="1:6">
      <c r="A226" s="781">
        <v>41443</v>
      </c>
      <c r="B226" s="782" t="s">
        <v>5122</v>
      </c>
      <c r="C226" s="782" t="s">
        <v>127</v>
      </c>
      <c r="D226" s="783">
        <v>19</v>
      </c>
      <c r="E226" s="783">
        <v>156.85</v>
      </c>
      <c r="F226" s="784">
        <v>0.121</v>
      </c>
    </row>
    <row r="227" spans="1:6">
      <c r="A227" s="781">
        <v>41438</v>
      </c>
      <c r="B227" s="782" t="s">
        <v>5326</v>
      </c>
      <c r="C227" s="782" t="s">
        <v>5327</v>
      </c>
      <c r="D227" s="783">
        <v>9</v>
      </c>
      <c r="E227" s="783">
        <v>33.01</v>
      </c>
      <c r="F227" s="784">
        <v>0.27300000000000002</v>
      </c>
    </row>
    <row r="228" spans="1:6">
      <c r="A228" s="781">
        <v>41429</v>
      </c>
      <c r="B228" s="782" t="s">
        <v>5328</v>
      </c>
      <c r="C228" s="782" t="s">
        <v>5329</v>
      </c>
      <c r="D228" s="783">
        <v>5</v>
      </c>
      <c r="E228" s="783">
        <v>35.090000000000003</v>
      </c>
      <c r="F228" s="784">
        <v>0.14199999999999999</v>
      </c>
    </row>
    <row r="229" spans="1:6">
      <c r="A229" s="781">
        <v>41425</v>
      </c>
      <c r="B229" s="782" t="s">
        <v>5330</v>
      </c>
      <c r="C229" s="782" t="s">
        <v>5331</v>
      </c>
      <c r="D229" s="783">
        <v>1</v>
      </c>
      <c r="E229" s="783">
        <v>31.05</v>
      </c>
      <c r="F229" s="784">
        <v>3.2000000000000001E-2</v>
      </c>
    </row>
    <row r="230" spans="1:6">
      <c r="A230" s="781">
        <v>41423</v>
      </c>
      <c r="B230" s="782" t="s">
        <v>5332</v>
      </c>
      <c r="C230" s="782" t="s">
        <v>5333</v>
      </c>
      <c r="D230" s="783">
        <v>1.25</v>
      </c>
      <c r="E230" s="783">
        <v>5.71</v>
      </c>
      <c r="F230" s="784">
        <v>0.219</v>
      </c>
    </row>
    <row r="231" spans="1:6">
      <c r="A231" s="781">
        <v>41422</v>
      </c>
      <c r="B231" s="782" t="s">
        <v>622</v>
      </c>
      <c r="C231" s="782" t="s">
        <v>621</v>
      </c>
      <c r="D231" s="783">
        <v>6.5</v>
      </c>
      <c r="E231" s="783">
        <v>71.28</v>
      </c>
      <c r="F231" s="784">
        <v>9.0999999999999998E-2</v>
      </c>
    </row>
    <row r="232" spans="1:6">
      <c r="A232" s="781">
        <v>41414</v>
      </c>
      <c r="B232" s="782" t="s">
        <v>5330</v>
      </c>
      <c r="C232" s="782" t="s">
        <v>5331</v>
      </c>
      <c r="D232" s="783">
        <v>1</v>
      </c>
      <c r="E232" s="783">
        <v>32.9</v>
      </c>
      <c r="F232" s="784">
        <v>0.03</v>
      </c>
    </row>
    <row r="233" spans="1:6">
      <c r="A233" s="781">
        <v>41414</v>
      </c>
      <c r="B233" s="782" t="s">
        <v>5334</v>
      </c>
      <c r="C233" s="782" t="s">
        <v>5335</v>
      </c>
      <c r="D233" s="783">
        <v>3</v>
      </c>
      <c r="E233" s="783">
        <v>48.87</v>
      </c>
      <c r="F233" s="784">
        <v>6.0999999999999999E-2</v>
      </c>
    </row>
    <row r="234" spans="1:6">
      <c r="A234" s="781">
        <v>41411</v>
      </c>
      <c r="B234" s="782" t="s">
        <v>5336</v>
      </c>
      <c r="C234" s="782" t="s">
        <v>5337</v>
      </c>
      <c r="D234" s="783">
        <v>5.75</v>
      </c>
      <c r="E234" s="783">
        <v>39.57</v>
      </c>
      <c r="F234" s="784">
        <v>0.126</v>
      </c>
    </row>
    <row r="235" spans="1:6">
      <c r="A235" s="781">
        <v>41401</v>
      </c>
      <c r="B235" s="782" t="s">
        <v>5338</v>
      </c>
      <c r="C235" s="782" t="s">
        <v>5339</v>
      </c>
      <c r="D235" s="783">
        <v>1.5</v>
      </c>
      <c r="E235" s="783">
        <v>11.61</v>
      </c>
      <c r="F235" s="784">
        <v>0.13</v>
      </c>
    </row>
    <row r="236" spans="1:6">
      <c r="A236" s="781">
        <v>41388</v>
      </c>
      <c r="B236" s="782" t="s">
        <v>5340</v>
      </c>
      <c r="C236" s="782" t="s">
        <v>5341</v>
      </c>
      <c r="D236" s="783">
        <v>1.6</v>
      </c>
      <c r="E236" s="783">
        <v>3.4</v>
      </c>
      <c r="F236" s="784">
        <v>0.47099999999999997</v>
      </c>
    </row>
    <row r="237" spans="1:6">
      <c r="A237" s="781">
        <v>41382</v>
      </c>
      <c r="B237" s="782" t="s">
        <v>5342</v>
      </c>
      <c r="C237" s="782" t="s">
        <v>5343</v>
      </c>
      <c r="D237" s="783">
        <v>1.1399999999999999</v>
      </c>
      <c r="E237" s="783">
        <v>12.37</v>
      </c>
      <c r="F237" s="784">
        <v>9.1999999999999998E-2</v>
      </c>
    </row>
    <row r="238" spans="1:6">
      <c r="A238" s="781">
        <v>41379</v>
      </c>
      <c r="B238" s="782" t="s">
        <v>5344</v>
      </c>
      <c r="C238" s="782" t="s">
        <v>5345</v>
      </c>
      <c r="D238" s="783">
        <v>3.95</v>
      </c>
      <c r="E238" s="783">
        <v>8.52</v>
      </c>
      <c r="F238" s="784">
        <v>0.46400000000000002</v>
      </c>
    </row>
    <row r="239" spans="1:6">
      <c r="A239" s="781">
        <v>41360</v>
      </c>
      <c r="B239" s="782" t="s">
        <v>5346</v>
      </c>
      <c r="C239" s="782" t="s">
        <v>5347</v>
      </c>
      <c r="D239" s="783">
        <v>1</v>
      </c>
      <c r="E239" s="783">
        <v>13.38</v>
      </c>
      <c r="F239" s="784">
        <v>7.4999999999999997E-2</v>
      </c>
    </row>
    <row r="240" spans="1:6">
      <c r="A240" s="781">
        <v>41352</v>
      </c>
      <c r="B240" s="782" t="s">
        <v>5348</v>
      </c>
      <c r="C240" s="782" t="s">
        <v>5349</v>
      </c>
      <c r="D240" s="783">
        <v>0.5</v>
      </c>
      <c r="E240" s="783">
        <v>5.33</v>
      </c>
      <c r="F240" s="784">
        <v>9.4E-2</v>
      </c>
    </row>
    <row r="241" spans="1:6">
      <c r="A241" s="781">
        <v>41324</v>
      </c>
      <c r="B241" s="782" t="s">
        <v>5350</v>
      </c>
      <c r="C241" s="782" t="s">
        <v>131</v>
      </c>
      <c r="D241" s="783">
        <v>2.75</v>
      </c>
      <c r="E241" s="783">
        <v>112.22</v>
      </c>
      <c r="F241" s="784">
        <v>2.5000000000000001E-2</v>
      </c>
    </row>
    <row r="242" spans="1:6">
      <c r="A242" s="781">
        <v>41305</v>
      </c>
      <c r="B242" s="782" t="s">
        <v>5151</v>
      </c>
      <c r="C242" s="782" t="s">
        <v>5152</v>
      </c>
      <c r="D242" s="783">
        <v>2.5</v>
      </c>
      <c r="E242" s="783">
        <v>26.14</v>
      </c>
      <c r="F242" s="784">
        <v>9.6000000000000002E-2</v>
      </c>
    </row>
    <row r="243" spans="1:6">
      <c r="A243" s="781">
        <v>41298</v>
      </c>
      <c r="B243" s="782" t="s">
        <v>622</v>
      </c>
      <c r="C243" s="782" t="s">
        <v>621</v>
      </c>
      <c r="D243" s="783">
        <v>5.5</v>
      </c>
      <c r="E243" s="783">
        <v>54.11</v>
      </c>
      <c r="F243" s="784">
        <v>0.10199999999999999</v>
      </c>
    </row>
    <row r="244" spans="1:6">
      <c r="A244" s="781">
        <v>41297</v>
      </c>
      <c r="B244" s="782" t="s">
        <v>5351</v>
      </c>
      <c r="C244" s="782" t="s">
        <v>5352</v>
      </c>
      <c r="D244" s="783">
        <v>2.86</v>
      </c>
      <c r="E244" s="783">
        <v>2.91</v>
      </c>
      <c r="F244" s="784">
        <v>0.98299999999999998</v>
      </c>
    </row>
    <row r="245" spans="1:6">
      <c r="A245" s="781">
        <v>41261</v>
      </c>
      <c r="B245" s="782" t="s">
        <v>5353</v>
      </c>
      <c r="C245" s="782" t="s">
        <v>5354</v>
      </c>
      <c r="D245" s="783">
        <v>2.08</v>
      </c>
      <c r="E245" s="783">
        <v>10.45</v>
      </c>
      <c r="F245" s="784">
        <v>0.19900000000000001</v>
      </c>
    </row>
    <row r="246" spans="1:6">
      <c r="A246" s="781">
        <v>41260</v>
      </c>
      <c r="B246" s="782" t="s">
        <v>5355</v>
      </c>
      <c r="C246" s="782" t="s">
        <v>5356</v>
      </c>
      <c r="D246" s="783">
        <v>10</v>
      </c>
      <c r="E246" s="783">
        <v>49.44</v>
      </c>
      <c r="F246" s="784">
        <v>0.20200000000000001</v>
      </c>
    </row>
    <row r="247" spans="1:6">
      <c r="A247" s="781">
        <v>41257</v>
      </c>
      <c r="B247" s="782" t="s">
        <v>5357</v>
      </c>
      <c r="C247" s="782" t="s">
        <v>5358</v>
      </c>
      <c r="D247" s="783">
        <v>2</v>
      </c>
      <c r="E247" s="783">
        <v>19.11</v>
      </c>
      <c r="F247" s="784">
        <v>0.105</v>
      </c>
    </row>
    <row r="248" spans="1:6">
      <c r="A248" s="781">
        <v>41256</v>
      </c>
      <c r="B248" s="782" t="s">
        <v>5359</v>
      </c>
      <c r="C248" s="782" t="s">
        <v>5360</v>
      </c>
      <c r="D248" s="783">
        <v>0.5</v>
      </c>
      <c r="E248" s="783">
        <v>2.87</v>
      </c>
      <c r="F248" s="784">
        <v>0.17399999999999999</v>
      </c>
    </row>
    <row r="249" spans="1:6">
      <c r="A249" s="781">
        <v>41255</v>
      </c>
      <c r="B249" s="782" t="s">
        <v>5361</v>
      </c>
      <c r="C249" s="782" t="s">
        <v>5362</v>
      </c>
      <c r="D249" s="783">
        <v>0.5</v>
      </c>
      <c r="E249" s="783">
        <v>5.45</v>
      </c>
      <c r="F249" s="784">
        <v>9.1999999999999998E-2</v>
      </c>
    </row>
    <row r="250" spans="1:6">
      <c r="A250" s="781">
        <v>41255</v>
      </c>
      <c r="B250" s="782" t="s">
        <v>5363</v>
      </c>
      <c r="C250" s="782" t="s">
        <v>5364</v>
      </c>
      <c r="D250" s="783">
        <v>4</v>
      </c>
      <c r="E250" s="783">
        <v>34.19</v>
      </c>
      <c r="F250" s="784">
        <v>0.11700000000000001</v>
      </c>
    </row>
    <row r="251" spans="1:6">
      <c r="A251" s="781">
        <v>41255</v>
      </c>
      <c r="B251" s="782" t="s">
        <v>5365</v>
      </c>
      <c r="C251" s="782" t="s">
        <v>5366</v>
      </c>
      <c r="D251" s="783">
        <v>2</v>
      </c>
      <c r="E251" s="783">
        <v>13.35</v>
      </c>
      <c r="F251" s="784">
        <v>0.15</v>
      </c>
    </row>
    <row r="252" spans="1:6">
      <c r="A252" s="781">
        <v>41254</v>
      </c>
      <c r="B252" s="782" t="s">
        <v>5367</v>
      </c>
      <c r="C252" s="782" t="s">
        <v>5368</v>
      </c>
      <c r="D252" s="783">
        <v>2</v>
      </c>
      <c r="E252" s="783">
        <v>20.3</v>
      </c>
      <c r="F252" s="784">
        <v>9.9000000000000005E-2</v>
      </c>
    </row>
    <row r="253" spans="1:6">
      <c r="A253" s="781">
        <v>41254</v>
      </c>
      <c r="B253" s="782" t="s">
        <v>5369</v>
      </c>
      <c r="C253" s="782" t="s">
        <v>5370</v>
      </c>
      <c r="D253" s="783">
        <v>7</v>
      </c>
      <c r="E253" s="783">
        <v>112.04</v>
      </c>
      <c r="F253" s="784">
        <v>6.2E-2</v>
      </c>
    </row>
    <row r="254" spans="1:6">
      <c r="A254" s="781">
        <v>41254</v>
      </c>
      <c r="B254" s="782" t="s">
        <v>5371</v>
      </c>
      <c r="C254" s="782" t="s">
        <v>5372</v>
      </c>
      <c r="D254" s="783">
        <v>0.92</v>
      </c>
      <c r="E254" s="783">
        <v>13.06</v>
      </c>
      <c r="F254" s="784">
        <v>7.0000000000000007E-2</v>
      </c>
    </row>
    <row r="255" spans="1:6">
      <c r="A255" s="781">
        <v>41254</v>
      </c>
      <c r="B255" s="782" t="s">
        <v>5373</v>
      </c>
      <c r="C255" s="782" t="s">
        <v>5374</v>
      </c>
      <c r="D255" s="783">
        <v>3</v>
      </c>
      <c r="E255" s="783">
        <v>50.66</v>
      </c>
      <c r="F255" s="784">
        <v>5.8000000000000003E-2</v>
      </c>
    </row>
    <row r="256" spans="1:6">
      <c r="A256" s="781">
        <v>41251</v>
      </c>
      <c r="B256" s="782" t="s">
        <v>5375</v>
      </c>
      <c r="C256" s="782" t="s">
        <v>5376</v>
      </c>
      <c r="D256" s="783">
        <v>5</v>
      </c>
      <c r="E256" s="783">
        <v>89.15</v>
      </c>
      <c r="F256" s="784">
        <v>5.6000000000000001E-2</v>
      </c>
    </row>
    <row r="257" spans="1:6">
      <c r="A257" s="781">
        <v>41251</v>
      </c>
      <c r="B257" s="782" t="s">
        <v>5377</v>
      </c>
      <c r="C257" s="782" t="s">
        <v>784</v>
      </c>
      <c r="D257" s="783">
        <v>1.5</v>
      </c>
      <c r="E257" s="783">
        <v>4.1900000000000004</v>
      </c>
      <c r="F257" s="784">
        <v>0.35799999999999998</v>
      </c>
    </row>
    <row r="258" spans="1:6">
      <c r="A258" s="781">
        <v>41251</v>
      </c>
      <c r="B258" s="782" t="s">
        <v>5378</v>
      </c>
      <c r="C258" s="782" t="s">
        <v>5379</v>
      </c>
      <c r="D258" s="783">
        <v>1</v>
      </c>
      <c r="E258" s="783">
        <v>12.98</v>
      </c>
      <c r="F258" s="784">
        <v>7.6999999999999999E-2</v>
      </c>
    </row>
    <row r="259" spans="1:6">
      <c r="A259" s="781">
        <v>41251</v>
      </c>
      <c r="B259" s="782" t="s">
        <v>5380</v>
      </c>
      <c r="C259" s="782" t="s">
        <v>5381</v>
      </c>
      <c r="D259" s="783">
        <v>0.75</v>
      </c>
      <c r="E259" s="783">
        <v>3.09</v>
      </c>
      <c r="F259" s="784">
        <v>0.248</v>
      </c>
    </row>
    <row r="260" spans="1:6">
      <c r="A260" s="781">
        <v>41251</v>
      </c>
      <c r="B260" s="782" t="s">
        <v>5382</v>
      </c>
      <c r="C260" s="782" t="s">
        <v>5383</v>
      </c>
      <c r="D260" s="783">
        <v>12</v>
      </c>
      <c r="E260" s="783">
        <v>2406</v>
      </c>
      <c r="F260" s="784">
        <v>0.01</v>
      </c>
    </row>
    <row r="261" spans="1:6">
      <c r="A261" s="781">
        <v>41251</v>
      </c>
      <c r="B261" s="782" t="s">
        <v>5215</v>
      </c>
      <c r="C261" s="782" t="s">
        <v>5216</v>
      </c>
      <c r="D261" s="783">
        <v>2.25</v>
      </c>
      <c r="E261" s="783">
        <v>56.17</v>
      </c>
      <c r="F261" s="784">
        <v>0.04</v>
      </c>
    </row>
    <row r="262" spans="1:6">
      <c r="A262" s="781">
        <v>41251</v>
      </c>
      <c r="B262" s="782" t="s">
        <v>5384</v>
      </c>
      <c r="C262" s="782" t="s">
        <v>5385</v>
      </c>
      <c r="D262" s="783">
        <v>9.8000000000000007</v>
      </c>
      <c r="E262" s="783">
        <v>372.13</v>
      </c>
      <c r="F262" s="784">
        <v>2.5999999999999999E-2</v>
      </c>
    </row>
    <row r="263" spans="1:6">
      <c r="A263" s="781">
        <v>41250</v>
      </c>
      <c r="B263" s="782" t="s">
        <v>5386</v>
      </c>
      <c r="C263" s="782" t="s">
        <v>5387</v>
      </c>
      <c r="D263" s="783">
        <v>2</v>
      </c>
      <c r="E263" s="783">
        <v>45.75</v>
      </c>
      <c r="F263" s="784">
        <v>4.3999999999999997E-2</v>
      </c>
    </row>
    <row r="264" spans="1:6">
      <c r="A264" s="781">
        <v>41249</v>
      </c>
      <c r="B264" s="782" t="s">
        <v>5388</v>
      </c>
      <c r="C264" s="782" t="s">
        <v>5389</v>
      </c>
      <c r="D264" s="783">
        <v>4.13</v>
      </c>
      <c r="E264" s="783">
        <v>15.79</v>
      </c>
      <c r="F264" s="784">
        <v>0.26100000000000001</v>
      </c>
    </row>
    <row r="265" spans="1:6">
      <c r="A265" s="781">
        <v>41249</v>
      </c>
      <c r="B265" s="782" t="s">
        <v>5390</v>
      </c>
      <c r="C265" s="782" t="s">
        <v>5391</v>
      </c>
      <c r="D265" s="783">
        <v>2.2000000000000002</v>
      </c>
      <c r="E265" s="783">
        <v>33.299999999999997</v>
      </c>
      <c r="F265" s="784">
        <v>6.6000000000000003E-2</v>
      </c>
    </row>
    <row r="266" spans="1:6">
      <c r="A266" s="781">
        <v>41249</v>
      </c>
      <c r="B266" s="782" t="s">
        <v>5392</v>
      </c>
      <c r="C266" s="782" t="s">
        <v>5393</v>
      </c>
      <c r="D266" s="783">
        <v>1.17</v>
      </c>
      <c r="E266" s="783">
        <v>12.04</v>
      </c>
      <c r="F266" s="784">
        <v>9.7000000000000003E-2</v>
      </c>
    </row>
    <row r="267" spans="1:6">
      <c r="A267" s="781">
        <v>41249</v>
      </c>
      <c r="B267" s="782" t="s">
        <v>5394</v>
      </c>
      <c r="C267" s="782" t="s">
        <v>5395</v>
      </c>
      <c r="D267" s="783">
        <v>2.5</v>
      </c>
      <c r="E267" s="783">
        <v>54.27</v>
      </c>
      <c r="F267" s="784">
        <v>3.6999999999999998E-2</v>
      </c>
    </row>
    <row r="268" spans="1:6">
      <c r="A268" s="781">
        <v>41249</v>
      </c>
      <c r="B268" s="782" t="s">
        <v>5396</v>
      </c>
      <c r="C268" s="782" t="s">
        <v>5397</v>
      </c>
      <c r="D268" s="783">
        <v>1</v>
      </c>
      <c r="E268" s="783">
        <v>9.11</v>
      </c>
      <c r="F268" s="784">
        <v>0.11</v>
      </c>
    </row>
    <row r="269" spans="1:6">
      <c r="A269" s="781">
        <v>41248</v>
      </c>
      <c r="B269" s="782" t="s">
        <v>5309</v>
      </c>
      <c r="C269" s="782" t="s">
        <v>248</v>
      </c>
      <c r="D269" s="783">
        <v>8</v>
      </c>
      <c r="E269" s="783">
        <v>78</v>
      </c>
      <c r="F269" s="784">
        <v>0.10299999999999999</v>
      </c>
    </row>
    <row r="270" spans="1:6">
      <c r="A270" s="781">
        <v>41248</v>
      </c>
      <c r="B270" s="782" t="s">
        <v>5398</v>
      </c>
      <c r="C270" s="782" t="s">
        <v>406</v>
      </c>
      <c r="D270" s="783">
        <v>2</v>
      </c>
      <c r="E270" s="783">
        <v>51</v>
      </c>
      <c r="F270" s="784">
        <v>3.9E-2</v>
      </c>
    </row>
    <row r="271" spans="1:6">
      <c r="A271" s="781">
        <v>41248</v>
      </c>
      <c r="B271" s="782" t="s">
        <v>5399</v>
      </c>
      <c r="C271" s="782" t="s">
        <v>5400</v>
      </c>
      <c r="D271" s="783">
        <v>0.01</v>
      </c>
      <c r="E271" s="783">
        <v>9.8699999999999992</v>
      </c>
      <c r="F271" s="784">
        <v>0.10100000000000001</v>
      </c>
    </row>
    <row r="272" spans="1:6">
      <c r="A272" s="781">
        <v>41248</v>
      </c>
      <c r="B272" s="782" t="s">
        <v>5401</v>
      </c>
      <c r="C272" s="782" t="s">
        <v>5402</v>
      </c>
      <c r="D272" s="783">
        <v>2.5</v>
      </c>
      <c r="E272" s="783">
        <v>40.43</v>
      </c>
      <c r="F272" s="784">
        <v>6.2E-2</v>
      </c>
    </row>
    <row r="273" spans="1:6">
      <c r="A273" s="781">
        <v>41248</v>
      </c>
      <c r="B273" s="782" t="s">
        <v>5185</v>
      </c>
      <c r="C273" s="782" t="s">
        <v>5186</v>
      </c>
      <c r="D273" s="783">
        <v>5.5</v>
      </c>
      <c r="E273" s="783">
        <v>90.22</v>
      </c>
      <c r="F273" s="784">
        <v>6.0999999999999999E-2</v>
      </c>
    </row>
    <row r="274" spans="1:6">
      <c r="A274" s="781">
        <v>41248</v>
      </c>
      <c r="B274" s="782" t="s">
        <v>5183</v>
      </c>
      <c r="C274" s="782" t="s">
        <v>5184</v>
      </c>
      <c r="D274" s="783">
        <v>1</v>
      </c>
      <c r="E274" s="783">
        <v>6.38</v>
      </c>
      <c r="F274" s="784">
        <v>0.157</v>
      </c>
    </row>
    <row r="275" spans="1:6">
      <c r="A275" s="781">
        <v>41247</v>
      </c>
      <c r="B275" s="782" t="s">
        <v>5403</v>
      </c>
      <c r="C275" s="782" t="s">
        <v>5404</v>
      </c>
      <c r="D275" s="783">
        <v>2</v>
      </c>
      <c r="E275" s="783">
        <v>11.34</v>
      </c>
      <c r="F275" s="784">
        <v>0.17599999999999999</v>
      </c>
    </row>
    <row r="276" spans="1:6">
      <c r="A276" s="781">
        <v>41247</v>
      </c>
      <c r="B276" s="782" t="s">
        <v>5405</v>
      </c>
      <c r="C276" s="782" t="s">
        <v>5406</v>
      </c>
      <c r="D276" s="783">
        <v>1</v>
      </c>
      <c r="E276" s="783">
        <v>11.87</v>
      </c>
      <c r="F276" s="784">
        <v>8.4000000000000005E-2</v>
      </c>
    </row>
    <row r="277" spans="1:6">
      <c r="A277" s="781">
        <v>41246</v>
      </c>
      <c r="B277" s="782" t="s">
        <v>5407</v>
      </c>
      <c r="C277" s="782" t="s">
        <v>5408</v>
      </c>
      <c r="D277" s="783">
        <v>2</v>
      </c>
      <c r="E277" s="783">
        <v>32.229999999999997</v>
      </c>
      <c r="F277" s="784">
        <v>6.2E-2</v>
      </c>
    </row>
    <row r="278" spans="1:6">
      <c r="A278" s="781">
        <v>41246</v>
      </c>
      <c r="B278" s="782" t="s">
        <v>5409</v>
      </c>
      <c r="C278" s="782" t="s">
        <v>5410</v>
      </c>
      <c r="D278" s="783">
        <v>2</v>
      </c>
      <c r="E278" s="783">
        <v>32.369999999999997</v>
      </c>
      <c r="F278" s="784">
        <v>6.2E-2</v>
      </c>
    </row>
    <row r="279" spans="1:6">
      <c r="A279" s="781">
        <v>41244</v>
      </c>
      <c r="B279" s="782" t="s">
        <v>5149</v>
      </c>
      <c r="C279" s="782" t="s">
        <v>5150</v>
      </c>
      <c r="D279" s="783">
        <v>1.52</v>
      </c>
      <c r="E279" s="783">
        <v>14.83</v>
      </c>
      <c r="F279" s="784">
        <v>0.10199999999999999</v>
      </c>
    </row>
    <row r="280" spans="1:6">
      <c r="A280" s="781">
        <v>41243</v>
      </c>
      <c r="B280" s="782" t="s">
        <v>5340</v>
      </c>
      <c r="C280" s="782" t="s">
        <v>5341</v>
      </c>
      <c r="D280" s="783">
        <v>2</v>
      </c>
      <c r="E280" s="783">
        <v>6.99</v>
      </c>
      <c r="F280" s="784">
        <v>0.28599999999999998</v>
      </c>
    </row>
    <row r="281" spans="1:6">
      <c r="A281" s="781">
        <v>41243</v>
      </c>
      <c r="B281" s="782" t="s">
        <v>5411</v>
      </c>
      <c r="C281" s="782" t="s">
        <v>5412</v>
      </c>
      <c r="D281" s="783">
        <v>2</v>
      </c>
      <c r="E281" s="783">
        <v>6.9</v>
      </c>
      <c r="F281" s="784">
        <v>0.28999999999999998</v>
      </c>
    </row>
    <row r="282" spans="1:6">
      <c r="A282" s="781">
        <v>41243</v>
      </c>
      <c r="B282" s="782" t="s">
        <v>5413</v>
      </c>
      <c r="C282" s="782" t="s">
        <v>5414</v>
      </c>
      <c r="D282" s="783">
        <v>1</v>
      </c>
      <c r="E282" s="783">
        <v>3.39</v>
      </c>
      <c r="F282" s="784">
        <v>0.29499999999999998</v>
      </c>
    </row>
    <row r="283" spans="1:6">
      <c r="A283" s="781">
        <v>41243</v>
      </c>
      <c r="B283" s="782" t="s">
        <v>5415</v>
      </c>
      <c r="C283" s="782" t="s">
        <v>5416</v>
      </c>
      <c r="D283" s="783">
        <v>2</v>
      </c>
      <c r="E283" s="783">
        <v>93.49</v>
      </c>
      <c r="F283" s="784">
        <v>2.1000000000000001E-2</v>
      </c>
    </row>
    <row r="284" spans="1:6">
      <c r="A284" s="781">
        <v>41242</v>
      </c>
      <c r="B284" s="782" t="s">
        <v>5417</v>
      </c>
      <c r="C284" s="782" t="s">
        <v>5418</v>
      </c>
      <c r="D284" s="783">
        <v>1.2</v>
      </c>
      <c r="E284" s="783">
        <v>15.47</v>
      </c>
      <c r="F284" s="784">
        <v>7.8E-2</v>
      </c>
    </row>
    <row r="285" spans="1:6">
      <c r="A285" s="781">
        <v>41242</v>
      </c>
      <c r="B285" s="782" t="s">
        <v>5419</v>
      </c>
      <c r="C285" s="782" t="s">
        <v>5420</v>
      </c>
      <c r="D285" s="783">
        <v>2</v>
      </c>
      <c r="E285" s="783">
        <v>17.36</v>
      </c>
      <c r="F285" s="784">
        <v>0.115</v>
      </c>
    </row>
    <row r="286" spans="1:6">
      <c r="A286" s="781">
        <v>41242</v>
      </c>
      <c r="B286" s="782" t="s">
        <v>5255</v>
      </c>
      <c r="C286" s="782" t="s">
        <v>5256</v>
      </c>
      <c r="D286" s="783">
        <v>1</v>
      </c>
      <c r="E286" s="783">
        <v>8.4600000000000009</v>
      </c>
      <c r="F286" s="784">
        <v>0.11799999999999999</v>
      </c>
    </row>
    <row r="287" spans="1:6">
      <c r="A287" s="781">
        <v>41241</v>
      </c>
      <c r="B287" s="782" t="s">
        <v>5090</v>
      </c>
      <c r="C287" s="782" t="s">
        <v>92</v>
      </c>
      <c r="D287" s="783">
        <v>7</v>
      </c>
      <c r="E287" s="783">
        <v>100.99</v>
      </c>
      <c r="F287" s="784">
        <v>6.9000000000000006E-2</v>
      </c>
    </row>
    <row r="288" spans="1:6">
      <c r="A288" s="781">
        <v>41241</v>
      </c>
      <c r="B288" s="782" t="s">
        <v>5421</v>
      </c>
      <c r="C288" s="782" t="s">
        <v>5422</v>
      </c>
      <c r="D288" s="783">
        <v>2</v>
      </c>
      <c r="E288" s="783">
        <v>21.36</v>
      </c>
      <c r="F288" s="784">
        <v>9.4E-2</v>
      </c>
    </row>
    <row r="289" spans="1:6">
      <c r="A289" s="781">
        <v>41240</v>
      </c>
      <c r="B289" s="782" t="s">
        <v>5423</v>
      </c>
      <c r="C289" s="782" t="s">
        <v>5424</v>
      </c>
      <c r="D289" s="783">
        <v>4</v>
      </c>
      <c r="E289" s="783">
        <v>66.19</v>
      </c>
      <c r="F289" s="784">
        <v>0.06</v>
      </c>
    </row>
    <row r="290" spans="1:6">
      <c r="A290" s="781">
        <v>41240</v>
      </c>
      <c r="B290" s="782" t="s">
        <v>235</v>
      </c>
      <c r="C290" s="782" t="s">
        <v>148</v>
      </c>
      <c r="D290" s="783">
        <v>5.05</v>
      </c>
      <c r="E290" s="783">
        <v>87.28</v>
      </c>
      <c r="F290" s="784">
        <v>5.8000000000000003E-2</v>
      </c>
    </row>
    <row r="291" spans="1:6">
      <c r="A291" s="781">
        <v>41240</v>
      </c>
      <c r="B291" s="782" t="s">
        <v>5425</v>
      </c>
      <c r="C291" s="782" t="s">
        <v>5426</v>
      </c>
      <c r="D291" s="783">
        <v>2</v>
      </c>
      <c r="E291" s="783">
        <v>18.98</v>
      </c>
      <c r="F291" s="784">
        <v>0.105</v>
      </c>
    </row>
    <row r="292" spans="1:6">
      <c r="A292" s="781">
        <v>41239</v>
      </c>
      <c r="B292" s="782" t="s">
        <v>5249</v>
      </c>
      <c r="C292" s="782" t="s">
        <v>5250</v>
      </c>
      <c r="D292" s="783">
        <v>2</v>
      </c>
      <c r="E292" s="783">
        <v>33.04</v>
      </c>
      <c r="F292" s="784">
        <v>6.0999999999999999E-2</v>
      </c>
    </row>
    <row r="293" spans="1:6">
      <c r="A293" s="781">
        <v>41239</v>
      </c>
      <c r="B293" s="782" t="s">
        <v>5427</v>
      </c>
      <c r="C293" s="782" t="s">
        <v>5428</v>
      </c>
      <c r="D293" s="783">
        <v>2.75</v>
      </c>
      <c r="E293" s="783">
        <v>46.01</v>
      </c>
      <c r="F293" s="784">
        <v>0.06</v>
      </c>
    </row>
    <row r="294" spans="1:6">
      <c r="A294" s="781">
        <v>41236</v>
      </c>
      <c r="B294" s="782" t="s">
        <v>852</v>
      </c>
      <c r="C294" s="782" t="s">
        <v>851</v>
      </c>
      <c r="D294" s="783">
        <v>2.5499999999999998</v>
      </c>
      <c r="E294" s="783">
        <v>17.010000000000002</v>
      </c>
      <c r="F294" s="784">
        <v>0.151</v>
      </c>
    </row>
    <row r="295" spans="1:6">
      <c r="A295" s="781">
        <v>41233</v>
      </c>
      <c r="B295" s="782" t="s">
        <v>5429</v>
      </c>
      <c r="C295" s="782" t="s">
        <v>5430</v>
      </c>
      <c r="D295" s="783">
        <v>20</v>
      </c>
      <c r="E295" s="783">
        <v>102.5</v>
      </c>
      <c r="F295" s="784">
        <v>0.19500000000000001</v>
      </c>
    </row>
    <row r="296" spans="1:6">
      <c r="A296" s="781">
        <v>41232</v>
      </c>
      <c r="B296" s="782" t="s">
        <v>5289</v>
      </c>
      <c r="C296" s="782" t="s">
        <v>5290</v>
      </c>
      <c r="D296" s="783">
        <v>1.8</v>
      </c>
      <c r="E296" s="783">
        <v>6.07</v>
      </c>
      <c r="F296" s="784">
        <v>0.29699999999999999</v>
      </c>
    </row>
    <row r="297" spans="1:6">
      <c r="A297" s="781">
        <v>41232</v>
      </c>
      <c r="B297" s="782" t="s">
        <v>5431</v>
      </c>
      <c r="C297" s="782" t="s">
        <v>5432</v>
      </c>
      <c r="D297" s="783">
        <v>2.59</v>
      </c>
      <c r="E297" s="783">
        <v>65.25</v>
      </c>
      <c r="F297" s="784">
        <v>0.04</v>
      </c>
    </row>
    <row r="298" spans="1:6">
      <c r="A298" s="781">
        <v>41232</v>
      </c>
      <c r="B298" s="782" t="s">
        <v>5217</v>
      </c>
      <c r="C298" s="782" t="s">
        <v>5218</v>
      </c>
      <c r="D298" s="783">
        <v>38.299999999999997</v>
      </c>
      <c r="E298" s="783">
        <v>107.82</v>
      </c>
      <c r="F298" s="784">
        <v>0.35499999999999998</v>
      </c>
    </row>
    <row r="299" spans="1:6">
      <c r="A299" s="781">
        <v>41232</v>
      </c>
      <c r="B299" s="782" t="s">
        <v>5231</v>
      </c>
      <c r="C299" s="782" t="s">
        <v>5232</v>
      </c>
      <c r="D299" s="783">
        <v>5.38</v>
      </c>
      <c r="E299" s="783">
        <v>71.5</v>
      </c>
      <c r="F299" s="784">
        <v>7.4999999999999997E-2</v>
      </c>
    </row>
    <row r="300" spans="1:6">
      <c r="A300" s="781">
        <v>41232</v>
      </c>
      <c r="B300" s="782" t="s">
        <v>5433</v>
      </c>
      <c r="C300" s="782" t="s">
        <v>149</v>
      </c>
      <c r="D300" s="783">
        <v>4.5</v>
      </c>
      <c r="E300" s="783">
        <v>48.83</v>
      </c>
      <c r="F300" s="784">
        <v>9.1999999999999998E-2</v>
      </c>
    </row>
    <row r="301" spans="1:6">
      <c r="A301" s="781">
        <v>41232</v>
      </c>
      <c r="B301" s="782" t="s">
        <v>5434</v>
      </c>
      <c r="C301" s="782" t="s">
        <v>5435</v>
      </c>
      <c r="D301" s="783">
        <v>3.93</v>
      </c>
      <c r="E301" s="783">
        <v>73.67</v>
      </c>
      <c r="F301" s="784">
        <v>5.2999999999999999E-2</v>
      </c>
    </row>
    <row r="302" spans="1:6">
      <c r="A302" s="781">
        <v>41232</v>
      </c>
      <c r="B302" s="782" t="s">
        <v>5436</v>
      </c>
      <c r="C302" s="782" t="s">
        <v>5437</v>
      </c>
      <c r="D302" s="783">
        <v>0.5</v>
      </c>
      <c r="E302" s="783">
        <v>3.13</v>
      </c>
      <c r="F302" s="784">
        <v>0.16</v>
      </c>
    </row>
    <row r="303" spans="1:6">
      <c r="A303" s="781">
        <v>41229</v>
      </c>
      <c r="B303" s="782" t="s">
        <v>5177</v>
      </c>
      <c r="C303" s="782" t="s">
        <v>5178</v>
      </c>
      <c r="D303" s="783">
        <v>3</v>
      </c>
      <c r="E303" s="783">
        <v>126.21</v>
      </c>
      <c r="F303" s="784">
        <v>2.4E-2</v>
      </c>
    </row>
    <row r="304" spans="1:6">
      <c r="A304" s="781">
        <v>41229</v>
      </c>
      <c r="B304" s="782" t="s">
        <v>5438</v>
      </c>
      <c r="C304" s="782" t="s">
        <v>5439</v>
      </c>
      <c r="D304" s="783">
        <v>0.72</v>
      </c>
      <c r="E304" s="783">
        <v>8.19</v>
      </c>
      <c r="F304" s="784">
        <v>8.7999999999999995E-2</v>
      </c>
    </row>
    <row r="305" spans="1:6">
      <c r="A305" s="781">
        <v>41229</v>
      </c>
      <c r="B305" s="782" t="s">
        <v>5440</v>
      </c>
      <c r="C305" s="782" t="s">
        <v>5441</v>
      </c>
      <c r="D305" s="783">
        <v>3</v>
      </c>
      <c r="E305" s="783">
        <v>11.59</v>
      </c>
      <c r="F305" s="784">
        <v>0.25900000000000001</v>
      </c>
    </row>
    <row r="306" spans="1:6">
      <c r="A306" s="781">
        <v>41229</v>
      </c>
      <c r="B306" s="782" t="s">
        <v>5442</v>
      </c>
      <c r="C306" s="782" t="s">
        <v>5443</v>
      </c>
      <c r="D306" s="783">
        <v>1.02</v>
      </c>
      <c r="E306" s="783">
        <v>13.6</v>
      </c>
      <c r="F306" s="784">
        <v>7.4999999999999997E-2</v>
      </c>
    </row>
    <row r="307" spans="1:6">
      <c r="A307" s="781">
        <v>41228</v>
      </c>
      <c r="B307" s="782" t="s">
        <v>5125</v>
      </c>
      <c r="C307" s="782" t="s">
        <v>5126</v>
      </c>
      <c r="D307" s="783">
        <v>1</v>
      </c>
      <c r="E307" s="783">
        <v>11.65</v>
      </c>
      <c r="F307" s="784">
        <v>8.5999999999999993E-2</v>
      </c>
    </row>
    <row r="308" spans="1:6">
      <c r="A308" s="781">
        <v>41228</v>
      </c>
      <c r="B308" s="782" t="s">
        <v>5324</v>
      </c>
      <c r="C308" s="782" t="s">
        <v>5325</v>
      </c>
      <c r="D308" s="783">
        <v>2.5</v>
      </c>
      <c r="E308" s="783">
        <v>13.58</v>
      </c>
      <c r="F308" s="784">
        <v>0.184</v>
      </c>
    </row>
    <row r="309" spans="1:6">
      <c r="A309" s="781">
        <v>41228</v>
      </c>
      <c r="B309" s="782" t="s">
        <v>5233</v>
      </c>
      <c r="C309" s="782" t="s">
        <v>118</v>
      </c>
      <c r="D309" s="783">
        <v>5.32</v>
      </c>
      <c r="E309" s="783">
        <v>66.89</v>
      </c>
      <c r="F309" s="784">
        <v>0.08</v>
      </c>
    </row>
    <row r="310" spans="1:6">
      <c r="A310" s="781">
        <v>41227</v>
      </c>
      <c r="B310" s="782" t="s">
        <v>5078</v>
      </c>
      <c r="C310" s="782" t="s">
        <v>623</v>
      </c>
      <c r="D310" s="783">
        <v>1.3</v>
      </c>
      <c r="E310" s="783">
        <v>11.6</v>
      </c>
      <c r="F310" s="784">
        <v>0.112</v>
      </c>
    </row>
    <row r="311" spans="1:6">
      <c r="A311" s="781">
        <v>41227</v>
      </c>
      <c r="B311" s="782" t="s">
        <v>5444</v>
      </c>
      <c r="C311" s="782" t="s">
        <v>5445</v>
      </c>
      <c r="D311" s="783">
        <v>3.75</v>
      </c>
      <c r="E311" s="783">
        <v>54.31</v>
      </c>
      <c r="F311" s="784">
        <v>6.9000000000000006E-2</v>
      </c>
    </row>
    <row r="312" spans="1:6">
      <c r="A312" s="781">
        <v>41226</v>
      </c>
      <c r="B312" s="782" t="s">
        <v>5446</v>
      </c>
      <c r="C312" s="782" t="s">
        <v>5447</v>
      </c>
      <c r="D312" s="783">
        <v>10</v>
      </c>
      <c r="E312" s="783">
        <v>192.99</v>
      </c>
      <c r="F312" s="784">
        <v>5.1999999999999998E-2</v>
      </c>
    </row>
    <row r="313" spans="1:6">
      <c r="A313" s="781">
        <v>41226</v>
      </c>
      <c r="B313" s="782" t="s">
        <v>5448</v>
      </c>
      <c r="C313" s="782" t="s">
        <v>5449</v>
      </c>
      <c r="D313" s="783">
        <v>0.57999999999999996</v>
      </c>
      <c r="E313" s="783">
        <v>5.9</v>
      </c>
      <c r="F313" s="784">
        <v>9.8000000000000004E-2</v>
      </c>
    </row>
    <row r="314" spans="1:6">
      <c r="A314" s="781">
        <v>41226</v>
      </c>
      <c r="B314" s="782" t="s">
        <v>5450</v>
      </c>
      <c r="C314" s="782" t="s">
        <v>5451</v>
      </c>
      <c r="D314" s="783">
        <v>2.1</v>
      </c>
      <c r="E314" s="783">
        <v>26.62</v>
      </c>
      <c r="F314" s="784">
        <v>7.9000000000000001E-2</v>
      </c>
    </row>
    <row r="315" spans="1:6">
      <c r="A315" s="781">
        <v>41225</v>
      </c>
      <c r="B315" s="782" t="s">
        <v>5297</v>
      </c>
      <c r="C315" s="782" t="s">
        <v>5298</v>
      </c>
      <c r="D315" s="783">
        <v>1</v>
      </c>
      <c r="E315" s="783">
        <v>3.89</v>
      </c>
      <c r="F315" s="784">
        <v>0.25700000000000001</v>
      </c>
    </row>
    <row r="316" spans="1:6">
      <c r="A316" s="781">
        <v>41220</v>
      </c>
      <c r="B316" s="782" t="s">
        <v>5115</v>
      </c>
      <c r="C316" s="782" t="s">
        <v>5116</v>
      </c>
      <c r="D316" s="783">
        <v>29</v>
      </c>
      <c r="E316" s="783">
        <v>77.83</v>
      </c>
      <c r="F316" s="784">
        <v>0.373</v>
      </c>
    </row>
    <row r="317" spans="1:6">
      <c r="A317" s="781">
        <v>41220</v>
      </c>
      <c r="B317" s="782" t="s">
        <v>5244</v>
      </c>
      <c r="C317" s="782" t="s">
        <v>828</v>
      </c>
      <c r="D317" s="783">
        <v>5</v>
      </c>
      <c r="E317" s="783">
        <v>112.51</v>
      </c>
      <c r="F317" s="784">
        <v>4.3999999999999997E-2</v>
      </c>
    </row>
    <row r="318" spans="1:6">
      <c r="A318" s="781">
        <v>41219</v>
      </c>
      <c r="B318" s="782" t="s">
        <v>5452</v>
      </c>
      <c r="C318" s="782" t="s">
        <v>5452</v>
      </c>
      <c r="D318" s="783">
        <v>5.15</v>
      </c>
      <c r="E318" s="783">
        <v>40.869999999999997</v>
      </c>
      <c r="F318" s="784">
        <v>0.126</v>
      </c>
    </row>
    <row r="319" spans="1:6">
      <c r="A319" s="781">
        <v>41219</v>
      </c>
      <c r="B319" s="782" t="s">
        <v>838</v>
      </c>
      <c r="C319" s="782" t="s">
        <v>107</v>
      </c>
      <c r="D319" s="783">
        <v>4.7</v>
      </c>
      <c r="E319" s="783">
        <v>47.62</v>
      </c>
      <c r="F319" s="784">
        <v>9.9000000000000005E-2</v>
      </c>
    </row>
    <row r="320" spans="1:6">
      <c r="A320" s="781">
        <v>41215</v>
      </c>
      <c r="B320" s="782" t="s">
        <v>5453</v>
      </c>
      <c r="C320" s="782" t="s">
        <v>5454</v>
      </c>
      <c r="D320" s="783">
        <v>6.84</v>
      </c>
      <c r="E320" s="783">
        <v>37.86</v>
      </c>
      <c r="F320" s="784">
        <v>0.18099999999999999</v>
      </c>
    </row>
    <row r="321" spans="1:6">
      <c r="A321" s="781">
        <v>41215</v>
      </c>
      <c r="B321" s="782" t="s">
        <v>5236</v>
      </c>
      <c r="C321" s="782" t="s">
        <v>5237</v>
      </c>
      <c r="D321" s="783">
        <v>1</v>
      </c>
      <c r="E321" s="783">
        <v>9.66</v>
      </c>
      <c r="F321" s="784">
        <v>0.104</v>
      </c>
    </row>
    <row r="322" spans="1:6">
      <c r="A322" s="781">
        <v>41214</v>
      </c>
      <c r="B322" s="782" t="s">
        <v>5455</v>
      </c>
      <c r="C322" s="782" t="s">
        <v>5456</v>
      </c>
      <c r="D322" s="783">
        <v>1.1499999999999999</v>
      </c>
      <c r="E322" s="783">
        <v>12.27</v>
      </c>
      <c r="F322" s="784">
        <v>9.4E-2</v>
      </c>
    </row>
    <row r="323" spans="1:6">
      <c r="A323" s="781">
        <v>41214</v>
      </c>
      <c r="B323" s="782" t="s">
        <v>5457</v>
      </c>
      <c r="C323" s="782" t="s">
        <v>5458</v>
      </c>
      <c r="D323" s="783">
        <v>1.5</v>
      </c>
      <c r="E323" s="783">
        <v>11.66</v>
      </c>
      <c r="F323" s="784">
        <v>0.129</v>
      </c>
    </row>
    <row r="324" spans="1:6">
      <c r="A324" s="781">
        <v>41208</v>
      </c>
      <c r="B324" s="782" t="s">
        <v>5459</v>
      </c>
      <c r="C324" s="782" t="s">
        <v>5460</v>
      </c>
      <c r="D324" s="783">
        <v>3.15</v>
      </c>
      <c r="E324" s="783">
        <v>54.01</v>
      </c>
      <c r="F324" s="784">
        <v>5.8000000000000003E-2</v>
      </c>
    </row>
    <row r="325" spans="1:6">
      <c r="A325" s="781">
        <v>41208</v>
      </c>
      <c r="B325" s="782" t="s">
        <v>5461</v>
      </c>
      <c r="C325" s="782" t="s">
        <v>5462</v>
      </c>
      <c r="D325" s="783">
        <v>25</v>
      </c>
      <c r="E325" s="783">
        <v>279.5</v>
      </c>
      <c r="F325" s="784">
        <v>8.8999999999999996E-2</v>
      </c>
    </row>
    <row r="326" spans="1:6">
      <c r="A326" s="781">
        <v>41207</v>
      </c>
      <c r="B326" s="782" t="s">
        <v>5463</v>
      </c>
      <c r="C326" s="782" t="s">
        <v>5464</v>
      </c>
      <c r="D326" s="783">
        <v>1.75</v>
      </c>
      <c r="E326" s="783">
        <v>21.8</v>
      </c>
      <c r="F326" s="784">
        <v>0.08</v>
      </c>
    </row>
    <row r="327" spans="1:6">
      <c r="A327" s="781">
        <v>41207</v>
      </c>
      <c r="B327" s="782" t="s">
        <v>5312</v>
      </c>
      <c r="C327" s="782" t="s">
        <v>5313</v>
      </c>
      <c r="D327" s="783">
        <v>8</v>
      </c>
      <c r="E327" s="783">
        <v>119.29</v>
      </c>
      <c r="F327" s="784">
        <v>6.7000000000000004E-2</v>
      </c>
    </row>
    <row r="328" spans="1:6">
      <c r="A328" s="781">
        <v>41206</v>
      </c>
      <c r="B328" s="782" t="s">
        <v>5465</v>
      </c>
      <c r="C328" s="782" t="s">
        <v>5466</v>
      </c>
      <c r="D328" s="783">
        <v>0.56999999999999995</v>
      </c>
      <c r="E328" s="783">
        <v>6.15</v>
      </c>
      <c r="F328" s="784">
        <v>9.2999999999999999E-2</v>
      </c>
    </row>
    <row r="329" spans="1:6">
      <c r="A329" s="781">
        <v>41205</v>
      </c>
      <c r="B329" s="782" t="s">
        <v>5407</v>
      </c>
      <c r="C329" s="782" t="s">
        <v>5408</v>
      </c>
      <c r="D329" s="783">
        <v>2.5</v>
      </c>
      <c r="E329" s="783">
        <v>29.64</v>
      </c>
      <c r="F329" s="784">
        <v>8.4000000000000005E-2</v>
      </c>
    </row>
    <row r="330" spans="1:6">
      <c r="A330" s="781">
        <v>41198</v>
      </c>
      <c r="B330" s="782" t="s">
        <v>5467</v>
      </c>
      <c r="C330" s="782" t="s">
        <v>5468</v>
      </c>
      <c r="D330" s="783">
        <v>2.81</v>
      </c>
      <c r="E330" s="783">
        <v>64.260000000000005</v>
      </c>
      <c r="F330" s="784">
        <v>4.3999999999999997E-2</v>
      </c>
    </row>
    <row r="331" spans="1:6">
      <c r="A331" s="781">
        <v>41198</v>
      </c>
      <c r="B331" s="782" t="s">
        <v>5122</v>
      </c>
      <c r="C331" s="782" t="s">
        <v>127</v>
      </c>
      <c r="D331" s="783">
        <v>12.85</v>
      </c>
      <c r="E331" s="783">
        <v>149.87</v>
      </c>
      <c r="F331" s="784">
        <v>8.5999999999999993E-2</v>
      </c>
    </row>
    <row r="332" spans="1:6">
      <c r="A332" s="781">
        <v>41187</v>
      </c>
      <c r="B332" s="782" t="s">
        <v>5469</v>
      </c>
      <c r="C332" s="782" t="s">
        <v>5333</v>
      </c>
      <c r="D332" s="783">
        <v>3</v>
      </c>
      <c r="E332" s="783">
        <v>4.62</v>
      </c>
      <c r="F332" s="784">
        <v>0.39400000000000002</v>
      </c>
    </row>
    <row r="333" spans="1:6">
      <c r="A333" s="781">
        <v>41183</v>
      </c>
      <c r="B333" s="782" t="s">
        <v>5470</v>
      </c>
      <c r="C333" s="782" t="s">
        <v>5471</v>
      </c>
      <c r="D333" s="783">
        <v>5.62</v>
      </c>
      <c r="E333" s="783">
        <v>76.86</v>
      </c>
      <c r="F333" s="784">
        <v>6.5000000000000002E-2</v>
      </c>
    </row>
    <row r="334" spans="1:6">
      <c r="A334" s="781">
        <v>41179</v>
      </c>
      <c r="B334" s="782" t="s">
        <v>5472</v>
      </c>
      <c r="C334" s="782" t="s">
        <v>5473</v>
      </c>
      <c r="D334" s="783">
        <v>2</v>
      </c>
      <c r="E334" s="783">
        <v>3.13</v>
      </c>
      <c r="F334" s="784">
        <v>0.63900000000000001</v>
      </c>
    </row>
    <row r="335" spans="1:6">
      <c r="A335" s="781">
        <v>41172</v>
      </c>
      <c r="B335" s="782" t="s">
        <v>5474</v>
      </c>
      <c r="C335" s="782" t="s">
        <v>5475</v>
      </c>
      <c r="D335" s="783">
        <v>10</v>
      </c>
      <c r="E335" s="783">
        <v>15.59</v>
      </c>
      <c r="F335" s="784">
        <v>0.64100000000000001</v>
      </c>
    </row>
    <row r="336" spans="1:6">
      <c r="A336" s="781">
        <v>41166</v>
      </c>
      <c r="B336" s="782" t="s">
        <v>5476</v>
      </c>
      <c r="C336" s="782" t="s">
        <v>5477</v>
      </c>
      <c r="D336" s="783">
        <v>1.2</v>
      </c>
      <c r="E336" s="783">
        <v>1.21</v>
      </c>
      <c r="F336" s="784">
        <v>0.107</v>
      </c>
    </row>
    <row r="337" spans="1:6">
      <c r="A337" s="781">
        <v>41164</v>
      </c>
      <c r="B337" s="782" t="s">
        <v>5478</v>
      </c>
      <c r="C337" s="782" t="s">
        <v>5479</v>
      </c>
      <c r="D337" s="783">
        <v>1.61</v>
      </c>
      <c r="E337" s="783">
        <v>23.54</v>
      </c>
      <c r="F337" s="784">
        <v>6.8000000000000005E-2</v>
      </c>
    </row>
    <row r="338" spans="1:6">
      <c r="A338" s="781">
        <v>41164</v>
      </c>
      <c r="B338" s="782" t="s">
        <v>5480</v>
      </c>
      <c r="C338" s="782" t="s">
        <v>5481</v>
      </c>
      <c r="D338" s="783">
        <v>2</v>
      </c>
      <c r="E338" s="783">
        <v>64.099999999999994</v>
      </c>
      <c r="F338" s="784">
        <v>3.1E-2</v>
      </c>
    </row>
    <row r="339" spans="1:6">
      <c r="A339" s="781">
        <v>41151</v>
      </c>
      <c r="B339" s="782" t="s">
        <v>5482</v>
      </c>
      <c r="C339" s="782" t="s">
        <v>5483</v>
      </c>
      <c r="D339" s="783">
        <v>2.2400000000000002</v>
      </c>
      <c r="E339" s="783">
        <v>18.25</v>
      </c>
      <c r="F339" s="784">
        <v>0.123</v>
      </c>
    </row>
    <row r="340" spans="1:6">
      <c r="A340" s="781">
        <v>41150</v>
      </c>
      <c r="B340" s="782" t="s">
        <v>5484</v>
      </c>
      <c r="C340" s="782" t="s">
        <v>5485</v>
      </c>
      <c r="D340" s="783">
        <v>1.25</v>
      </c>
      <c r="E340" s="783">
        <v>11.57</v>
      </c>
      <c r="F340" s="784">
        <v>0.108</v>
      </c>
    </row>
    <row r="341" spans="1:6">
      <c r="A341" s="781">
        <v>41149</v>
      </c>
      <c r="B341" s="782" t="s">
        <v>5486</v>
      </c>
      <c r="C341" s="782" t="s">
        <v>5487</v>
      </c>
      <c r="D341" s="783">
        <v>1</v>
      </c>
      <c r="E341" s="783">
        <v>13.26</v>
      </c>
      <c r="F341" s="784">
        <v>7.4999999999999997E-2</v>
      </c>
    </row>
    <row r="342" spans="1:6">
      <c r="A342" s="781">
        <v>41148</v>
      </c>
      <c r="B342" s="782" t="s">
        <v>5452</v>
      </c>
      <c r="C342" s="782" t="s">
        <v>5452</v>
      </c>
      <c r="D342" s="783">
        <v>5.15</v>
      </c>
      <c r="E342" s="783">
        <v>33.64</v>
      </c>
      <c r="F342" s="784">
        <v>0.153</v>
      </c>
    </row>
    <row r="343" spans="1:6">
      <c r="A343" s="781">
        <v>41148</v>
      </c>
      <c r="B343" s="782" t="s">
        <v>5488</v>
      </c>
      <c r="C343" s="782" t="s">
        <v>5489</v>
      </c>
      <c r="D343" s="783">
        <v>10</v>
      </c>
      <c r="E343" s="783">
        <v>36.19</v>
      </c>
      <c r="F343" s="784">
        <v>0.27600000000000002</v>
      </c>
    </row>
    <row r="344" spans="1:6">
      <c r="A344" s="781">
        <v>41142</v>
      </c>
      <c r="B344" s="782" t="s">
        <v>5490</v>
      </c>
      <c r="C344" s="782" t="s">
        <v>5491</v>
      </c>
      <c r="D344" s="783">
        <v>7</v>
      </c>
      <c r="E344" s="783">
        <v>18.32</v>
      </c>
      <c r="F344" s="784">
        <v>0.38200000000000001</v>
      </c>
    </row>
    <row r="345" spans="1:6">
      <c r="A345" s="781">
        <v>41142</v>
      </c>
      <c r="B345" s="782" t="s">
        <v>5492</v>
      </c>
      <c r="C345" s="782" t="s">
        <v>5493</v>
      </c>
      <c r="D345" s="783">
        <v>4</v>
      </c>
      <c r="E345" s="783">
        <v>16.89</v>
      </c>
      <c r="F345" s="784">
        <v>0.23699999999999999</v>
      </c>
    </row>
    <row r="346" spans="1:6">
      <c r="A346" s="781">
        <v>41134</v>
      </c>
      <c r="B346" s="782" t="s">
        <v>5494</v>
      </c>
      <c r="C346" s="782" t="s">
        <v>5495</v>
      </c>
      <c r="D346" s="783">
        <v>1</v>
      </c>
      <c r="E346" s="783">
        <v>6.6</v>
      </c>
      <c r="F346" s="784">
        <v>0.152</v>
      </c>
    </row>
    <row r="347" spans="1:6">
      <c r="A347" s="781">
        <v>41128</v>
      </c>
      <c r="B347" s="782" t="s">
        <v>5496</v>
      </c>
      <c r="C347" s="782" t="s">
        <v>5497</v>
      </c>
      <c r="D347" s="783">
        <v>3.6</v>
      </c>
      <c r="E347" s="783">
        <v>5.96</v>
      </c>
      <c r="F347" s="784">
        <v>0.60399999999999998</v>
      </c>
    </row>
    <row r="348" spans="1:6">
      <c r="A348" s="781">
        <v>41127</v>
      </c>
      <c r="B348" s="789" t="s">
        <v>5498</v>
      </c>
      <c r="C348" s="782" t="s">
        <v>5499</v>
      </c>
      <c r="D348" s="783">
        <v>3.8</v>
      </c>
      <c r="E348" s="783">
        <v>22.41</v>
      </c>
      <c r="F348" s="784">
        <v>0.17</v>
      </c>
    </row>
    <row r="349" spans="1:6">
      <c r="A349" s="781">
        <v>41122</v>
      </c>
      <c r="B349" s="782" t="s">
        <v>5287</v>
      </c>
      <c r="C349" s="782" t="s">
        <v>5288</v>
      </c>
      <c r="D349" s="783">
        <v>6.5</v>
      </c>
      <c r="E349" s="783">
        <v>17.579999999999998</v>
      </c>
      <c r="F349" s="784">
        <v>0.37</v>
      </c>
    </row>
    <row r="350" spans="1:6">
      <c r="A350" s="781">
        <v>41120</v>
      </c>
      <c r="B350" s="782" t="s">
        <v>5500</v>
      </c>
      <c r="C350" s="782" t="s">
        <v>5501</v>
      </c>
      <c r="D350" s="783">
        <v>9.5</v>
      </c>
      <c r="E350" s="783">
        <v>31.14</v>
      </c>
      <c r="F350" s="784">
        <v>0.30499999999999999</v>
      </c>
    </row>
    <row r="351" spans="1:6">
      <c r="A351" s="781">
        <v>41117</v>
      </c>
      <c r="B351" s="782" t="s">
        <v>5502</v>
      </c>
      <c r="C351" s="782" t="s">
        <v>5503</v>
      </c>
      <c r="D351" s="783">
        <v>10.41</v>
      </c>
      <c r="E351" s="783">
        <v>41.02</v>
      </c>
      <c r="F351" s="784">
        <v>0.253</v>
      </c>
    </row>
    <row r="352" spans="1:6">
      <c r="A352" s="781">
        <v>41100</v>
      </c>
      <c r="B352" s="782" t="s">
        <v>5504</v>
      </c>
      <c r="C352" s="782" t="s">
        <v>5505</v>
      </c>
      <c r="D352" s="783">
        <v>0.83</v>
      </c>
      <c r="E352" s="783">
        <v>10.15</v>
      </c>
      <c r="F352" s="784">
        <v>8.2000000000000003E-2</v>
      </c>
    </row>
    <row r="353" spans="1:6">
      <c r="A353" s="781">
        <v>41061</v>
      </c>
      <c r="B353" s="782" t="s">
        <v>5506</v>
      </c>
      <c r="C353" s="782" t="s">
        <v>5507</v>
      </c>
      <c r="D353" s="783">
        <v>3</v>
      </c>
      <c r="E353" s="783">
        <v>20.7</v>
      </c>
      <c r="F353" s="784">
        <v>0.14499999999999999</v>
      </c>
    </row>
    <row r="354" spans="1:6">
      <c r="A354" s="781">
        <v>41060</v>
      </c>
      <c r="B354" s="782" t="s">
        <v>5328</v>
      </c>
      <c r="C354" s="782" t="s">
        <v>5329</v>
      </c>
      <c r="D354" s="783">
        <v>6</v>
      </c>
      <c r="E354" s="783">
        <v>24.88</v>
      </c>
      <c r="F354" s="784">
        <v>0.24099999999999999</v>
      </c>
    </row>
    <row r="355" spans="1:6">
      <c r="A355" s="781">
        <v>41059</v>
      </c>
      <c r="B355" s="782" t="s">
        <v>5287</v>
      </c>
      <c r="C355" s="782" t="s">
        <v>5288</v>
      </c>
      <c r="D355" s="783">
        <v>1.59</v>
      </c>
      <c r="E355" s="783">
        <v>16.690000000000001</v>
      </c>
      <c r="F355" s="784">
        <v>9.5000000000000001E-2</v>
      </c>
    </row>
    <row r="356" spans="1:6">
      <c r="A356" s="781">
        <v>41037</v>
      </c>
      <c r="B356" s="782" t="s">
        <v>5508</v>
      </c>
      <c r="C356" s="782" t="s">
        <v>5509</v>
      </c>
      <c r="D356" s="783">
        <v>1.7</v>
      </c>
      <c r="E356" s="783">
        <v>6.65</v>
      </c>
      <c r="F356" s="784">
        <v>0.25600000000000001</v>
      </c>
    </row>
    <row r="357" spans="1:6">
      <c r="A357" s="781">
        <v>41026</v>
      </c>
      <c r="B357" s="782" t="s">
        <v>5289</v>
      </c>
      <c r="C357" s="782" t="s">
        <v>5290</v>
      </c>
      <c r="D357" s="783">
        <v>1.1499999999999999</v>
      </c>
      <c r="E357" s="783">
        <v>6.19</v>
      </c>
      <c r="F357" s="784">
        <v>0.186</v>
      </c>
    </row>
    <row r="358" spans="1:6">
      <c r="A358" s="781">
        <v>41026</v>
      </c>
      <c r="B358" s="782" t="s">
        <v>5510</v>
      </c>
      <c r="C358" s="782" t="s">
        <v>5511</v>
      </c>
      <c r="D358" s="783">
        <v>0.6</v>
      </c>
      <c r="E358" s="783">
        <v>2.48</v>
      </c>
      <c r="F358" s="784">
        <v>0.24099999999999999</v>
      </c>
    </row>
    <row r="359" spans="1:6">
      <c r="A359" s="781">
        <v>41023</v>
      </c>
      <c r="B359" s="782" t="s">
        <v>5307</v>
      </c>
      <c r="C359" s="782" t="s">
        <v>5308</v>
      </c>
      <c r="D359" s="783">
        <v>4.5</v>
      </c>
      <c r="E359" s="783">
        <v>70.25</v>
      </c>
      <c r="F359" s="784">
        <v>6.4000000000000001E-2</v>
      </c>
    </row>
    <row r="360" spans="1:6">
      <c r="A360" s="781">
        <v>41003</v>
      </c>
      <c r="B360" s="782" t="s">
        <v>5295</v>
      </c>
      <c r="C360" s="782" t="s">
        <v>5512</v>
      </c>
      <c r="D360" s="783">
        <v>6</v>
      </c>
      <c r="E360" s="783">
        <v>36.840000000000003</v>
      </c>
      <c r="F360" s="784">
        <v>0.16300000000000001</v>
      </c>
    </row>
    <row r="361" spans="1:6">
      <c r="A361" s="781">
        <v>41001</v>
      </c>
      <c r="B361" s="782" t="s">
        <v>5513</v>
      </c>
      <c r="C361" s="782" t="s">
        <v>5514</v>
      </c>
      <c r="D361" s="783">
        <v>2</v>
      </c>
      <c r="E361" s="783">
        <v>38.15</v>
      </c>
      <c r="F361" s="784">
        <v>5.1999999999999998E-2</v>
      </c>
    </row>
    <row r="362" spans="1:6">
      <c r="A362" s="781">
        <v>40996</v>
      </c>
      <c r="B362" s="782" t="s">
        <v>5515</v>
      </c>
      <c r="C362" s="782" t="s">
        <v>5116</v>
      </c>
      <c r="D362" s="783">
        <v>13.6</v>
      </c>
      <c r="E362" s="783">
        <v>79.510000000000005</v>
      </c>
      <c r="F362" s="784">
        <v>0.17100000000000001</v>
      </c>
    </row>
    <row r="363" spans="1:6">
      <c r="A363" s="781">
        <v>40991</v>
      </c>
      <c r="B363" s="782" t="s">
        <v>5516</v>
      </c>
      <c r="C363" s="782" t="s">
        <v>5517</v>
      </c>
      <c r="D363" s="783">
        <v>8.5500000000000007</v>
      </c>
      <c r="E363" s="783">
        <v>56.82</v>
      </c>
      <c r="F363" s="784">
        <v>0.15</v>
      </c>
    </row>
    <row r="364" spans="1:6">
      <c r="A364" s="781">
        <v>40988</v>
      </c>
      <c r="B364" s="782" t="s">
        <v>5518</v>
      </c>
      <c r="C364" s="782" t="s">
        <v>5397</v>
      </c>
      <c r="D364" s="783">
        <v>1</v>
      </c>
      <c r="E364" s="783">
        <v>10.85</v>
      </c>
      <c r="F364" s="784">
        <v>9.1999999999999998E-2</v>
      </c>
    </row>
    <row r="365" spans="1:6">
      <c r="A365" s="781">
        <v>40984</v>
      </c>
      <c r="B365" s="782" t="s">
        <v>5519</v>
      </c>
      <c r="C365" s="782" t="s">
        <v>5520</v>
      </c>
      <c r="D365" s="783">
        <v>3</v>
      </c>
      <c r="E365" s="783">
        <v>39.96</v>
      </c>
      <c r="F365" s="784">
        <v>7.4999999999999997E-2</v>
      </c>
    </row>
    <row r="366" spans="1:6">
      <c r="A366" s="781">
        <v>40969</v>
      </c>
      <c r="B366" s="782" t="s">
        <v>5521</v>
      </c>
      <c r="C366" s="782" t="s">
        <v>5522</v>
      </c>
      <c r="D366" s="783">
        <v>1.25</v>
      </c>
      <c r="E366" s="783">
        <v>13.04</v>
      </c>
      <c r="F366" s="784">
        <v>9.6000000000000002E-2</v>
      </c>
    </row>
    <row r="367" spans="1:6">
      <c r="A367" s="781">
        <v>40968</v>
      </c>
      <c r="B367" s="782" t="s">
        <v>5316</v>
      </c>
      <c r="C367" s="782" t="s">
        <v>5317</v>
      </c>
      <c r="D367" s="783">
        <v>6.08</v>
      </c>
      <c r="E367" s="783">
        <v>14.32</v>
      </c>
      <c r="F367" s="784">
        <v>0.42499999999999999</v>
      </c>
    </row>
    <row r="368" spans="1:6">
      <c r="A368" s="781">
        <v>40963</v>
      </c>
      <c r="B368" s="782" t="s">
        <v>5523</v>
      </c>
      <c r="C368" s="782" t="s">
        <v>5524</v>
      </c>
      <c r="D368" s="783">
        <v>10.5</v>
      </c>
      <c r="E368" s="783">
        <v>37.76</v>
      </c>
      <c r="F368" s="784">
        <v>0.378</v>
      </c>
    </row>
    <row r="369" spans="1:6">
      <c r="A369" s="781">
        <v>40953</v>
      </c>
      <c r="B369" s="782" t="s">
        <v>5525</v>
      </c>
      <c r="C369" s="782" t="s">
        <v>5526</v>
      </c>
      <c r="D369" s="783">
        <v>15</v>
      </c>
      <c r="E369" s="783">
        <v>51.77</v>
      </c>
      <c r="F369" s="784">
        <v>0.28999999999999998</v>
      </c>
    </row>
    <row r="370" spans="1:6">
      <c r="A370" s="781">
        <v>40945</v>
      </c>
      <c r="B370" s="782" t="s">
        <v>5407</v>
      </c>
      <c r="C370" s="782" t="s">
        <v>5408</v>
      </c>
      <c r="D370" s="783">
        <v>2</v>
      </c>
      <c r="E370" s="783">
        <v>28.3</v>
      </c>
      <c r="F370" s="784">
        <v>7.6999999999999999E-2</v>
      </c>
    </row>
    <row r="371" spans="1:6">
      <c r="A371" s="781">
        <v>40926</v>
      </c>
      <c r="B371" s="782" t="s">
        <v>5299</v>
      </c>
      <c r="C371" s="782" t="s">
        <v>170</v>
      </c>
      <c r="D371" s="783">
        <v>5.03</v>
      </c>
      <c r="E371" s="783">
        <v>61.35</v>
      </c>
      <c r="F371" s="784">
        <v>8.2000000000000003E-2</v>
      </c>
    </row>
    <row r="372" spans="1:6">
      <c r="A372" s="781">
        <v>40920</v>
      </c>
      <c r="B372" s="782" t="s">
        <v>5527</v>
      </c>
      <c r="C372" s="782" t="s">
        <v>5528</v>
      </c>
      <c r="D372" s="783">
        <v>3</v>
      </c>
      <c r="E372" s="783">
        <v>23.5</v>
      </c>
      <c r="F372" s="784">
        <v>0.128</v>
      </c>
    </row>
    <row r="373" spans="1:6">
      <c r="A373" s="781">
        <v>40918</v>
      </c>
      <c r="B373" s="782" t="s">
        <v>5529</v>
      </c>
      <c r="C373" s="782" t="s">
        <v>5530</v>
      </c>
      <c r="D373" s="783">
        <v>5</v>
      </c>
      <c r="E373" s="783">
        <v>7.99</v>
      </c>
      <c r="F373" s="784">
        <v>0.626</v>
      </c>
    </row>
    <row r="374" spans="1:6">
      <c r="A374" s="781">
        <v>40890</v>
      </c>
      <c r="B374" s="782" t="s">
        <v>5531</v>
      </c>
      <c r="C374" s="782" t="s">
        <v>5487</v>
      </c>
      <c r="D374" s="783">
        <v>1</v>
      </c>
      <c r="E374" s="783">
        <v>13.31</v>
      </c>
      <c r="F374" s="784">
        <v>7.4999999999999997E-2</v>
      </c>
    </row>
    <row r="375" spans="1:6">
      <c r="A375" s="781">
        <v>40886</v>
      </c>
      <c r="B375" s="782" t="s">
        <v>5177</v>
      </c>
      <c r="C375" s="782" t="s">
        <v>5178</v>
      </c>
      <c r="D375" s="783">
        <v>2.27</v>
      </c>
      <c r="E375" s="783">
        <v>99.93</v>
      </c>
      <c r="F375" s="784">
        <v>2.3E-2</v>
      </c>
    </row>
    <row r="376" spans="1:6">
      <c r="A376" s="781">
        <v>40886</v>
      </c>
      <c r="B376" s="782" t="s">
        <v>5532</v>
      </c>
      <c r="C376" s="782" t="s">
        <v>5533</v>
      </c>
      <c r="D376" s="783">
        <v>2</v>
      </c>
      <c r="E376" s="783">
        <v>6.35</v>
      </c>
      <c r="F376" s="784">
        <v>0.315</v>
      </c>
    </row>
    <row r="377" spans="1:6">
      <c r="A377" s="781">
        <v>40882</v>
      </c>
      <c r="B377" s="782" t="s">
        <v>5534</v>
      </c>
      <c r="C377" s="782" t="s">
        <v>5535</v>
      </c>
      <c r="D377" s="783">
        <v>1.05</v>
      </c>
      <c r="E377" s="783">
        <v>7.06</v>
      </c>
      <c r="F377" s="784">
        <v>0.14899999999999999</v>
      </c>
    </row>
    <row r="378" spans="1:6">
      <c r="A378" s="781">
        <v>40879</v>
      </c>
      <c r="B378" s="782" t="s">
        <v>5309</v>
      </c>
      <c r="C378" s="782" t="s">
        <v>248</v>
      </c>
      <c r="D378" s="783">
        <v>5</v>
      </c>
      <c r="E378" s="783">
        <v>76.16</v>
      </c>
      <c r="F378" s="784">
        <v>6.6000000000000003E-2</v>
      </c>
    </row>
    <row r="379" spans="1:6">
      <c r="A379" s="781">
        <v>40878</v>
      </c>
      <c r="B379" s="782" t="s">
        <v>5373</v>
      </c>
      <c r="C379" s="782" t="s">
        <v>5374</v>
      </c>
      <c r="D379" s="783">
        <v>2</v>
      </c>
      <c r="E379" s="783">
        <v>42.45</v>
      </c>
      <c r="F379" s="784">
        <v>4.7E-2</v>
      </c>
    </row>
    <row r="380" spans="1:6">
      <c r="A380" s="781">
        <v>40876</v>
      </c>
      <c r="B380" s="782" t="s">
        <v>5536</v>
      </c>
      <c r="C380" s="782" t="s">
        <v>5537</v>
      </c>
      <c r="D380" s="783">
        <v>4</v>
      </c>
      <c r="E380" s="783">
        <v>24.5</v>
      </c>
      <c r="F380" s="784">
        <v>0.16300000000000001</v>
      </c>
    </row>
    <row r="381" spans="1:6">
      <c r="A381" s="781">
        <v>40875</v>
      </c>
      <c r="B381" s="782" t="s">
        <v>5538</v>
      </c>
      <c r="C381" s="782" t="s">
        <v>5539</v>
      </c>
      <c r="D381" s="783">
        <v>1.02</v>
      </c>
      <c r="E381" s="783">
        <v>4.4400000000000004</v>
      </c>
      <c r="F381" s="784">
        <v>0.22900000000000001</v>
      </c>
    </row>
    <row r="382" spans="1:6">
      <c r="A382" s="781">
        <v>40869</v>
      </c>
      <c r="B382" s="782" t="s">
        <v>5540</v>
      </c>
      <c r="C382" s="782" t="s">
        <v>5541</v>
      </c>
      <c r="D382" s="783">
        <v>1</v>
      </c>
      <c r="E382" s="783">
        <v>11.08</v>
      </c>
      <c r="F382" s="784">
        <v>0.09</v>
      </c>
    </row>
    <row r="383" spans="1:6">
      <c r="A383" s="781">
        <v>40864</v>
      </c>
      <c r="B383" s="782" t="s">
        <v>5233</v>
      </c>
      <c r="C383" s="782" t="s">
        <v>118</v>
      </c>
      <c r="D383" s="783">
        <v>5.3</v>
      </c>
      <c r="E383" s="783">
        <v>70.58</v>
      </c>
      <c r="F383" s="784">
        <v>7.4999999999999997E-2</v>
      </c>
    </row>
    <row r="384" spans="1:6">
      <c r="A384" s="781">
        <v>40861</v>
      </c>
      <c r="B384" s="782" t="s">
        <v>5459</v>
      </c>
      <c r="C384" s="782" t="s">
        <v>5460</v>
      </c>
      <c r="D384" s="783">
        <v>4.75</v>
      </c>
      <c r="E384" s="783">
        <v>35.53</v>
      </c>
      <c r="F384" s="784">
        <v>0.13400000000000001</v>
      </c>
    </row>
    <row r="385" spans="1:6">
      <c r="A385" s="781">
        <v>40857</v>
      </c>
      <c r="B385" s="782" t="s">
        <v>5508</v>
      </c>
      <c r="C385" s="782" t="s">
        <v>5509</v>
      </c>
      <c r="D385" s="783">
        <v>2</v>
      </c>
      <c r="E385" s="783">
        <v>7.35</v>
      </c>
      <c r="F385" s="784">
        <v>0.27200000000000002</v>
      </c>
    </row>
    <row r="386" spans="1:6">
      <c r="A386" s="781">
        <v>40854</v>
      </c>
      <c r="B386" s="782" t="s">
        <v>5542</v>
      </c>
      <c r="C386" s="782" t="s">
        <v>5543</v>
      </c>
      <c r="D386" s="783">
        <v>2</v>
      </c>
      <c r="E386" s="783">
        <v>24.7</v>
      </c>
      <c r="F386" s="784">
        <v>8.1000000000000003E-2</v>
      </c>
    </row>
    <row r="387" spans="1:6">
      <c r="A387" s="781">
        <v>40849</v>
      </c>
      <c r="B387" s="782" t="s">
        <v>5521</v>
      </c>
      <c r="C387" s="782" t="s">
        <v>5522</v>
      </c>
      <c r="D387" s="783">
        <v>1.03</v>
      </c>
      <c r="E387" s="783">
        <v>9.85</v>
      </c>
      <c r="F387" s="784">
        <v>0.105</v>
      </c>
    </row>
    <row r="388" spans="1:6">
      <c r="A388" s="781">
        <v>40849</v>
      </c>
      <c r="B388" s="782" t="s">
        <v>5312</v>
      </c>
      <c r="C388" s="782" t="s">
        <v>5313</v>
      </c>
      <c r="D388" s="783">
        <v>5</v>
      </c>
      <c r="E388" s="783">
        <v>135.5</v>
      </c>
      <c r="F388" s="784">
        <v>3.6999999999999998E-2</v>
      </c>
    </row>
    <row r="389" spans="1:6">
      <c r="A389" s="781">
        <v>40841</v>
      </c>
      <c r="B389" s="782" t="s">
        <v>5544</v>
      </c>
      <c r="C389" s="782" t="s">
        <v>5545</v>
      </c>
      <c r="D389" s="783">
        <v>0.48</v>
      </c>
      <c r="E389" s="783">
        <v>1.27</v>
      </c>
      <c r="F389" s="784">
        <v>0.378</v>
      </c>
    </row>
    <row r="390" spans="1:6">
      <c r="A390" s="781">
        <v>40806</v>
      </c>
      <c r="B390" s="782" t="s">
        <v>838</v>
      </c>
      <c r="C390" s="782" t="s">
        <v>107</v>
      </c>
      <c r="D390" s="783">
        <v>2.4500000000000002</v>
      </c>
      <c r="E390" s="783">
        <v>39.78</v>
      </c>
      <c r="F390" s="784">
        <v>6.2E-2</v>
      </c>
    </row>
    <row r="391" spans="1:6">
      <c r="A391" s="781">
        <v>40792</v>
      </c>
      <c r="B391" s="782" t="s">
        <v>5546</v>
      </c>
      <c r="C391" s="782" t="s">
        <v>5547</v>
      </c>
      <c r="D391" s="783">
        <v>1</v>
      </c>
      <c r="E391" s="783">
        <v>12.69</v>
      </c>
      <c r="F391" s="784">
        <v>7.9000000000000001E-2</v>
      </c>
    </row>
    <row r="392" spans="1:6">
      <c r="A392" s="781">
        <v>40765</v>
      </c>
      <c r="B392" s="782" t="s">
        <v>5480</v>
      </c>
      <c r="C392" s="782" t="s">
        <v>5481</v>
      </c>
      <c r="D392" s="783">
        <v>2.15</v>
      </c>
      <c r="E392" s="783">
        <v>45.76</v>
      </c>
      <c r="F392" s="784">
        <v>4.7E-2</v>
      </c>
    </row>
    <row r="393" spans="1:6">
      <c r="A393" s="781">
        <v>40763</v>
      </c>
      <c r="B393" s="782" t="s">
        <v>5548</v>
      </c>
      <c r="C393" s="782" t="s">
        <v>5549</v>
      </c>
      <c r="D393" s="783">
        <v>3</v>
      </c>
      <c r="E393" s="783">
        <v>8.1999999999999993</v>
      </c>
      <c r="F393" s="784">
        <v>0.36599999999999999</v>
      </c>
    </row>
    <row r="394" spans="1:6">
      <c r="A394" s="781">
        <v>40701</v>
      </c>
      <c r="B394" s="782" t="s">
        <v>5550</v>
      </c>
      <c r="C394" s="782" t="s">
        <v>5551</v>
      </c>
      <c r="D394" s="783">
        <v>9.14</v>
      </c>
      <c r="E394" s="783">
        <v>22.15</v>
      </c>
      <c r="F394" s="784">
        <v>0.41299999999999998</v>
      </c>
    </row>
    <row r="395" spans="1:6">
      <c r="A395" s="781">
        <v>40689</v>
      </c>
      <c r="B395" s="782" t="s">
        <v>5552</v>
      </c>
      <c r="C395" s="782" t="s">
        <v>5553</v>
      </c>
      <c r="D395" s="783">
        <v>1.24</v>
      </c>
      <c r="E395" s="783">
        <v>14.5</v>
      </c>
      <c r="F395" s="784">
        <v>8.5999999999999993E-2</v>
      </c>
    </row>
    <row r="396" spans="1:6">
      <c r="A396" s="781">
        <v>40683</v>
      </c>
      <c r="B396" s="782" t="s">
        <v>5554</v>
      </c>
      <c r="C396" s="782" t="s">
        <v>5298</v>
      </c>
      <c r="D396" s="783">
        <v>0.56000000000000005</v>
      </c>
      <c r="E396" s="783">
        <v>6.46</v>
      </c>
      <c r="F396" s="784">
        <v>8.6999999999999994E-2</v>
      </c>
    </row>
    <row r="397" spans="1:6">
      <c r="A397" s="781">
        <v>40661</v>
      </c>
      <c r="B397" s="782" t="s">
        <v>5555</v>
      </c>
      <c r="C397" s="782" t="s">
        <v>5556</v>
      </c>
      <c r="D397" s="783">
        <v>2.75</v>
      </c>
      <c r="E397" s="783">
        <v>36.909999999999997</v>
      </c>
      <c r="F397" s="784">
        <v>7.4999999999999997E-2</v>
      </c>
    </row>
    <row r="398" spans="1:6">
      <c r="A398" s="781">
        <v>40597</v>
      </c>
      <c r="B398" s="782" t="s">
        <v>5557</v>
      </c>
      <c r="C398" s="782" t="s">
        <v>5558</v>
      </c>
      <c r="D398" s="783">
        <v>2</v>
      </c>
      <c r="E398" s="783">
        <v>7.11</v>
      </c>
      <c r="F398" s="784">
        <v>0.28100000000000003</v>
      </c>
    </row>
    <row r="399" spans="1:6">
      <c r="A399" s="781">
        <v>40522</v>
      </c>
      <c r="B399" s="782" t="s">
        <v>5555</v>
      </c>
      <c r="C399" s="782" t="s">
        <v>5556</v>
      </c>
      <c r="D399" s="783">
        <v>3</v>
      </c>
      <c r="E399" s="783">
        <v>35.51</v>
      </c>
      <c r="F399" s="784">
        <v>8.5000000000000006E-2</v>
      </c>
    </row>
    <row r="400" spans="1:6">
      <c r="A400" s="781">
        <v>40520</v>
      </c>
      <c r="B400" s="782" t="s">
        <v>5559</v>
      </c>
      <c r="C400" s="782" t="s">
        <v>5560</v>
      </c>
      <c r="D400" s="783">
        <v>0.9</v>
      </c>
      <c r="E400" s="783">
        <v>6.77</v>
      </c>
      <c r="F400" s="784">
        <v>0.13300000000000001</v>
      </c>
    </row>
    <row r="401" spans="1:6">
      <c r="A401" s="781">
        <v>40518</v>
      </c>
      <c r="B401" s="782" t="s">
        <v>852</v>
      </c>
      <c r="C401" s="782" t="s">
        <v>851</v>
      </c>
      <c r="D401" s="783">
        <v>2.2999999999999998</v>
      </c>
      <c r="E401" s="783">
        <v>14.7</v>
      </c>
      <c r="F401" s="784">
        <v>0.156</v>
      </c>
    </row>
    <row r="402" spans="1:6">
      <c r="A402" s="781">
        <v>40513</v>
      </c>
      <c r="B402" s="782" t="s">
        <v>5561</v>
      </c>
      <c r="C402" s="782" t="s">
        <v>5447</v>
      </c>
      <c r="D402" s="783">
        <v>3</v>
      </c>
      <c r="E402" s="783">
        <v>171.8</v>
      </c>
      <c r="F402" s="784">
        <v>1.7000000000000001E-2</v>
      </c>
    </row>
    <row r="403" spans="1:6">
      <c r="A403" s="781">
        <v>40513</v>
      </c>
      <c r="B403" s="782" t="s">
        <v>5249</v>
      </c>
      <c r="C403" s="782" t="s">
        <v>5250</v>
      </c>
      <c r="D403" s="783">
        <v>1.5</v>
      </c>
      <c r="E403" s="783">
        <v>20.94</v>
      </c>
      <c r="F403" s="784">
        <v>7.1999999999999995E-2</v>
      </c>
    </row>
    <row r="404" spans="1:6">
      <c r="A404" s="781">
        <v>40513</v>
      </c>
      <c r="B404" s="782" t="s">
        <v>5562</v>
      </c>
      <c r="C404" s="782" t="s">
        <v>5563</v>
      </c>
      <c r="D404" s="783">
        <v>1.4</v>
      </c>
      <c r="E404" s="783">
        <v>13.76</v>
      </c>
      <c r="F404" s="784">
        <v>0.10199999999999999</v>
      </c>
    </row>
    <row r="405" spans="1:6">
      <c r="A405" s="781">
        <v>40513</v>
      </c>
      <c r="B405" s="782" t="s">
        <v>5233</v>
      </c>
      <c r="C405" s="782" t="s">
        <v>118</v>
      </c>
      <c r="D405" s="783">
        <v>7.29</v>
      </c>
      <c r="E405" s="783">
        <v>60.64</v>
      </c>
      <c r="F405" s="784">
        <v>0.12</v>
      </c>
    </row>
    <row r="406" spans="1:6">
      <c r="A406" s="781">
        <v>40513</v>
      </c>
      <c r="B406" s="782" t="s">
        <v>5474</v>
      </c>
      <c r="C406" s="782" t="s">
        <v>5475</v>
      </c>
      <c r="D406" s="783">
        <v>6.5</v>
      </c>
      <c r="E406" s="783">
        <v>25.51</v>
      </c>
      <c r="F406" s="784">
        <v>0.255</v>
      </c>
    </row>
    <row r="407" spans="1:6">
      <c r="A407" s="781">
        <v>40512</v>
      </c>
      <c r="B407" s="782" t="s">
        <v>5564</v>
      </c>
      <c r="C407" s="782" t="s">
        <v>5565</v>
      </c>
      <c r="D407" s="783">
        <v>1.79</v>
      </c>
      <c r="E407" s="783">
        <v>18.28</v>
      </c>
      <c r="F407" s="784">
        <v>9.8000000000000004E-2</v>
      </c>
    </row>
    <row r="408" spans="1:6">
      <c r="A408" s="781">
        <v>40512</v>
      </c>
      <c r="B408" s="782" t="s">
        <v>5536</v>
      </c>
      <c r="C408" s="782" t="s">
        <v>5537</v>
      </c>
      <c r="D408" s="783">
        <v>4</v>
      </c>
      <c r="E408" s="783">
        <v>21.9</v>
      </c>
      <c r="F408" s="784">
        <v>0.183</v>
      </c>
    </row>
    <row r="409" spans="1:6">
      <c r="A409" s="781">
        <v>40511</v>
      </c>
      <c r="B409" s="782" t="s">
        <v>5566</v>
      </c>
      <c r="C409" s="782" t="s">
        <v>5567</v>
      </c>
      <c r="D409" s="783">
        <v>4.5</v>
      </c>
      <c r="E409" s="783">
        <v>17.32</v>
      </c>
      <c r="F409" s="784">
        <v>0.26</v>
      </c>
    </row>
    <row r="410" spans="1:6">
      <c r="A410" s="781">
        <v>40508</v>
      </c>
      <c r="B410" s="782" t="s">
        <v>5568</v>
      </c>
      <c r="C410" s="782" t="s">
        <v>121</v>
      </c>
      <c r="D410" s="783">
        <v>46</v>
      </c>
      <c r="E410" s="783">
        <v>3900</v>
      </c>
      <c r="F410" s="784">
        <v>1.2E-2</v>
      </c>
    </row>
    <row r="411" spans="1:6">
      <c r="A411" s="781">
        <v>40505</v>
      </c>
      <c r="B411" s="782" t="s">
        <v>5569</v>
      </c>
      <c r="C411" s="782" t="s">
        <v>5570</v>
      </c>
      <c r="D411" s="783">
        <v>5</v>
      </c>
      <c r="E411" s="783">
        <v>61.67</v>
      </c>
      <c r="F411" s="784">
        <v>8.1000000000000003E-2</v>
      </c>
    </row>
    <row r="412" spans="1:6">
      <c r="A412" s="781">
        <v>40505</v>
      </c>
      <c r="B412" s="782" t="s">
        <v>5571</v>
      </c>
      <c r="C412" s="782" t="s">
        <v>5572</v>
      </c>
      <c r="D412" s="783">
        <v>2.2000000000000002</v>
      </c>
      <c r="E412" s="783">
        <v>48.79</v>
      </c>
      <c r="F412" s="784">
        <v>4.4999999999999998E-2</v>
      </c>
    </row>
    <row r="413" spans="1:6">
      <c r="A413" s="781">
        <v>40504</v>
      </c>
      <c r="B413" s="782" t="s">
        <v>5496</v>
      </c>
      <c r="C413" s="782" t="s">
        <v>5497</v>
      </c>
      <c r="D413" s="783">
        <v>1</v>
      </c>
      <c r="E413" s="783">
        <v>6.25</v>
      </c>
      <c r="F413" s="784">
        <v>0.16</v>
      </c>
    </row>
    <row r="414" spans="1:6">
      <c r="A414" s="781">
        <v>40504</v>
      </c>
      <c r="B414" s="782" t="s">
        <v>5297</v>
      </c>
      <c r="C414" s="782" t="s">
        <v>5298</v>
      </c>
      <c r="D414" s="783">
        <v>1</v>
      </c>
      <c r="E414" s="783">
        <v>7.74</v>
      </c>
      <c r="F414" s="784">
        <v>0.129</v>
      </c>
    </row>
    <row r="415" spans="1:6">
      <c r="A415" s="781">
        <v>40500</v>
      </c>
      <c r="B415" s="782" t="s">
        <v>838</v>
      </c>
      <c r="C415" s="782" t="s">
        <v>107</v>
      </c>
      <c r="D415" s="783">
        <v>2.5</v>
      </c>
      <c r="E415" s="783">
        <v>37.68</v>
      </c>
      <c r="F415" s="784">
        <v>6.6000000000000003E-2</v>
      </c>
    </row>
    <row r="416" spans="1:6">
      <c r="A416" s="781">
        <v>40500</v>
      </c>
      <c r="B416" s="782" t="s">
        <v>5573</v>
      </c>
      <c r="C416" s="782" t="s">
        <v>5376</v>
      </c>
      <c r="D416" s="783">
        <v>15</v>
      </c>
      <c r="E416" s="783">
        <v>104.48</v>
      </c>
      <c r="F416" s="784">
        <v>0.14399999999999999</v>
      </c>
    </row>
    <row r="417" spans="1:6">
      <c r="A417" s="781">
        <v>40499</v>
      </c>
      <c r="B417" s="782" t="s">
        <v>5373</v>
      </c>
      <c r="C417" s="782" t="s">
        <v>5374</v>
      </c>
      <c r="D417" s="783">
        <v>3</v>
      </c>
      <c r="E417" s="783">
        <v>33.299999999999997</v>
      </c>
      <c r="F417" s="784">
        <v>0.09</v>
      </c>
    </row>
    <row r="418" spans="1:6">
      <c r="A418" s="781">
        <v>40494</v>
      </c>
      <c r="B418" s="782" t="s">
        <v>5574</v>
      </c>
      <c r="C418" s="782" t="s">
        <v>5575</v>
      </c>
      <c r="D418" s="783">
        <v>1.25</v>
      </c>
      <c r="E418" s="783">
        <v>12.3</v>
      </c>
      <c r="F418" s="784">
        <v>0.10199999999999999</v>
      </c>
    </row>
    <row r="419" spans="1:6">
      <c r="A419" s="781">
        <v>40492</v>
      </c>
      <c r="B419" s="782" t="s">
        <v>5139</v>
      </c>
      <c r="C419" s="782" t="s">
        <v>5140</v>
      </c>
      <c r="D419" s="783">
        <v>1.6</v>
      </c>
      <c r="E419" s="783">
        <v>21.99</v>
      </c>
      <c r="F419" s="784">
        <v>7.2999999999999995E-2</v>
      </c>
    </row>
    <row r="420" spans="1:6">
      <c r="A420" s="781">
        <v>40487</v>
      </c>
      <c r="B420" s="782" t="s">
        <v>5516</v>
      </c>
      <c r="C420" s="782" t="s">
        <v>5517</v>
      </c>
      <c r="D420" s="783">
        <v>13.74</v>
      </c>
      <c r="E420" s="783">
        <v>48.29</v>
      </c>
      <c r="F420" s="784">
        <v>0.28499999999999998</v>
      </c>
    </row>
    <row r="421" spans="1:6">
      <c r="A421" s="781">
        <v>40486</v>
      </c>
      <c r="B421" s="782" t="s">
        <v>5576</v>
      </c>
      <c r="C421" s="782" t="s">
        <v>5577</v>
      </c>
      <c r="D421" s="783">
        <v>1.1000000000000001</v>
      </c>
      <c r="E421" s="783">
        <v>5.82</v>
      </c>
      <c r="F421" s="784">
        <v>0.189</v>
      </c>
    </row>
    <row r="422" spans="1:6">
      <c r="A422" s="781">
        <v>40484</v>
      </c>
      <c r="B422" s="782" t="s">
        <v>5312</v>
      </c>
      <c r="C422" s="782" t="s">
        <v>5313</v>
      </c>
      <c r="D422" s="783">
        <v>8</v>
      </c>
      <c r="E422" s="783">
        <v>110.32</v>
      </c>
      <c r="F422" s="784">
        <v>7.2999999999999995E-2</v>
      </c>
    </row>
    <row r="423" spans="1:6">
      <c r="A423" s="781">
        <v>40479</v>
      </c>
      <c r="B423" s="782" t="s">
        <v>5578</v>
      </c>
      <c r="C423" s="782" t="s">
        <v>5579</v>
      </c>
      <c r="D423" s="783">
        <v>3</v>
      </c>
      <c r="E423" s="783">
        <v>32.65</v>
      </c>
      <c r="F423" s="784">
        <v>9.1999999999999998E-2</v>
      </c>
    </row>
    <row r="424" spans="1:6">
      <c r="A424" s="781">
        <v>40479</v>
      </c>
      <c r="B424" s="782" t="s">
        <v>5532</v>
      </c>
      <c r="C424" s="782" t="s">
        <v>5580</v>
      </c>
      <c r="D424" s="783">
        <v>1</v>
      </c>
      <c r="E424" s="783">
        <v>11.53</v>
      </c>
      <c r="F424" s="784">
        <v>8.6999999999999994E-2</v>
      </c>
    </row>
    <row r="425" spans="1:6">
      <c r="A425" s="781">
        <v>40479</v>
      </c>
      <c r="B425" s="789" t="s">
        <v>5581</v>
      </c>
      <c r="C425" s="782" t="s">
        <v>5582</v>
      </c>
      <c r="D425" s="783">
        <v>2</v>
      </c>
      <c r="E425" s="783">
        <v>14.43</v>
      </c>
      <c r="F425" s="784">
        <v>0.13900000000000001</v>
      </c>
    </row>
    <row r="426" spans="1:6">
      <c r="A426" s="781">
        <v>40478</v>
      </c>
      <c r="B426" s="782" t="s">
        <v>5380</v>
      </c>
      <c r="C426" s="782" t="s">
        <v>5381</v>
      </c>
      <c r="D426" s="783">
        <v>2</v>
      </c>
      <c r="E426" s="783">
        <v>7.21</v>
      </c>
      <c r="F426" s="784">
        <v>0.27700000000000002</v>
      </c>
    </row>
    <row r="427" spans="1:6">
      <c r="A427" s="781">
        <v>40478</v>
      </c>
      <c r="B427" s="782" t="s">
        <v>5583</v>
      </c>
      <c r="C427" s="782" t="s">
        <v>5584</v>
      </c>
      <c r="D427" s="783">
        <v>2.08</v>
      </c>
      <c r="E427" s="783">
        <v>14.01</v>
      </c>
      <c r="F427" s="784">
        <v>0.14799999999999999</v>
      </c>
    </row>
    <row r="428" spans="1:6">
      <c r="A428" s="781">
        <v>40478</v>
      </c>
      <c r="B428" s="782" t="s">
        <v>5585</v>
      </c>
      <c r="C428" s="782" t="s">
        <v>5586</v>
      </c>
      <c r="D428" s="783">
        <v>1.25</v>
      </c>
      <c r="E428" s="783">
        <v>16.91</v>
      </c>
      <c r="F428" s="784">
        <v>7.3999999999999996E-2</v>
      </c>
    </row>
    <row r="429" spans="1:6">
      <c r="A429" s="781">
        <v>40473</v>
      </c>
      <c r="B429" s="782" t="s">
        <v>5587</v>
      </c>
      <c r="C429" s="782" t="s">
        <v>5588</v>
      </c>
      <c r="D429" s="783">
        <v>3</v>
      </c>
      <c r="E429" s="783">
        <v>66.97</v>
      </c>
      <c r="F429" s="784">
        <v>4.4999999999999998E-2</v>
      </c>
    </row>
    <row r="430" spans="1:6">
      <c r="A430" s="781">
        <v>40473</v>
      </c>
      <c r="B430" s="782" t="s">
        <v>5589</v>
      </c>
      <c r="C430" s="782" t="s">
        <v>5590</v>
      </c>
      <c r="D430" s="783">
        <v>2</v>
      </c>
      <c r="E430" s="783">
        <v>14.38</v>
      </c>
      <c r="F430" s="784">
        <v>0.13900000000000001</v>
      </c>
    </row>
    <row r="431" spans="1:6">
      <c r="A431" s="781">
        <v>40452</v>
      </c>
      <c r="B431" s="782" t="s">
        <v>5591</v>
      </c>
      <c r="C431" s="782" t="s">
        <v>5592</v>
      </c>
      <c r="D431" s="783">
        <v>4.7</v>
      </c>
      <c r="E431" s="783">
        <v>11.08</v>
      </c>
      <c r="F431" s="784">
        <v>0.42399999999999999</v>
      </c>
    </row>
    <row r="432" spans="1:6">
      <c r="A432" s="781">
        <v>40449</v>
      </c>
      <c r="B432" s="782" t="s">
        <v>5593</v>
      </c>
      <c r="C432" s="782" t="s">
        <v>5594</v>
      </c>
      <c r="D432" s="783">
        <v>3.8</v>
      </c>
      <c r="E432" s="783">
        <v>18.75</v>
      </c>
      <c r="F432" s="784">
        <v>0.20300000000000001</v>
      </c>
    </row>
    <row r="433" spans="1:6">
      <c r="A433" s="781">
        <v>40444</v>
      </c>
      <c r="B433" s="782" t="s">
        <v>5307</v>
      </c>
      <c r="C433" s="782" t="s">
        <v>5308</v>
      </c>
      <c r="D433" s="783">
        <v>3.25</v>
      </c>
      <c r="E433" s="783">
        <v>48.97</v>
      </c>
      <c r="F433" s="784">
        <v>6.6000000000000003E-2</v>
      </c>
    </row>
    <row r="434" spans="1:6">
      <c r="A434" s="781">
        <v>40443</v>
      </c>
      <c r="B434" s="782" t="s">
        <v>5595</v>
      </c>
      <c r="C434" s="782" t="s">
        <v>5596</v>
      </c>
      <c r="D434" s="783">
        <v>16.77</v>
      </c>
      <c r="E434" s="783">
        <v>62.91</v>
      </c>
      <c r="F434" s="784">
        <v>0.26700000000000002</v>
      </c>
    </row>
    <row r="435" spans="1:6">
      <c r="A435" s="781">
        <v>40438</v>
      </c>
      <c r="B435" s="782" t="s">
        <v>5309</v>
      </c>
      <c r="C435" s="782" t="s">
        <v>248</v>
      </c>
      <c r="D435" s="783">
        <v>13</v>
      </c>
      <c r="E435" s="783">
        <v>60.36</v>
      </c>
      <c r="F435" s="784">
        <v>0.215</v>
      </c>
    </row>
    <row r="436" spans="1:6">
      <c r="A436" s="781">
        <v>40436</v>
      </c>
      <c r="B436" s="782" t="s">
        <v>5442</v>
      </c>
      <c r="C436" s="782" t="s">
        <v>5443</v>
      </c>
      <c r="D436" s="783">
        <v>1.02</v>
      </c>
      <c r="E436" s="783">
        <v>15.75</v>
      </c>
      <c r="F436" s="784">
        <v>6.5000000000000002E-2</v>
      </c>
    </row>
    <row r="437" spans="1:6">
      <c r="A437" s="781">
        <v>40435</v>
      </c>
      <c r="B437" s="782" t="s">
        <v>5597</v>
      </c>
      <c r="C437" s="782" t="s">
        <v>5598</v>
      </c>
      <c r="D437" s="783">
        <v>0.7</v>
      </c>
      <c r="E437" s="783">
        <v>8.8800000000000008</v>
      </c>
      <c r="F437" s="784">
        <v>7.9000000000000001E-2</v>
      </c>
    </row>
    <row r="438" spans="1:6">
      <c r="A438" s="781">
        <v>40415</v>
      </c>
      <c r="B438" s="782" t="s">
        <v>5552</v>
      </c>
      <c r="C438" s="782" t="s">
        <v>5553</v>
      </c>
      <c r="D438" s="783">
        <v>2.71</v>
      </c>
      <c r="E438" s="783">
        <v>15.34</v>
      </c>
      <c r="F438" s="784">
        <v>0.17699999999999999</v>
      </c>
    </row>
    <row r="439" spans="1:6">
      <c r="A439" s="781">
        <v>40413</v>
      </c>
      <c r="B439" s="782" t="s">
        <v>5492</v>
      </c>
      <c r="C439" s="782" t="s">
        <v>5493</v>
      </c>
      <c r="D439" s="783">
        <v>8.5</v>
      </c>
      <c r="E439" s="783">
        <v>29.63</v>
      </c>
      <c r="F439" s="784">
        <v>0.28699999999999998</v>
      </c>
    </row>
    <row r="440" spans="1:6">
      <c r="A440" s="781">
        <v>40395</v>
      </c>
      <c r="B440" s="782" t="s">
        <v>5155</v>
      </c>
      <c r="C440" s="782" t="s">
        <v>5156</v>
      </c>
      <c r="D440" s="783">
        <v>2.1</v>
      </c>
      <c r="E440" s="783">
        <v>22.01</v>
      </c>
      <c r="F440" s="784">
        <v>9.5000000000000001E-2</v>
      </c>
    </row>
    <row r="441" spans="1:6">
      <c r="A441" s="781">
        <v>40367</v>
      </c>
      <c r="B441" s="782" t="s">
        <v>5599</v>
      </c>
      <c r="C441" s="782" t="s">
        <v>5600</v>
      </c>
      <c r="D441" s="783">
        <v>0.75</v>
      </c>
      <c r="E441" s="783">
        <v>3.7</v>
      </c>
      <c r="F441" s="784">
        <v>0.20300000000000001</v>
      </c>
    </row>
    <row r="442" spans="1:6">
      <c r="A442" s="781">
        <v>40365</v>
      </c>
      <c r="B442" s="782" t="s">
        <v>5601</v>
      </c>
      <c r="C442" s="782" t="s">
        <v>5602</v>
      </c>
      <c r="D442" s="783">
        <v>1</v>
      </c>
      <c r="E442" s="783">
        <v>6.68</v>
      </c>
      <c r="F442" s="784">
        <v>0.15</v>
      </c>
    </row>
    <row r="443" spans="1:6">
      <c r="A443" s="781">
        <v>40359</v>
      </c>
      <c r="B443" s="782" t="s">
        <v>5603</v>
      </c>
      <c r="C443" s="782" t="s">
        <v>5604</v>
      </c>
      <c r="D443" s="783">
        <v>1</v>
      </c>
      <c r="E443" s="783">
        <v>8.99</v>
      </c>
      <c r="F443" s="784">
        <v>0.111</v>
      </c>
    </row>
    <row r="444" spans="1:6">
      <c r="A444" s="781">
        <v>40347</v>
      </c>
      <c r="B444" s="782" t="s">
        <v>5605</v>
      </c>
      <c r="C444" s="782" t="s">
        <v>5606</v>
      </c>
      <c r="D444" s="783">
        <v>1.5</v>
      </c>
      <c r="E444" s="783">
        <v>18.62</v>
      </c>
      <c r="F444" s="784">
        <v>8.1000000000000003E-2</v>
      </c>
    </row>
    <row r="445" spans="1:6">
      <c r="A445" s="781">
        <v>40345</v>
      </c>
      <c r="B445" s="782" t="s">
        <v>5113</v>
      </c>
      <c r="C445" s="782" t="s">
        <v>5114</v>
      </c>
      <c r="D445" s="783">
        <v>0.5</v>
      </c>
      <c r="E445" s="783">
        <v>6.39</v>
      </c>
      <c r="F445" s="784">
        <v>7.8E-2</v>
      </c>
    </row>
    <row r="446" spans="1:6">
      <c r="A446" s="781">
        <v>40317</v>
      </c>
      <c r="B446" s="782" t="s">
        <v>5607</v>
      </c>
      <c r="C446" s="790" t="s">
        <v>5608</v>
      </c>
      <c r="D446" s="783">
        <v>0.75</v>
      </c>
      <c r="E446" s="783">
        <v>5</v>
      </c>
      <c r="F446" s="784">
        <v>0.15</v>
      </c>
    </row>
    <row r="447" spans="1:6">
      <c r="A447" s="781">
        <v>40284</v>
      </c>
      <c r="B447" s="782" t="s">
        <v>5589</v>
      </c>
      <c r="C447" s="782" t="s">
        <v>5590</v>
      </c>
      <c r="D447" s="783">
        <v>3</v>
      </c>
      <c r="E447" s="783">
        <v>21.73</v>
      </c>
      <c r="F447" s="784">
        <v>0.13800000000000001</v>
      </c>
    </row>
    <row r="448" spans="1:6">
      <c r="A448" s="781">
        <v>40276</v>
      </c>
      <c r="B448" s="782" t="s">
        <v>5609</v>
      </c>
      <c r="C448" s="782" t="s">
        <v>5610</v>
      </c>
      <c r="D448" s="783">
        <v>1.07</v>
      </c>
      <c r="E448" s="783">
        <v>7.84</v>
      </c>
      <c r="F448" s="784">
        <v>0.13600000000000001</v>
      </c>
    </row>
    <row r="449" spans="1:6">
      <c r="A449" s="781">
        <v>40239</v>
      </c>
      <c r="B449" s="782" t="s">
        <v>5285</v>
      </c>
      <c r="C449" s="782" t="s">
        <v>5286</v>
      </c>
      <c r="D449" s="783">
        <v>1.1000000000000001</v>
      </c>
      <c r="E449" s="783">
        <v>3.09</v>
      </c>
      <c r="F449" s="784">
        <v>0.35599999999999998</v>
      </c>
    </row>
    <row r="450" spans="1:6">
      <c r="A450" s="781">
        <v>40231</v>
      </c>
      <c r="B450" s="782" t="s">
        <v>5611</v>
      </c>
      <c r="C450" s="782" t="s">
        <v>5612</v>
      </c>
      <c r="D450" s="783">
        <v>2.0299999999999998</v>
      </c>
      <c r="E450" s="783">
        <v>14.25</v>
      </c>
      <c r="F450" s="784">
        <v>0.14199999999999999</v>
      </c>
    </row>
    <row r="451" spans="1:6">
      <c r="A451" s="781">
        <v>40231</v>
      </c>
      <c r="B451" s="782" t="s">
        <v>5613</v>
      </c>
      <c r="C451" s="782" t="s">
        <v>5614</v>
      </c>
      <c r="D451" s="783">
        <v>2</v>
      </c>
      <c r="E451" s="783">
        <v>26.62</v>
      </c>
      <c r="F451" s="784">
        <v>7.4999999999999997E-2</v>
      </c>
    </row>
    <row r="452" spans="1:6">
      <c r="A452" s="781">
        <v>40231</v>
      </c>
      <c r="B452" s="782" t="s">
        <v>5615</v>
      </c>
      <c r="C452" s="782" t="s">
        <v>5616</v>
      </c>
      <c r="D452" s="783">
        <v>2.4</v>
      </c>
      <c r="E452" s="783">
        <v>22.46</v>
      </c>
      <c r="F452" s="784">
        <v>0.107</v>
      </c>
    </row>
    <row r="453" spans="1:6">
      <c r="A453" s="781">
        <v>40226</v>
      </c>
      <c r="B453" s="782" t="s">
        <v>5617</v>
      </c>
      <c r="C453" s="782" t="s">
        <v>5618</v>
      </c>
      <c r="D453" s="783">
        <v>1.5</v>
      </c>
      <c r="E453" s="783">
        <v>15.82</v>
      </c>
      <c r="F453" s="784">
        <v>9.5000000000000001E-2</v>
      </c>
    </row>
    <row r="454" spans="1:6">
      <c r="A454" s="781">
        <v>40206</v>
      </c>
      <c r="B454" s="782" t="s">
        <v>5619</v>
      </c>
      <c r="C454" s="782" t="s">
        <v>5620</v>
      </c>
      <c r="D454" s="783">
        <v>0.5</v>
      </c>
      <c r="E454" s="783">
        <v>6.89</v>
      </c>
      <c r="F454" s="784">
        <v>7.2999999999999995E-2</v>
      </c>
    </row>
    <row r="455" spans="1:6">
      <c r="A455" s="781">
        <v>40176</v>
      </c>
      <c r="B455" s="782" t="s">
        <v>5621</v>
      </c>
      <c r="C455" s="782" t="s">
        <v>5622</v>
      </c>
      <c r="D455" s="783">
        <v>0.5</v>
      </c>
      <c r="E455" s="783">
        <v>2.25</v>
      </c>
      <c r="F455" s="784">
        <v>0.222</v>
      </c>
    </row>
    <row r="456" spans="1:6">
      <c r="A456" s="781">
        <v>40165</v>
      </c>
      <c r="B456" s="782" t="s">
        <v>5177</v>
      </c>
      <c r="C456" s="782" t="s">
        <v>5178</v>
      </c>
      <c r="D456" s="783">
        <v>3</v>
      </c>
      <c r="E456" s="783">
        <v>104</v>
      </c>
      <c r="F456" s="784">
        <v>2.9000000000000001E-2</v>
      </c>
    </row>
    <row r="457" spans="1:6">
      <c r="A457" s="781">
        <v>40165</v>
      </c>
      <c r="B457" s="782" t="s">
        <v>852</v>
      </c>
      <c r="C457" s="782" t="s">
        <v>851</v>
      </c>
      <c r="D457" s="783">
        <v>1.35</v>
      </c>
      <c r="E457" s="783">
        <v>14</v>
      </c>
      <c r="F457" s="784">
        <v>9.6000000000000002E-2</v>
      </c>
    </row>
    <row r="458" spans="1:6">
      <c r="A458" s="781">
        <v>40162</v>
      </c>
      <c r="B458" s="782" t="s">
        <v>5623</v>
      </c>
      <c r="C458" s="782" t="s">
        <v>5624</v>
      </c>
      <c r="D458" s="783">
        <v>1.19</v>
      </c>
      <c r="E458" s="783">
        <v>10.59</v>
      </c>
      <c r="F458" s="784">
        <v>1.8120000000000001</v>
      </c>
    </row>
    <row r="459" spans="1:6">
      <c r="A459" s="781">
        <v>40150</v>
      </c>
      <c r="B459" s="782" t="s">
        <v>5625</v>
      </c>
      <c r="C459" s="782" t="s">
        <v>5626</v>
      </c>
      <c r="D459" s="783">
        <v>0.5</v>
      </c>
      <c r="E459" s="783">
        <v>4.32</v>
      </c>
      <c r="F459" s="784">
        <v>0.11600000000000001</v>
      </c>
    </row>
    <row r="460" spans="1:6">
      <c r="A460" s="781">
        <v>40126</v>
      </c>
      <c r="B460" s="782" t="s">
        <v>5542</v>
      </c>
      <c r="C460" s="782" t="s">
        <v>5543</v>
      </c>
      <c r="D460" s="783">
        <v>2</v>
      </c>
      <c r="E460" s="783">
        <v>19.84</v>
      </c>
      <c r="F460" s="784">
        <v>0.10100000000000001</v>
      </c>
    </row>
    <row r="461" spans="1:6">
      <c r="A461" s="781">
        <v>40126</v>
      </c>
      <c r="B461" s="782" t="s">
        <v>5312</v>
      </c>
      <c r="C461" s="782" t="s">
        <v>5313</v>
      </c>
      <c r="D461" s="783">
        <v>4</v>
      </c>
      <c r="E461" s="783">
        <v>63.68</v>
      </c>
      <c r="F461" s="784">
        <v>6.3E-2</v>
      </c>
    </row>
    <row r="462" spans="1:6">
      <c r="A462" s="781">
        <v>40126</v>
      </c>
      <c r="B462" s="782" t="s">
        <v>5627</v>
      </c>
      <c r="C462" s="782" t="s">
        <v>5628</v>
      </c>
      <c r="D462" s="783">
        <v>2</v>
      </c>
      <c r="E462" s="783">
        <v>34.5</v>
      </c>
      <c r="F462" s="784">
        <v>5.8000000000000003E-2</v>
      </c>
    </row>
    <row r="463" spans="1:6">
      <c r="A463" s="781">
        <v>40122</v>
      </c>
      <c r="B463" s="782" t="s">
        <v>5629</v>
      </c>
      <c r="C463" s="782" t="s">
        <v>5630</v>
      </c>
      <c r="D463" s="783">
        <v>0.16</v>
      </c>
      <c r="E463" s="783">
        <v>1.17</v>
      </c>
      <c r="F463" s="784">
        <v>0.13700000000000001</v>
      </c>
    </row>
    <row r="464" spans="1:6">
      <c r="A464" s="781">
        <v>40121</v>
      </c>
      <c r="B464" s="782" t="s">
        <v>5309</v>
      </c>
      <c r="C464" s="782" t="s">
        <v>248</v>
      </c>
      <c r="D464" s="783">
        <v>10</v>
      </c>
      <c r="E464" s="783">
        <v>56</v>
      </c>
      <c r="F464" s="784">
        <v>0.17899999999999999</v>
      </c>
    </row>
    <row r="465" spans="1:6">
      <c r="A465" s="781">
        <v>40120</v>
      </c>
      <c r="B465" s="782" t="s">
        <v>5631</v>
      </c>
      <c r="C465" s="782" t="s">
        <v>5632</v>
      </c>
      <c r="D465" s="783">
        <v>2.11</v>
      </c>
      <c r="E465" s="783">
        <v>30.97</v>
      </c>
      <c r="F465" s="784">
        <v>6.8000000000000005E-2</v>
      </c>
    </row>
    <row r="466" spans="1:6">
      <c r="A466" s="781">
        <v>40115</v>
      </c>
      <c r="B466" s="782" t="s">
        <v>5633</v>
      </c>
      <c r="C466" s="782" t="s">
        <v>5634</v>
      </c>
      <c r="D466" s="783">
        <v>7.5</v>
      </c>
      <c r="E466" s="783">
        <v>32.96</v>
      </c>
      <c r="F466" s="784">
        <v>0.22800000000000001</v>
      </c>
    </row>
    <row r="467" spans="1:6">
      <c r="A467" s="781">
        <v>40115</v>
      </c>
      <c r="B467" s="782" t="s">
        <v>5633</v>
      </c>
      <c r="C467" s="782" t="s">
        <v>5634</v>
      </c>
      <c r="D467" s="783">
        <v>7.5</v>
      </c>
      <c r="E467" s="783">
        <v>32.96</v>
      </c>
      <c r="F467" s="784">
        <v>0.22800000000000001</v>
      </c>
    </row>
    <row r="468" spans="1:6">
      <c r="A468" s="781">
        <v>11286</v>
      </c>
      <c r="B468" s="782" t="s">
        <v>852</v>
      </c>
      <c r="C468" s="782" t="s">
        <v>851</v>
      </c>
      <c r="D468" s="783" t="s">
        <v>5635</v>
      </c>
      <c r="E468" s="783">
        <v>95.61</v>
      </c>
      <c r="F468" s="784">
        <v>6.2E-2</v>
      </c>
    </row>
  </sheetData>
  <hyperlinks>
    <hyperlink ref="B189" r:id="rId1" xr:uid="{00000000-0004-0000-1200-000000000000}"/>
    <hyperlink ref="B348" r:id="rId2" xr:uid="{00000000-0004-0000-1200-000001000000}"/>
    <hyperlink ref="B425" r:id="rId3" xr:uid="{00000000-0004-0000-1200-000002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Z855"/>
  <sheetViews>
    <sheetView workbookViewId="0">
      <selection activeCell="A7" sqref="A7:H8"/>
    </sheetView>
  </sheetViews>
  <sheetFormatPr defaultColWidth="12.7109375" defaultRowHeight="12.75" customHeight="1"/>
  <cols>
    <col min="1" max="1" width="19.28515625" customWidth="1"/>
    <col min="2" max="2" width="6.7109375" customWidth="1"/>
    <col min="3" max="3" width="8.28515625" customWidth="1"/>
    <col min="4" max="4" width="28.140625" style="760" customWidth="1"/>
    <col min="5" max="5" width="12.28515625" customWidth="1"/>
    <col min="6" max="6" width="12.42578125" customWidth="1"/>
    <col min="7" max="7" width="7.42578125" customWidth="1"/>
    <col min="8" max="8" width="20.7109375" customWidth="1"/>
    <col min="9" max="9" width="2.140625" customWidth="1"/>
    <col min="10" max="10" width="24.42578125" customWidth="1"/>
    <col min="11" max="11" width="16.85546875" customWidth="1"/>
    <col min="12" max="12" width="1.7109375" customWidth="1"/>
    <col min="13" max="13" width="27.28515625" customWidth="1"/>
    <col min="14" max="14" width="6.85546875" customWidth="1"/>
    <col min="15" max="15" width="6.7109375" customWidth="1"/>
    <col min="16" max="16" width="23.7109375" customWidth="1"/>
    <col min="17" max="17" width="7" customWidth="1"/>
    <col min="18" max="18" width="8" customWidth="1"/>
    <col min="19" max="19" width="8.42578125" customWidth="1"/>
    <col min="20" max="20" width="20.28515625" customWidth="1"/>
    <col min="21" max="21" width="5.85546875" customWidth="1"/>
    <col min="22" max="22" width="14.7109375" customWidth="1"/>
    <col min="23" max="23" width="4.7109375" customWidth="1"/>
    <col min="24" max="24" width="15.85546875" customWidth="1"/>
  </cols>
  <sheetData>
    <row r="1" spans="1:26">
      <c r="A1" s="247" t="s">
        <v>1127</v>
      </c>
      <c r="B1" s="248" t="s">
        <v>1128</v>
      </c>
      <c r="C1" s="247" t="s">
        <v>1129</v>
      </c>
      <c r="D1" s="247" t="s">
        <v>1130</v>
      </c>
      <c r="E1" s="247" t="s">
        <v>1131</v>
      </c>
      <c r="F1" s="247" t="s">
        <v>1132</v>
      </c>
      <c r="G1" s="247" t="s">
        <v>41</v>
      </c>
      <c r="H1" s="247" t="s">
        <v>1133</v>
      </c>
      <c r="J1" s="76" t="s">
        <v>1134</v>
      </c>
      <c r="M1" s="105" t="s">
        <v>1135</v>
      </c>
      <c r="N1" s="176" t="s">
        <v>9026</v>
      </c>
      <c r="P1" s="70" t="s">
        <v>1137</v>
      </c>
      <c r="R1" s="3" t="s">
        <v>1138</v>
      </c>
      <c r="S1" s="2105" t="s">
        <v>1139</v>
      </c>
      <c r="T1" s="2087"/>
      <c r="U1" s="2087"/>
      <c r="V1" s="3" t="s">
        <v>1140</v>
      </c>
      <c r="Z1" s="3"/>
    </row>
    <row r="2" spans="1:26">
      <c r="J2" s="9" t="s">
        <v>1144</v>
      </c>
      <c r="K2" s="9" t="s">
        <v>1145</v>
      </c>
      <c r="M2" s="93" t="s">
        <v>1146</v>
      </c>
      <c r="N2" s="173">
        <v>1</v>
      </c>
      <c r="P2" s="9"/>
      <c r="Q2" s="9" t="s">
        <v>1147</v>
      </c>
      <c r="R2" s="69"/>
      <c r="S2" s="3"/>
      <c r="V2" s="18" t="s">
        <v>1148</v>
      </c>
      <c r="W2" s="9" t="s">
        <v>1149</v>
      </c>
      <c r="X2" s="9" t="s">
        <v>1150</v>
      </c>
      <c r="Z2" s="16"/>
    </row>
    <row r="3" spans="1:26">
      <c r="J3" s="9" t="s">
        <v>1152</v>
      </c>
      <c r="K3" s="9" t="s">
        <v>1145</v>
      </c>
      <c r="M3" s="115" t="s">
        <v>1153</v>
      </c>
      <c r="N3" s="69">
        <v>1</v>
      </c>
      <c r="O3" s="9"/>
      <c r="P3" s="9" t="s">
        <v>1154</v>
      </c>
      <c r="Q3" s="9" t="s">
        <v>1147</v>
      </c>
      <c r="R3" s="69"/>
      <c r="S3" s="3"/>
      <c r="V3" s="18"/>
      <c r="W3" s="9"/>
      <c r="X3" s="9"/>
      <c r="Z3" s="16"/>
    </row>
    <row r="4" spans="1:26">
      <c r="J4" s="9" t="s">
        <v>1155</v>
      </c>
      <c r="K4" s="9" t="s">
        <v>1145</v>
      </c>
      <c r="M4" s="9" t="s">
        <v>1156</v>
      </c>
      <c r="N4" s="69">
        <v>1</v>
      </c>
      <c r="O4" s="9"/>
      <c r="P4" s="9" t="s">
        <v>8810</v>
      </c>
      <c r="Q4" s="9" t="s">
        <v>1147</v>
      </c>
      <c r="R4" s="69"/>
      <c r="S4" s="3"/>
      <c r="V4" s="18"/>
      <c r="W4" s="9"/>
      <c r="X4" s="9"/>
      <c r="Z4" s="16"/>
    </row>
    <row r="5" spans="1:26">
      <c r="A5" s="760"/>
      <c r="B5" s="1637"/>
      <c r="C5" s="8"/>
      <c r="D5" s="1959"/>
      <c r="E5" s="760"/>
      <c r="J5" s="9" t="s">
        <v>1157</v>
      </c>
      <c r="K5" s="9" t="s">
        <v>1145</v>
      </c>
      <c r="M5" s="1638" t="s">
        <v>1158</v>
      </c>
      <c r="N5" s="69">
        <v>3</v>
      </c>
      <c r="O5" s="9"/>
      <c r="R5" s="69"/>
      <c r="S5" s="3"/>
      <c r="V5" s="18"/>
      <c r="W5" s="9"/>
      <c r="X5" s="9"/>
      <c r="Z5" s="16"/>
    </row>
    <row r="6" spans="1:26" ht="14.25">
      <c r="A6" s="760"/>
      <c r="B6" s="1637"/>
      <c r="C6" s="8"/>
      <c r="D6" s="2080"/>
      <c r="E6" s="760"/>
      <c r="J6" s="9"/>
      <c r="K6" s="9"/>
      <c r="M6" s="1638" t="s">
        <v>1162</v>
      </c>
      <c r="N6" s="69">
        <v>5</v>
      </c>
      <c r="O6" s="9"/>
      <c r="P6" s="9"/>
      <c r="Q6" s="9"/>
      <c r="R6" s="69"/>
      <c r="S6" s="3"/>
      <c r="V6" s="18"/>
      <c r="W6" s="9"/>
      <c r="X6" s="9"/>
      <c r="Z6" s="16"/>
    </row>
    <row r="7" spans="1:26" ht="15">
      <c r="A7" s="760" t="s">
        <v>9018</v>
      </c>
      <c r="B7" s="1637">
        <v>45677</v>
      </c>
      <c r="C7" s="1637">
        <v>45681</v>
      </c>
      <c r="D7" s="2330" t="s">
        <v>9028</v>
      </c>
      <c r="E7" s="760" t="s">
        <v>1176</v>
      </c>
      <c r="F7" s="760" t="s">
        <v>1217</v>
      </c>
      <c r="G7">
        <v>34.71</v>
      </c>
      <c r="H7" s="1959" t="s">
        <v>9019</v>
      </c>
      <c r="J7" s="9" t="s">
        <v>1163</v>
      </c>
      <c r="K7" s="9" t="s">
        <v>1145</v>
      </c>
      <c r="M7" s="9" t="s">
        <v>1164</v>
      </c>
      <c r="N7" s="69">
        <v>3</v>
      </c>
      <c r="O7" s="9"/>
      <c r="P7" s="9"/>
      <c r="Q7" s="9"/>
      <c r="R7" s="69"/>
      <c r="S7" s="3"/>
      <c r="V7" s="18"/>
      <c r="W7" s="9"/>
      <c r="X7" s="9"/>
      <c r="Z7" s="16"/>
    </row>
    <row r="8" spans="1:26" ht="15">
      <c r="A8" s="760" t="s">
        <v>9020</v>
      </c>
      <c r="B8" s="1637">
        <v>45677</v>
      </c>
      <c r="C8" s="1637">
        <v>45681</v>
      </c>
      <c r="D8" s="2330" t="s">
        <v>9028</v>
      </c>
      <c r="E8" s="760" t="s">
        <v>1176</v>
      </c>
      <c r="F8" s="760" t="s">
        <v>1217</v>
      </c>
      <c r="G8">
        <v>9.7200000000000006</v>
      </c>
      <c r="H8" s="2326" t="s">
        <v>9021</v>
      </c>
      <c r="J8" s="9"/>
      <c r="M8" s="760" t="s">
        <v>8823</v>
      </c>
      <c r="N8" s="69">
        <v>3</v>
      </c>
      <c r="O8" s="9"/>
      <c r="P8" s="9"/>
      <c r="Q8" s="9"/>
      <c r="R8" s="69"/>
      <c r="S8" s="3"/>
      <c r="V8" s="18"/>
      <c r="W8" s="9"/>
      <c r="X8" s="9"/>
      <c r="Z8" s="16"/>
    </row>
    <row r="9" spans="1:26" ht="14.25">
      <c r="A9" s="760" t="s">
        <v>8961</v>
      </c>
      <c r="B9" s="1637">
        <v>45666</v>
      </c>
      <c r="C9" s="1637">
        <v>45672</v>
      </c>
      <c r="D9" s="2078" t="s">
        <v>8963</v>
      </c>
      <c r="E9" s="760" t="s">
        <v>1176</v>
      </c>
      <c r="G9">
        <v>23.85</v>
      </c>
      <c r="H9" s="1653" t="s">
        <v>8962</v>
      </c>
      <c r="J9" s="9" t="s">
        <v>1166</v>
      </c>
      <c r="K9" s="9" t="s">
        <v>1167</v>
      </c>
      <c r="M9" s="9" t="s">
        <v>1165</v>
      </c>
      <c r="N9" s="69">
        <v>3</v>
      </c>
      <c r="O9" s="9"/>
      <c r="P9" s="3" t="s">
        <v>8812</v>
      </c>
      <c r="Q9" s="3"/>
      <c r="R9" s="69"/>
      <c r="S9" s="3"/>
      <c r="V9" s="18"/>
      <c r="W9" s="9"/>
      <c r="X9" s="9"/>
      <c r="Z9" s="16"/>
    </row>
    <row r="10" spans="1:26">
      <c r="A10" s="2295" t="s">
        <v>8975</v>
      </c>
      <c r="B10" s="1637">
        <v>45672</v>
      </c>
      <c r="C10" s="1637">
        <v>45675</v>
      </c>
      <c r="E10" s="760" t="s">
        <v>1176</v>
      </c>
      <c r="G10">
        <v>11.27</v>
      </c>
      <c r="H10" s="1976" t="s">
        <v>8976</v>
      </c>
      <c r="J10" s="9" t="s">
        <v>1168</v>
      </c>
      <c r="K10" s="9" t="s">
        <v>1169</v>
      </c>
      <c r="M10" s="9" t="s">
        <v>9024</v>
      </c>
      <c r="N10" s="69">
        <v>1</v>
      </c>
      <c r="O10" s="9"/>
      <c r="P10" s="9"/>
      <c r="Q10" s="9"/>
      <c r="R10" s="69"/>
      <c r="S10" s="3"/>
      <c r="V10" s="18"/>
      <c r="W10" s="9"/>
      <c r="X10" s="9"/>
      <c r="Z10" s="16"/>
    </row>
    <row r="11" spans="1:26" ht="14.25">
      <c r="A11" s="760" t="s">
        <v>8967</v>
      </c>
      <c r="B11" s="1637">
        <v>45669</v>
      </c>
      <c r="C11" s="1637">
        <v>45671</v>
      </c>
      <c r="D11" s="2079" t="s">
        <v>8969</v>
      </c>
      <c r="E11" s="760" t="s">
        <v>1176</v>
      </c>
      <c r="F11" s="760" t="s">
        <v>1186</v>
      </c>
      <c r="G11">
        <v>14.25</v>
      </c>
      <c r="H11" s="1976" t="s">
        <v>8968</v>
      </c>
      <c r="J11" s="9" t="s">
        <v>1170</v>
      </c>
      <c r="K11" s="9" t="s">
        <v>1169</v>
      </c>
      <c r="M11" s="1638" t="s">
        <v>8818</v>
      </c>
      <c r="N11" s="69">
        <v>2</v>
      </c>
      <c r="O11" s="9"/>
      <c r="P11" s="9"/>
      <c r="Q11" s="9"/>
      <c r="R11" s="69"/>
      <c r="S11" s="3"/>
      <c r="V11" s="18"/>
      <c r="W11" s="9"/>
      <c r="X11" s="9"/>
      <c r="Z11" s="16"/>
    </row>
    <row r="12" spans="1:26">
      <c r="A12" s="760" t="s">
        <v>8966</v>
      </c>
      <c r="B12" s="1637"/>
      <c r="C12" s="8"/>
      <c r="D12" s="1959" t="s">
        <v>8964</v>
      </c>
      <c r="E12" s="760" t="s">
        <v>8965</v>
      </c>
      <c r="J12" s="9" t="s">
        <v>1171</v>
      </c>
      <c r="K12" s="9" t="s">
        <v>1169</v>
      </c>
      <c r="M12" s="1638" t="s">
        <v>9002</v>
      </c>
      <c r="N12" s="69">
        <v>1</v>
      </c>
      <c r="O12" s="9"/>
      <c r="P12" s="9"/>
      <c r="Q12" s="9"/>
      <c r="R12" s="69"/>
      <c r="S12" s="3"/>
      <c r="V12" s="18"/>
      <c r="W12" s="9"/>
      <c r="X12" s="9"/>
      <c r="Z12" s="16"/>
    </row>
    <row r="13" spans="1:26" ht="14.25">
      <c r="A13" s="760" t="s">
        <v>8950</v>
      </c>
      <c r="B13" s="1637">
        <v>45661</v>
      </c>
      <c r="C13" s="1637">
        <v>45665</v>
      </c>
      <c r="D13" s="2079" t="s">
        <v>8959</v>
      </c>
      <c r="E13" s="760" t="s">
        <v>1176</v>
      </c>
      <c r="F13" s="760" t="s">
        <v>1198</v>
      </c>
      <c r="G13">
        <v>39.049999999999997</v>
      </c>
      <c r="H13" s="1653" t="s">
        <v>8955</v>
      </c>
      <c r="J13" s="9" t="s">
        <v>1172</v>
      </c>
      <c r="K13" s="9" t="s">
        <v>1173</v>
      </c>
      <c r="M13" s="9" t="s">
        <v>8843</v>
      </c>
      <c r="N13" s="69">
        <v>1</v>
      </c>
      <c r="O13" s="9"/>
      <c r="P13" s="9"/>
      <c r="Q13" s="9"/>
      <c r="R13" s="69"/>
      <c r="S13" s="3"/>
      <c r="V13" s="18"/>
      <c r="W13" s="9"/>
      <c r="X13" s="9"/>
      <c r="Z13" s="16"/>
    </row>
    <row r="14" spans="1:26">
      <c r="A14" s="760" t="s">
        <v>8946</v>
      </c>
      <c r="B14" s="1637">
        <v>45658</v>
      </c>
      <c r="C14" s="2077">
        <v>45664</v>
      </c>
      <c r="D14" s="1959" t="s">
        <v>8949</v>
      </c>
      <c r="E14" s="760" t="s">
        <v>1176</v>
      </c>
      <c r="F14" s="760" t="s">
        <v>1217</v>
      </c>
      <c r="G14">
        <v>21.69</v>
      </c>
      <c r="H14" s="1653" t="s">
        <v>8947</v>
      </c>
      <c r="J14" s="9" t="s">
        <v>1178</v>
      </c>
      <c r="K14" s="9" t="s">
        <v>1169</v>
      </c>
      <c r="M14" s="9" t="s">
        <v>9025</v>
      </c>
      <c r="N14" s="69">
        <v>1</v>
      </c>
      <c r="O14" s="9"/>
      <c r="P14" s="9"/>
      <c r="Q14" s="9"/>
      <c r="R14" s="69"/>
      <c r="S14" s="3"/>
      <c r="V14" s="18"/>
      <c r="W14" s="9"/>
      <c r="X14" s="9"/>
      <c r="Z14" s="16"/>
    </row>
    <row r="15" spans="1:26" ht="14.25">
      <c r="A15" s="760" t="s">
        <v>8956</v>
      </c>
      <c r="B15" s="1637">
        <v>45661</v>
      </c>
      <c r="C15" s="1637">
        <v>45665</v>
      </c>
      <c r="D15" s="2079" t="s">
        <v>8958</v>
      </c>
      <c r="E15" s="760" t="s">
        <v>1176</v>
      </c>
      <c r="F15" s="760" t="s">
        <v>1198</v>
      </c>
      <c r="G15">
        <v>13.01</v>
      </c>
      <c r="H15" s="1653" t="s">
        <v>8957</v>
      </c>
      <c r="J15" s="9" t="s">
        <v>1182</v>
      </c>
      <c r="K15" s="9" t="s">
        <v>1183</v>
      </c>
      <c r="M15" s="3" t="s">
        <v>8811</v>
      </c>
      <c r="N15" s="6">
        <f>SUM(N2:N14)</f>
        <v>26</v>
      </c>
      <c r="O15" s="9"/>
      <c r="P15" s="9"/>
      <c r="Q15" s="9"/>
      <c r="R15" s="69"/>
      <c r="S15" s="3"/>
      <c r="V15" s="18"/>
      <c r="W15" s="9"/>
      <c r="X15" s="9"/>
      <c r="Z15" s="16"/>
    </row>
    <row r="16" spans="1:26">
      <c r="A16" s="760" t="s">
        <v>8954</v>
      </c>
      <c r="B16" s="1637">
        <v>45658</v>
      </c>
      <c r="C16" s="1637">
        <v>45661</v>
      </c>
      <c r="D16" s="1959" t="s">
        <v>8948</v>
      </c>
      <c r="E16" s="1801" t="s">
        <v>8953</v>
      </c>
      <c r="F16" s="760" t="s">
        <v>1186</v>
      </c>
      <c r="J16" s="22" t="s">
        <v>1188</v>
      </c>
      <c r="K16" s="22" t="s">
        <v>1189</v>
      </c>
      <c r="L16" s="1596"/>
      <c r="M16" s="3" t="s">
        <v>8814</v>
      </c>
      <c r="N16" s="6">
        <f>N15/5</f>
        <v>5.2</v>
      </c>
      <c r="O16" s="22"/>
      <c r="P16" s="22"/>
      <c r="Q16" s="22"/>
      <c r="R16" s="69"/>
      <c r="S16" s="3"/>
      <c r="V16" s="18"/>
      <c r="W16" s="9"/>
      <c r="X16" s="9"/>
      <c r="Z16" s="16"/>
    </row>
    <row r="17" spans="1:26">
      <c r="A17" s="1801" t="s">
        <v>8890</v>
      </c>
      <c r="B17" s="1637">
        <v>45626</v>
      </c>
      <c r="C17" s="8">
        <v>45632</v>
      </c>
      <c r="D17" s="1959" t="s">
        <v>8899</v>
      </c>
      <c r="E17" s="760" t="s">
        <v>1409</v>
      </c>
      <c r="F17" s="760" t="s">
        <v>8895</v>
      </c>
      <c r="G17">
        <v>32.03</v>
      </c>
      <c r="H17">
        <v>366147</v>
      </c>
      <c r="J17" s="22" t="s">
        <v>1194</v>
      </c>
      <c r="K17" s="22" t="s">
        <v>1195</v>
      </c>
      <c r="L17" s="1596"/>
      <c r="M17" s="22"/>
      <c r="N17" s="1641"/>
      <c r="O17" s="22"/>
      <c r="P17" s="22"/>
      <c r="Q17" s="22"/>
      <c r="R17" s="69">
        <v>1</v>
      </c>
      <c r="S17" s="250"/>
      <c r="V17" s="18"/>
      <c r="W17" s="9"/>
      <c r="X17" s="9"/>
      <c r="Z17" s="16"/>
    </row>
    <row r="18" spans="1:26">
      <c r="A18" s="760" t="s">
        <v>8905</v>
      </c>
      <c r="B18" s="1637">
        <v>45632</v>
      </c>
      <c r="C18" s="8">
        <v>45635</v>
      </c>
      <c r="D18" s="1982" t="s">
        <v>8910</v>
      </c>
      <c r="E18" s="760" t="s">
        <v>1705</v>
      </c>
      <c r="F18" s="760" t="s">
        <v>1427</v>
      </c>
      <c r="G18">
        <v>86.79</v>
      </c>
      <c r="H18" s="1976" t="s">
        <v>8904</v>
      </c>
      <c r="J18" s="9" t="s">
        <v>1200</v>
      </c>
      <c r="K18" s="9" t="s">
        <v>1195</v>
      </c>
      <c r="N18" s="69"/>
      <c r="O18" s="9"/>
      <c r="P18" s="9"/>
      <c r="Q18" s="9"/>
      <c r="R18" s="69">
        <v>1</v>
      </c>
      <c r="S18" s="250"/>
      <c r="V18" s="18"/>
      <c r="W18" s="9"/>
      <c r="X18" s="9"/>
      <c r="Z18" s="16"/>
    </row>
    <row r="19" spans="1:26">
      <c r="A19" s="760" t="s">
        <v>8865</v>
      </c>
      <c r="B19" s="8">
        <v>45613</v>
      </c>
      <c r="C19" s="8"/>
      <c r="D19" s="1945" t="s">
        <v>8837</v>
      </c>
      <c r="E19" s="760" t="s">
        <v>8866</v>
      </c>
      <c r="F19" s="760" t="s">
        <v>1186</v>
      </c>
      <c r="G19">
        <v>120</v>
      </c>
      <c r="H19" s="1942" t="s">
        <v>8867</v>
      </c>
      <c r="J19" s="9" t="s">
        <v>1204</v>
      </c>
      <c r="K19" s="9" t="s">
        <v>1195</v>
      </c>
      <c r="N19" s="69"/>
      <c r="O19" s="9"/>
      <c r="P19" s="9"/>
      <c r="Q19" s="9"/>
      <c r="S19" s="250"/>
      <c r="V19" s="18"/>
      <c r="W19" s="9"/>
      <c r="X19" s="9"/>
      <c r="Z19" s="16"/>
    </row>
    <row r="20" spans="1:26">
      <c r="A20" s="760" t="s">
        <v>8879</v>
      </c>
      <c r="B20" s="8">
        <v>45619</v>
      </c>
      <c r="C20" s="8">
        <v>45621</v>
      </c>
      <c r="D20" s="1959" t="s">
        <v>8883</v>
      </c>
      <c r="E20" s="760" t="s">
        <v>1176</v>
      </c>
      <c r="F20" s="760" t="s">
        <v>1186</v>
      </c>
      <c r="G20">
        <v>29.9</v>
      </c>
      <c r="H20" s="1653" t="s">
        <v>8880</v>
      </c>
      <c r="J20" s="9" t="s">
        <v>1208</v>
      </c>
      <c r="K20" s="9" t="s">
        <v>1209</v>
      </c>
      <c r="N20" s="69"/>
      <c r="O20" s="9"/>
      <c r="P20" s="9"/>
      <c r="Q20" s="9"/>
      <c r="R20" s="69"/>
      <c r="S20" s="250"/>
      <c r="V20" s="18"/>
      <c r="W20" s="9"/>
      <c r="X20" s="9"/>
      <c r="Z20" s="16"/>
    </row>
    <row r="21" spans="1:26">
      <c r="A21" s="760" t="s">
        <v>8873</v>
      </c>
      <c r="B21" s="8">
        <v>45616</v>
      </c>
      <c r="C21" s="8">
        <v>45618</v>
      </c>
      <c r="D21" s="1956" t="s">
        <v>8878</v>
      </c>
      <c r="E21" s="760" t="s">
        <v>1176</v>
      </c>
      <c r="G21">
        <v>27.11</v>
      </c>
      <c r="H21" s="1653" t="s">
        <v>8874</v>
      </c>
      <c r="J21" s="9" t="s">
        <v>1213</v>
      </c>
      <c r="K21" s="9" t="s">
        <v>1214</v>
      </c>
      <c r="N21" s="69"/>
      <c r="O21" s="9"/>
      <c r="P21" s="9"/>
      <c r="Q21" s="9"/>
      <c r="R21" s="69"/>
      <c r="S21" s="250"/>
      <c r="V21" s="18"/>
      <c r="W21" s="9"/>
      <c r="X21" s="9"/>
      <c r="Z21" s="16"/>
    </row>
    <row r="22" spans="1:26">
      <c r="A22" s="760" t="s">
        <v>8834</v>
      </c>
      <c r="B22" s="8">
        <v>45599</v>
      </c>
      <c r="C22" s="8">
        <v>45600</v>
      </c>
      <c r="D22" s="1945" t="s">
        <v>8837</v>
      </c>
      <c r="E22" s="760" t="s">
        <v>8835</v>
      </c>
      <c r="F22" s="760" t="s">
        <v>1198</v>
      </c>
      <c r="G22">
        <v>34.71</v>
      </c>
      <c r="H22" s="1596" t="s">
        <v>8836</v>
      </c>
      <c r="J22" s="22" t="s">
        <v>1219</v>
      </c>
      <c r="K22" s="22" t="s">
        <v>1214</v>
      </c>
      <c r="L22" s="1596"/>
      <c r="M22" s="1596"/>
      <c r="N22" s="1641"/>
      <c r="O22" s="22"/>
      <c r="P22" s="22"/>
      <c r="Q22" s="22"/>
      <c r="R22" s="69"/>
      <c r="S22" s="250"/>
      <c r="V22" s="18"/>
      <c r="W22" s="9"/>
      <c r="X22" s="9"/>
      <c r="Z22" s="16"/>
    </row>
    <row r="23" spans="1:26">
      <c r="A23" s="760" t="s">
        <v>8816</v>
      </c>
      <c r="B23" s="8">
        <v>45582</v>
      </c>
      <c r="C23" s="8">
        <v>45586</v>
      </c>
      <c r="D23" s="1945" t="s">
        <v>8820</v>
      </c>
      <c r="E23" s="760" t="s">
        <v>1176</v>
      </c>
      <c r="F23" s="760" t="s">
        <v>1186</v>
      </c>
      <c r="G23">
        <v>17.09</v>
      </c>
      <c r="H23" s="1596" t="s">
        <v>8817</v>
      </c>
      <c r="J23" s="9" t="s">
        <v>1224</v>
      </c>
      <c r="K23" s="9" t="s">
        <v>1214</v>
      </c>
      <c r="M23" s="9"/>
      <c r="N23" s="69"/>
      <c r="O23" s="9"/>
      <c r="P23" s="9"/>
      <c r="Q23" s="9"/>
      <c r="R23" s="6">
        <f>SUM(R2:R22)</f>
        <v>2</v>
      </c>
      <c r="S23" s="250"/>
      <c r="V23" s="18"/>
      <c r="W23" s="9"/>
      <c r="X23" s="9"/>
      <c r="Z23" s="16"/>
    </row>
    <row r="24" spans="1:26">
      <c r="A24" s="9" t="s">
        <v>1159</v>
      </c>
      <c r="B24" s="8">
        <v>45567</v>
      </c>
      <c r="C24" s="8">
        <v>45570</v>
      </c>
      <c r="D24" s="1945" t="s">
        <v>1160</v>
      </c>
      <c r="E24" s="9" t="s">
        <v>1161</v>
      </c>
      <c r="G24" s="9">
        <v>16.5</v>
      </c>
      <c r="H24" s="9">
        <v>13016</v>
      </c>
      <c r="J24" s="9" t="s">
        <v>1229</v>
      </c>
      <c r="K24" s="9" t="s">
        <v>1214</v>
      </c>
      <c r="M24" s="9"/>
      <c r="N24" s="69"/>
      <c r="O24" s="9"/>
      <c r="P24" s="9"/>
      <c r="Q24" s="9"/>
      <c r="R24" s="69"/>
      <c r="S24" s="250"/>
      <c r="V24" s="18"/>
      <c r="W24" s="9"/>
      <c r="X24" s="9"/>
      <c r="Z24" s="16"/>
    </row>
    <row r="25" spans="1:26">
      <c r="A25" s="760" t="s">
        <v>8803</v>
      </c>
      <c r="B25" s="8"/>
      <c r="C25" s="8"/>
      <c r="D25" s="1946" t="s">
        <v>8802</v>
      </c>
      <c r="H25" s="9"/>
      <c r="J25" s="9" t="s">
        <v>1234</v>
      </c>
      <c r="K25" s="9" t="s">
        <v>1214</v>
      </c>
      <c r="M25" s="9"/>
      <c r="N25" s="69"/>
      <c r="O25" s="9"/>
      <c r="P25" s="9"/>
      <c r="Q25" s="9"/>
      <c r="R25" s="69"/>
      <c r="S25" s="250"/>
      <c r="V25" s="18"/>
      <c r="W25" s="9"/>
      <c r="X25" s="9"/>
      <c r="Z25" s="16"/>
    </row>
    <row r="26" spans="1:26" ht="14.25">
      <c r="A26" s="9" t="s">
        <v>1141</v>
      </c>
      <c r="B26" s="8">
        <v>45566</v>
      </c>
      <c r="C26" s="8">
        <v>45572</v>
      </c>
      <c r="D26" s="1947" t="s">
        <v>8797</v>
      </c>
      <c r="E26" s="9" t="s">
        <v>1142</v>
      </c>
      <c r="F26" s="760" t="s">
        <v>1198</v>
      </c>
      <c r="G26" s="9">
        <v>88.94</v>
      </c>
      <c r="H26" s="1596" t="s">
        <v>1143</v>
      </c>
      <c r="J26" s="9" t="s">
        <v>1237</v>
      </c>
      <c r="K26" s="9" t="s">
        <v>1214</v>
      </c>
      <c r="M26" s="9"/>
      <c r="N26" s="69"/>
      <c r="O26" s="9"/>
      <c r="P26" s="9"/>
      <c r="Q26" s="9"/>
      <c r="R26" s="69"/>
      <c r="S26" s="250"/>
      <c r="V26" s="18"/>
      <c r="W26" s="9"/>
      <c r="X26" s="9"/>
      <c r="Z26" s="16"/>
    </row>
    <row r="27" spans="1:26" ht="14.25">
      <c r="A27" s="9" t="s">
        <v>1151</v>
      </c>
      <c r="B27" s="8">
        <v>45566</v>
      </c>
      <c r="C27" s="8">
        <v>45572</v>
      </c>
      <c r="D27" s="1947" t="s">
        <v>8797</v>
      </c>
      <c r="E27" s="9" t="s">
        <v>1142</v>
      </c>
      <c r="F27" s="760" t="s">
        <v>1198</v>
      </c>
      <c r="G27" s="9">
        <v>88.94</v>
      </c>
      <c r="H27" s="1596" t="s">
        <v>1143</v>
      </c>
      <c r="J27" s="9" t="s">
        <v>1242</v>
      </c>
      <c r="K27" s="9" t="s">
        <v>1214</v>
      </c>
      <c r="M27" s="9"/>
      <c r="N27" s="69"/>
      <c r="O27" s="9"/>
      <c r="P27" s="9"/>
      <c r="Q27" s="9"/>
      <c r="R27" s="69"/>
      <c r="S27" s="250"/>
      <c r="V27" s="18"/>
      <c r="W27" s="9"/>
      <c r="X27" s="9"/>
      <c r="Z27" s="16"/>
    </row>
    <row r="28" spans="1:26" ht="14.25">
      <c r="A28" s="9" t="s">
        <v>1174</v>
      </c>
      <c r="B28" s="8">
        <v>45567</v>
      </c>
      <c r="C28" s="8">
        <v>45570</v>
      </c>
      <c r="D28" s="1948" t="s">
        <v>1175</v>
      </c>
      <c r="E28" s="9" t="s">
        <v>1176</v>
      </c>
      <c r="G28" s="9">
        <v>12.97</v>
      </c>
      <c r="H28" s="1596" t="s">
        <v>1177</v>
      </c>
      <c r="J28" s="9" t="s">
        <v>1246</v>
      </c>
      <c r="K28" s="9" t="s">
        <v>1247</v>
      </c>
      <c r="M28" s="9"/>
      <c r="N28" s="69"/>
      <c r="O28" s="9"/>
      <c r="P28" s="9"/>
      <c r="Q28" s="9"/>
      <c r="R28" s="69"/>
      <c r="S28" s="250"/>
      <c r="V28" s="18"/>
      <c r="W28" s="9"/>
      <c r="X28" s="9"/>
      <c r="Z28" s="16"/>
    </row>
    <row r="29" spans="1:26" ht="14.25">
      <c r="A29" s="9" t="s">
        <v>1179</v>
      </c>
      <c r="B29" s="8">
        <v>45566</v>
      </c>
      <c r="C29" s="8">
        <v>45569</v>
      </c>
      <c r="D29" s="1948" t="s">
        <v>1180</v>
      </c>
      <c r="E29" s="9" t="s">
        <v>1176</v>
      </c>
      <c r="G29" s="9">
        <v>18.54</v>
      </c>
      <c r="H29" s="1596" t="s">
        <v>1181</v>
      </c>
      <c r="J29" s="9" t="s">
        <v>1251</v>
      </c>
      <c r="K29" s="9" t="s">
        <v>1247</v>
      </c>
      <c r="M29" s="9"/>
      <c r="N29" s="69"/>
      <c r="O29" s="9"/>
      <c r="P29" s="9"/>
      <c r="Q29" s="9"/>
      <c r="R29" s="69"/>
      <c r="S29" s="250"/>
      <c r="V29" s="18"/>
      <c r="W29" s="9"/>
      <c r="X29" s="9"/>
      <c r="Z29" s="16"/>
    </row>
    <row r="30" spans="1:26" s="1596" customFormat="1" ht="14.25">
      <c r="A30" s="22" t="s">
        <v>1184</v>
      </c>
      <c r="B30" s="1640">
        <v>45562</v>
      </c>
      <c r="C30" s="1640">
        <v>45565</v>
      </c>
      <c r="D30" s="1949" t="s">
        <v>1185</v>
      </c>
      <c r="E30" s="22" t="s">
        <v>1176</v>
      </c>
      <c r="F30" s="22" t="s">
        <v>1186</v>
      </c>
      <c r="G30" s="22">
        <v>30.57</v>
      </c>
      <c r="H30" s="9" t="s">
        <v>1187</v>
      </c>
      <c r="J30" s="9" t="s">
        <v>1256</v>
      </c>
      <c r="K30" s="9" t="s">
        <v>1257</v>
      </c>
      <c r="L30"/>
      <c r="M30" s="9"/>
      <c r="N30" s="69"/>
      <c r="O30" s="9"/>
      <c r="P30" s="9"/>
      <c r="Q30" s="9"/>
      <c r="R30" s="1641"/>
      <c r="S30" s="1642"/>
      <c r="V30" s="1643" t="s">
        <v>1190</v>
      </c>
      <c r="W30" s="22" t="s">
        <v>1149</v>
      </c>
      <c r="X30" s="22" t="s">
        <v>1191</v>
      </c>
      <c r="Z30" s="1597"/>
    </row>
    <row r="31" spans="1:26" s="1596" customFormat="1" ht="14.25">
      <c r="A31" s="22" t="s">
        <v>1192</v>
      </c>
      <c r="B31" s="1640">
        <v>45563</v>
      </c>
      <c r="C31" s="1640">
        <v>45565</v>
      </c>
      <c r="D31" s="1949" t="s">
        <v>1193</v>
      </c>
      <c r="E31" s="22" t="s">
        <v>1176</v>
      </c>
      <c r="F31" s="22" t="s">
        <v>1186</v>
      </c>
      <c r="G31" s="22">
        <v>25.83</v>
      </c>
      <c r="H31" s="1850" t="s">
        <v>8819</v>
      </c>
      <c r="J31" s="18" t="s">
        <v>1260</v>
      </c>
      <c r="K31" s="9" t="s">
        <v>1261</v>
      </c>
      <c r="L31"/>
      <c r="M31"/>
      <c r="N31"/>
      <c r="O31"/>
      <c r="P31"/>
      <c r="Q31"/>
      <c r="R31" s="1641"/>
      <c r="V31" s="1643"/>
      <c r="W31" s="22"/>
      <c r="X31" s="22"/>
      <c r="Z31" s="1597"/>
    </row>
    <row r="32" spans="1:26" ht="14.25">
      <c r="A32" s="9" t="s">
        <v>1196</v>
      </c>
      <c r="B32" s="8">
        <v>45558</v>
      </c>
      <c r="C32" s="8">
        <v>45560</v>
      </c>
      <c r="D32" s="1950" t="s">
        <v>1197</v>
      </c>
      <c r="E32" s="9" t="s">
        <v>1176</v>
      </c>
      <c r="F32" s="9" t="s">
        <v>1198</v>
      </c>
      <c r="G32" s="9">
        <v>10.84</v>
      </c>
      <c r="H32" s="9" t="s">
        <v>1199</v>
      </c>
      <c r="J32" s="760" t="s">
        <v>8951</v>
      </c>
      <c r="K32" s="9" t="s">
        <v>1261</v>
      </c>
      <c r="R32" s="69"/>
      <c r="V32" s="18"/>
      <c r="W32" s="9"/>
      <c r="X32" s="9"/>
      <c r="Z32" s="16"/>
    </row>
    <row r="33" spans="1:26" ht="14.25">
      <c r="A33" s="9" t="s">
        <v>1201</v>
      </c>
      <c r="B33" s="8">
        <v>45557</v>
      </c>
      <c r="C33" s="8">
        <v>45560</v>
      </c>
      <c r="D33" s="1950" t="s">
        <v>1202</v>
      </c>
      <c r="E33" s="9" t="s">
        <v>1176</v>
      </c>
      <c r="F33" s="9" t="s">
        <v>1198</v>
      </c>
      <c r="G33" s="9">
        <v>10.72</v>
      </c>
      <c r="H33" s="1596" t="s">
        <v>1203</v>
      </c>
      <c r="R33" s="69"/>
      <c r="V33" s="18"/>
      <c r="W33" s="9"/>
      <c r="X33" s="9"/>
      <c r="Z33" s="16"/>
    </row>
    <row r="34" spans="1:26" ht="14.25">
      <c r="A34" s="9" t="s">
        <v>1205</v>
      </c>
      <c r="B34" s="8">
        <v>45548</v>
      </c>
      <c r="C34" s="8">
        <v>45553</v>
      </c>
      <c r="D34" s="1950" t="s">
        <v>1206</v>
      </c>
      <c r="E34" s="9" t="s">
        <v>1176</v>
      </c>
      <c r="G34" s="9">
        <v>9.41</v>
      </c>
      <c r="H34" s="1596" t="s">
        <v>1207</v>
      </c>
      <c r="R34" s="69"/>
      <c r="V34" s="18"/>
      <c r="W34" s="9"/>
      <c r="X34" s="9"/>
      <c r="Z34" s="16"/>
    </row>
    <row r="35" spans="1:26" ht="14.25">
      <c r="A35" s="9" t="s">
        <v>1210</v>
      </c>
      <c r="B35" s="8">
        <v>45550</v>
      </c>
      <c r="C35" s="8">
        <v>45553</v>
      </c>
      <c r="D35" s="1950" t="s">
        <v>1211</v>
      </c>
      <c r="E35" s="9" t="s">
        <v>1176</v>
      </c>
      <c r="F35" s="9" t="s">
        <v>1198</v>
      </c>
      <c r="G35" s="9">
        <v>4.33</v>
      </c>
      <c r="H35" s="1596" t="s">
        <v>1212</v>
      </c>
      <c r="J35" s="760" t="s">
        <v>8952</v>
      </c>
      <c r="R35" s="69"/>
      <c r="V35" s="18"/>
      <c r="W35" s="9"/>
      <c r="X35" s="9"/>
      <c r="Z35" s="16"/>
    </row>
    <row r="36" spans="1:26" s="1596" customFormat="1" ht="14.25">
      <c r="A36" s="22" t="s">
        <v>1215</v>
      </c>
      <c r="B36" s="1640">
        <v>45537</v>
      </c>
      <c r="C36" s="1640">
        <v>45551</v>
      </c>
      <c r="D36" s="1951" t="s">
        <v>1216</v>
      </c>
      <c r="E36" s="22" t="s">
        <v>1176</v>
      </c>
      <c r="F36" s="22" t="s">
        <v>1217</v>
      </c>
      <c r="G36" s="22">
        <v>23.39</v>
      </c>
      <c r="H36" s="1596" t="s">
        <v>1218</v>
      </c>
      <c r="R36" s="1641"/>
      <c r="V36" s="1643"/>
      <c r="W36" s="22"/>
      <c r="X36" s="22"/>
      <c r="Z36" s="1597"/>
    </row>
    <row r="37" spans="1:26" ht="14.25">
      <c r="A37" s="9" t="s">
        <v>1220</v>
      </c>
      <c r="B37" s="8">
        <v>45545</v>
      </c>
      <c r="C37" s="8">
        <v>45551</v>
      </c>
      <c r="D37" s="1950" t="s">
        <v>1221</v>
      </c>
      <c r="E37" s="9" t="s">
        <v>1222</v>
      </c>
      <c r="F37" s="9" t="s">
        <v>1217</v>
      </c>
      <c r="G37" s="9">
        <v>32.869999999999997</v>
      </c>
      <c r="H37" s="1596" t="s">
        <v>1223</v>
      </c>
      <c r="R37" s="69"/>
      <c r="V37" s="18"/>
      <c r="W37" s="9"/>
      <c r="X37" s="9"/>
      <c r="Z37" s="16"/>
    </row>
    <row r="38" spans="1:26" ht="14.25">
      <c r="A38" s="9" t="s">
        <v>1225</v>
      </c>
      <c r="B38" s="8">
        <v>45545</v>
      </c>
      <c r="C38" s="8">
        <v>45551</v>
      </c>
      <c r="D38" s="1950" t="s">
        <v>1226</v>
      </c>
      <c r="E38" s="9" t="s">
        <v>1227</v>
      </c>
      <c r="F38" s="9" t="s">
        <v>1198</v>
      </c>
      <c r="G38" s="9">
        <v>21.34</v>
      </c>
      <c r="H38" s="1596" t="s">
        <v>1228</v>
      </c>
      <c r="R38" s="69"/>
      <c r="V38" s="18"/>
      <c r="W38" s="9"/>
      <c r="X38" s="9"/>
      <c r="Z38" s="16"/>
    </row>
    <row r="39" spans="1:26" ht="25.5">
      <c r="A39" s="9" t="s">
        <v>1230</v>
      </c>
      <c r="B39" s="8">
        <v>45536</v>
      </c>
      <c r="C39" s="8">
        <v>45551</v>
      </c>
      <c r="D39" s="1950" t="s">
        <v>1231</v>
      </c>
      <c r="E39" s="9" t="s">
        <v>1232</v>
      </c>
      <c r="F39" s="9" t="s">
        <v>1232</v>
      </c>
      <c r="G39" s="9">
        <v>169.17</v>
      </c>
      <c r="H39" s="9" t="s">
        <v>1233</v>
      </c>
      <c r="R39" s="69"/>
      <c r="V39" s="18"/>
      <c r="W39" s="9"/>
      <c r="X39" s="9"/>
      <c r="Z39" s="16"/>
    </row>
    <row r="40" spans="1:26">
      <c r="A40" s="9" t="s">
        <v>1235</v>
      </c>
      <c r="B40" s="8">
        <v>45547</v>
      </c>
      <c r="C40" s="8">
        <v>45551</v>
      </c>
      <c r="D40" s="1952"/>
      <c r="E40" s="9" t="s">
        <v>1176</v>
      </c>
      <c r="G40" s="9">
        <v>10.84</v>
      </c>
      <c r="H40" s="1596" t="s">
        <v>1236</v>
      </c>
      <c r="R40" s="69"/>
      <c r="V40" s="18"/>
      <c r="W40" s="9"/>
      <c r="X40" s="9"/>
      <c r="Z40" s="16"/>
    </row>
    <row r="41" spans="1:26" ht="14.25">
      <c r="A41" s="9" t="s">
        <v>1238</v>
      </c>
      <c r="B41" s="8">
        <v>45545</v>
      </c>
      <c r="C41" s="8">
        <v>45547</v>
      </c>
      <c r="D41" s="1953" t="s">
        <v>1239</v>
      </c>
      <c r="E41" s="9" t="s">
        <v>1240</v>
      </c>
      <c r="F41" s="9" t="s">
        <v>1198</v>
      </c>
      <c r="G41" s="9">
        <v>41.95</v>
      </c>
      <c r="H41" s="9" t="s">
        <v>1241</v>
      </c>
      <c r="R41" s="69"/>
      <c r="V41" s="18"/>
      <c r="W41" s="9"/>
      <c r="X41" s="9"/>
      <c r="Z41" s="16"/>
    </row>
    <row r="42" spans="1:26" ht="14.25">
      <c r="A42" s="9" t="s">
        <v>1243</v>
      </c>
      <c r="B42" s="8">
        <v>45546</v>
      </c>
      <c r="C42" s="8">
        <v>45545</v>
      </c>
      <c r="D42" s="1954" t="s">
        <v>1244</v>
      </c>
      <c r="E42" s="9" t="s">
        <v>1245</v>
      </c>
      <c r="F42" s="9" t="s">
        <v>1217</v>
      </c>
      <c r="G42" s="9">
        <v>0</v>
      </c>
      <c r="R42" s="69"/>
      <c r="V42" s="18"/>
      <c r="W42" s="9"/>
      <c r="X42" s="9"/>
      <c r="Z42" s="16"/>
    </row>
    <row r="43" spans="1:26" ht="14.25">
      <c r="A43" s="9" t="s">
        <v>1248</v>
      </c>
      <c r="B43" s="8">
        <v>45536</v>
      </c>
      <c r="C43" s="8">
        <v>45539</v>
      </c>
      <c r="D43" s="1950" t="s">
        <v>1249</v>
      </c>
      <c r="E43" s="9" t="s">
        <v>1222</v>
      </c>
      <c r="F43" s="9" t="s">
        <v>1198</v>
      </c>
      <c r="G43" s="9">
        <v>25.76</v>
      </c>
      <c r="H43" s="253" t="s">
        <v>1250</v>
      </c>
      <c r="R43" s="69"/>
      <c r="V43" s="18"/>
      <c r="W43" s="9"/>
      <c r="X43" s="9"/>
      <c r="Z43" s="16"/>
    </row>
    <row r="44" spans="1:26" ht="25.5">
      <c r="A44" s="22" t="s">
        <v>1252</v>
      </c>
      <c r="B44" s="8">
        <v>45522</v>
      </c>
      <c r="D44" s="1948" t="s">
        <v>1253</v>
      </c>
      <c r="E44" s="9" t="s">
        <v>1254</v>
      </c>
      <c r="F44" s="9" t="s">
        <v>1255</v>
      </c>
      <c r="G44" s="9">
        <v>28.11</v>
      </c>
      <c r="H44" s="254">
        <v>294052</v>
      </c>
      <c r="R44" s="69"/>
      <c r="V44" s="18"/>
      <c r="W44" s="9"/>
      <c r="X44" s="9"/>
      <c r="Z44" s="16"/>
    </row>
    <row r="45" spans="1:26">
      <c r="A45" s="9" t="s">
        <v>1258</v>
      </c>
      <c r="B45" s="8">
        <v>45520</v>
      </c>
      <c r="C45" s="8">
        <v>45524</v>
      </c>
      <c r="D45" s="1952"/>
      <c r="E45" s="9" t="s">
        <v>1176</v>
      </c>
      <c r="H45" s="249" t="s">
        <v>1259</v>
      </c>
      <c r="V45" s="18"/>
      <c r="W45" s="9"/>
      <c r="X45" s="9"/>
      <c r="Z45" s="16"/>
    </row>
    <row r="46" spans="1:26">
      <c r="A46" s="9" t="s">
        <v>1262</v>
      </c>
      <c r="B46" s="8">
        <v>45520</v>
      </c>
      <c r="C46" s="8">
        <v>45524</v>
      </c>
      <c r="D46" s="1952"/>
      <c r="E46" s="9" t="s">
        <v>1176</v>
      </c>
      <c r="H46" s="249" t="s">
        <v>1263</v>
      </c>
      <c r="V46" s="18"/>
      <c r="W46" s="9"/>
      <c r="X46" s="9"/>
      <c r="Z46" s="16"/>
    </row>
    <row r="47" spans="1:26">
      <c r="A47" s="9" t="s">
        <v>1264</v>
      </c>
      <c r="B47" s="8">
        <v>45520</v>
      </c>
      <c r="C47" s="8">
        <v>45524</v>
      </c>
      <c r="D47" s="1952"/>
      <c r="E47" s="9" t="s">
        <v>1176</v>
      </c>
      <c r="H47" s="249" t="s">
        <v>1265</v>
      </c>
      <c r="V47" s="18"/>
      <c r="W47" s="9"/>
      <c r="X47" s="9"/>
      <c r="Z47" s="16"/>
    </row>
    <row r="48" spans="1:26" ht="14.25">
      <c r="A48" s="9" t="s">
        <v>1266</v>
      </c>
      <c r="B48" s="8">
        <v>45518</v>
      </c>
      <c r="C48" s="8">
        <v>45520</v>
      </c>
      <c r="D48" s="1948" t="s">
        <v>1267</v>
      </c>
      <c r="E48" s="9" t="s">
        <v>1176</v>
      </c>
      <c r="F48" s="9" t="s">
        <v>1186</v>
      </c>
      <c r="G48" s="9">
        <v>13.99</v>
      </c>
      <c r="H48" s="255" t="s">
        <v>1268</v>
      </c>
      <c r="V48" s="18"/>
      <c r="W48" s="9"/>
      <c r="X48" s="9"/>
      <c r="Z48" s="16"/>
    </row>
    <row r="49" spans="1:26" ht="14.25">
      <c r="A49" s="9" t="s">
        <v>1269</v>
      </c>
      <c r="B49" s="8">
        <v>45518</v>
      </c>
      <c r="C49" s="8">
        <v>45520</v>
      </c>
      <c r="D49" s="1948" t="s">
        <v>1267</v>
      </c>
      <c r="E49" s="9" t="s">
        <v>1176</v>
      </c>
      <c r="F49" s="9" t="s">
        <v>1186</v>
      </c>
      <c r="G49" s="9">
        <v>17.989999999999998</v>
      </c>
      <c r="H49" s="255" t="s">
        <v>1268</v>
      </c>
      <c r="V49" s="18"/>
      <c r="W49" s="9"/>
      <c r="X49" s="9"/>
      <c r="Z49" s="16"/>
    </row>
    <row r="50" spans="1:26" ht="14.25">
      <c r="A50" s="9" t="s">
        <v>1270</v>
      </c>
      <c r="B50" s="8">
        <v>45518</v>
      </c>
      <c r="C50" s="8">
        <v>45520</v>
      </c>
      <c r="D50" s="1948" t="s">
        <v>1267</v>
      </c>
      <c r="E50" s="9" t="s">
        <v>1176</v>
      </c>
      <c r="F50" s="9" t="s">
        <v>1186</v>
      </c>
      <c r="G50" s="9">
        <v>5.39</v>
      </c>
      <c r="H50" s="255" t="s">
        <v>1268</v>
      </c>
      <c r="V50" s="18"/>
      <c r="W50" s="9"/>
      <c r="X50" s="9"/>
      <c r="Z50" s="16"/>
    </row>
    <row r="51" spans="1:26" ht="28.5">
      <c r="A51" s="9" t="s">
        <v>1271</v>
      </c>
      <c r="B51" s="8">
        <v>45489</v>
      </c>
      <c r="C51" s="8">
        <v>45500</v>
      </c>
      <c r="D51" s="1948" t="s">
        <v>1272</v>
      </c>
      <c r="E51" s="9" t="s">
        <v>1176</v>
      </c>
      <c r="F51" s="9" t="s">
        <v>1198</v>
      </c>
      <c r="G51" s="9">
        <v>14.65</v>
      </c>
      <c r="H51" s="249" t="s">
        <v>1273</v>
      </c>
      <c r="V51" s="18"/>
      <c r="W51" s="9"/>
      <c r="X51" s="9"/>
      <c r="Z51" s="16"/>
    </row>
    <row r="52" spans="1:26">
      <c r="A52" s="9" t="s">
        <v>1274</v>
      </c>
      <c r="B52" s="8">
        <v>45495</v>
      </c>
      <c r="C52" s="8">
        <v>45497</v>
      </c>
      <c r="D52" s="1952"/>
      <c r="E52" s="9" t="s">
        <v>1176</v>
      </c>
      <c r="F52" s="9" t="s">
        <v>1186</v>
      </c>
      <c r="G52" s="9">
        <v>21.69</v>
      </c>
      <c r="H52" s="249" t="s">
        <v>1275</v>
      </c>
      <c r="V52" s="18"/>
      <c r="W52" s="9"/>
      <c r="X52" s="9"/>
      <c r="Z52" s="16"/>
    </row>
    <row r="53" spans="1:26">
      <c r="A53" s="9" t="s">
        <v>1276</v>
      </c>
      <c r="B53" s="8">
        <v>45491</v>
      </c>
      <c r="C53" s="8">
        <v>45497</v>
      </c>
      <c r="D53" s="1952"/>
      <c r="E53" s="9" t="s">
        <v>1114</v>
      </c>
      <c r="F53" s="9" t="s">
        <v>1186</v>
      </c>
      <c r="G53" s="9">
        <v>0</v>
      </c>
      <c r="V53" s="18"/>
      <c r="W53" s="9"/>
      <c r="X53" s="9"/>
      <c r="Z53" s="16"/>
    </row>
    <row r="54" spans="1:26" ht="30">
      <c r="A54" s="9" t="s">
        <v>1277</v>
      </c>
      <c r="B54" s="8">
        <v>45489</v>
      </c>
      <c r="D54" s="1955" t="s">
        <v>1278</v>
      </c>
      <c r="E54" s="9" t="s">
        <v>1279</v>
      </c>
      <c r="F54" s="9" t="s">
        <v>1186</v>
      </c>
      <c r="H54" s="256">
        <v>17891984856</v>
      </c>
      <c r="V54" s="18"/>
      <c r="W54" s="9"/>
      <c r="X54" s="9"/>
      <c r="Z54" s="16"/>
    </row>
    <row r="55" spans="1:26" ht="14.25">
      <c r="A55" s="9" t="s">
        <v>1280</v>
      </c>
      <c r="B55" s="8">
        <v>45489</v>
      </c>
      <c r="D55" s="1950" t="s">
        <v>1281</v>
      </c>
      <c r="E55" s="9" t="s">
        <v>1279</v>
      </c>
      <c r="F55" s="9" t="s">
        <v>1186</v>
      </c>
      <c r="H55" s="256">
        <v>900688636</v>
      </c>
      <c r="V55" s="18"/>
      <c r="W55" s="9"/>
      <c r="X55" s="9"/>
      <c r="Z55" s="16"/>
    </row>
    <row r="56" spans="1:26" ht="14.25">
      <c r="A56" s="9" t="s">
        <v>1282</v>
      </c>
      <c r="B56" s="8">
        <v>45489</v>
      </c>
      <c r="C56" s="8">
        <v>45491</v>
      </c>
      <c r="D56" s="251" t="s">
        <v>1283</v>
      </c>
      <c r="E56" s="9" t="s">
        <v>1176</v>
      </c>
      <c r="F56" s="9" t="s">
        <v>1186</v>
      </c>
      <c r="G56" s="9">
        <v>16.48</v>
      </c>
      <c r="H56" s="249" t="s">
        <v>1284</v>
      </c>
      <c r="V56" s="18"/>
      <c r="W56" s="9"/>
      <c r="X56" s="9"/>
      <c r="Z56" s="16"/>
    </row>
    <row r="57" spans="1:26" ht="24">
      <c r="A57" s="9" t="s">
        <v>1285</v>
      </c>
      <c r="B57" s="8">
        <v>45314</v>
      </c>
      <c r="C57" s="9" t="s">
        <v>1286</v>
      </c>
      <c r="D57" s="251" t="s">
        <v>1287</v>
      </c>
      <c r="E57" s="9" t="s">
        <v>69</v>
      </c>
      <c r="F57" s="112" t="s">
        <v>1288</v>
      </c>
      <c r="G57" s="9">
        <v>1217</v>
      </c>
      <c r="H57" s="249" t="s">
        <v>1289</v>
      </c>
      <c r="V57" s="18"/>
      <c r="W57" s="9"/>
      <c r="X57" s="9"/>
      <c r="Z57" s="16"/>
    </row>
    <row r="58" spans="1:26" ht="14.25">
      <c r="A58" s="9" t="s">
        <v>1290</v>
      </c>
      <c r="B58" s="8">
        <v>45329</v>
      </c>
      <c r="C58" s="8">
        <v>45331</v>
      </c>
      <c r="D58" s="251" t="s">
        <v>1291</v>
      </c>
      <c r="E58" s="9" t="s">
        <v>69</v>
      </c>
      <c r="F58" s="9" t="s">
        <v>1198</v>
      </c>
      <c r="G58" s="9">
        <v>10.84</v>
      </c>
      <c r="H58" s="257" t="s">
        <v>1292</v>
      </c>
      <c r="M58" s="9"/>
      <c r="N58" s="69"/>
      <c r="O58" s="9"/>
      <c r="P58" s="9"/>
      <c r="Q58" s="9"/>
      <c r="R58" s="69"/>
      <c r="V58" s="18"/>
      <c r="W58" s="9"/>
      <c r="X58" s="9"/>
      <c r="Z58" s="16"/>
    </row>
    <row r="59" spans="1:26" ht="14.25">
      <c r="A59" s="9" t="s">
        <v>1293</v>
      </c>
      <c r="B59" s="8">
        <v>45330</v>
      </c>
      <c r="C59" s="8">
        <v>45331</v>
      </c>
      <c r="D59" s="251" t="s">
        <v>1294</v>
      </c>
      <c r="E59" s="9" t="s">
        <v>69</v>
      </c>
      <c r="F59" s="9" t="s">
        <v>1186</v>
      </c>
      <c r="G59" s="9">
        <v>10.84</v>
      </c>
      <c r="H59" s="258" t="s">
        <v>1295</v>
      </c>
      <c r="M59" s="9"/>
      <c r="N59" s="69"/>
      <c r="O59" s="9"/>
      <c r="P59" s="9"/>
      <c r="Q59" s="9"/>
      <c r="R59" s="69"/>
      <c r="V59" s="18"/>
      <c r="W59" s="9"/>
      <c r="X59" s="9"/>
      <c r="Z59" s="16"/>
    </row>
    <row r="60" spans="1:26" ht="14.25">
      <c r="A60" s="9" t="s">
        <v>1296</v>
      </c>
      <c r="B60" s="8">
        <v>45327</v>
      </c>
      <c r="C60" s="8">
        <v>45328</v>
      </c>
      <c r="D60" s="251" t="s">
        <v>1297</v>
      </c>
      <c r="E60" s="9" t="s">
        <v>69</v>
      </c>
      <c r="F60" s="9" t="s">
        <v>1186</v>
      </c>
      <c r="G60" s="9">
        <v>6.5</v>
      </c>
      <c r="H60" s="259" t="s">
        <v>1298</v>
      </c>
      <c r="M60" s="9"/>
      <c r="N60" s="69"/>
      <c r="O60" s="9"/>
      <c r="P60" s="9"/>
      <c r="Q60" s="9"/>
      <c r="R60" s="69"/>
      <c r="V60" s="18"/>
      <c r="W60" s="9"/>
      <c r="X60" s="9"/>
      <c r="Z60" s="16"/>
    </row>
    <row r="61" spans="1:26" ht="14.25">
      <c r="A61" s="9" t="s">
        <v>1299</v>
      </c>
      <c r="B61" s="8">
        <v>45327</v>
      </c>
      <c r="C61" s="8">
        <v>45328</v>
      </c>
      <c r="D61" s="251" t="s">
        <v>1300</v>
      </c>
      <c r="E61" s="9" t="s">
        <v>69</v>
      </c>
      <c r="G61" s="9">
        <v>20.05</v>
      </c>
      <c r="H61" s="249" t="s">
        <v>1301</v>
      </c>
      <c r="M61" s="9"/>
      <c r="N61" s="69"/>
      <c r="O61" s="9"/>
      <c r="P61" s="9"/>
      <c r="Q61" s="9"/>
      <c r="R61" s="69"/>
      <c r="V61" s="18"/>
      <c r="W61" s="9"/>
      <c r="X61" s="9"/>
      <c r="Z61" s="16"/>
    </row>
    <row r="62" spans="1:26" ht="14.25">
      <c r="A62" s="22" t="s">
        <v>1302</v>
      </c>
      <c r="B62" s="8">
        <v>45313</v>
      </c>
      <c r="C62" s="8">
        <v>45323</v>
      </c>
      <c r="D62" s="260" t="s">
        <v>1303</v>
      </c>
      <c r="E62" s="9" t="s">
        <v>293</v>
      </c>
      <c r="F62" s="9" t="s">
        <v>1198</v>
      </c>
      <c r="G62" s="9">
        <v>16.52</v>
      </c>
      <c r="H62" s="261" t="s">
        <v>1304</v>
      </c>
      <c r="M62" s="9"/>
      <c r="N62" s="69"/>
      <c r="O62" s="9"/>
      <c r="P62" s="9"/>
      <c r="Q62" s="9"/>
      <c r="R62" s="69"/>
      <c r="V62" s="18"/>
      <c r="W62" s="9"/>
      <c r="X62" s="9"/>
      <c r="Z62" s="16"/>
    </row>
    <row r="63" spans="1:26" ht="25.5">
      <c r="A63" s="9" t="s">
        <v>1305</v>
      </c>
      <c r="B63" s="9">
        <v>1712</v>
      </c>
      <c r="D63" s="262" t="s">
        <v>1306</v>
      </c>
      <c r="E63" s="253" t="s">
        <v>1307</v>
      </c>
      <c r="F63" s="9" t="s">
        <v>1198</v>
      </c>
      <c r="G63" s="9">
        <v>45.17</v>
      </c>
      <c r="H63" s="261" t="s">
        <v>1308</v>
      </c>
      <c r="M63" s="9"/>
      <c r="N63" s="69"/>
      <c r="O63" s="9"/>
      <c r="P63" s="9"/>
      <c r="Q63" s="9"/>
      <c r="R63" s="69"/>
      <c r="V63" s="18"/>
      <c r="W63" s="9"/>
      <c r="X63" s="9"/>
      <c r="Z63" s="16"/>
    </row>
    <row r="64" spans="1:26" ht="25.5">
      <c r="A64" s="9" t="s">
        <v>1309</v>
      </c>
      <c r="B64" s="8">
        <v>45306</v>
      </c>
      <c r="C64" s="8">
        <v>45310</v>
      </c>
      <c r="D64" s="251" t="s">
        <v>1310</v>
      </c>
      <c r="E64" s="9" t="s">
        <v>1311</v>
      </c>
      <c r="F64" s="9" t="s">
        <v>1198</v>
      </c>
      <c r="G64" s="9">
        <v>10.84</v>
      </c>
      <c r="H64" s="249" t="s">
        <v>1312</v>
      </c>
      <c r="M64" s="9"/>
      <c r="N64" s="69"/>
      <c r="O64" s="9"/>
      <c r="P64" s="9"/>
      <c r="Q64" s="9"/>
      <c r="R64" s="69"/>
      <c r="V64" s="18"/>
      <c r="W64" s="9"/>
      <c r="X64" s="9"/>
      <c r="Z64" s="16"/>
    </row>
    <row r="65" spans="1:26" ht="25.5">
      <c r="A65" s="9" t="s">
        <v>1313</v>
      </c>
      <c r="B65" s="8">
        <v>45306</v>
      </c>
      <c r="C65" s="8">
        <v>45310</v>
      </c>
      <c r="D65" s="263" t="s">
        <v>1314</v>
      </c>
      <c r="E65" s="9" t="s">
        <v>1311</v>
      </c>
      <c r="F65" s="9" t="s">
        <v>1198</v>
      </c>
      <c r="G65" s="9">
        <v>27.07</v>
      </c>
      <c r="H65" s="261" t="s">
        <v>1315</v>
      </c>
      <c r="M65" s="9"/>
      <c r="N65" s="69"/>
      <c r="O65" s="9"/>
      <c r="P65" s="9"/>
      <c r="Q65" s="9"/>
      <c r="R65" s="69"/>
      <c r="V65" s="18"/>
      <c r="W65" s="9"/>
      <c r="X65" s="9"/>
      <c r="Z65" s="16"/>
    </row>
    <row r="66" spans="1:26" ht="25.5">
      <c r="A66" s="9" t="s">
        <v>1316</v>
      </c>
      <c r="B66" s="8">
        <v>45306</v>
      </c>
      <c r="C66" s="8">
        <v>45308</v>
      </c>
      <c r="D66" s="251" t="s">
        <v>1317</v>
      </c>
      <c r="E66" s="9" t="s">
        <v>1311</v>
      </c>
      <c r="F66" s="9" t="s">
        <v>1198</v>
      </c>
      <c r="G66" s="9">
        <v>16.23</v>
      </c>
      <c r="H66" s="249" t="s">
        <v>1318</v>
      </c>
      <c r="M66" s="9">
        <v>14.96</v>
      </c>
      <c r="N66" s="69"/>
      <c r="O66" s="9"/>
      <c r="P66" s="9"/>
      <c r="Q66" s="9"/>
      <c r="R66" s="69"/>
      <c r="V66" s="18"/>
      <c r="W66" s="9"/>
      <c r="X66" s="9"/>
      <c r="Z66" s="16"/>
    </row>
    <row r="67" spans="1:26" ht="25.5">
      <c r="A67" s="9" t="s">
        <v>1319</v>
      </c>
      <c r="B67" s="8">
        <v>45280</v>
      </c>
      <c r="C67" s="8">
        <v>44929</v>
      </c>
      <c r="D67" s="264" t="s">
        <v>1320</v>
      </c>
      <c r="E67" s="9" t="s">
        <v>1319</v>
      </c>
      <c r="F67" s="9" t="s">
        <v>1321</v>
      </c>
      <c r="G67" s="9">
        <v>38.79</v>
      </c>
      <c r="H67" s="261" t="s">
        <v>1322</v>
      </c>
      <c r="M67" s="9">
        <v>21.76</v>
      </c>
      <c r="V67" s="18" t="s">
        <v>1323</v>
      </c>
      <c r="W67" s="9" t="s">
        <v>1324</v>
      </c>
      <c r="X67" s="9" t="s">
        <v>1325</v>
      </c>
      <c r="Z67" s="16"/>
    </row>
    <row r="68" spans="1:26">
      <c r="A68" s="9" t="s">
        <v>1326</v>
      </c>
      <c r="B68" s="8">
        <v>45293</v>
      </c>
      <c r="C68" s="8">
        <v>45295</v>
      </c>
      <c r="E68" s="9" t="s">
        <v>1176</v>
      </c>
      <c r="G68" s="9">
        <v>6.5</v>
      </c>
      <c r="H68" s="249" t="s">
        <v>1327</v>
      </c>
      <c r="M68" s="9">
        <v>20.52</v>
      </c>
      <c r="N68" s="173"/>
      <c r="P68" s="9"/>
      <c r="Q68" s="9"/>
      <c r="R68" s="69"/>
      <c r="T68" s="18"/>
      <c r="V68" s="18"/>
      <c r="W68" s="9"/>
      <c r="Z68" s="16"/>
    </row>
    <row r="69" spans="1:26">
      <c r="A69" s="9" t="s">
        <v>1328</v>
      </c>
      <c r="B69" s="8">
        <v>45282</v>
      </c>
      <c r="C69" s="8">
        <v>45286</v>
      </c>
      <c r="D69" s="264" t="s">
        <v>1329</v>
      </c>
      <c r="E69" s="9" t="s">
        <v>1330</v>
      </c>
      <c r="F69" s="9" t="s">
        <v>1198</v>
      </c>
      <c r="G69" s="9">
        <v>26.8</v>
      </c>
      <c r="H69" s="261">
        <v>146541</v>
      </c>
      <c r="M69" s="9">
        <v>11.16</v>
      </c>
      <c r="N69" s="173"/>
      <c r="P69" s="9"/>
      <c r="Q69" s="9"/>
      <c r="R69" s="69"/>
      <c r="T69" s="18"/>
      <c r="V69" s="18"/>
      <c r="W69" s="9"/>
      <c r="Z69" s="16"/>
    </row>
    <row r="70" spans="1:26">
      <c r="A70" s="9" t="s">
        <v>1331</v>
      </c>
      <c r="B70" s="8">
        <v>45271</v>
      </c>
      <c r="C70" s="8">
        <v>45281</v>
      </c>
      <c r="D70" s="264" t="s">
        <v>1332</v>
      </c>
      <c r="E70" s="9" t="s">
        <v>1115</v>
      </c>
      <c r="F70" s="9" t="s">
        <v>1198</v>
      </c>
      <c r="G70" s="9">
        <v>17.899999999999999</v>
      </c>
      <c r="H70" s="261">
        <v>3135299769</v>
      </c>
      <c r="M70" s="9">
        <v>7.6</v>
      </c>
      <c r="N70" s="173"/>
      <c r="P70" s="9"/>
      <c r="Q70" s="9"/>
      <c r="R70" s="69"/>
      <c r="T70" s="18"/>
      <c r="V70" s="18"/>
      <c r="W70" s="9"/>
      <c r="Z70" s="16"/>
    </row>
    <row r="71" spans="1:26" ht="14.25">
      <c r="A71" s="9" t="s">
        <v>1333</v>
      </c>
      <c r="B71" s="8">
        <v>45272</v>
      </c>
      <c r="C71" s="8">
        <v>45274</v>
      </c>
      <c r="D71" s="251" t="s">
        <v>1334</v>
      </c>
      <c r="E71" s="9" t="s">
        <v>1176</v>
      </c>
      <c r="F71" s="9" t="s">
        <v>1198</v>
      </c>
      <c r="G71" s="9">
        <v>17.239999999999998</v>
      </c>
      <c r="H71" s="265" t="s">
        <v>1335</v>
      </c>
      <c r="M71" s="9">
        <v>3.6</v>
      </c>
      <c r="N71" s="173"/>
      <c r="P71" s="9"/>
      <c r="Q71" s="9"/>
      <c r="R71" s="69"/>
      <c r="T71" s="18"/>
      <c r="V71" s="18"/>
      <c r="W71" s="9"/>
      <c r="Z71" s="16"/>
    </row>
    <row r="72" spans="1:26">
      <c r="A72" s="9" t="s">
        <v>1336</v>
      </c>
      <c r="B72" s="8">
        <v>45251</v>
      </c>
      <c r="C72" s="8">
        <v>45273</v>
      </c>
      <c r="E72" s="9" t="s">
        <v>1337</v>
      </c>
      <c r="G72" s="9">
        <v>0</v>
      </c>
      <c r="M72" s="3">
        <f>SUM(M62:M71)</f>
        <v>79.59999999999998</v>
      </c>
      <c r="N72" s="173"/>
      <c r="P72" s="9"/>
      <c r="Q72" s="9"/>
      <c r="R72" s="69"/>
      <c r="T72" s="18"/>
      <c r="V72" s="18"/>
      <c r="W72" s="9"/>
      <c r="Z72" s="16"/>
    </row>
    <row r="73" spans="1:26" ht="14.25">
      <c r="A73" s="9" t="s">
        <v>1338</v>
      </c>
      <c r="B73" s="8">
        <v>45271</v>
      </c>
      <c r="C73" s="8">
        <v>45273</v>
      </c>
      <c r="D73" s="251" t="s">
        <v>1339</v>
      </c>
      <c r="E73" s="9" t="s">
        <v>1176</v>
      </c>
      <c r="G73" s="9">
        <v>16.23</v>
      </c>
      <c r="H73" s="265" t="s">
        <v>1340</v>
      </c>
      <c r="M73" s="9"/>
      <c r="N73" s="173"/>
      <c r="P73" s="9"/>
      <c r="Q73" s="9"/>
      <c r="R73" s="69"/>
      <c r="T73" s="18"/>
      <c r="V73" s="18"/>
      <c r="W73" s="9"/>
      <c r="Z73" s="16"/>
    </row>
    <row r="74" spans="1:26" ht="14.25">
      <c r="A74" s="9" t="s">
        <v>1341</v>
      </c>
      <c r="B74" s="8">
        <v>45257</v>
      </c>
      <c r="C74" s="8">
        <v>45271</v>
      </c>
      <c r="D74" s="251" t="s">
        <v>1342</v>
      </c>
      <c r="E74" s="9" t="s">
        <v>1176</v>
      </c>
      <c r="F74" s="9" t="s">
        <v>1343</v>
      </c>
      <c r="G74" s="9">
        <v>15.96</v>
      </c>
      <c r="H74" s="265" t="s">
        <v>1344</v>
      </c>
      <c r="M74" s="9"/>
      <c r="N74" s="173"/>
      <c r="P74" s="9"/>
      <c r="Q74" s="9"/>
      <c r="R74" s="69"/>
      <c r="T74" s="18"/>
      <c r="V74" s="18"/>
      <c r="W74" s="9"/>
      <c r="Z74" s="16"/>
    </row>
    <row r="75" spans="1:26" ht="14.25">
      <c r="A75" s="22" t="s">
        <v>1345</v>
      </c>
      <c r="B75" s="8">
        <v>45266</v>
      </c>
      <c r="C75" s="8">
        <v>45269</v>
      </c>
      <c r="D75" s="251" t="s">
        <v>1346</v>
      </c>
      <c r="E75" s="9" t="s">
        <v>1176</v>
      </c>
      <c r="F75" s="9" t="s">
        <v>1198</v>
      </c>
      <c r="G75" s="9">
        <v>47.71</v>
      </c>
      <c r="H75" s="265" t="s">
        <v>1347</v>
      </c>
      <c r="M75" s="9">
        <f>7215-8099</f>
        <v>-884</v>
      </c>
      <c r="N75" s="173"/>
      <c r="P75" s="9"/>
      <c r="Q75" s="9"/>
      <c r="R75" s="69"/>
      <c r="T75" s="18"/>
      <c r="V75" s="18"/>
      <c r="W75" s="9"/>
      <c r="Z75" s="16"/>
    </row>
    <row r="76" spans="1:26" ht="14.25">
      <c r="A76" s="9" t="s">
        <v>1348</v>
      </c>
      <c r="B76" s="8">
        <v>45261</v>
      </c>
      <c r="C76" s="8">
        <v>45267</v>
      </c>
      <c r="D76" s="251" t="s">
        <v>1349</v>
      </c>
      <c r="E76" s="9" t="s">
        <v>1176</v>
      </c>
      <c r="F76" s="9" t="s">
        <v>1217</v>
      </c>
      <c r="G76" s="9">
        <v>8.67</v>
      </c>
      <c r="H76" s="265" t="s">
        <v>1350</v>
      </c>
      <c r="M76" s="9">
        <f>884/79.6</f>
        <v>11.105527638190956</v>
      </c>
      <c r="N76" s="173"/>
      <c r="P76" s="9"/>
      <c r="Q76" s="9"/>
      <c r="R76" s="69"/>
      <c r="T76" s="18"/>
      <c r="V76" s="18"/>
      <c r="W76" s="9"/>
      <c r="Z76" s="16"/>
    </row>
    <row r="77" spans="1:26" ht="14.25">
      <c r="A77" s="9" t="s">
        <v>1351</v>
      </c>
      <c r="B77" s="8">
        <v>45262</v>
      </c>
      <c r="C77" s="8">
        <v>45267</v>
      </c>
      <c r="D77" s="251" t="s">
        <v>1352</v>
      </c>
      <c r="E77" s="9" t="s">
        <v>1176</v>
      </c>
      <c r="F77" s="9" t="s">
        <v>1198</v>
      </c>
      <c r="G77" s="9">
        <v>7.58</v>
      </c>
      <c r="H77" s="266" t="s">
        <v>1353</v>
      </c>
      <c r="M77" s="9"/>
      <c r="N77" s="173"/>
      <c r="P77" s="9"/>
      <c r="Q77" s="9"/>
      <c r="R77" s="69"/>
      <c r="T77" s="18"/>
      <c r="V77" s="18"/>
      <c r="W77" s="9"/>
      <c r="Z77" s="16"/>
    </row>
    <row r="78" spans="1:26">
      <c r="A78" s="9" t="s">
        <v>1354</v>
      </c>
      <c r="B78" s="8">
        <v>45263</v>
      </c>
      <c r="C78" s="8">
        <v>45267</v>
      </c>
      <c r="E78" s="9" t="s">
        <v>69</v>
      </c>
      <c r="G78" s="9">
        <v>61.09</v>
      </c>
      <c r="H78" s="265" t="s">
        <v>1355</v>
      </c>
      <c r="M78" s="9"/>
      <c r="N78" s="173"/>
      <c r="P78" s="9"/>
      <c r="Q78" s="9"/>
      <c r="R78" s="69"/>
      <c r="T78" s="18"/>
      <c r="V78" s="18"/>
      <c r="W78" s="9"/>
      <c r="Z78" s="16"/>
    </row>
    <row r="79" spans="1:26" ht="25.5">
      <c r="A79" s="9" t="s">
        <v>1356</v>
      </c>
      <c r="B79" s="8">
        <v>45254</v>
      </c>
      <c r="C79" s="8">
        <v>45267</v>
      </c>
      <c r="D79" s="251" t="s">
        <v>1357</v>
      </c>
      <c r="E79" s="9" t="s">
        <v>1131</v>
      </c>
      <c r="F79" s="9" t="s">
        <v>1198</v>
      </c>
      <c r="G79" s="9">
        <v>66</v>
      </c>
      <c r="H79" s="265" t="s">
        <v>1358</v>
      </c>
      <c r="M79" s="9"/>
      <c r="N79" s="173"/>
      <c r="P79" s="9"/>
      <c r="Q79" s="9"/>
      <c r="R79" s="69"/>
      <c r="T79" s="18"/>
      <c r="V79" s="18"/>
      <c r="W79" s="9"/>
      <c r="Z79" s="16"/>
    </row>
    <row r="80" spans="1:26" ht="28.5">
      <c r="A80" s="9" t="s">
        <v>1359</v>
      </c>
      <c r="B80" s="8">
        <v>45256</v>
      </c>
      <c r="C80" s="8">
        <v>45259</v>
      </c>
      <c r="D80" s="263" t="s">
        <v>1360</v>
      </c>
      <c r="E80" s="9" t="s">
        <v>1176</v>
      </c>
      <c r="F80" s="9" t="s">
        <v>1186</v>
      </c>
      <c r="G80" s="9">
        <v>31.77</v>
      </c>
      <c r="H80" s="267" t="s">
        <v>1361</v>
      </c>
      <c r="M80" s="9"/>
      <c r="N80" s="173"/>
      <c r="P80" s="9"/>
      <c r="Q80" s="9"/>
      <c r="R80" s="69"/>
      <c r="T80" s="18"/>
      <c r="V80" s="18"/>
      <c r="W80" s="9"/>
      <c r="Z80" s="16"/>
    </row>
    <row r="81" spans="1:26" ht="14.25">
      <c r="A81" s="9" t="s">
        <v>1362</v>
      </c>
      <c r="B81" s="8">
        <v>45256</v>
      </c>
      <c r="C81" s="8">
        <v>45259</v>
      </c>
      <c r="D81" s="251" t="s">
        <v>1363</v>
      </c>
      <c r="E81" s="9" t="s">
        <v>1176</v>
      </c>
      <c r="F81" s="9" t="s">
        <v>1186</v>
      </c>
      <c r="G81" s="9">
        <v>13.66</v>
      </c>
      <c r="H81" s="265" t="s">
        <v>1364</v>
      </c>
      <c r="M81" s="9"/>
      <c r="N81" s="173"/>
      <c r="P81" s="9"/>
      <c r="Q81" s="9"/>
      <c r="R81" s="69"/>
      <c r="T81" s="18"/>
      <c r="V81" s="18"/>
      <c r="W81" s="9"/>
      <c r="Z81" s="16"/>
    </row>
    <row r="82" spans="1:26" ht="14.25">
      <c r="A82" s="9" t="s">
        <v>1365</v>
      </c>
      <c r="B82" s="8">
        <v>45250</v>
      </c>
      <c r="C82" s="8">
        <v>45252</v>
      </c>
      <c r="D82" s="251" t="s">
        <v>1366</v>
      </c>
      <c r="E82" s="9" t="s">
        <v>69</v>
      </c>
      <c r="F82" s="9" t="s">
        <v>1198</v>
      </c>
      <c r="G82" s="9">
        <v>47.49</v>
      </c>
      <c r="H82" s="265" t="s">
        <v>1367</v>
      </c>
      <c r="M82" s="9"/>
      <c r="N82" s="173"/>
      <c r="P82" s="9"/>
      <c r="Q82" s="9"/>
      <c r="R82" s="69"/>
      <c r="T82" s="18"/>
      <c r="V82" s="18"/>
      <c r="W82" s="9"/>
      <c r="Z82" s="16"/>
    </row>
    <row r="83" spans="1:26" ht="14.25">
      <c r="A83" s="9" t="s">
        <v>1368</v>
      </c>
      <c r="B83" s="8">
        <v>45251</v>
      </c>
      <c r="C83" s="8">
        <v>45254</v>
      </c>
      <c r="D83" s="251" t="s">
        <v>1369</v>
      </c>
      <c r="E83" s="9" t="s">
        <v>1370</v>
      </c>
      <c r="F83" s="9" t="s">
        <v>1198</v>
      </c>
      <c r="M83" s="9"/>
      <c r="N83" s="173"/>
      <c r="P83" s="9"/>
      <c r="Q83" s="9"/>
      <c r="R83" s="69"/>
      <c r="T83" s="18"/>
      <c r="V83" s="18"/>
      <c r="W83" s="9"/>
      <c r="Z83" s="16"/>
    </row>
    <row r="84" spans="1:26" ht="14.25">
      <c r="A84" s="9" t="s">
        <v>1371</v>
      </c>
      <c r="B84" s="8">
        <v>45251</v>
      </c>
      <c r="C84" s="8">
        <v>45254</v>
      </c>
      <c r="D84" s="251" t="s">
        <v>1369</v>
      </c>
      <c r="E84" s="9" t="s">
        <v>1370</v>
      </c>
      <c r="F84" s="9" t="s">
        <v>1198</v>
      </c>
      <c r="M84" s="9"/>
      <c r="N84" s="173"/>
      <c r="P84" s="9"/>
      <c r="Q84" s="9"/>
      <c r="R84" s="69"/>
      <c r="T84" s="18"/>
      <c r="V84" s="18"/>
      <c r="W84" s="9"/>
      <c r="Z84" s="16"/>
    </row>
    <row r="85" spans="1:26" ht="14.25">
      <c r="A85" s="22" t="s">
        <v>1372</v>
      </c>
      <c r="B85" s="8">
        <v>45234</v>
      </c>
      <c r="C85" s="8">
        <v>45245</v>
      </c>
      <c r="D85" s="251" t="s">
        <v>1373</v>
      </c>
      <c r="E85" s="9" t="s">
        <v>1374</v>
      </c>
      <c r="G85" s="9">
        <v>35</v>
      </c>
      <c r="H85" s="265" t="s">
        <v>1375</v>
      </c>
      <c r="M85" s="9"/>
      <c r="N85" s="173"/>
      <c r="P85" s="9"/>
      <c r="Q85" s="9"/>
      <c r="R85" s="69"/>
      <c r="T85" s="18"/>
      <c r="V85" s="18"/>
      <c r="W85" s="9"/>
      <c r="Z85" s="16"/>
    </row>
    <row r="86" spans="1:26" ht="25.5">
      <c r="A86" s="9" t="s">
        <v>1376</v>
      </c>
      <c r="B86" s="8">
        <v>45244</v>
      </c>
      <c r="C86" s="8">
        <v>45245</v>
      </c>
      <c r="D86" s="251" t="s">
        <v>1377</v>
      </c>
      <c r="E86" s="9" t="s">
        <v>69</v>
      </c>
      <c r="F86" s="9" t="s">
        <v>1198</v>
      </c>
      <c r="G86" s="9">
        <v>281</v>
      </c>
      <c r="H86" s="265" t="s">
        <v>1378</v>
      </c>
      <c r="M86" s="9"/>
      <c r="N86" s="173"/>
      <c r="P86" s="9"/>
      <c r="Q86" s="9"/>
      <c r="R86" s="69"/>
      <c r="T86" s="18"/>
      <c r="V86" s="18"/>
      <c r="W86" s="9"/>
      <c r="Z86" s="16"/>
    </row>
    <row r="87" spans="1:26" ht="12.75" customHeight="1">
      <c r="A87" s="9" t="s">
        <v>1379</v>
      </c>
      <c r="B87" s="8">
        <v>45238</v>
      </c>
      <c r="C87" s="8">
        <v>45243</v>
      </c>
      <c r="D87" s="268" t="s">
        <v>1380</v>
      </c>
      <c r="E87" s="9" t="s">
        <v>66</v>
      </c>
      <c r="F87" s="9" t="s">
        <v>1217</v>
      </c>
      <c r="G87" s="9">
        <v>113.93</v>
      </c>
      <c r="H87" s="269" t="s">
        <v>1381</v>
      </c>
      <c r="M87" s="9"/>
      <c r="N87" s="173"/>
      <c r="P87" s="9"/>
      <c r="Q87" s="9"/>
      <c r="R87" s="69"/>
      <c r="T87" s="18"/>
      <c r="V87" s="18"/>
      <c r="W87" s="9"/>
      <c r="Z87" s="16"/>
    </row>
    <row r="88" spans="1:26">
      <c r="A88" s="270" t="s">
        <v>1382</v>
      </c>
      <c r="B88" s="271">
        <v>45226</v>
      </c>
      <c r="C88" s="270"/>
      <c r="D88" s="272"/>
      <c r="E88" s="270" t="s">
        <v>1374</v>
      </c>
      <c r="F88" s="270"/>
      <c r="G88" s="270">
        <v>143.19999999999999</v>
      </c>
      <c r="H88" s="273" t="s">
        <v>1383</v>
      </c>
      <c r="M88" s="9"/>
      <c r="N88" s="173"/>
      <c r="P88" s="9"/>
      <c r="Q88" s="9"/>
      <c r="R88" s="69"/>
      <c r="T88" s="18"/>
      <c r="V88" s="18"/>
      <c r="W88" s="9"/>
      <c r="Z88" s="16"/>
    </row>
    <row r="89" spans="1:26">
      <c r="A89" s="22" t="s">
        <v>1384</v>
      </c>
      <c r="B89" s="8">
        <v>45226</v>
      </c>
      <c r="C89" s="8">
        <v>45235</v>
      </c>
      <c r="D89" s="274"/>
      <c r="E89" s="9" t="s">
        <v>1385</v>
      </c>
      <c r="G89" s="9"/>
      <c r="H89" s="266"/>
      <c r="M89" s="9"/>
      <c r="N89" s="173"/>
      <c r="P89" s="9"/>
      <c r="Q89" s="9"/>
      <c r="R89" s="69"/>
      <c r="T89" s="18"/>
      <c r="V89" s="18"/>
      <c r="W89" s="9"/>
      <c r="Z89" s="16"/>
    </row>
    <row r="90" spans="1:26">
      <c r="A90" s="9" t="s">
        <v>1386</v>
      </c>
      <c r="B90" s="8">
        <v>45226</v>
      </c>
      <c r="C90" s="9">
        <v>116</v>
      </c>
      <c r="D90" s="40"/>
      <c r="E90" s="9" t="s">
        <v>1374</v>
      </c>
      <c r="G90" s="9">
        <v>143.19999999999999</v>
      </c>
      <c r="H90" s="265" t="s">
        <v>1383</v>
      </c>
      <c r="M90" s="9"/>
      <c r="N90" s="173"/>
      <c r="P90" s="9"/>
      <c r="Q90" s="9"/>
      <c r="R90" s="69"/>
      <c r="T90" s="18"/>
      <c r="V90" s="18"/>
      <c r="W90" s="9"/>
      <c r="Z90" s="16"/>
    </row>
    <row r="91" spans="1:26" ht="15">
      <c r="A91" s="22" t="s">
        <v>1387</v>
      </c>
      <c r="B91" s="8">
        <v>45228</v>
      </c>
      <c r="C91" s="8">
        <v>45234</v>
      </c>
      <c r="D91" s="275">
        <v>785700167397</v>
      </c>
      <c r="E91" s="9" t="s">
        <v>66</v>
      </c>
      <c r="F91" s="9" t="s">
        <v>1388</v>
      </c>
      <c r="G91" s="9">
        <v>129.12</v>
      </c>
      <c r="H91" s="276" t="s">
        <v>1389</v>
      </c>
      <c r="M91" s="9"/>
      <c r="N91" s="173"/>
      <c r="P91" s="9"/>
      <c r="Q91" s="9"/>
      <c r="R91" s="69"/>
      <c r="T91" s="18"/>
      <c r="V91" s="18"/>
      <c r="W91" s="9"/>
      <c r="Z91" s="16"/>
    </row>
    <row r="92" spans="1:26" ht="14.25">
      <c r="A92" s="9" t="s">
        <v>1390</v>
      </c>
      <c r="B92" s="8">
        <v>45228</v>
      </c>
      <c r="C92" s="8">
        <v>45230</v>
      </c>
      <c r="D92" s="251" t="s">
        <v>1391</v>
      </c>
      <c r="E92" s="9" t="s">
        <v>1176</v>
      </c>
      <c r="G92" s="9">
        <v>10.84</v>
      </c>
      <c r="H92" s="265" t="s">
        <v>1392</v>
      </c>
      <c r="M92" s="9"/>
      <c r="N92" s="173"/>
      <c r="P92" s="9"/>
      <c r="Q92" s="9"/>
      <c r="R92" s="69"/>
      <c r="T92" s="18"/>
      <c r="V92" s="18"/>
      <c r="W92" s="9"/>
      <c r="Z92" s="16"/>
    </row>
    <row r="93" spans="1:26" ht="14.25">
      <c r="A93" s="22" t="s">
        <v>1393</v>
      </c>
      <c r="B93" s="8">
        <v>45221</v>
      </c>
      <c r="C93" s="8">
        <v>45229</v>
      </c>
      <c r="D93" s="277" t="s">
        <v>1389</v>
      </c>
      <c r="E93" s="9" t="s">
        <v>1394</v>
      </c>
      <c r="F93" s="9" t="s">
        <v>1388</v>
      </c>
      <c r="G93" s="9">
        <v>102.41</v>
      </c>
      <c r="H93" s="266"/>
      <c r="M93" s="9" t="s">
        <v>1395</v>
      </c>
      <c r="N93" s="173">
        <v>1</v>
      </c>
      <c r="P93" s="9" t="s">
        <v>1396</v>
      </c>
      <c r="Q93" s="9" t="s">
        <v>1147</v>
      </c>
      <c r="R93" s="69">
        <v>1</v>
      </c>
      <c r="S93" s="9">
        <v>8.3000000000000007</v>
      </c>
      <c r="T93" s="18" t="s">
        <v>1397</v>
      </c>
      <c r="U93" s="9">
        <v>9.15</v>
      </c>
      <c r="V93" s="18" t="s">
        <v>1398</v>
      </c>
      <c r="W93" s="9" t="s">
        <v>1149</v>
      </c>
      <c r="Z93" s="16"/>
    </row>
    <row r="94" spans="1:26" ht="14.25">
      <c r="A94" s="9" t="s">
        <v>1399</v>
      </c>
      <c r="B94" s="8">
        <v>45222</v>
      </c>
      <c r="C94" s="8">
        <v>45226</v>
      </c>
      <c r="D94" s="251" t="s">
        <v>1400</v>
      </c>
      <c r="E94" s="9" t="s">
        <v>1176</v>
      </c>
      <c r="F94" s="9" t="s">
        <v>1198</v>
      </c>
      <c r="G94" s="9">
        <v>11.92</v>
      </c>
      <c r="H94" s="265" t="s">
        <v>1401</v>
      </c>
      <c r="M94" s="9"/>
      <c r="N94" s="173"/>
      <c r="P94" s="9"/>
      <c r="Q94" s="9"/>
      <c r="R94" s="69"/>
      <c r="T94" s="18"/>
      <c r="V94" s="18"/>
      <c r="W94" s="9"/>
      <c r="Z94" s="16"/>
    </row>
    <row r="95" spans="1:26" ht="14.25">
      <c r="A95" s="9" t="s">
        <v>1266</v>
      </c>
      <c r="B95" s="8">
        <v>45210</v>
      </c>
      <c r="C95" s="8">
        <v>45215</v>
      </c>
      <c r="D95" s="278" t="s">
        <v>1402</v>
      </c>
      <c r="E95" s="9" t="s">
        <v>1176</v>
      </c>
      <c r="F95" s="9" t="s">
        <v>1217</v>
      </c>
      <c r="G95" s="9">
        <v>21.69</v>
      </c>
      <c r="H95" s="265" t="s">
        <v>1403</v>
      </c>
      <c r="M95" s="279" t="s">
        <v>1404</v>
      </c>
      <c r="N95" s="173"/>
      <c r="P95" s="9"/>
      <c r="Q95" s="9"/>
      <c r="R95" s="69"/>
      <c r="T95" s="18"/>
      <c r="V95" s="18"/>
      <c r="W95" s="9"/>
      <c r="Z95" s="16"/>
    </row>
    <row r="96" spans="1:26" ht="14.25">
      <c r="A96" s="9" t="s">
        <v>1405</v>
      </c>
      <c r="B96" s="8">
        <v>45204</v>
      </c>
      <c r="C96" s="8">
        <v>45209</v>
      </c>
      <c r="D96" s="278">
        <v>784713637510</v>
      </c>
      <c r="E96" s="9" t="s">
        <v>1176</v>
      </c>
      <c r="F96" s="9" t="s">
        <v>1388</v>
      </c>
      <c r="G96" s="9">
        <v>379.74</v>
      </c>
      <c r="H96" s="265" t="s">
        <v>1406</v>
      </c>
      <c r="M96" s="280">
        <v>45405</v>
      </c>
      <c r="N96" s="173"/>
      <c r="P96" s="9"/>
      <c r="Q96" s="9"/>
      <c r="R96" s="69"/>
      <c r="T96" s="18"/>
      <c r="V96" s="18"/>
      <c r="W96" s="9"/>
      <c r="Z96" s="16"/>
    </row>
    <row r="97" spans="1:26">
      <c r="A97" s="9" t="s">
        <v>1407</v>
      </c>
      <c r="C97" s="8">
        <v>45204</v>
      </c>
      <c r="D97" s="274" t="s">
        <v>1408</v>
      </c>
      <c r="E97" s="9" t="s">
        <v>1409</v>
      </c>
      <c r="M97" s="280">
        <v>45345</v>
      </c>
      <c r="N97" s="173"/>
      <c r="P97" s="9"/>
      <c r="Q97" s="9"/>
      <c r="R97" s="69"/>
      <c r="T97" s="18"/>
      <c r="V97" s="18"/>
      <c r="W97" s="9"/>
      <c r="Z97" s="16"/>
    </row>
    <row r="98" spans="1:26" ht="12.75" customHeight="1">
      <c r="A98" s="22" t="s">
        <v>1410</v>
      </c>
      <c r="B98" s="8">
        <v>45200</v>
      </c>
      <c r="C98" s="8">
        <v>45203</v>
      </c>
      <c r="D98" s="274" t="s">
        <v>1411</v>
      </c>
      <c r="E98" s="9" t="s">
        <v>1222</v>
      </c>
      <c r="G98" s="9">
        <v>17.57</v>
      </c>
      <c r="H98" s="265" t="s">
        <v>1412</v>
      </c>
      <c r="M98" s="281" t="e">
        <f ca="1">_xludf.DAYS(M96, M97)</f>
        <v>#NAME?</v>
      </c>
      <c r="N98" s="173"/>
      <c r="P98" s="9"/>
      <c r="Q98" s="9"/>
      <c r="R98" s="69"/>
      <c r="T98" s="18"/>
      <c r="V98" s="18"/>
      <c r="W98" s="9"/>
      <c r="Z98" s="16"/>
    </row>
    <row r="99" spans="1:26">
      <c r="A99" s="9" t="s">
        <v>1413</v>
      </c>
      <c r="B99" s="8">
        <v>45197</v>
      </c>
      <c r="C99" s="8">
        <v>45202</v>
      </c>
      <c r="D99" s="274" t="s">
        <v>1414</v>
      </c>
      <c r="E99" s="9" t="s">
        <v>1222</v>
      </c>
      <c r="G99" s="9">
        <v>15.86</v>
      </c>
      <c r="H99" s="265" t="s">
        <v>1415</v>
      </c>
      <c r="M99" s="282" t="e">
        <f ca="1">M98/14</f>
        <v>#NAME?</v>
      </c>
      <c r="N99" s="173"/>
      <c r="P99" s="9"/>
      <c r="Q99" s="9"/>
      <c r="R99" s="69"/>
      <c r="T99" s="18"/>
      <c r="V99" s="18"/>
      <c r="W99" s="9"/>
      <c r="Z99" s="16"/>
    </row>
    <row r="100" spans="1:26">
      <c r="A100" s="22" t="s">
        <v>1416</v>
      </c>
      <c r="B100" s="8">
        <v>45185</v>
      </c>
      <c r="C100" s="8">
        <v>45190</v>
      </c>
      <c r="D100" s="274" t="s">
        <v>1417</v>
      </c>
      <c r="E100" s="9" t="s">
        <v>1115</v>
      </c>
      <c r="F100" s="9" t="s">
        <v>1186</v>
      </c>
      <c r="G100" s="9">
        <v>70.53</v>
      </c>
      <c r="H100" s="266">
        <v>3012559955</v>
      </c>
      <c r="M100" s="90" t="s">
        <v>1418</v>
      </c>
      <c r="N100" s="173"/>
      <c r="P100" s="9"/>
      <c r="Q100" s="9"/>
      <c r="R100" s="69"/>
      <c r="T100" s="18"/>
      <c r="V100" s="18"/>
      <c r="W100" s="9"/>
      <c r="Z100" s="16"/>
    </row>
    <row r="101" spans="1:26" ht="14.25">
      <c r="A101" s="9" t="s">
        <v>1419</v>
      </c>
      <c r="B101" s="8">
        <v>45186</v>
      </c>
      <c r="C101" s="8">
        <v>45189</v>
      </c>
      <c r="D101" s="278" t="s">
        <v>1420</v>
      </c>
      <c r="E101" s="9" t="s">
        <v>1222</v>
      </c>
      <c r="G101" s="9">
        <v>16.47</v>
      </c>
      <c r="H101" s="265" t="s">
        <v>1421</v>
      </c>
      <c r="M101" s="9"/>
      <c r="N101" s="173"/>
      <c r="P101" s="9"/>
      <c r="Q101" s="9"/>
      <c r="R101" s="69"/>
      <c r="T101" s="18"/>
      <c r="V101" s="18"/>
      <c r="W101" s="9"/>
      <c r="Z101" s="16"/>
    </row>
    <row r="102" spans="1:26" ht="12.75" customHeight="1">
      <c r="A102" s="9" t="s">
        <v>1422</v>
      </c>
      <c r="B102" s="8">
        <v>45185</v>
      </c>
      <c r="C102" s="8">
        <v>45189</v>
      </c>
      <c r="D102" s="278" t="s">
        <v>1423</v>
      </c>
      <c r="E102" s="9" t="s">
        <v>1222</v>
      </c>
      <c r="F102" s="9" t="s">
        <v>1217</v>
      </c>
      <c r="G102" s="9">
        <v>30.41</v>
      </c>
      <c r="H102" s="266" t="s">
        <v>1424</v>
      </c>
      <c r="M102" s="283"/>
      <c r="N102" s="173"/>
      <c r="P102" s="9"/>
      <c r="Q102" s="9"/>
      <c r="R102" s="69"/>
      <c r="T102" s="18"/>
      <c r="V102" s="18"/>
      <c r="W102" s="9"/>
      <c r="Z102" s="16"/>
    </row>
    <row r="103" spans="1:26" ht="25.5">
      <c r="A103" s="9" t="s">
        <v>1425</v>
      </c>
      <c r="B103" s="8">
        <v>45184</v>
      </c>
      <c r="C103" s="8">
        <v>45187</v>
      </c>
      <c r="D103" s="284">
        <v>681455589370</v>
      </c>
      <c r="E103" s="9" t="s">
        <v>1426</v>
      </c>
      <c r="F103" s="9" t="s">
        <v>1427</v>
      </c>
      <c r="G103" s="9">
        <v>21.12</v>
      </c>
      <c r="H103" s="266"/>
      <c r="M103" s="9"/>
      <c r="N103" s="173"/>
      <c r="P103" s="9"/>
      <c r="Q103" s="9"/>
      <c r="R103" s="69"/>
      <c r="T103" s="18"/>
      <c r="V103" s="18"/>
      <c r="W103" s="9"/>
      <c r="Z103" s="16"/>
    </row>
    <row r="104" spans="1:26" ht="25.5">
      <c r="A104" s="285" t="s">
        <v>1428</v>
      </c>
      <c r="B104" s="286">
        <v>45064</v>
      </c>
      <c r="C104" s="285"/>
      <c r="D104" s="287" t="s">
        <v>1429</v>
      </c>
      <c r="E104" s="288" t="s">
        <v>1430</v>
      </c>
      <c r="F104" s="285"/>
      <c r="G104" s="285">
        <v>140</v>
      </c>
      <c r="H104" s="266">
        <v>18314</v>
      </c>
      <c r="M104" s="9"/>
      <c r="N104" s="173"/>
      <c r="P104" s="9"/>
      <c r="Q104" s="9"/>
      <c r="R104" s="69"/>
      <c r="T104" s="18"/>
      <c r="V104" s="18"/>
      <c r="W104" s="9"/>
      <c r="Z104" s="16"/>
    </row>
    <row r="105" spans="1:26" ht="25.5">
      <c r="A105" s="9" t="s">
        <v>1431</v>
      </c>
      <c r="B105" s="8">
        <v>45124</v>
      </c>
      <c r="D105" s="40"/>
      <c r="E105" s="9" t="s">
        <v>1432</v>
      </c>
      <c r="G105" s="9">
        <v>10.1</v>
      </c>
      <c r="H105" s="265" t="s">
        <v>1433</v>
      </c>
      <c r="M105" s="9"/>
      <c r="N105" s="173"/>
      <c r="P105" s="9"/>
      <c r="Q105" s="9"/>
      <c r="R105" s="69"/>
      <c r="T105" s="18"/>
      <c r="V105" s="18"/>
      <c r="W105" s="9"/>
      <c r="Z105" s="16"/>
    </row>
    <row r="106" spans="1:26">
      <c r="A106" s="22" t="s">
        <v>1434</v>
      </c>
      <c r="B106" s="8">
        <v>45177</v>
      </c>
      <c r="C106" s="8">
        <v>45184</v>
      </c>
      <c r="D106" s="40"/>
      <c r="E106" s="9" t="s">
        <v>1435</v>
      </c>
      <c r="G106" s="9">
        <v>88.97</v>
      </c>
      <c r="H106" s="266">
        <v>31954010</v>
      </c>
      <c r="M106" s="9"/>
      <c r="N106" s="173"/>
      <c r="P106" s="9"/>
      <c r="Q106" s="9"/>
      <c r="R106" s="69"/>
      <c r="T106" s="18"/>
      <c r="V106" s="18"/>
      <c r="W106" s="9"/>
      <c r="Z106" s="16"/>
    </row>
    <row r="107" spans="1:26" ht="12.75" customHeight="1">
      <c r="A107" s="9" t="s">
        <v>1436</v>
      </c>
      <c r="B107" s="8">
        <v>45153</v>
      </c>
      <c r="C107" s="8">
        <v>45159</v>
      </c>
      <c r="D107" s="293" t="s">
        <v>1437</v>
      </c>
      <c r="E107" s="9" t="s">
        <v>1438</v>
      </c>
      <c r="F107" s="9" t="s">
        <v>1439</v>
      </c>
      <c r="G107" s="9">
        <v>99</v>
      </c>
      <c r="H107" s="266"/>
      <c r="M107" s="9"/>
      <c r="N107" s="173"/>
      <c r="P107" s="9"/>
      <c r="Q107" s="9"/>
      <c r="R107" s="69"/>
      <c r="T107" s="18"/>
      <c r="V107" s="18"/>
      <c r="W107" s="9"/>
      <c r="Z107" s="16"/>
    </row>
    <row r="108" spans="1:26">
      <c r="A108" s="9" t="s">
        <v>1440</v>
      </c>
      <c r="B108" s="8">
        <v>45162</v>
      </c>
      <c r="C108" s="8">
        <v>45167</v>
      </c>
      <c r="D108" s="40"/>
      <c r="E108" s="9" t="s">
        <v>66</v>
      </c>
      <c r="G108" s="9">
        <v>75.930000000000007</v>
      </c>
      <c r="H108" s="266" t="s">
        <v>1441</v>
      </c>
      <c r="M108" s="9" t="s">
        <v>1442</v>
      </c>
      <c r="N108" s="173">
        <v>1</v>
      </c>
      <c r="P108" s="9" t="s">
        <v>1443</v>
      </c>
      <c r="Q108" s="9" t="s">
        <v>1147</v>
      </c>
      <c r="R108" s="69">
        <v>1</v>
      </c>
      <c r="T108" s="18" t="s">
        <v>1444</v>
      </c>
      <c r="V108" s="18" t="s">
        <v>1445</v>
      </c>
      <c r="W108" s="9" t="s">
        <v>1446</v>
      </c>
      <c r="Z108" s="16"/>
    </row>
    <row r="109" spans="1:26" ht="14.25">
      <c r="A109" s="9" t="s">
        <v>1447</v>
      </c>
      <c r="B109" s="8">
        <v>45114</v>
      </c>
      <c r="C109" s="8">
        <v>45117</v>
      </c>
      <c r="D109" s="278" t="s">
        <v>1448</v>
      </c>
      <c r="E109" s="9" t="s">
        <v>1176</v>
      </c>
      <c r="G109" s="9">
        <v>23.02</v>
      </c>
      <c r="H109" s="265" t="s">
        <v>1449</v>
      </c>
      <c r="M109" s="9" t="s">
        <v>1450</v>
      </c>
      <c r="N109" s="173">
        <v>1</v>
      </c>
      <c r="P109" s="9" t="s">
        <v>1451</v>
      </c>
      <c r="Q109" s="9" t="s">
        <v>1147</v>
      </c>
      <c r="R109" s="69">
        <v>1</v>
      </c>
      <c r="T109" s="18" t="s">
        <v>1452</v>
      </c>
      <c r="V109" s="18" t="s">
        <v>1453</v>
      </c>
      <c r="W109" s="9" t="s">
        <v>1324</v>
      </c>
      <c r="Z109" s="16"/>
    </row>
    <row r="110" spans="1:26">
      <c r="A110" s="9" t="s">
        <v>1454</v>
      </c>
      <c r="C110" s="8">
        <v>45115</v>
      </c>
      <c r="D110" s="40"/>
      <c r="M110" s="59" t="s">
        <v>1455</v>
      </c>
      <c r="N110" s="69">
        <v>1</v>
      </c>
      <c r="P110" s="9" t="s">
        <v>1456</v>
      </c>
      <c r="Q110" s="9" t="s">
        <v>1147</v>
      </c>
      <c r="R110" s="69">
        <v>1</v>
      </c>
      <c r="S110" s="3" t="s">
        <v>1457</v>
      </c>
      <c r="T110" s="289" t="s">
        <v>1458</v>
      </c>
      <c r="V110" s="18" t="s">
        <v>1459</v>
      </c>
      <c r="W110" s="9" t="s">
        <v>1149</v>
      </c>
      <c r="X110" s="3" t="s">
        <v>1460</v>
      </c>
      <c r="Z110" s="16"/>
    </row>
    <row r="111" spans="1:26">
      <c r="A111" s="9" t="s">
        <v>1461</v>
      </c>
      <c r="B111" s="8">
        <v>45110</v>
      </c>
      <c r="C111" s="8">
        <v>45114</v>
      </c>
      <c r="D111" s="40"/>
      <c r="E111" s="9" t="s">
        <v>1176</v>
      </c>
      <c r="G111" s="9">
        <v>44.46</v>
      </c>
      <c r="H111" s="265" t="s">
        <v>1462</v>
      </c>
      <c r="M111" s="9" t="s">
        <v>1463</v>
      </c>
      <c r="N111" s="69">
        <v>1</v>
      </c>
      <c r="P111" s="9" t="s">
        <v>1464</v>
      </c>
      <c r="Q111" s="9" t="s">
        <v>1147</v>
      </c>
      <c r="R111" s="69">
        <v>1</v>
      </c>
      <c r="T111" s="18" t="s">
        <v>1465</v>
      </c>
      <c r="V111" s="18" t="s">
        <v>1466</v>
      </c>
      <c r="W111" s="9" t="s">
        <v>1324</v>
      </c>
      <c r="X111" s="9" t="s">
        <v>1467</v>
      </c>
      <c r="Z111" s="16"/>
    </row>
    <row r="112" spans="1:26" ht="15">
      <c r="A112" s="9" t="s">
        <v>1468</v>
      </c>
      <c r="B112" s="8">
        <v>45101</v>
      </c>
      <c r="C112" s="8">
        <v>45107</v>
      </c>
      <c r="D112" s="290" t="s">
        <v>1469</v>
      </c>
      <c r="E112" s="9" t="s">
        <v>1337</v>
      </c>
      <c r="F112" s="9" t="s">
        <v>1186</v>
      </c>
      <c r="M112" s="9" t="s">
        <v>1470</v>
      </c>
      <c r="N112" s="69">
        <v>3</v>
      </c>
      <c r="P112" s="9" t="s">
        <v>1471</v>
      </c>
      <c r="Q112" s="9" t="s">
        <v>1147</v>
      </c>
      <c r="R112" s="69">
        <v>2</v>
      </c>
      <c r="T112" s="18" t="s">
        <v>1472</v>
      </c>
      <c r="V112" s="18" t="s">
        <v>1473</v>
      </c>
      <c r="W112" s="9" t="s">
        <v>1446</v>
      </c>
      <c r="X112" s="9" t="s">
        <v>1474</v>
      </c>
      <c r="Z112" s="16"/>
    </row>
    <row r="113" spans="1:26" ht="15">
      <c r="A113" s="9" t="s">
        <v>1475</v>
      </c>
      <c r="B113" s="8">
        <v>45102</v>
      </c>
      <c r="C113" s="10">
        <v>45106</v>
      </c>
      <c r="D113" s="290" t="s">
        <v>1476</v>
      </c>
      <c r="E113" s="9" t="s">
        <v>1176</v>
      </c>
      <c r="F113" s="9" t="s">
        <v>1217</v>
      </c>
      <c r="G113" s="9">
        <v>7.58</v>
      </c>
      <c r="H113" s="265" t="s">
        <v>1477</v>
      </c>
      <c r="M113" s="9" t="s">
        <v>1478</v>
      </c>
      <c r="N113" s="69">
        <v>5</v>
      </c>
      <c r="P113" s="9" t="s">
        <v>1479</v>
      </c>
      <c r="Q113" s="9" t="s">
        <v>1147</v>
      </c>
      <c r="R113" s="69">
        <v>1</v>
      </c>
      <c r="T113" s="18" t="s">
        <v>1480</v>
      </c>
      <c r="V113" s="18" t="s">
        <v>1481</v>
      </c>
      <c r="W113" s="9" t="s">
        <v>1446</v>
      </c>
      <c r="X113" s="9" t="s">
        <v>1482</v>
      </c>
      <c r="Z113" s="16"/>
    </row>
    <row r="114" spans="1:26" ht="14.25">
      <c r="A114" s="9" t="s">
        <v>1483</v>
      </c>
      <c r="B114" s="8">
        <v>45104</v>
      </c>
      <c r="C114" s="10">
        <v>45106</v>
      </c>
      <c r="D114" s="278" t="s">
        <v>1484</v>
      </c>
      <c r="E114" s="9" t="s">
        <v>1222</v>
      </c>
      <c r="F114" s="9" t="s">
        <v>1217</v>
      </c>
      <c r="G114" s="9">
        <v>17.23</v>
      </c>
      <c r="H114" s="265" t="s">
        <v>1485</v>
      </c>
      <c r="M114" s="9" t="s">
        <v>1486</v>
      </c>
      <c r="N114" s="69">
        <v>1</v>
      </c>
      <c r="P114" s="9" t="s">
        <v>1487</v>
      </c>
      <c r="Q114" s="9" t="s">
        <v>1147</v>
      </c>
      <c r="R114" s="69">
        <v>1</v>
      </c>
      <c r="T114" s="18" t="s">
        <v>1488</v>
      </c>
      <c r="V114" s="18" t="s">
        <v>1489</v>
      </c>
      <c r="W114" s="9" t="s">
        <v>1149</v>
      </c>
      <c r="X114" s="9" t="s">
        <v>1490</v>
      </c>
      <c r="Z114" s="16"/>
    </row>
    <row r="115" spans="1:26" ht="15">
      <c r="A115" s="9" t="s">
        <v>1491</v>
      </c>
      <c r="D115" s="290" t="s">
        <v>1492</v>
      </c>
      <c r="E115" s="22" t="s">
        <v>1493</v>
      </c>
      <c r="M115" s="59" t="s">
        <v>1494</v>
      </c>
      <c r="N115" s="291">
        <v>1</v>
      </c>
      <c r="P115" s="9" t="s">
        <v>1495</v>
      </c>
      <c r="Q115" s="9" t="s">
        <v>1496</v>
      </c>
      <c r="R115" s="69">
        <v>2</v>
      </c>
      <c r="Z115" s="16"/>
    </row>
    <row r="116" spans="1:26" ht="14.25">
      <c r="A116" s="9" t="s">
        <v>1497</v>
      </c>
      <c r="B116" s="8">
        <v>45097</v>
      </c>
      <c r="C116" s="8">
        <v>45099</v>
      </c>
      <c r="D116" s="278" t="s">
        <v>1498</v>
      </c>
      <c r="E116" s="9" t="s">
        <v>1176</v>
      </c>
      <c r="G116" s="9">
        <v>15.61</v>
      </c>
      <c r="H116" s="265" t="s">
        <v>1499</v>
      </c>
      <c r="M116" s="9" t="s">
        <v>1500</v>
      </c>
      <c r="N116" s="69">
        <v>10</v>
      </c>
      <c r="P116" s="9" t="s">
        <v>1501</v>
      </c>
      <c r="Q116" s="9" t="s">
        <v>1496</v>
      </c>
      <c r="R116" s="69">
        <v>1</v>
      </c>
      <c r="Z116" s="16"/>
    </row>
    <row r="117" spans="1:26" ht="14.25">
      <c r="A117" s="22" t="s">
        <v>1502</v>
      </c>
      <c r="B117" s="8">
        <v>45094</v>
      </c>
      <c r="C117" s="10">
        <v>45098</v>
      </c>
      <c r="D117" s="278" t="s">
        <v>1503</v>
      </c>
      <c r="E117" s="9" t="s">
        <v>1176</v>
      </c>
      <c r="F117" s="9" t="s">
        <v>1217</v>
      </c>
      <c r="G117" s="9">
        <v>29.28</v>
      </c>
      <c r="H117" s="265" t="s">
        <v>1504</v>
      </c>
      <c r="M117" s="9" t="s">
        <v>1505</v>
      </c>
      <c r="N117" s="173">
        <v>1</v>
      </c>
      <c r="P117" s="9" t="s">
        <v>1506</v>
      </c>
      <c r="Q117" s="9" t="s">
        <v>1507</v>
      </c>
      <c r="R117" s="69">
        <v>2</v>
      </c>
      <c r="Z117" s="16"/>
    </row>
    <row r="118" spans="1:26" ht="14.25">
      <c r="A118" s="292" t="s">
        <v>1508</v>
      </c>
      <c r="B118" s="8">
        <v>45095</v>
      </c>
      <c r="C118" s="10">
        <v>45098</v>
      </c>
      <c r="D118" s="278" t="s">
        <v>1509</v>
      </c>
      <c r="E118" s="9" t="s">
        <v>1176</v>
      </c>
      <c r="F118" s="9" t="s">
        <v>1217</v>
      </c>
      <c r="G118" s="9">
        <v>52.99</v>
      </c>
      <c r="H118" s="265" t="s">
        <v>1510</v>
      </c>
      <c r="P118" s="9" t="s">
        <v>1511</v>
      </c>
      <c r="Q118" s="9" t="s">
        <v>1507</v>
      </c>
      <c r="R118" s="69">
        <v>1</v>
      </c>
      <c r="T118" s="3" t="s">
        <v>1512</v>
      </c>
      <c r="U118" s="9">
        <v>9.15</v>
      </c>
      <c r="V118" s="3" t="s">
        <v>1513</v>
      </c>
      <c r="W118" s="9" t="s">
        <v>1149</v>
      </c>
      <c r="Z118" s="16"/>
    </row>
    <row r="119" spans="1:26" ht="14.25">
      <c r="A119" s="9" t="s">
        <v>1514</v>
      </c>
      <c r="B119" s="8">
        <v>45092</v>
      </c>
      <c r="C119" s="10">
        <v>45097</v>
      </c>
      <c r="D119" s="278" t="s">
        <v>1515</v>
      </c>
      <c r="E119" s="9" t="s">
        <v>1176</v>
      </c>
      <c r="F119" s="9" t="s">
        <v>1217</v>
      </c>
      <c r="G119" s="9">
        <v>28.2</v>
      </c>
      <c r="H119" s="265" t="s">
        <v>1516</v>
      </c>
      <c r="M119" s="3" t="s">
        <v>1517</v>
      </c>
      <c r="N119" s="176">
        <f>SUM(N2:N114)</f>
        <v>71.2</v>
      </c>
      <c r="P119" s="9" t="s">
        <v>1518</v>
      </c>
      <c r="Q119" s="9" t="s">
        <v>1507</v>
      </c>
      <c r="R119" s="69">
        <v>1</v>
      </c>
      <c r="U119" s="9">
        <v>9.15</v>
      </c>
      <c r="V119" s="3" t="s">
        <v>1519</v>
      </c>
      <c r="W119" s="9" t="s">
        <v>1149</v>
      </c>
      <c r="Z119" s="16"/>
    </row>
    <row r="120" spans="1:26" ht="12.75" customHeight="1">
      <c r="A120" s="9" t="s">
        <v>1520</v>
      </c>
      <c r="B120" s="9" t="s">
        <v>135</v>
      </c>
      <c r="C120" s="8">
        <v>45097</v>
      </c>
      <c r="D120" s="293" t="s">
        <v>1521</v>
      </c>
      <c r="E120" s="9" t="s">
        <v>137</v>
      </c>
      <c r="F120" s="9" t="s">
        <v>1217</v>
      </c>
      <c r="G120" s="9">
        <v>0</v>
      </c>
      <c r="P120" s="9" t="s">
        <v>1522</v>
      </c>
      <c r="Q120" s="9" t="s">
        <v>1507</v>
      </c>
      <c r="R120" s="69">
        <v>1</v>
      </c>
      <c r="X120" s="3" t="s">
        <v>1523</v>
      </c>
      <c r="Z120" s="16"/>
    </row>
    <row r="121" spans="1:26" ht="14.25">
      <c r="A121" s="9" t="s">
        <v>1524</v>
      </c>
      <c r="B121" s="8">
        <v>45068</v>
      </c>
      <c r="C121" s="8">
        <v>45091</v>
      </c>
      <c r="D121" s="278" t="s">
        <v>1525</v>
      </c>
      <c r="E121" s="9" t="s">
        <v>725</v>
      </c>
      <c r="G121" s="9">
        <v>27.78</v>
      </c>
      <c r="T121" s="3" t="s">
        <v>1526</v>
      </c>
      <c r="X121" s="9" t="s">
        <v>1527</v>
      </c>
      <c r="Z121" s="16"/>
    </row>
    <row r="122" spans="1:26" ht="14.25">
      <c r="A122" s="9" t="s">
        <v>1528</v>
      </c>
      <c r="B122" s="8">
        <v>45085</v>
      </c>
      <c r="C122" s="8">
        <v>45090</v>
      </c>
      <c r="D122" s="278" t="s">
        <v>1529</v>
      </c>
      <c r="E122" s="9" t="s">
        <v>1176</v>
      </c>
      <c r="G122" s="9">
        <v>23.86</v>
      </c>
      <c r="H122" s="265" t="s">
        <v>1530</v>
      </c>
      <c r="T122" s="9" t="s">
        <v>1531</v>
      </c>
      <c r="X122" s="9" t="s">
        <v>1532</v>
      </c>
      <c r="Z122" s="16"/>
    </row>
    <row r="123" spans="1:26" ht="14.25">
      <c r="A123" s="292" t="s">
        <v>1508</v>
      </c>
      <c r="B123" s="8">
        <v>45088</v>
      </c>
      <c r="C123" s="8">
        <v>45090</v>
      </c>
      <c r="D123" s="278" t="s">
        <v>1533</v>
      </c>
      <c r="E123" s="9" t="s">
        <v>1176</v>
      </c>
      <c r="G123" s="9">
        <v>52.99</v>
      </c>
      <c r="H123" s="265" t="s">
        <v>1534</v>
      </c>
      <c r="O123" s="69"/>
      <c r="T123" s="9" t="s">
        <v>1535</v>
      </c>
      <c r="V123" s="294" t="s">
        <v>1536</v>
      </c>
      <c r="W123" s="294" t="s">
        <v>1149</v>
      </c>
      <c r="X123" s="9" t="s">
        <v>1537</v>
      </c>
    </row>
    <row r="124" spans="1:26" ht="14.25">
      <c r="A124" s="22" t="s">
        <v>1538</v>
      </c>
      <c r="B124" s="8">
        <v>45079</v>
      </c>
      <c r="C124" s="8">
        <v>45089</v>
      </c>
      <c r="D124" s="278" t="s">
        <v>1529</v>
      </c>
      <c r="E124" s="9" t="s">
        <v>1539</v>
      </c>
      <c r="G124" s="9">
        <v>98.99</v>
      </c>
      <c r="H124" s="266" t="s">
        <v>1540</v>
      </c>
      <c r="T124" s="9" t="s">
        <v>1541</v>
      </c>
      <c r="V124" s="294" t="s">
        <v>1542</v>
      </c>
      <c r="W124" s="294" t="s">
        <v>1446</v>
      </c>
      <c r="X124" s="9" t="s">
        <v>1543</v>
      </c>
      <c r="Z124" s="16"/>
    </row>
    <row r="125" spans="1:26" ht="14.25">
      <c r="A125" s="9" t="s">
        <v>1544</v>
      </c>
      <c r="B125" s="8">
        <v>45079</v>
      </c>
      <c r="C125" s="10">
        <v>45085</v>
      </c>
      <c r="D125" s="278" t="s">
        <v>1545</v>
      </c>
      <c r="E125" s="9" t="s">
        <v>1176</v>
      </c>
      <c r="G125" s="9">
        <v>32.54</v>
      </c>
      <c r="H125" s="265" t="s">
        <v>1546</v>
      </c>
      <c r="V125" s="294" t="s">
        <v>1547</v>
      </c>
      <c r="W125" s="294" t="s">
        <v>1324</v>
      </c>
      <c r="X125" s="9" t="s">
        <v>1482</v>
      </c>
      <c r="Z125" s="16"/>
    </row>
    <row r="126" spans="1:26" ht="25.5">
      <c r="A126" s="9" t="s">
        <v>1548</v>
      </c>
      <c r="B126" s="8">
        <v>45079</v>
      </c>
      <c r="C126" s="10">
        <v>45085</v>
      </c>
      <c r="D126" s="278" t="s">
        <v>1549</v>
      </c>
      <c r="E126" s="9" t="s">
        <v>1176</v>
      </c>
      <c r="G126" s="9">
        <v>16.260000000000002</v>
      </c>
      <c r="H126" s="265" t="s">
        <v>1550</v>
      </c>
      <c r="V126" s="294" t="s">
        <v>1551</v>
      </c>
      <c r="W126" s="294" t="s">
        <v>1324</v>
      </c>
      <c r="X126" s="9" t="s">
        <v>1552</v>
      </c>
      <c r="Z126" s="16"/>
    </row>
    <row r="127" spans="1:26" ht="25.5">
      <c r="A127" s="9" t="s">
        <v>1553</v>
      </c>
      <c r="B127" s="8">
        <v>45077</v>
      </c>
      <c r="C127" s="10">
        <v>45083</v>
      </c>
      <c r="D127" s="278" t="s">
        <v>1554</v>
      </c>
      <c r="E127" s="9" t="s">
        <v>1176</v>
      </c>
      <c r="G127" s="9">
        <v>6.5</v>
      </c>
      <c r="H127" s="265" t="s">
        <v>1555</v>
      </c>
      <c r="V127" s="294" t="s">
        <v>1556</v>
      </c>
      <c r="W127" s="294" t="s">
        <v>1446</v>
      </c>
      <c r="X127" s="9" t="s">
        <v>1557</v>
      </c>
      <c r="Z127" s="16"/>
    </row>
    <row r="128" spans="1:26" ht="14.25">
      <c r="A128" s="9" t="s">
        <v>1558</v>
      </c>
      <c r="B128" s="8">
        <v>45067</v>
      </c>
      <c r="C128" s="8">
        <v>45080</v>
      </c>
      <c r="D128" s="278" t="s">
        <v>1559</v>
      </c>
      <c r="E128" s="22" t="s">
        <v>1560</v>
      </c>
      <c r="G128" s="9">
        <v>8.35</v>
      </c>
      <c r="Q128" s="3" t="s">
        <v>61</v>
      </c>
      <c r="R128" s="6">
        <f>SUM(R2:R125)</f>
        <v>21</v>
      </c>
      <c r="V128" s="294" t="s">
        <v>1561</v>
      </c>
      <c r="W128" s="294" t="s">
        <v>1324</v>
      </c>
      <c r="X128" s="9" t="s">
        <v>1562</v>
      </c>
    </row>
    <row r="129" spans="1:26" ht="14.25">
      <c r="A129" s="9" t="s">
        <v>1563</v>
      </c>
      <c r="B129" s="8">
        <v>45077</v>
      </c>
      <c r="C129" s="10">
        <v>45080</v>
      </c>
      <c r="D129" s="278" t="s">
        <v>1564</v>
      </c>
      <c r="E129" s="9" t="s">
        <v>1176</v>
      </c>
      <c r="G129" s="9">
        <v>43.39</v>
      </c>
      <c r="V129" s="294" t="s">
        <v>1565</v>
      </c>
      <c r="W129" s="294" t="s">
        <v>1324</v>
      </c>
      <c r="X129" s="9" t="s">
        <v>1566</v>
      </c>
    </row>
    <row r="130" spans="1:26" ht="14.25">
      <c r="A130" s="9" t="s">
        <v>1567</v>
      </c>
      <c r="B130" s="9">
        <v>5.22</v>
      </c>
      <c r="C130" s="10">
        <v>45072</v>
      </c>
      <c r="D130" s="278" t="s">
        <v>1568</v>
      </c>
      <c r="E130" s="9" t="s">
        <v>725</v>
      </c>
      <c r="F130" s="9" t="s">
        <v>1217</v>
      </c>
      <c r="G130" s="9">
        <v>61.78</v>
      </c>
      <c r="V130" s="294" t="s">
        <v>1569</v>
      </c>
      <c r="W130" s="294" t="s">
        <v>1324</v>
      </c>
      <c r="X130" s="9" t="s">
        <v>1570</v>
      </c>
    </row>
    <row r="131" spans="1:26" ht="14.25">
      <c r="A131" s="9" t="s">
        <v>1571</v>
      </c>
      <c r="B131" s="8">
        <v>45070</v>
      </c>
      <c r="C131" s="10">
        <v>45072</v>
      </c>
      <c r="D131" s="278" t="s">
        <v>1572</v>
      </c>
      <c r="E131" s="9" t="s">
        <v>725</v>
      </c>
      <c r="G131" s="9">
        <v>20.6</v>
      </c>
      <c r="H131" s="295" t="s">
        <v>1573</v>
      </c>
      <c r="V131" s="294" t="s">
        <v>1574</v>
      </c>
      <c r="W131" s="294" t="s">
        <v>1149</v>
      </c>
    </row>
    <row r="132" spans="1:26">
      <c r="A132" s="9" t="s">
        <v>1575</v>
      </c>
      <c r="B132" s="8">
        <v>45066</v>
      </c>
      <c r="C132" s="8">
        <v>45071</v>
      </c>
      <c r="D132" s="40"/>
      <c r="E132" s="9" t="s">
        <v>1576</v>
      </c>
      <c r="G132" s="9">
        <v>8.35</v>
      </c>
      <c r="H132" s="265" t="s">
        <v>1577</v>
      </c>
      <c r="V132" s="294" t="s">
        <v>1578</v>
      </c>
      <c r="W132" s="294" t="s">
        <v>1324</v>
      </c>
    </row>
    <row r="133" spans="1:26" ht="12.75" customHeight="1">
      <c r="A133" s="9" t="s">
        <v>1579</v>
      </c>
      <c r="B133" s="8">
        <v>45063</v>
      </c>
      <c r="C133" s="10">
        <v>45070</v>
      </c>
      <c r="D133" s="293" t="s">
        <v>1580</v>
      </c>
      <c r="E133" s="9" t="s">
        <v>1579</v>
      </c>
      <c r="F133" s="9" t="s">
        <v>1217</v>
      </c>
      <c r="G133" s="9" t="s">
        <v>1581</v>
      </c>
      <c r="M133" s="3" t="s">
        <v>1582</v>
      </c>
      <c r="V133" s="294" t="s">
        <v>1583</v>
      </c>
      <c r="W133" s="294" t="s">
        <v>1324</v>
      </c>
      <c r="Z133" s="16"/>
    </row>
    <row r="134" spans="1:26">
      <c r="A134" s="22" t="s">
        <v>1584</v>
      </c>
      <c r="B134" s="8">
        <v>45062</v>
      </c>
      <c r="C134" s="10">
        <v>45069</v>
      </c>
      <c r="D134" s="296" t="s">
        <v>1585</v>
      </c>
      <c r="E134" s="9" t="s">
        <v>137</v>
      </c>
      <c r="F134" s="9" t="s">
        <v>1217</v>
      </c>
      <c r="G134" s="9"/>
      <c r="H134" s="266" t="s">
        <v>1586</v>
      </c>
      <c r="M134" s="9" t="s">
        <v>1587</v>
      </c>
      <c r="V134" s="294" t="s">
        <v>1588</v>
      </c>
      <c r="W134" s="294" t="s">
        <v>1324</v>
      </c>
      <c r="Z134" s="16"/>
    </row>
    <row r="135" spans="1:26" ht="14.25">
      <c r="A135" s="9" t="s">
        <v>1589</v>
      </c>
      <c r="B135" s="8">
        <v>45065</v>
      </c>
      <c r="C135" s="10">
        <v>45069</v>
      </c>
      <c r="D135" s="278" t="s">
        <v>1590</v>
      </c>
      <c r="E135" s="9" t="s">
        <v>69</v>
      </c>
      <c r="G135" s="9">
        <v>31.78</v>
      </c>
      <c r="H135" s="265" t="s">
        <v>1591</v>
      </c>
      <c r="M135" s="59" t="s">
        <v>1592</v>
      </c>
      <c r="V135" s="294" t="s">
        <v>1593</v>
      </c>
      <c r="W135" s="9" t="s">
        <v>1149</v>
      </c>
      <c r="Z135" s="16"/>
    </row>
    <row r="136" spans="1:26" ht="14.25">
      <c r="A136" s="9" t="s">
        <v>1594</v>
      </c>
      <c r="B136" s="8">
        <v>45059</v>
      </c>
      <c r="C136" s="8">
        <v>45063</v>
      </c>
      <c r="D136" s="278">
        <v>640414081490</v>
      </c>
      <c r="E136" s="9" t="s">
        <v>391</v>
      </c>
      <c r="F136" s="9" t="s">
        <v>1595</v>
      </c>
      <c r="G136" s="9">
        <v>186.63</v>
      </c>
      <c r="H136" s="266" t="s">
        <v>1596</v>
      </c>
      <c r="M136" s="9" t="s">
        <v>1597</v>
      </c>
      <c r="P136" s="9"/>
      <c r="V136" s="294" t="s">
        <v>1598</v>
      </c>
      <c r="W136" s="9" t="s">
        <v>1324</v>
      </c>
    </row>
    <row r="137" spans="1:26" ht="14.25">
      <c r="A137" s="9" t="s">
        <v>1599</v>
      </c>
      <c r="B137" s="8">
        <v>45057</v>
      </c>
      <c r="C137" s="8">
        <v>45062</v>
      </c>
      <c r="D137" s="278" t="s">
        <v>1600</v>
      </c>
      <c r="E137" s="9" t="s">
        <v>1176</v>
      </c>
      <c r="G137" s="9">
        <v>46.1</v>
      </c>
      <c r="H137" s="265" t="s">
        <v>1601</v>
      </c>
      <c r="M137" s="9" t="s">
        <v>1602</v>
      </c>
      <c r="V137" s="294" t="s">
        <v>1603</v>
      </c>
      <c r="W137" s="9" t="s">
        <v>1446</v>
      </c>
    </row>
    <row r="138" spans="1:26" ht="14.25">
      <c r="A138" s="9" t="s">
        <v>1604</v>
      </c>
      <c r="B138" s="8">
        <v>45054</v>
      </c>
      <c r="C138" s="8">
        <v>45058</v>
      </c>
      <c r="D138" s="278" t="s">
        <v>1605</v>
      </c>
      <c r="E138" s="9" t="s">
        <v>1176</v>
      </c>
      <c r="G138" s="9">
        <v>10.843999999999999</v>
      </c>
      <c r="H138" s="265" t="s">
        <v>1606</v>
      </c>
      <c r="M138" s="59" t="s">
        <v>1607</v>
      </c>
      <c r="V138" s="294" t="s">
        <v>1608</v>
      </c>
      <c r="W138" s="9" t="s">
        <v>1149</v>
      </c>
    </row>
    <row r="139" spans="1:26" ht="14.25">
      <c r="A139" s="9" t="s">
        <v>1609</v>
      </c>
      <c r="B139" s="8">
        <v>45055</v>
      </c>
      <c r="C139" s="8">
        <v>45057</v>
      </c>
      <c r="D139" s="278" t="s">
        <v>1605</v>
      </c>
      <c r="E139" s="9" t="s">
        <v>1176</v>
      </c>
      <c r="G139" s="9">
        <v>17.350000000000001</v>
      </c>
      <c r="H139" s="265" t="s">
        <v>1610</v>
      </c>
      <c r="V139" s="294" t="s">
        <v>1611</v>
      </c>
      <c r="W139" s="297" t="s">
        <v>1324</v>
      </c>
    </row>
    <row r="140" spans="1:26" ht="14.25">
      <c r="A140" s="9" t="s">
        <v>1612</v>
      </c>
      <c r="B140" s="8">
        <v>45042</v>
      </c>
      <c r="C140" s="8">
        <v>45056</v>
      </c>
      <c r="D140" s="278" t="s">
        <v>1613</v>
      </c>
      <c r="E140" s="9" t="s">
        <v>1142</v>
      </c>
      <c r="G140" s="9">
        <v>16.64</v>
      </c>
      <c r="H140" s="265" t="s">
        <v>1614</v>
      </c>
      <c r="V140" s="294" t="s">
        <v>1615</v>
      </c>
      <c r="W140" s="297" t="s">
        <v>1446</v>
      </c>
    </row>
    <row r="141" spans="1:26" ht="14.25">
      <c r="A141" s="9" t="s">
        <v>1616</v>
      </c>
      <c r="B141" s="8">
        <v>45043</v>
      </c>
      <c r="C141" s="8">
        <v>45056</v>
      </c>
      <c r="D141" s="278" t="s">
        <v>1613</v>
      </c>
      <c r="E141" s="9" t="s">
        <v>1142</v>
      </c>
      <c r="G141" s="9">
        <v>12.21</v>
      </c>
      <c r="H141" s="266" t="s">
        <v>1614</v>
      </c>
      <c r="V141" s="294" t="s">
        <v>1617</v>
      </c>
      <c r="W141" s="297" t="s">
        <v>1446</v>
      </c>
    </row>
    <row r="142" spans="1:26" ht="14.25">
      <c r="A142" s="9" t="s">
        <v>1618</v>
      </c>
      <c r="B142" s="8">
        <v>45044</v>
      </c>
      <c r="C142" s="8">
        <v>45056</v>
      </c>
      <c r="D142" s="278" t="s">
        <v>1613</v>
      </c>
      <c r="E142" s="9" t="s">
        <v>1142</v>
      </c>
      <c r="G142" s="9">
        <v>10.7</v>
      </c>
      <c r="H142" s="266" t="s">
        <v>1614</v>
      </c>
      <c r="V142" s="294" t="s">
        <v>1619</v>
      </c>
      <c r="W142" s="297" t="s">
        <v>1446</v>
      </c>
    </row>
    <row r="143" spans="1:26" ht="14.25">
      <c r="A143" s="22" t="s">
        <v>1620</v>
      </c>
      <c r="B143" s="8">
        <v>45046</v>
      </c>
      <c r="C143" s="8">
        <v>45050</v>
      </c>
      <c r="D143" s="278" t="s">
        <v>1621</v>
      </c>
      <c r="E143" s="9" t="s">
        <v>1176</v>
      </c>
      <c r="G143" s="9">
        <v>8.0399999999999991</v>
      </c>
      <c r="H143" s="267" t="s">
        <v>1622</v>
      </c>
      <c r="V143" s="294" t="s">
        <v>1623</v>
      </c>
      <c r="W143" s="297" t="s">
        <v>1149</v>
      </c>
    </row>
    <row r="144" spans="1:26" ht="25.5">
      <c r="A144" s="22" t="s">
        <v>1624</v>
      </c>
      <c r="B144" s="8">
        <v>45034</v>
      </c>
      <c r="C144" s="8">
        <v>45043</v>
      </c>
      <c r="D144" s="278" t="s">
        <v>1625</v>
      </c>
      <c r="E144" s="9" t="s">
        <v>1626</v>
      </c>
      <c r="V144" s="294" t="s">
        <v>1627</v>
      </c>
      <c r="W144" s="297" t="s">
        <v>1446</v>
      </c>
    </row>
    <row r="145" spans="1:23" ht="14.25">
      <c r="A145" s="9" t="s">
        <v>1628</v>
      </c>
      <c r="B145" s="8">
        <v>45039</v>
      </c>
      <c r="C145" s="8">
        <v>45042</v>
      </c>
      <c r="D145" s="278" t="s">
        <v>1629</v>
      </c>
      <c r="E145" s="9" t="s">
        <v>1176</v>
      </c>
      <c r="G145" s="9">
        <v>13.01</v>
      </c>
      <c r="H145" s="267" t="s">
        <v>1630</v>
      </c>
      <c r="V145" s="294" t="s">
        <v>1631</v>
      </c>
      <c r="W145" s="297" t="s">
        <v>1324</v>
      </c>
    </row>
    <row r="146" spans="1:23">
      <c r="A146" s="9" t="s">
        <v>1632</v>
      </c>
      <c r="C146" s="8">
        <v>45042</v>
      </c>
      <c r="D146" s="40"/>
      <c r="E146" s="9" t="s">
        <v>1142</v>
      </c>
      <c r="V146" s="294" t="s">
        <v>1633</v>
      </c>
      <c r="W146" s="297" t="s">
        <v>1324</v>
      </c>
    </row>
    <row r="147" spans="1:23" ht="25.5">
      <c r="A147" s="22" t="s">
        <v>1634</v>
      </c>
      <c r="B147" s="8">
        <v>45034</v>
      </c>
      <c r="C147" s="8">
        <v>45042</v>
      </c>
      <c r="D147" s="278" t="s">
        <v>1635</v>
      </c>
      <c r="E147" s="9" t="s">
        <v>1626</v>
      </c>
      <c r="V147" s="294" t="s">
        <v>1570</v>
      </c>
      <c r="W147" s="297" t="s">
        <v>1446</v>
      </c>
    </row>
    <row r="148" spans="1:23" ht="25.5">
      <c r="A148" s="22" t="s">
        <v>1636</v>
      </c>
      <c r="B148" s="8">
        <v>45034</v>
      </c>
      <c r="C148" s="8">
        <v>45041</v>
      </c>
      <c r="D148" s="40"/>
      <c r="E148" s="9" t="s">
        <v>1626</v>
      </c>
      <c r="G148" s="9">
        <v>0</v>
      </c>
      <c r="V148" s="294" t="s">
        <v>1637</v>
      </c>
      <c r="W148" s="297" t="s">
        <v>1446</v>
      </c>
    </row>
    <row r="149" spans="1:23" ht="14.25">
      <c r="A149" s="9" t="s">
        <v>1638</v>
      </c>
      <c r="B149" s="8">
        <v>45028</v>
      </c>
      <c r="C149" s="8">
        <v>45031</v>
      </c>
      <c r="D149" s="284">
        <v>607114894977</v>
      </c>
      <c r="E149" s="9" t="s">
        <v>1639</v>
      </c>
      <c r="F149" s="9" t="s">
        <v>1595</v>
      </c>
      <c r="G149" s="9">
        <v>21.73</v>
      </c>
      <c r="H149" s="298" t="s">
        <v>1640</v>
      </c>
      <c r="V149" s="294" t="s">
        <v>1641</v>
      </c>
      <c r="W149" s="297" t="s">
        <v>1149</v>
      </c>
    </row>
    <row r="150" spans="1:23" ht="14.25">
      <c r="A150" s="9" t="s">
        <v>1642</v>
      </c>
      <c r="B150" s="8">
        <v>45025</v>
      </c>
      <c r="C150" s="8">
        <v>45028</v>
      </c>
      <c r="D150" s="278" t="s">
        <v>1643</v>
      </c>
      <c r="E150" s="9" t="s">
        <v>1222</v>
      </c>
      <c r="G150" s="9">
        <v>45.56</v>
      </c>
      <c r="H150" s="265" t="s">
        <v>1644</v>
      </c>
      <c r="V150" s="294" t="s">
        <v>1645</v>
      </c>
      <c r="W150" s="297" t="s">
        <v>1324</v>
      </c>
    </row>
    <row r="151" spans="1:23" ht="12.75" customHeight="1">
      <c r="A151" s="9" t="s">
        <v>1646</v>
      </c>
      <c r="B151" s="8">
        <v>45019</v>
      </c>
      <c r="C151" s="8">
        <v>45027</v>
      </c>
      <c r="D151" s="293" t="s">
        <v>1647</v>
      </c>
      <c r="E151" s="9" t="s">
        <v>1579</v>
      </c>
      <c r="G151" s="9">
        <v>260</v>
      </c>
      <c r="V151" s="294" t="s">
        <v>1648</v>
      </c>
      <c r="W151" s="297" t="s">
        <v>1324</v>
      </c>
    </row>
    <row r="152" spans="1:23" ht="14.25">
      <c r="A152" s="9" t="s">
        <v>1649</v>
      </c>
      <c r="B152" s="8">
        <v>45021</v>
      </c>
      <c r="C152" s="8">
        <v>45027</v>
      </c>
      <c r="D152" s="299" t="s">
        <v>1650</v>
      </c>
      <c r="E152" s="9" t="s">
        <v>1651</v>
      </c>
      <c r="F152" s="9" t="s">
        <v>1186</v>
      </c>
      <c r="G152" s="9">
        <v>24.38</v>
      </c>
      <c r="H152" s="300">
        <v>58365937</v>
      </c>
      <c r="V152" s="9" t="s">
        <v>1652</v>
      </c>
      <c r="W152" s="9" t="s">
        <v>1446</v>
      </c>
    </row>
    <row r="153" spans="1:23" ht="14.25">
      <c r="A153" s="9" t="s">
        <v>1653</v>
      </c>
      <c r="B153" s="8">
        <v>45023</v>
      </c>
      <c r="C153" s="10">
        <v>45026</v>
      </c>
      <c r="D153" s="278" t="s">
        <v>1654</v>
      </c>
      <c r="E153" s="9" t="s">
        <v>1222</v>
      </c>
      <c r="G153" s="9">
        <v>10.84</v>
      </c>
      <c r="H153" s="265" t="s">
        <v>1655</v>
      </c>
      <c r="P153" s="16"/>
    </row>
    <row r="154" spans="1:23" ht="14.25">
      <c r="A154" s="9" t="s">
        <v>1656</v>
      </c>
      <c r="B154" s="8">
        <v>45019</v>
      </c>
      <c r="C154" s="8">
        <v>45024</v>
      </c>
      <c r="D154" s="284" t="s">
        <v>1657</v>
      </c>
      <c r="E154" s="9" t="s">
        <v>293</v>
      </c>
      <c r="F154" s="9" t="s">
        <v>1186</v>
      </c>
      <c r="G154" s="9">
        <v>27.98</v>
      </c>
      <c r="H154" s="301" t="s">
        <v>1658</v>
      </c>
      <c r="P154" s="16"/>
    </row>
    <row r="155" spans="1:23" ht="14.25">
      <c r="A155" s="9" t="s">
        <v>1659</v>
      </c>
      <c r="B155" s="8">
        <v>45017</v>
      </c>
      <c r="C155" s="10">
        <v>45022</v>
      </c>
      <c r="D155" s="278" t="s">
        <v>1660</v>
      </c>
      <c r="E155" s="9" t="s">
        <v>1222</v>
      </c>
      <c r="G155" s="9">
        <v>74.75</v>
      </c>
      <c r="H155" s="295" t="s">
        <v>1661</v>
      </c>
    </row>
    <row r="156" spans="1:23" ht="15">
      <c r="A156" s="9" t="s">
        <v>1662</v>
      </c>
      <c r="B156" s="8">
        <v>45010</v>
      </c>
      <c r="C156" s="8">
        <v>45017</v>
      </c>
      <c r="D156" s="1644" t="s">
        <v>1663</v>
      </c>
      <c r="E156" s="9" t="s">
        <v>293</v>
      </c>
      <c r="F156" s="9" t="s">
        <v>1198</v>
      </c>
      <c r="G156" s="9">
        <v>26.34</v>
      </c>
      <c r="H156" s="276" t="s">
        <v>1664</v>
      </c>
    </row>
    <row r="157" spans="1:23" ht="14.25">
      <c r="A157" s="9" t="s">
        <v>1665</v>
      </c>
      <c r="B157" s="8">
        <v>45010</v>
      </c>
      <c r="C157" s="10">
        <v>45013</v>
      </c>
      <c r="D157" s="278" t="s">
        <v>1666</v>
      </c>
      <c r="E157" s="9" t="s">
        <v>1176</v>
      </c>
      <c r="F157" s="9" t="s">
        <v>1217</v>
      </c>
      <c r="G157" s="9">
        <v>21.65</v>
      </c>
      <c r="H157" s="265" t="s">
        <v>1667</v>
      </c>
    </row>
    <row r="158" spans="1:23" ht="14.25">
      <c r="A158" s="22" t="s">
        <v>1668</v>
      </c>
      <c r="B158" s="8">
        <v>45006</v>
      </c>
      <c r="C158" s="10">
        <v>45009</v>
      </c>
      <c r="D158" s="278" t="s">
        <v>1669</v>
      </c>
      <c r="E158" s="9" t="s">
        <v>1176</v>
      </c>
      <c r="G158" s="9">
        <v>35.090000000000003</v>
      </c>
      <c r="H158" s="265" t="s">
        <v>1670</v>
      </c>
    </row>
    <row r="159" spans="1:23" ht="28.5">
      <c r="A159" s="22" t="s">
        <v>1671</v>
      </c>
      <c r="B159" s="8">
        <v>45000</v>
      </c>
      <c r="C159" s="8">
        <v>45009</v>
      </c>
      <c r="D159" s="284" t="s">
        <v>1672</v>
      </c>
      <c r="E159" s="9" t="s">
        <v>1673</v>
      </c>
      <c r="F159" s="22" t="s">
        <v>1674</v>
      </c>
      <c r="G159" s="9">
        <v>40.99</v>
      </c>
      <c r="H159" s="302" t="s">
        <v>1675</v>
      </c>
    </row>
    <row r="160" spans="1:23" ht="14.25">
      <c r="A160" s="22" t="s">
        <v>1676</v>
      </c>
      <c r="B160" s="8">
        <v>44989</v>
      </c>
      <c r="C160" s="8">
        <v>45008</v>
      </c>
      <c r="D160" s="303" t="s">
        <v>1677</v>
      </c>
      <c r="E160" s="9" t="s">
        <v>1176</v>
      </c>
      <c r="G160" s="9">
        <v>1.77</v>
      </c>
      <c r="H160" s="265" t="s">
        <v>1678</v>
      </c>
    </row>
    <row r="161" spans="1:10" ht="12.75" customHeight="1">
      <c r="A161" s="22" t="s">
        <v>1679</v>
      </c>
      <c r="C161" s="8">
        <v>45007</v>
      </c>
      <c r="D161" s="293" t="s">
        <v>1680</v>
      </c>
      <c r="E161" s="9" t="s">
        <v>1681</v>
      </c>
    </row>
    <row r="162" spans="1:10" ht="14.25">
      <c r="A162" s="22" t="s">
        <v>1682</v>
      </c>
      <c r="B162" s="8">
        <v>45002</v>
      </c>
      <c r="C162" s="10">
        <v>45007</v>
      </c>
      <c r="D162" s="278" t="s">
        <v>1683</v>
      </c>
      <c r="E162" s="9" t="s">
        <v>1176</v>
      </c>
      <c r="G162" s="9">
        <v>10.88</v>
      </c>
      <c r="H162" s="255" t="s">
        <v>1684</v>
      </c>
    </row>
    <row r="163" spans="1:10" ht="14.25">
      <c r="A163" s="22" t="s">
        <v>1685</v>
      </c>
      <c r="B163" s="8">
        <v>44999</v>
      </c>
      <c r="C163" s="8">
        <v>45003</v>
      </c>
      <c r="D163" s="284" t="s">
        <v>1686</v>
      </c>
      <c r="E163" s="9" t="s">
        <v>293</v>
      </c>
      <c r="F163" s="9" t="s">
        <v>1198</v>
      </c>
      <c r="G163" s="9">
        <v>208.81</v>
      </c>
      <c r="H163" s="304" t="s">
        <v>1687</v>
      </c>
    </row>
    <row r="164" spans="1:10">
      <c r="A164" s="22" t="s">
        <v>1688</v>
      </c>
      <c r="B164" s="8">
        <v>44997</v>
      </c>
      <c r="C164" s="8">
        <v>45003</v>
      </c>
      <c r="D164" s="40"/>
      <c r="E164" s="9" t="s">
        <v>1114</v>
      </c>
      <c r="G164" s="9">
        <v>0</v>
      </c>
    </row>
    <row r="165" spans="1:10" ht="14.25">
      <c r="A165" s="22" t="s">
        <v>1689</v>
      </c>
      <c r="B165" s="8">
        <v>45000</v>
      </c>
      <c r="C165" s="10">
        <v>45005</v>
      </c>
      <c r="D165" s="278" t="s">
        <v>1690</v>
      </c>
      <c r="E165" s="9" t="s">
        <v>1222</v>
      </c>
      <c r="G165" s="9">
        <v>15.91</v>
      </c>
      <c r="H165" s="265" t="s">
        <v>1691</v>
      </c>
    </row>
    <row r="166" spans="1:10" ht="14.25">
      <c r="A166" s="9" t="s">
        <v>1692</v>
      </c>
      <c r="B166" s="8">
        <v>44996</v>
      </c>
      <c r="C166" s="10">
        <v>45002</v>
      </c>
      <c r="D166" s="278" t="s">
        <v>1693</v>
      </c>
      <c r="E166" s="9" t="s">
        <v>1222</v>
      </c>
      <c r="G166" s="9">
        <v>7.04</v>
      </c>
      <c r="H166" s="265" t="s">
        <v>1694</v>
      </c>
    </row>
    <row r="167" spans="1:10" ht="14.25">
      <c r="A167" s="9" t="s">
        <v>1695</v>
      </c>
      <c r="B167" s="8">
        <v>44998</v>
      </c>
      <c r="C167" s="10">
        <v>45000</v>
      </c>
      <c r="D167" s="278" t="s">
        <v>1696</v>
      </c>
      <c r="E167" s="9" t="s">
        <v>1176</v>
      </c>
      <c r="F167" s="9" t="s">
        <v>1217</v>
      </c>
      <c r="G167" s="9">
        <v>35.79</v>
      </c>
      <c r="H167" s="265" t="s">
        <v>1697</v>
      </c>
    </row>
    <row r="168" spans="1:10" ht="14.25">
      <c r="A168" s="22" t="s">
        <v>1698</v>
      </c>
      <c r="B168" s="8">
        <v>44998</v>
      </c>
      <c r="C168" s="10">
        <v>45000</v>
      </c>
      <c r="D168" s="278" t="s">
        <v>1696</v>
      </c>
      <c r="E168" s="9" t="s">
        <v>1176</v>
      </c>
      <c r="F168" s="9" t="s">
        <v>1217</v>
      </c>
      <c r="G168" s="9">
        <v>36.04</v>
      </c>
      <c r="H168" s="265" t="s">
        <v>1699</v>
      </c>
    </row>
    <row r="169" spans="1:10" ht="14.25">
      <c r="A169" s="9" t="s">
        <v>1700</v>
      </c>
      <c r="B169" s="8">
        <v>44996</v>
      </c>
      <c r="C169" s="10">
        <v>44999</v>
      </c>
      <c r="D169" s="278" t="s">
        <v>1701</v>
      </c>
      <c r="E169" s="9" t="s">
        <v>1222</v>
      </c>
      <c r="F169" s="9" t="s">
        <v>1217</v>
      </c>
      <c r="G169" s="9">
        <v>26.03</v>
      </c>
      <c r="H169" s="265" t="s">
        <v>1702</v>
      </c>
      <c r="J169" s="25"/>
    </row>
    <row r="170" spans="1:10" ht="14.25">
      <c r="A170" s="9" t="s">
        <v>1703</v>
      </c>
      <c r="B170" s="8">
        <v>44973</v>
      </c>
      <c r="C170" s="10">
        <v>44984</v>
      </c>
      <c r="D170" s="284" t="s">
        <v>1704</v>
      </c>
      <c r="E170" s="9" t="s">
        <v>1705</v>
      </c>
      <c r="F170" s="9" t="s">
        <v>1706</v>
      </c>
      <c r="G170" s="9">
        <v>25.28</v>
      </c>
      <c r="H170" s="305">
        <v>200010813771012</v>
      </c>
    </row>
    <row r="171" spans="1:10" ht="14.25">
      <c r="A171" s="9" t="s">
        <v>1707</v>
      </c>
      <c r="B171" s="8">
        <v>44988</v>
      </c>
      <c r="C171" s="10">
        <v>44995</v>
      </c>
      <c r="D171" s="278" t="s">
        <v>1708</v>
      </c>
      <c r="E171" s="9" t="s">
        <v>1115</v>
      </c>
      <c r="G171" s="9">
        <v>146.69</v>
      </c>
    </row>
    <row r="172" spans="1:10" ht="28.5">
      <c r="A172" s="9" t="s">
        <v>1709</v>
      </c>
      <c r="B172" s="8">
        <v>44982</v>
      </c>
      <c r="C172" s="8">
        <v>44987</v>
      </c>
      <c r="D172" s="278" t="s">
        <v>1710</v>
      </c>
      <c r="E172" s="9" t="s">
        <v>725</v>
      </c>
      <c r="F172" s="9" t="s">
        <v>1217</v>
      </c>
      <c r="G172" s="9">
        <v>43.69</v>
      </c>
      <c r="H172" s="265" t="s">
        <v>1711</v>
      </c>
    </row>
    <row r="173" spans="1:10" ht="14.25">
      <c r="A173" s="9" t="s">
        <v>1712</v>
      </c>
      <c r="B173" s="8">
        <v>44966</v>
      </c>
      <c r="C173" s="10">
        <v>44984</v>
      </c>
      <c r="D173" s="278" t="s">
        <v>1713</v>
      </c>
      <c r="E173" s="9" t="s">
        <v>1142</v>
      </c>
      <c r="F173" s="9" t="s">
        <v>1217</v>
      </c>
      <c r="H173" s="305" t="s">
        <v>1714</v>
      </c>
    </row>
    <row r="174" spans="1:10" ht="14.25">
      <c r="A174" s="9" t="s">
        <v>1715</v>
      </c>
      <c r="B174" s="8">
        <v>44966</v>
      </c>
      <c r="C174" s="10">
        <v>44984</v>
      </c>
      <c r="D174" s="278" t="s">
        <v>1713</v>
      </c>
      <c r="E174" s="9" t="s">
        <v>1142</v>
      </c>
      <c r="F174" s="9" t="s">
        <v>1217</v>
      </c>
      <c r="H174" s="305" t="s">
        <v>1714</v>
      </c>
    </row>
    <row r="175" spans="1:10" ht="25.5">
      <c r="A175" s="9" t="s">
        <v>1716</v>
      </c>
      <c r="B175" s="8">
        <v>44975</v>
      </c>
      <c r="C175" s="8">
        <v>44959</v>
      </c>
      <c r="D175" s="306" t="s">
        <v>1717</v>
      </c>
      <c r="E175" s="9" t="s">
        <v>1718</v>
      </c>
      <c r="F175" s="9" t="s">
        <v>1217</v>
      </c>
      <c r="G175" s="9" t="s">
        <v>1719</v>
      </c>
      <c r="H175" s="305">
        <v>1395785</v>
      </c>
    </row>
    <row r="176" spans="1:10" ht="15">
      <c r="A176" s="9" t="s">
        <v>1720</v>
      </c>
      <c r="B176" s="8">
        <v>44975</v>
      </c>
      <c r="C176" s="8">
        <v>44959</v>
      </c>
      <c r="D176" s="306" t="s">
        <v>1721</v>
      </c>
      <c r="E176" s="9" t="s">
        <v>1718</v>
      </c>
      <c r="F176" s="9" t="s">
        <v>1217</v>
      </c>
      <c r="G176" s="9" t="s">
        <v>1722</v>
      </c>
      <c r="H176" s="305">
        <v>1395929</v>
      </c>
    </row>
    <row r="177" spans="1:16" ht="14.25">
      <c r="A177" s="9" t="s">
        <v>1723</v>
      </c>
      <c r="C177" s="8">
        <v>44980</v>
      </c>
      <c r="D177" s="40">
        <v>4.49</v>
      </c>
      <c r="E177" s="9" t="s">
        <v>1724</v>
      </c>
      <c r="H177" s="305"/>
    </row>
    <row r="178" spans="1:16" ht="14.25">
      <c r="A178" s="9" t="s">
        <v>1725</v>
      </c>
      <c r="B178" s="8">
        <v>44964</v>
      </c>
      <c r="C178" s="8">
        <v>44978</v>
      </c>
      <c r="D178" s="278" t="s">
        <v>1726</v>
      </c>
      <c r="E178" s="9" t="s">
        <v>1176</v>
      </c>
      <c r="G178" s="9">
        <v>7.58</v>
      </c>
      <c r="H178" s="307" t="s">
        <v>1727</v>
      </c>
    </row>
    <row r="179" spans="1:16" ht="14.25">
      <c r="A179" s="9" t="s">
        <v>1728</v>
      </c>
      <c r="B179" s="8">
        <v>44971</v>
      </c>
      <c r="C179" s="8">
        <v>44978</v>
      </c>
      <c r="D179" s="278" t="s">
        <v>1729</v>
      </c>
      <c r="E179" s="9" t="s">
        <v>1176</v>
      </c>
      <c r="G179" s="9">
        <v>17.260000000000002</v>
      </c>
      <c r="H179" s="305"/>
    </row>
    <row r="180" spans="1:16" ht="14.25">
      <c r="A180" s="9" t="s">
        <v>1730</v>
      </c>
      <c r="B180" s="8">
        <v>44971</v>
      </c>
      <c r="C180" s="10">
        <v>44978</v>
      </c>
      <c r="D180" s="308" t="s">
        <v>1731</v>
      </c>
      <c r="E180" s="9" t="s">
        <v>1176</v>
      </c>
      <c r="G180" s="9">
        <v>59.53</v>
      </c>
      <c r="H180" s="307" t="s">
        <v>1732</v>
      </c>
    </row>
    <row r="181" spans="1:16" ht="14.25">
      <c r="A181" s="9" t="s">
        <v>1733</v>
      </c>
      <c r="B181" s="8">
        <v>44972</v>
      </c>
      <c r="C181" s="10">
        <v>44978</v>
      </c>
      <c r="D181" s="40"/>
      <c r="E181" s="9" t="s">
        <v>1176</v>
      </c>
      <c r="G181" s="9">
        <v>10.84</v>
      </c>
      <c r="H181" s="307" t="s">
        <v>1734</v>
      </c>
    </row>
    <row r="182" spans="1:16" ht="25.5">
      <c r="A182" s="9" t="s">
        <v>1735</v>
      </c>
      <c r="B182" s="8">
        <v>44961</v>
      </c>
      <c r="C182" s="8">
        <v>44974</v>
      </c>
      <c r="D182" s="40"/>
      <c r="E182" s="9" t="s">
        <v>1736</v>
      </c>
      <c r="G182" s="9">
        <v>0</v>
      </c>
      <c r="H182" s="305"/>
      <c r="K182" s="72"/>
      <c r="M182" s="9"/>
      <c r="N182" s="9"/>
      <c r="O182" s="69"/>
      <c r="P182" s="16"/>
    </row>
    <row r="183" spans="1:16" ht="14.25">
      <c r="A183" s="9" t="s">
        <v>1737</v>
      </c>
      <c r="B183" s="8">
        <v>44966</v>
      </c>
      <c r="C183" s="8">
        <v>44975</v>
      </c>
      <c r="D183" s="278"/>
      <c r="E183" s="9" t="s">
        <v>1198</v>
      </c>
      <c r="G183" s="9">
        <v>0</v>
      </c>
      <c r="H183" s="307" t="s">
        <v>1738</v>
      </c>
      <c r="K183" s="72"/>
      <c r="M183" s="9"/>
      <c r="N183" s="9"/>
      <c r="O183" s="69"/>
      <c r="P183" s="16"/>
    </row>
    <row r="184" spans="1:16" ht="25.5">
      <c r="A184" s="9" t="s">
        <v>1739</v>
      </c>
      <c r="B184" s="8">
        <v>44957</v>
      </c>
      <c r="C184" s="8">
        <v>44972</v>
      </c>
      <c r="D184" s="278" t="s">
        <v>1740</v>
      </c>
      <c r="E184" s="9" t="s">
        <v>1741</v>
      </c>
      <c r="G184" s="9" t="s">
        <v>1742</v>
      </c>
      <c r="H184" s="307" t="s">
        <v>1743</v>
      </c>
      <c r="K184" s="72"/>
      <c r="M184" s="9"/>
      <c r="N184" s="9"/>
      <c r="O184" s="69"/>
      <c r="P184" s="16"/>
    </row>
    <row r="185" spans="1:16" ht="14.25">
      <c r="A185" s="9" t="s">
        <v>1744</v>
      </c>
      <c r="B185" s="8">
        <v>44968</v>
      </c>
      <c r="C185" s="10">
        <v>44973</v>
      </c>
      <c r="D185" s="278" t="s">
        <v>1745</v>
      </c>
      <c r="E185" s="9" t="s">
        <v>1176</v>
      </c>
      <c r="G185" s="9">
        <v>15.18</v>
      </c>
      <c r="H185" s="265" t="s">
        <v>1746</v>
      </c>
      <c r="J185" s="9">
        <f>50*5</f>
        <v>250</v>
      </c>
      <c r="K185" s="72"/>
      <c r="M185" s="9"/>
      <c r="N185" s="9"/>
      <c r="O185" s="69"/>
      <c r="P185" s="16"/>
    </row>
    <row r="186" spans="1:16" ht="14.25">
      <c r="A186" s="9" t="s">
        <v>1747</v>
      </c>
      <c r="B186" s="8">
        <v>44970</v>
      </c>
      <c r="C186" s="8">
        <v>44974</v>
      </c>
      <c r="D186" s="278"/>
      <c r="E186" s="9" t="s">
        <v>1176</v>
      </c>
      <c r="F186" s="9">
        <f>9.21/100</f>
        <v>9.2100000000000015E-2</v>
      </c>
      <c r="G186" s="9">
        <v>9.2100000000000009</v>
      </c>
      <c r="H186" s="265" t="s">
        <v>1748</v>
      </c>
      <c r="J186" s="9">
        <f>90*6</f>
        <v>540</v>
      </c>
      <c r="K186" s="72"/>
      <c r="M186" s="9" t="s">
        <v>1749</v>
      </c>
      <c r="N186" s="16">
        <v>10534</v>
      </c>
      <c r="O186" s="69"/>
      <c r="P186" s="16"/>
    </row>
    <row r="187" spans="1:16" ht="14.25">
      <c r="A187" s="9" t="s">
        <v>1750</v>
      </c>
      <c r="B187" s="8">
        <v>44958</v>
      </c>
      <c r="C187" s="10">
        <v>44965</v>
      </c>
      <c r="D187" s="278" t="s">
        <v>1751</v>
      </c>
      <c r="E187" s="9" t="s">
        <v>1176</v>
      </c>
      <c r="G187" s="9">
        <v>39.03</v>
      </c>
      <c r="H187" s="307" t="s">
        <v>1752</v>
      </c>
      <c r="J187" s="9">
        <f>250+540</f>
        <v>790</v>
      </c>
      <c r="K187" s="72"/>
      <c r="M187" s="9" t="s">
        <v>1753</v>
      </c>
      <c r="N187" s="16">
        <v>14938</v>
      </c>
      <c r="O187" s="69">
        <v>7469</v>
      </c>
      <c r="P187" s="16"/>
    </row>
    <row r="188" spans="1:16" ht="14.25">
      <c r="A188" s="9" t="s">
        <v>1754</v>
      </c>
      <c r="B188" s="8">
        <v>44962</v>
      </c>
      <c r="C188" s="8">
        <v>44971</v>
      </c>
      <c r="D188" s="278" t="s">
        <v>1755</v>
      </c>
      <c r="E188" s="9" t="s">
        <v>1176</v>
      </c>
      <c r="G188" s="9">
        <v>17.73</v>
      </c>
      <c r="H188" s="305" t="s">
        <v>1756</v>
      </c>
      <c r="K188" s="72"/>
      <c r="M188" s="9" t="s">
        <v>1757</v>
      </c>
      <c r="N188" s="16">
        <v>13768</v>
      </c>
      <c r="O188" s="9">
        <v>6884</v>
      </c>
      <c r="P188" s="16"/>
    </row>
    <row r="189" spans="1:16" ht="15">
      <c r="A189" s="9" t="s">
        <v>1758</v>
      </c>
      <c r="B189" s="8">
        <v>44963</v>
      </c>
      <c r="C189" s="10">
        <v>44970</v>
      </c>
      <c r="D189" s="309" t="s">
        <v>1759</v>
      </c>
      <c r="E189" s="9" t="s">
        <v>1760</v>
      </c>
      <c r="G189" s="9">
        <v>9</v>
      </c>
      <c r="H189" s="305"/>
      <c r="K189" s="72"/>
      <c r="M189" s="9" t="s">
        <v>1761</v>
      </c>
      <c r="N189" s="16">
        <v>13326</v>
      </c>
      <c r="O189" s="9">
        <v>7163</v>
      </c>
      <c r="P189" s="16"/>
    </row>
    <row r="190" spans="1:16" ht="30">
      <c r="A190" s="9" t="s">
        <v>1762</v>
      </c>
      <c r="B190" s="8">
        <v>44961</v>
      </c>
      <c r="D190" s="309" t="s">
        <v>1763</v>
      </c>
      <c r="E190" s="9" t="s">
        <v>1764</v>
      </c>
      <c r="G190" s="9">
        <v>0</v>
      </c>
      <c r="H190" s="307">
        <v>3698658740</v>
      </c>
      <c r="K190" s="72"/>
      <c r="N190" s="16"/>
      <c r="O190" s="9"/>
      <c r="P190" s="16"/>
    </row>
    <row r="191" spans="1:16" ht="28.5">
      <c r="A191" s="9" t="s">
        <v>1765</v>
      </c>
      <c r="B191" s="8">
        <v>44930</v>
      </c>
      <c r="C191" s="8">
        <v>44939</v>
      </c>
      <c r="D191" s="310" t="s">
        <v>1766</v>
      </c>
      <c r="E191" s="9" t="s">
        <v>1767</v>
      </c>
      <c r="G191" s="9">
        <v>46.72</v>
      </c>
      <c r="H191" s="307" t="s">
        <v>1768</v>
      </c>
      <c r="K191" s="72"/>
      <c r="N191" s="16"/>
      <c r="O191" s="9"/>
      <c r="P191" s="16"/>
    </row>
    <row r="192" spans="1:16" ht="25.5">
      <c r="A192" s="9" t="s">
        <v>1769</v>
      </c>
      <c r="B192" s="8">
        <v>44928</v>
      </c>
      <c r="C192" s="10">
        <v>44950</v>
      </c>
      <c r="D192" s="278" t="s">
        <v>1770</v>
      </c>
      <c r="E192" s="9" t="s">
        <v>1771</v>
      </c>
      <c r="G192" s="9">
        <f>14.89+0.69</f>
        <v>15.58</v>
      </c>
      <c r="H192" s="307" t="s">
        <v>1772</v>
      </c>
      <c r="N192" s="16">
        <f>SUM(N186:N191)</f>
        <v>52566</v>
      </c>
      <c r="O192" s="9"/>
      <c r="P192" s="16"/>
    </row>
    <row r="193" spans="1:16" ht="14.25">
      <c r="A193" s="9" t="s">
        <v>1773</v>
      </c>
      <c r="B193" s="8">
        <v>44951</v>
      </c>
      <c r="C193" s="8">
        <v>44958</v>
      </c>
      <c r="D193" s="284" t="s">
        <v>1774</v>
      </c>
      <c r="E193" s="9" t="s">
        <v>66</v>
      </c>
      <c r="G193" s="9">
        <v>3.17</v>
      </c>
      <c r="H193" s="305" t="s">
        <v>1775</v>
      </c>
      <c r="K193" s="72"/>
      <c r="M193" s="9"/>
      <c r="N193" s="9"/>
      <c r="O193" s="9"/>
      <c r="P193" s="16"/>
    </row>
    <row r="194" spans="1:16" ht="28.5">
      <c r="A194" s="9" t="s">
        <v>1776</v>
      </c>
      <c r="B194" s="8">
        <v>44942</v>
      </c>
      <c r="C194" s="10">
        <v>44956</v>
      </c>
      <c r="D194" s="284" t="s">
        <v>1777</v>
      </c>
      <c r="E194" s="9" t="s">
        <v>1113</v>
      </c>
      <c r="G194" s="9">
        <v>56.57</v>
      </c>
      <c r="H194" s="305"/>
      <c r="K194" s="72"/>
      <c r="M194" s="9"/>
      <c r="N194" s="9"/>
      <c r="O194" s="9"/>
      <c r="P194" s="16"/>
    </row>
    <row r="195" spans="1:16" ht="14.25">
      <c r="A195" s="9" t="s">
        <v>1778</v>
      </c>
      <c r="B195" s="8">
        <v>44947</v>
      </c>
      <c r="C195" s="10">
        <v>44952</v>
      </c>
      <c r="D195" s="278" t="s">
        <v>1779</v>
      </c>
      <c r="E195" s="9" t="s">
        <v>1176</v>
      </c>
      <c r="G195" s="9">
        <v>16.260000000000002</v>
      </c>
      <c r="H195" s="307" t="s">
        <v>1780</v>
      </c>
      <c r="K195" s="72"/>
      <c r="M195" s="9"/>
      <c r="N195" s="9"/>
      <c r="O195" s="9"/>
      <c r="P195" s="16"/>
    </row>
    <row r="196" spans="1:16" ht="14.25">
      <c r="A196" s="9" t="s">
        <v>1781</v>
      </c>
      <c r="B196" s="8">
        <v>44947</v>
      </c>
      <c r="C196" s="25"/>
      <c r="D196" s="278"/>
      <c r="E196" s="9" t="s">
        <v>1760</v>
      </c>
      <c r="G196" s="9">
        <v>44.5</v>
      </c>
      <c r="H196" s="305">
        <v>10427</v>
      </c>
      <c r="K196" s="72"/>
      <c r="M196" s="9"/>
      <c r="N196" s="9"/>
      <c r="O196" s="9"/>
      <c r="P196" s="16"/>
    </row>
    <row r="197" spans="1:16" ht="14.25">
      <c r="A197" s="22" t="s">
        <v>1782</v>
      </c>
      <c r="B197" s="8">
        <v>44948</v>
      </c>
      <c r="C197" s="10">
        <v>44952</v>
      </c>
      <c r="D197" s="278" t="s">
        <v>1783</v>
      </c>
      <c r="E197" s="9" t="s">
        <v>1176</v>
      </c>
      <c r="G197" s="9">
        <v>23.44</v>
      </c>
      <c r="H197" s="265" t="s">
        <v>1784</v>
      </c>
      <c r="K197" s="72"/>
      <c r="M197" s="9"/>
      <c r="N197" s="9"/>
      <c r="O197" s="9"/>
      <c r="P197" s="16"/>
    </row>
    <row r="198" spans="1:16" ht="14.25">
      <c r="A198" s="22" t="s">
        <v>1785</v>
      </c>
      <c r="B198" s="8">
        <v>44946</v>
      </c>
      <c r="C198" s="10">
        <v>44950</v>
      </c>
      <c r="D198" s="278" t="s">
        <v>1786</v>
      </c>
      <c r="E198" s="9" t="s">
        <v>1176</v>
      </c>
      <c r="G198" s="9">
        <v>11.7</v>
      </c>
      <c r="H198" s="307" t="s">
        <v>1787</v>
      </c>
      <c r="K198" s="72"/>
      <c r="M198" s="9"/>
      <c r="N198" s="9"/>
      <c r="O198" s="9"/>
      <c r="P198" s="16"/>
    </row>
    <row r="199" spans="1:16" ht="25.5">
      <c r="A199" s="9" t="s">
        <v>1788</v>
      </c>
      <c r="B199" s="8">
        <v>44929</v>
      </c>
      <c r="C199" s="8">
        <v>44952</v>
      </c>
      <c r="D199" s="278" t="s">
        <v>1779</v>
      </c>
      <c r="E199" s="9" t="s">
        <v>1771</v>
      </c>
      <c r="G199" s="9">
        <f>43.98/2</f>
        <v>21.99</v>
      </c>
      <c r="H199" s="305" t="s">
        <v>1789</v>
      </c>
      <c r="K199" s="72"/>
      <c r="M199" s="9"/>
      <c r="N199" s="9"/>
      <c r="O199" s="9"/>
      <c r="P199" s="16"/>
    </row>
    <row r="200" spans="1:16" ht="25.5">
      <c r="A200" s="9" t="s">
        <v>1790</v>
      </c>
      <c r="B200" s="8">
        <v>44929</v>
      </c>
      <c r="C200" s="8">
        <v>44952</v>
      </c>
      <c r="D200" s="278" t="s">
        <v>1779</v>
      </c>
      <c r="E200" s="9" t="s">
        <v>1771</v>
      </c>
      <c r="G200" s="9" t="s">
        <v>1791</v>
      </c>
      <c r="H200" s="305" t="s">
        <v>1792</v>
      </c>
      <c r="K200" s="72"/>
      <c r="M200" s="9"/>
      <c r="N200" s="9"/>
      <c r="O200" s="9"/>
      <c r="P200" s="16"/>
    </row>
    <row r="201" spans="1:16" ht="14.25">
      <c r="A201" s="9" t="s">
        <v>1793</v>
      </c>
      <c r="B201" s="8">
        <v>44936</v>
      </c>
      <c r="C201" s="10">
        <v>44951</v>
      </c>
      <c r="D201" s="278" t="s">
        <v>1794</v>
      </c>
      <c r="E201" s="9" t="s">
        <v>1176</v>
      </c>
      <c r="G201" s="9">
        <v>12</v>
      </c>
      <c r="H201" s="307" t="s">
        <v>1795</v>
      </c>
      <c r="K201" s="72"/>
      <c r="M201" s="9"/>
      <c r="N201" s="9"/>
      <c r="O201" s="9"/>
      <c r="P201" s="16"/>
    </row>
    <row r="202" spans="1:16" ht="14.25">
      <c r="A202" s="22" t="s">
        <v>1796</v>
      </c>
      <c r="B202" s="8">
        <v>44942</v>
      </c>
      <c r="C202" s="10">
        <v>44950</v>
      </c>
      <c r="D202" s="278" t="s">
        <v>1797</v>
      </c>
      <c r="E202" s="9" t="s">
        <v>1176</v>
      </c>
      <c r="G202" s="9">
        <v>20.6</v>
      </c>
      <c r="H202" s="305" t="s">
        <v>1798</v>
      </c>
      <c r="K202" s="72"/>
      <c r="M202" s="9"/>
      <c r="N202" s="9"/>
      <c r="O202" s="9"/>
      <c r="P202" s="16"/>
    </row>
    <row r="203" spans="1:16" ht="14.25">
      <c r="A203" s="22" t="s">
        <v>1799</v>
      </c>
      <c r="B203" s="8">
        <v>44942</v>
      </c>
      <c r="C203" s="10">
        <v>44950</v>
      </c>
      <c r="D203" s="278" t="s">
        <v>1797</v>
      </c>
      <c r="E203" s="9" t="s">
        <v>1176</v>
      </c>
      <c r="G203" s="9">
        <v>24.94</v>
      </c>
      <c r="H203" s="307" t="s">
        <v>1800</v>
      </c>
      <c r="K203" s="72"/>
      <c r="M203" s="9"/>
      <c r="N203" s="9"/>
      <c r="O203" s="9"/>
      <c r="P203" s="16"/>
    </row>
    <row r="204" spans="1:16" ht="25.5">
      <c r="A204" s="9" t="s">
        <v>1801</v>
      </c>
      <c r="B204" s="8">
        <v>44928</v>
      </c>
      <c r="C204" s="10">
        <v>44950</v>
      </c>
      <c r="D204" s="278" t="s">
        <v>1770</v>
      </c>
      <c r="E204" s="9" t="s">
        <v>1771</v>
      </c>
      <c r="G204" s="9">
        <f>8.95+0.69</f>
        <v>9.6399999999999988</v>
      </c>
      <c r="H204" s="307" t="s">
        <v>1772</v>
      </c>
      <c r="K204" s="72"/>
      <c r="M204" s="9"/>
      <c r="N204" s="9"/>
      <c r="O204" s="9"/>
      <c r="P204" s="16"/>
    </row>
    <row r="205" spans="1:16" ht="25.5">
      <c r="A205" s="9" t="s">
        <v>1802</v>
      </c>
      <c r="B205" s="8">
        <v>44928</v>
      </c>
      <c r="C205" s="10">
        <v>44950</v>
      </c>
      <c r="D205" s="278" t="s">
        <v>1770</v>
      </c>
      <c r="E205" s="9" t="s">
        <v>1771</v>
      </c>
      <c r="G205" s="9">
        <f>4.11+0.69</f>
        <v>4.8000000000000007</v>
      </c>
      <c r="H205" s="307" t="s">
        <v>1772</v>
      </c>
      <c r="K205" s="72"/>
      <c r="M205" s="9"/>
      <c r="N205" s="9"/>
      <c r="O205" s="9"/>
      <c r="P205" s="16"/>
    </row>
    <row r="206" spans="1:16" ht="25.5">
      <c r="A206" s="9" t="s">
        <v>1803</v>
      </c>
      <c r="B206" s="8">
        <v>44928</v>
      </c>
      <c r="C206" s="10">
        <v>44950</v>
      </c>
      <c r="D206" s="278" t="s">
        <v>1770</v>
      </c>
      <c r="E206" s="9" t="s">
        <v>1771</v>
      </c>
      <c r="G206" s="9">
        <f>9+0.69</f>
        <v>9.69</v>
      </c>
      <c r="H206" s="307" t="s">
        <v>1772</v>
      </c>
      <c r="K206" s="72"/>
      <c r="M206" s="9"/>
      <c r="N206" s="9"/>
      <c r="O206" s="9"/>
      <c r="P206" s="16"/>
    </row>
    <row r="207" spans="1:16" ht="14.25">
      <c r="A207" s="22" t="s">
        <v>1804</v>
      </c>
      <c r="B207" s="8">
        <v>44941</v>
      </c>
      <c r="C207" s="10">
        <v>44946</v>
      </c>
      <c r="D207" s="278" t="s">
        <v>1805</v>
      </c>
      <c r="E207" s="9" t="s">
        <v>1176</v>
      </c>
      <c r="G207" s="9">
        <v>13.83</v>
      </c>
      <c r="H207" s="307" t="s">
        <v>1806</v>
      </c>
      <c r="K207" s="72"/>
      <c r="M207" s="9"/>
      <c r="N207" s="9"/>
      <c r="O207" s="9"/>
      <c r="P207" s="16"/>
    </row>
    <row r="208" spans="1:16" ht="14.25">
      <c r="A208" s="22" t="s">
        <v>1807</v>
      </c>
      <c r="B208" s="8">
        <v>44940</v>
      </c>
      <c r="C208" s="8">
        <v>44946</v>
      </c>
      <c r="D208" s="40"/>
      <c r="E208" s="9" t="s">
        <v>1808</v>
      </c>
      <c r="G208" s="9">
        <v>43.75</v>
      </c>
      <c r="H208" s="305">
        <v>2322406</v>
      </c>
      <c r="K208" s="72"/>
      <c r="M208" s="9"/>
      <c r="N208" s="9"/>
      <c r="O208" s="9"/>
      <c r="P208" s="16"/>
    </row>
    <row r="209" spans="1:16" ht="25.5">
      <c r="A209" s="9" t="s">
        <v>1809</v>
      </c>
      <c r="B209" s="8">
        <v>44928</v>
      </c>
      <c r="C209" s="8">
        <v>44944</v>
      </c>
      <c r="D209" s="40"/>
      <c r="E209" s="9" t="s">
        <v>1771</v>
      </c>
      <c r="G209" s="9">
        <f>14.89+0.69</f>
        <v>15.58</v>
      </c>
      <c r="H209" s="307" t="s">
        <v>1772</v>
      </c>
      <c r="K209" s="72"/>
      <c r="M209" s="9"/>
      <c r="N209" s="9"/>
      <c r="O209" s="9"/>
      <c r="P209" s="16"/>
    </row>
    <row r="210" spans="1:16" ht="28.5">
      <c r="A210" s="9" t="s">
        <v>1810</v>
      </c>
      <c r="B210" s="8">
        <v>44922</v>
      </c>
      <c r="C210" s="8">
        <v>44944</v>
      </c>
      <c r="D210" s="311" t="s">
        <v>1811</v>
      </c>
      <c r="E210" s="9" t="s">
        <v>1812</v>
      </c>
      <c r="F210" s="9" t="s">
        <v>1186</v>
      </c>
      <c r="G210" s="9">
        <v>77.86</v>
      </c>
      <c r="H210" s="307" t="s">
        <v>1813</v>
      </c>
      <c r="K210" s="72"/>
      <c r="M210" s="9"/>
      <c r="N210" s="9"/>
      <c r="O210" s="9"/>
      <c r="P210" s="16"/>
    </row>
    <row r="211" spans="1:16" ht="28.5">
      <c r="A211" s="9" t="s">
        <v>1814</v>
      </c>
      <c r="B211" s="8">
        <v>45287</v>
      </c>
      <c r="C211" s="8">
        <v>44944</v>
      </c>
      <c r="D211" s="311" t="s">
        <v>1815</v>
      </c>
      <c r="E211" s="9" t="s">
        <v>1812</v>
      </c>
      <c r="F211" s="9" t="s">
        <v>1186</v>
      </c>
      <c r="G211" s="9">
        <v>80.91</v>
      </c>
      <c r="H211" s="307" t="s">
        <v>1816</v>
      </c>
      <c r="K211" s="72"/>
      <c r="M211" s="9"/>
      <c r="N211" s="9"/>
      <c r="O211" s="9"/>
      <c r="P211" s="16"/>
    </row>
    <row r="212" spans="1:16" ht="25.5">
      <c r="A212" s="9" t="s">
        <v>1817</v>
      </c>
      <c r="B212" s="8">
        <v>44910</v>
      </c>
      <c r="C212" s="10">
        <v>44938</v>
      </c>
      <c r="D212" s="278" t="s">
        <v>1818</v>
      </c>
      <c r="E212" s="9" t="s">
        <v>1819</v>
      </c>
      <c r="F212" s="9" t="s">
        <v>1343</v>
      </c>
      <c r="G212" s="9">
        <v>165.3</v>
      </c>
      <c r="H212" s="307" t="s">
        <v>1820</v>
      </c>
      <c r="K212" s="72"/>
      <c r="M212" s="9"/>
      <c r="N212" s="9"/>
      <c r="O212" s="9"/>
      <c r="P212" s="16"/>
    </row>
    <row r="213" spans="1:16" ht="25.5">
      <c r="A213" s="9" t="s">
        <v>1821</v>
      </c>
      <c r="B213" s="8">
        <v>44917</v>
      </c>
      <c r="C213" s="10">
        <v>44944</v>
      </c>
      <c r="D213" s="303" t="s">
        <v>1822</v>
      </c>
      <c r="E213" s="9" t="s">
        <v>1823</v>
      </c>
      <c r="G213" s="9"/>
      <c r="H213" s="305"/>
      <c r="K213" s="72"/>
      <c r="M213" s="9"/>
      <c r="N213" s="9"/>
      <c r="O213" s="9"/>
      <c r="P213" s="16"/>
    </row>
    <row r="214" spans="1:16" ht="14.25">
      <c r="A214" s="9" t="s">
        <v>1824</v>
      </c>
      <c r="B214" s="8">
        <v>44930</v>
      </c>
      <c r="C214" s="10">
        <v>44939</v>
      </c>
      <c r="D214" s="278" t="s">
        <v>1825</v>
      </c>
      <c r="E214" s="9" t="s">
        <v>1176</v>
      </c>
      <c r="G214" s="9">
        <v>32.770000000000003</v>
      </c>
      <c r="H214" s="265" t="s">
        <v>1826</v>
      </c>
      <c r="K214" s="72"/>
      <c r="M214" s="9"/>
      <c r="N214" s="9"/>
      <c r="O214" s="9"/>
      <c r="P214" s="16"/>
    </row>
    <row r="215" spans="1:16" ht="14.25">
      <c r="A215" s="9" t="s">
        <v>1827</v>
      </c>
      <c r="B215" s="8">
        <v>44932</v>
      </c>
      <c r="C215" s="10">
        <v>44937</v>
      </c>
      <c r="D215" s="278" t="s">
        <v>1828</v>
      </c>
      <c r="E215" s="9" t="s">
        <v>1176</v>
      </c>
      <c r="G215" s="9">
        <v>36.729999999999997</v>
      </c>
      <c r="H215" s="295" t="s">
        <v>1829</v>
      </c>
      <c r="K215" s="72"/>
      <c r="M215" s="9"/>
      <c r="N215" s="9"/>
      <c r="O215" s="9"/>
      <c r="P215" s="16"/>
    </row>
    <row r="216" spans="1:16" ht="28.5">
      <c r="A216" s="22" t="s">
        <v>1830</v>
      </c>
      <c r="B216" s="8">
        <v>44921</v>
      </c>
      <c r="C216" s="10">
        <v>44566</v>
      </c>
      <c r="D216" s="303" t="s">
        <v>1831</v>
      </c>
      <c r="E216" s="9" t="s">
        <v>1176</v>
      </c>
      <c r="G216" s="9">
        <v>19.09</v>
      </c>
      <c r="H216" s="307" t="s">
        <v>1832</v>
      </c>
      <c r="K216" s="72"/>
      <c r="M216" s="9"/>
      <c r="N216" s="9"/>
      <c r="O216" s="9"/>
      <c r="P216" s="16"/>
    </row>
    <row r="217" spans="1:16" ht="25.5">
      <c r="A217" s="9" t="s">
        <v>1833</v>
      </c>
      <c r="B217" s="8">
        <v>44903</v>
      </c>
      <c r="C217" s="10">
        <v>44931</v>
      </c>
      <c r="D217" s="278" t="s">
        <v>1834</v>
      </c>
      <c r="E217" s="9" t="s">
        <v>1819</v>
      </c>
      <c r="G217" s="9">
        <v>78.53</v>
      </c>
      <c r="H217" s="305" t="s">
        <v>1835</v>
      </c>
      <c r="K217" s="72"/>
      <c r="M217" s="9"/>
      <c r="N217" s="9"/>
      <c r="O217" s="9"/>
      <c r="P217" s="16"/>
    </row>
    <row r="218" spans="1:16" ht="28.5">
      <c r="A218" s="9" t="s">
        <v>1836</v>
      </c>
      <c r="B218" s="8">
        <v>44917</v>
      </c>
      <c r="C218" s="10">
        <v>44925</v>
      </c>
      <c r="D218" s="278" t="s">
        <v>1837</v>
      </c>
      <c r="E218" s="9" t="s">
        <v>1176</v>
      </c>
      <c r="G218" s="9">
        <v>10.84</v>
      </c>
      <c r="H218" s="304" t="s">
        <v>1838</v>
      </c>
      <c r="K218" s="72"/>
      <c r="M218" s="9"/>
      <c r="N218" s="9"/>
      <c r="O218" s="9"/>
      <c r="P218" s="16"/>
    </row>
    <row r="219" spans="1:16">
      <c r="A219" s="9" t="s">
        <v>1839</v>
      </c>
      <c r="B219" s="8">
        <v>44910</v>
      </c>
      <c r="C219" s="8">
        <v>44914</v>
      </c>
      <c r="D219" s="40"/>
      <c r="E219" s="9" t="s">
        <v>1840</v>
      </c>
      <c r="K219" s="72"/>
      <c r="M219" s="9"/>
      <c r="N219" s="9"/>
      <c r="O219" s="9"/>
      <c r="P219" s="16"/>
    </row>
    <row r="220" spans="1:16" ht="14.25">
      <c r="A220" s="22" t="s">
        <v>1841</v>
      </c>
      <c r="B220" s="8">
        <v>44908</v>
      </c>
      <c r="C220" s="10">
        <v>44915</v>
      </c>
      <c r="D220" s="284" t="s">
        <v>1842</v>
      </c>
      <c r="E220" s="9" t="s">
        <v>293</v>
      </c>
      <c r="G220" s="9">
        <v>5.96</v>
      </c>
      <c r="H220" s="304" t="s">
        <v>1843</v>
      </c>
      <c r="K220" s="72"/>
      <c r="M220" s="9"/>
      <c r="N220" s="9"/>
      <c r="O220" s="9"/>
      <c r="P220" s="16"/>
    </row>
    <row r="221" spans="1:16" ht="14.25">
      <c r="A221" s="9" t="s">
        <v>1844</v>
      </c>
      <c r="B221" s="8">
        <v>44905</v>
      </c>
      <c r="C221" s="10">
        <v>44914</v>
      </c>
      <c r="D221" s="278" t="s">
        <v>1845</v>
      </c>
      <c r="E221" s="9" t="s">
        <v>1176</v>
      </c>
      <c r="G221" s="9">
        <v>10.84</v>
      </c>
      <c r="H221" s="265" t="s">
        <v>1846</v>
      </c>
      <c r="K221" s="72"/>
      <c r="M221" s="9"/>
      <c r="N221" s="9"/>
      <c r="O221" s="9"/>
      <c r="P221" s="16"/>
    </row>
    <row r="222" spans="1:16" ht="14.25">
      <c r="A222" s="9" t="s">
        <v>1847</v>
      </c>
      <c r="B222" s="8">
        <v>44903</v>
      </c>
      <c r="C222" s="8">
        <v>44911</v>
      </c>
      <c r="D222" s="40"/>
      <c r="H222" s="305"/>
      <c r="K222" s="72"/>
      <c r="M222" s="9"/>
      <c r="N222" s="9"/>
      <c r="O222" s="9"/>
      <c r="P222" s="16"/>
    </row>
    <row r="223" spans="1:16" ht="14.25">
      <c r="A223" s="9" t="s">
        <v>1848</v>
      </c>
      <c r="B223" s="8">
        <v>44904</v>
      </c>
      <c r="C223" s="8">
        <v>44910</v>
      </c>
      <c r="D223" s="277" t="s">
        <v>1849</v>
      </c>
      <c r="E223" s="9" t="s">
        <v>293</v>
      </c>
      <c r="G223" s="9">
        <v>14.05</v>
      </c>
      <c r="H223" s="305" t="s">
        <v>1850</v>
      </c>
      <c r="K223" s="72"/>
      <c r="M223" s="9"/>
      <c r="N223" s="9"/>
      <c r="O223" s="9"/>
      <c r="P223" s="16"/>
    </row>
    <row r="224" spans="1:16" ht="14.25">
      <c r="A224" s="22" t="s">
        <v>1851</v>
      </c>
      <c r="B224" s="8">
        <v>44904</v>
      </c>
      <c r="C224" s="10">
        <v>44910</v>
      </c>
      <c r="D224" s="310" t="s">
        <v>1852</v>
      </c>
      <c r="E224" s="9" t="s">
        <v>293</v>
      </c>
      <c r="G224" s="9">
        <v>21.69</v>
      </c>
      <c r="H224" s="277" t="s">
        <v>1853</v>
      </c>
      <c r="K224" s="72"/>
      <c r="M224" s="9"/>
      <c r="N224" s="9"/>
      <c r="O224" s="9"/>
      <c r="P224" s="16"/>
    </row>
    <row r="225" spans="1:16" ht="14.25">
      <c r="A225" s="9" t="s">
        <v>1854</v>
      </c>
      <c r="B225" s="8">
        <v>44904</v>
      </c>
      <c r="C225" s="8">
        <v>44909</v>
      </c>
      <c r="D225" s="303" t="s">
        <v>1855</v>
      </c>
      <c r="E225" s="9" t="s">
        <v>1222</v>
      </c>
      <c r="G225" s="9">
        <v>15.99</v>
      </c>
      <c r="H225" s="265" t="s">
        <v>1856</v>
      </c>
      <c r="K225" s="72"/>
      <c r="M225" s="9"/>
      <c r="N225" s="9"/>
      <c r="O225" s="9"/>
      <c r="P225" s="16"/>
    </row>
    <row r="226" spans="1:16" ht="14.25">
      <c r="A226" s="9" t="s">
        <v>1857</v>
      </c>
      <c r="B226" s="8">
        <v>44901</v>
      </c>
      <c r="C226" s="8">
        <v>44909</v>
      </c>
      <c r="D226" s="303" t="s">
        <v>1855</v>
      </c>
      <c r="E226" s="9" t="s">
        <v>1576</v>
      </c>
      <c r="G226" s="9">
        <v>11.39</v>
      </c>
      <c r="H226" s="307" t="s">
        <v>1858</v>
      </c>
      <c r="K226" s="72"/>
      <c r="M226" s="9"/>
      <c r="N226" s="9"/>
      <c r="O226" s="9"/>
      <c r="P226" s="16"/>
    </row>
    <row r="227" spans="1:16" ht="25.5">
      <c r="A227" s="9" t="s">
        <v>1859</v>
      </c>
      <c r="B227" s="8">
        <v>44894</v>
      </c>
      <c r="C227" s="10">
        <v>44909</v>
      </c>
      <c r="D227" s="303" t="s">
        <v>1855</v>
      </c>
      <c r="E227" s="9" t="s">
        <v>1819</v>
      </c>
      <c r="G227" s="9">
        <v>62.31</v>
      </c>
      <c r="H227" s="305" t="s">
        <v>1860</v>
      </c>
      <c r="K227" s="72"/>
      <c r="M227" s="9"/>
      <c r="N227" s="9"/>
      <c r="O227" s="9"/>
      <c r="P227" s="16"/>
    </row>
    <row r="228" spans="1:16" ht="25.5">
      <c r="A228" s="9" t="s">
        <v>1861</v>
      </c>
      <c r="B228" s="8">
        <v>44904</v>
      </c>
      <c r="C228" s="8">
        <v>44908</v>
      </c>
      <c r="D228" s="278" t="s">
        <v>1862</v>
      </c>
      <c r="E228" s="9" t="s">
        <v>1863</v>
      </c>
      <c r="F228" s="9" t="s">
        <v>1198</v>
      </c>
      <c r="H228" s="305"/>
      <c r="K228" s="72"/>
      <c r="M228" s="9"/>
      <c r="N228" s="9"/>
      <c r="O228" s="9"/>
      <c r="P228" s="16"/>
    </row>
    <row r="229" spans="1:16" ht="14.25">
      <c r="A229" s="9" t="s">
        <v>1864</v>
      </c>
      <c r="B229" s="8">
        <v>44900</v>
      </c>
      <c r="C229" s="8">
        <v>44905</v>
      </c>
      <c r="D229" s="278" t="s">
        <v>1865</v>
      </c>
      <c r="E229" s="9" t="s">
        <v>1222</v>
      </c>
      <c r="G229" s="9">
        <v>139.97</v>
      </c>
      <c r="H229" s="305" t="s">
        <v>1866</v>
      </c>
      <c r="K229" s="72"/>
      <c r="M229" s="9"/>
      <c r="N229" s="9"/>
      <c r="O229" s="9"/>
      <c r="P229" s="16"/>
    </row>
    <row r="230" spans="1:16" ht="14.25">
      <c r="A230" s="9" t="s">
        <v>1867</v>
      </c>
      <c r="B230" s="8">
        <v>44897</v>
      </c>
      <c r="C230" s="8">
        <v>44904</v>
      </c>
      <c r="D230" s="278" t="s">
        <v>1868</v>
      </c>
      <c r="E230" s="9" t="s">
        <v>1222</v>
      </c>
      <c r="G230" s="9">
        <v>40.119999999999997</v>
      </c>
      <c r="H230" s="307" t="s">
        <v>1869</v>
      </c>
      <c r="K230" s="72"/>
      <c r="M230" s="9"/>
      <c r="N230" s="9"/>
      <c r="O230" s="9"/>
      <c r="P230" s="16"/>
    </row>
    <row r="231" spans="1:16" ht="25.5">
      <c r="A231" s="9" t="s">
        <v>1870</v>
      </c>
      <c r="B231" s="8">
        <v>44887</v>
      </c>
      <c r="C231" s="10">
        <v>44903</v>
      </c>
      <c r="D231" s="303" t="s">
        <v>1871</v>
      </c>
      <c r="E231" s="9" t="s">
        <v>1819</v>
      </c>
      <c r="G231" s="9">
        <v>59.64</v>
      </c>
      <c r="H231" s="307" t="s">
        <v>1872</v>
      </c>
      <c r="K231" s="72"/>
      <c r="M231" s="9"/>
      <c r="N231" s="9"/>
      <c r="O231" s="9"/>
      <c r="P231" s="16"/>
    </row>
    <row r="232" spans="1:16">
      <c r="A232" s="9" t="s">
        <v>1873</v>
      </c>
      <c r="B232" s="8">
        <v>44897</v>
      </c>
      <c r="C232" s="8">
        <v>44903</v>
      </c>
      <c r="D232" s="40"/>
      <c r="E232" s="9" t="s">
        <v>1222</v>
      </c>
      <c r="G232" s="9">
        <v>34.58</v>
      </c>
      <c r="H232" s="312" t="s">
        <v>1874</v>
      </c>
      <c r="K232" s="72"/>
      <c r="M232" s="9"/>
      <c r="N232" s="9"/>
      <c r="O232" s="9"/>
      <c r="P232" s="16"/>
    </row>
    <row r="233" spans="1:16" ht="14.25">
      <c r="A233" s="9" t="s">
        <v>1875</v>
      </c>
      <c r="B233" s="8">
        <v>44900</v>
      </c>
      <c r="C233" s="8">
        <v>44903</v>
      </c>
      <c r="D233" s="278" t="s">
        <v>1876</v>
      </c>
      <c r="E233" s="9" t="s">
        <v>1222</v>
      </c>
      <c r="G233" s="9">
        <v>32.82</v>
      </c>
      <c r="H233" s="305" t="s">
        <v>1877</v>
      </c>
      <c r="K233" s="72"/>
      <c r="M233" s="9"/>
      <c r="N233" s="9"/>
      <c r="O233" s="9"/>
      <c r="P233" s="16"/>
    </row>
    <row r="234" spans="1:16" ht="25.5">
      <c r="A234" s="9" t="s">
        <v>1878</v>
      </c>
      <c r="B234" s="8">
        <v>44888</v>
      </c>
      <c r="C234" s="10">
        <v>44894</v>
      </c>
      <c r="D234" s="278" t="s">
        <v>1879</v>
      </c>
      <c r="E234" s="9" t="s">
        <v>1880</v>
      </c>
      <c r="G234" s="9">
        <v>21.67</v>
      </c>
      <c r="H234" s="265" t="s">
        <v>1881</v>
      </c>
      <c r="K234" s="72"/>
      <c r="M234" s="9"/>
      <c r="N234" s="9"/>
      <c r="O234" s="9"/>
      <c r="P234" s="16"/>
    </row>
    <row r="235" spans="1:16" ht="25.5">
      <c r="A235" s="9" t="s">
        <v>1882</v>
      </c>
      <c r="B235" s="8">
        <v>44884</v>
      </c>
      <c r="C235" s="10">
        <v>44894</v>
      </c>
      <c r="D235" s="278" t="s">
        <v>1879</v>
      </c>
      <c r="E235" s="9" t="s">
        <v>1880</v>
      </c>
      <c r="G235" s="9">
        <v>26.01</v>
      </c>
      <c r="H235" s="266" t="s">
        <v>1883</v>
      </c>
      <c r="K235" s="72"/>
      <c r="M235" s="9"/>
      <c r="N235" s="9"/>
      <c r="O235" s="9"/>
      <c r="P235" s="16"/>
    </row>
    <row r="236" spans="1:16" ht="25.5">
      <c r="A236" s="9" t="s">
        <v>1884</v>
      </c>
      <c r="B236" s="8">
        <v>44884</v>
      </c>
      <c r="C236" s="10">
        <v>44894</v>
      </c>
      <c r="D236" s="278" t="s">
        <v>1879</v>
      </c>
      <c r="E236" s="9" t="s">
        <v>1880</v>
      </c>
      <c r="G236" s="9">
        <v>22.78</v>
      </c>
      <c r="H236" s="305" t="s">
        <v>1885</v>
      </c>
      <c r="K236" s="72"/>
      <c r="M236" s="9"/>
      <c r="N236" s="9"/>
      <c r="O236" s="9"/>
      <c r="P236" s="16"/>
    </row>
    <row r="237" spans="1:16" ht="30">
      <c r="A237" s="9" t="s">
        <v>1277</v>
      </c>
      <c r="B237" s="9" t="s">
        <v>1886</v>
      </c>
      <c r="C237" s="8">
        <v>44893</v>
      </c>
      <c r="D237" s="309" t="s">
        <v>1887</v>
      </c>
      <c r="E237" s="9" t="s">
        <v>1888</v>
      </c>
      <c r="G237" s="9">
        <v>0</v>
      </c>
      <c r="H237" s="307">
        <v>3196144830</v>
      </c>
      <c r="K237" s="72"/>
    </row>
    <row r="238" spans="1:16" ht="25.5">
      <c r="A238" s="9" t="s">
        <v>1889</v>
      </c>
      <c r="B238" s="8">
        <v>44882</v>
      </c>
      <c r="C238" s="8">
        <v>44888</v>
      </c>
      <c r="D238" s="278" t="s">
        <v>1890</v>
      </c>
      <c r="E238" s="9" t="s">
        <v>1880</v>
      </c>
      <c r="G238" s="9">
        <v>15.18</v>
      </c>
      <c r="H238" s="307" t="s">
        <v>1891</v>
      </c>
    </row>
    <row r="239" spans="1:16" ht="25.5">
      <c r="A239" s="9" t="s">
        <v>1892</v>
      </c>
      <c r="B239" s="8">
        <v>44883</v>
      </c>
      <c r="C239" s="10">
        <v>44888</v>
      </c>
      <c r="D239" s="278" t="s">
        <v>1893</v>
      </c>
      <c r="E239" s="9" t="s">
        <v>1880</v>
      </c>
      <c r="G239" s="9">
        <v>16.78</v>
      </c>
      <c r="H239" s="307" t="s">
        <v>1894</v>
      </c>
      <c r="J239" s="18" t="s">
        <v>1895</v>
      </c>
      <c r="M239" s="9"/>
      <c r="N239" s="9"/>
      <c r="O239" s="9"/>
      <c r="P239" s="16"/>
    </row>
    <row r="240" spans="1:16" ht="12.75" customHeight="1">
      <c r="A240" s="9" t="s">
        <v>1896</v>
      </c>
      <c r="B240" s="8">
        <v>44879</v>
      </c>
      <c r="C240" s="8">
        <v>44883</v>
      </c>
      <c r="D240" s="313" t="s">
        <v>1897</v>
      </c>
      <c r="E240" s="9" t="s">
        <v>293</v>
      </c>
      <c r="F240" s="9" t="s">
        <v>1198</v>
      </c>
      <c r="G240" s="9">
        <v>43.33</v>
      </c>
      <c r="H240" s="304" t="s">
        <v>1898</v>
      </c>
      <c r="J240" s="314" t="s">
        <v>1899</v>
      </c>
      <c r="M240" s="9"/>
      <c r="N240" s="9"/>
      <c r="O240" s="9"/>
      <c r="P240" s="16"/>
    </row>
    <row r="241" spans="1:16" ht="25.5">
      <c r="A241" s="9" t="s">
        <v>1900</v>
      </c>
      <c r="B241" s="8">
        <v>44878</v>
      </c>
      <c r="C241" s="8">
        <v>44883</v>
      </c>
      <c r="D241" s="278" t="s">
        <v>1901</v>
      </c>
      <c r="E241" s="9" t="s">
        <v>1902</v>
      </c>
      <c r="F241" s="9" t="s">
        <v>1217</v>
      </c>
      <c r="G241" s="9">
        <v>23.84</v>
      </c>
      <c r="H241" s="295" t="s">
        <v>1903</v>
      </c>
      <c r="M241" s="9"/>
      <c r="N241" s="9"/>
      <c r="O241" s="9"/>
      <c r="P241" s="16"/>
    </row>
    <row r="242" spans="1:16" ht="12.75" customHeight="1">
      <c r="A242" s="9" t="s">
        <v>1904</v>
      </c>
      <c r="B242" s="8">
        <v>44868</v>
      </c>
      <c r="C242" s="8">
        <v>44880</v>
      </c>
      <c r="D242" s="315" t="s">
        <v>1905</v>
      </c>
      <c r="E242" s="9" t="s">
        <v>1906</v>
      </c>
      <c r="F242" s="9" t="s">
        <v>1217</v>
      </c>
      <c r="G242" s="9">
        <v>37.68</v>
      </c>
      <c r="H242" s="265" t="s">
        <v>1907</v>
      </c>
      <c r="K242" s="72"/>
      <c r="M242" s="9"/>
      <c r="N242" s="9"/>
      <c r="O242" s="9"/>
      <c r="P242" s="16"/>
    </row>
    <row r="243" spans="1:16" ht="25.5">
      <c r="A243" s="9" t="s">
        <v>1908</v>
      </c>
      <c r="B243" s="8">
        <v>44876</v>
      </c>
      <c r="C243" s="8">
        <v>44880</v>
      </c>
      <c r="D243" s="278" t="s">
        <v>1909</v>
      </c>
      <c r="E243" s="9" t="s">
        <v>1902</v>
      </c>
      <c r="G243" s="9">
        <v>34</v>
      </c>
      <c r="H243" s="265" t="s">
        <v>1910</v>
      </c>
      <c r="K243" s="72"/>
      <c r="M243" s="9"/>
      <c r="N243" s="9"/>
      <c r="O243" s="9"/>
      <c r="P243" s="16"/>
    </row>
    <row r="244" spans="1:16" ht="25.5">
      <c r="A244" s="9" t="s">
        <v>1911</v>
      </c>
      <c r="B244" s="8">
        <v>44866</v>
      </c>
      <c r="C244" s="8">
        <v>44876</v>
      </c>
      <c r="D244" s="303" t="s">
        <v>1912</v>
      </c>
      <c r="E244" s="9" t="s">
        <v>1880</v>
      </c>
      <c r="F244" s="9" t="s">
        <v>1913</v>
      </c>
      <c r="G244" s="12">
        <v>2258.9699999999998</v>
      </c>
      <c r="H244" s="305" t="s">
        <v>1914</v>
      </c>
      <c r="K244" s="72"/>
      <c r="M244" s="9"/>
      <c r="N244" s="9"/>
      <c r="O244" s="9"/>
      <c r="P244" s="16"/>
    </row>
    <row r="245" spans="1:16" ht="25.5">
      <c r="A245" s="9" t="s">
        <v>1915</v>
      </c>
      <c r="B245" s="8">
        <v>44864</v>
      </c>
      <c r="C245" s="10">
        <v>44874</v>
      </c>
      <c r="D245" s="278" t="s">
        <v>1916</v>
      </c>
      <c r="E245" s="9" t="s">
        <v>1917</v>
      </c>
      <c r="F245" s="9" t="s">
        <v>1217</v>
      </c>
      <c r="G245" s="9">
        <v>51.5</v>
      </c>
      <c r="H245" s="305" t="s">
        <v>1918</v>
      </c>
      <c r="M245" s="9"/>
      <c r="N245" s="9"/>
      <c r="O245" s="9"/>
      <c r="P245" s="16"/>
    </row>
    <row r="246" spans="1:16" ht="25.5">
      <c r="A246" s="9" t="s">
        <v>1919</v>
      </c>
      <c r="B246" s="8">
        <v>44863</v>
      </c>
      <c r="C246" s="10">
        <v>44872</v>
      </c>
      <c r="D246" s="278" t="s">
        <v>1920</v>
      </c>
      <c r="E246" s="9" t="s">
        <v>1880</v>
      </c>
      <c r="G246" s="9">
        <v>49.9</v>
      </c>
      <c r="H246" s="307" t="s">
        <v>1921</v>
      </c>
      <c r="M246" s="9"/>
      <c r="N246" s="9"/>
      <c r="O246" s="9"/>
      <c r="P246" s="16"/>
    </row>
    <row r="247" spans="1:16" ht="12.75" customHeight="1">
      <c r="A247" s="9" t="s">
        <v>1632</v>
      </c>
      <c r="C247" s="8">
        <v>44869</v>
      </c>
      <c r="D247" s="293" t="s">
        <v>1922</v>
      </c>
      <c r="H247" s="305"/>
      <c r="M247" s="9"/>
      <c r="N247" s="9"/>
      <c r="O247" s="9"/>
      <c r="P247" s="16"/>
    </row>
    <row r="248" spans="1:16" ht="12.75" customHeight="1">
      <c r="A248" s="9" t="s">
        <v>1923</v>
      </c>
      <c r="B248" s="8">
        <v>44857</v>
      </c>
      <c r="C248" s="8">
        <v>44868</v>
      </c>
      <c r="D248" s="293" t="s">
        <v>1924</v>
      </c>
      <c r="E248" s="9" t="s">
        <v>1925</v>
      </c>
      <c r="G248" s="9">
        <v>412.3</v>
      </c>
      <c r="H248" s="305" t="s">
        <v>1926</v>
      </c>
      <c r="J248" s="93"/>
      <c r="K248" s="72"/>
      <c r="M248" s="9"/>
      <c r="N248" s="9"/>
      <c r="O248" s="9"/>
      <c r="P248" s="16"/>
    </row>
    <row r="249" spans="1:16" ht="25.5">
      <c r="A249" s="9" t="s">
        <v>1927</v>
      </c>
      <c r="B249" s="8">
        <v>44863</v>
      </c>
      <c r="C249" s="8">
        <v>44868</v>
      </c>
      <c r="D249" s="278" t="s">
        <v>1928</v>
      </c>
      <c r="E249" s="9" t="s">
        <v>1880</v>
      </c>
      <c r="G249" s="11">
        <v>6.5</v>
      </c>
      <c r="H249" s="307" t="s">
        <v>1929</v>
      </c>
      <c r="J249" s="93"/>
      <c r="K249" s="72"/>
      <c r="M249" s="9"/>
      <c r="N249" s="9"/>
      <c r="O249" s="9"/>
      <c r="P249" s="16"/>
    </row>
    <row r="250" spans="1:16" ht="14.25">
      <c r="A250" s="9" t="s">
        <v>1930</v>
      </c>
      <c r="B250" s="8">
        <v>44853</v>
      </c>
      <c r="C250" s="8">
        <v>44861</v>
      </c>
      <c r="D250" s="278" t="s">
        <v>1931</v>
      </c>
      <c r="E250" s="9" t="s">
        <v>725</v>
      </c>
      <c r="F250" s="9" t="s">
        <v>1217</v>
      </c>
      <c r="G250" s="9">
        <v>8.66</v>
      </c>
      <c r="H250" s="307" t="s">
        <v>1932</v>
      </c>
      <c r="J250" s="93"/>
      <c r="K250" s="72"/>
      <c r="M250" s="9"/>
      <c r="N250" s="9"/>
      <c r="O250" s="9"/>
      <c r="P250" s="16"/>
    </row>
    <row r="251" spans="1:16" ht="14.25">
      <c r="A251" s="9" t="s">
        <v>1933</v>
      </c>
      <c r="B251" s="8">
        <v>44855</v>
      </c>
      <c r="C251" s="8">
        <v>44860</v>
      </c>
      <c r="D251" s="40"/>
      <c r="E251" s="9" t="s">
        <v>725</v>
      </c>
      <c r="F251" s="9" t="s">
        <v>1217</v>
      </c>
      <c r="G251" s="9">
        <v>18.43</v>
      </c>
      <c r="H251" s="307" t="s">
        <v>1934</v>
      </c>
      <c r="J251" s="93"/>
      <c r="K251" s="72"/>
      <c r="M251" s="9"/>
      <c r="N251" s="9"/>
      <c r="O251" s="9"/>
      <c r="P251" s="16"/>
    </row>
    <row r="252" spans="1:16" ht="25.5">
      <c r="A252" s="9" t="s">
        <v>1935</v>
      </c>
      <c r="B252" s="8">
        <v>44843</v>
      </c>
      <c r="C252" s="8">
        <v>44859</v>
      </c>
      <c r="D252" s="278" t="s">
        <v>1936</v>
      </c>
      <c r="E252" s="9" t="s">
        <v>1771</v>
      </c>
      <c r="F252" s="9" t="s">
        <v>1217</v>
      </c>
      <c r="G252" s="9">
        <v>46.3</v>
      </c>
      <c r="H252" s="305" t="s">
        <v>1937</v>
      </c>
      <c r="J252" s="93"/>
      <c r="K252" s="72"/>
      <c r="M252" s="9"/>
      <c r="N252" s="9"/>
      <c r="O252" s="9"/>
      <c r="P252" s="16"/>
    </row>
    <row r="253" spans="1:16" ht="26.25">
      <c r="A253" s="9" t="s">
        <v>1938</v>
      </c>
      <c r="B253" s="8">
        <v>44849</v>
      </c>
      <c r="C253" s="8">
        <v>44859</v>
      </c>
      <c r="D253" s="278" t="s">
        <v>1936</v>
      </c>
      <c r="E253" s="9" t="s">
        <v>1771</v>
      </c>
      <c r="F253" s="9" t="s">
        <v>1217</v>
      </c>
      <c r="G253" s="9">
        <v>67.8</v>
      </c>
      <c r="H253" s="307" t="s">
        <v>1939</v>
      </c>
      <c r="I253" s="16"/>
      <c r="J253" s="24"/>
      <c r="K253" s="25"/>
      <c r="L253" s="15"/>
      <c r="M253" s="64"/>
      <c r="N253" s="26"/>
      <c r="O253" s="16">
        <f>SUM(O139:O245)</f>
        <v>21516</v>
      </c>
      <c r="P253" s="16">
        <f>SUM(P139:P245)</f>
        <v>0</v>
      </c>
    </row>
    <row r="254" spans="1:16" ht="14.25">
      <c r="A254" s="9" t="s">
        <v>1940</v>
      </c>
      <c r="B254" s="8">
        <v>44847</v>
      </c>
      <c r="C254" s="8">
        <v>44851</v>
      </c>
      <c r="D254" s="278" t="s">
        <v>1941</v>
      </c>
      <c r="E254" s="9" t="s">
        <v>725</v>
      </c>
      <c r="F254" s="9" t="s">
        <v>1217</v>
      </c>
      <c r="G254" s="9">
        <v>18.45</v>
      </c>
      <c r="H254" s="307" t="s">
        <v>1942</v>
      </c>
      <c r="J254" s="93"/>
      <c r="K254" s="72"/>
      <c r="M254" s="9"/>
      <c r="N254" s="9"/>
      <c r="O254" s="9"/>
      <c r="P254" s="16"/>
    </row>
    <row r="255" spans="1:16" ht="12.75" customHeight="1">
      <c r="A255" s="9" t="s">
        <v>1943</v>
      </c>
      <c r="B255" s="8">
        <v>44851</v>
      </c>
      <c r="C255" s="8">
        <v>44853</v>
      </c>
      <c r="D255" s="1645" t="s">
        <v>1944</v>
      </c>
      <c r="E255" s="9" t="s">
        <v>1945</v>
      </c>
      <c r="F255" s="9" t="s">
        <v>1198</v>
      </c>
      <c r="H255" s="305"/>
      <c r="J255" s="93"/>
      <c r="K255" s="72"/>
      <c r="M255" s="9"/>
      <c r="N255" s="9"/>
      <c r="O255" s="9"/>
      <c r="P255" s="16"/>
    </row>
    <row r="256" spans="1:16" ht="14.25">
      <c r="A256" s="9" t="s">
        <v>1946</v>
      </c>
      <c r="B256" s="8">
        <v>44843</v>
      </c>
      <c r="C256" s="8">
        <v>44846</v>
      </c>
      <c r="D256" s="278" t="s">
        <v>1947</v>
      </c>
      <c r="E256" s="9" t="s">
        <v>1948</v>
      </c>
      <c r="F256" s="9" t="s">
        <v>1343</v>
      </c>
      <c r="G256" s="9">
        <v>24.94</v>
      </c>
      <c r="H256" s="307" t="s">
        <v>1949</v>
      </c>
      <c r="J256" s="93"/>
      <c r="K256" s="72"/>
      <c r="M256" s="9"/>
      <c r="N256" s="9"/>
      <c r="O256" s="9"/>
      <c r="P256" s="16"/>
    </row>
    <row r="257" spans="1:26" ht="14.25">
      <c r="A257" s="9" t="s">
        <v>1950</v>
      </c>
      <c r="B257" s="8">
        <v>44843</v>
      </c>
      <c r="C257" s="8">
        <v>44846</v>
      </c>
      <c r="D257" s="278" t="s">
        <v>1947</v>
      </c>
      <c r="E257" s="9" t="s">
        <v>725</v>
      </c>
      <c r="F257" s="9" t="s">
        <v>1343</v>
      </c>
      <c r="G257" s="9">
        <v>33.82</v>
      </c>
      <c r="H257" s="307" t="s">
        <v>1951</v>
      </c>
      <c r="J257" s="93"/>
      <c r="K257" s="72"/>
      <c r="M257" s="9"/>
      <c r="N257" s="9"/>
      <c r="O257" s="9"/>
      <c r="P257" s="16"/>
    </row>
    <row r="258" spans="1:26" ht="14.25">
      <c r="A258" s="9" t="s">
        <v>1952</v>
      </c>
      <c r="B258" s="8">
        <v>44835</v>
      </c>
      <c r="C258" s="8">
        <v>44840</v>
      </c>
      <c r="D258" s="278" t="s">
        <v>1953</v>
      </c>
      <c r="E258" s="9" t="s">
        <v>725</v>
      </c>
      <c r="F258" s="9" t="s">
        <v>1198</v>
      </c>
      <c r="G258" s="9">
        <v>19.53</v>
      </c>
      <c r="H258" s="307" t="s">
        <v>1954</v>
      </c>
      <c r="J258" s="93"/>
      <c r="K258" s="72"/>
      <c r="M258" s="9"/>
      <c r="N258" s="9"/>
      <c r="O258" s="9"/>
      <c r="P258" s="16"/>
    </row>
    <row r="259" spans="1:26" ht="14.25">
      <c r="A259" s="9" t="s">
        <v>1955</v>
      </c>
      <c r="B259" s="8">
        <v>44834</v>
      </c>
      <c r="C259" s="8">
        <v>44840</v>
      </c>
      <c r="D259" s="284">
        <v>278634271966</v>
      </c>
      <c r="E259" s="9" t="s">
        <v>1956</v>
      </c>
      <c r="F259" s="9" t="s">
        <v>1957</v>
      </c>
      <c r="G259" s="9">
        <v>38.049999999999997</v>
      </c>
      <c r="H259" s="305">
        <v>6282125061</v>
      </c>
      <c r="J259" s="93"/>
      <c r="K259" s="72"/>
      <c r="M259" s="9"/>
      <c r="N259" s="9"/>
      <c r="O259" s="9"/>
      <c r="P259" s="16"/>
    </row>
    <row r="260" spans="1:26" ht="14.25">
      <c r="A260" s="9" t="s">
        <v>1958</v>
      </c>
      <c r="B260" s="8">
        <v>44562</v>
      </c>
      <c r="C260" s="8">
        <v>44839</v>
      </c>
      <c r="D260" s="278" t="s">
        <v>1959</v>
      </c>
      <c r="E260" s="9" t="s">
        <v>725</v>
      </c>
      <c r="F260" s="9" t="s">
        <v>1217</v>
      </c>
      <c r="G260" s="9">
        <v>18.54</v>
      </c>
      <c r="H260" s="305" t="s">
        <v>1960</v>
      </c>
      <c r="J260" s="93"/>
      <c r="K260" s="72"/>
      <c r="M260" s="9"/>
      <c r="N260" s="9"/>
      <c r="O260" s="9"/>
      <c r="P260" s="16"/>
    </row>
    <row r="261" spans="1:26" ht="14.25">
      <c r="A261" s="9" t="s">
        <v>1961</v>
      </c>
      <c r="B261" s="8">
        <v>44833</v>
      </c>
      <c r="C261" s="8">
        <v>44837</v>
      </c>
      <c r="D261" s="40"/>
      <c r="E261" s="9" t="s">
        <v>1808</v>
      </c>
      <c r="G261" s="9">
        <v>14.5</v>
      </c>
      <c r="H261" s="305">
        <v>2314957</v>
      </c>
      <c r="J261" s="93"/>
      <c r="K261" s="72"/>
      <c r="M261" s="9"/>
      <c r="N261" s="9"/>
      <c r="O261" s="9"/>
      <c r="P261" s="16"/>
    </row>
    <row r="262" spans="1:26" ht="14.25">
      <c r="A262" s="9" t="s">
        <v>1962</v>
      </c>
      <c r="B262" s="8">
        <v>44833</v>
      </c>
      <c r="C262" s="8">
        <v>44837</v>
      </c>
      <c r="D262" s="277" t="s">
        <v>1963</v>
      </c>
      <c r="E262" s="9" t="s">
        <v>293</v>
      </c>
      <c r="F262" s="9" t="s">
        <v>1186</v>
      </c>
      <c r="G262" s="9">
        <v>27.71</v>
      </c>
      <c r="H262" s="305" t="s">
        <v>1964</v>
      </c>
      <c r="J262" s="93"/>
      <c r="K262" s="72"/>
      <c r="M262" s="9"/>
      <c r="N262" s="9"/>
      <c r="O262" s="9"/>
      <c r="P262" s="16"/>
    </row>
    <row r="263" spans="1:26" ht="14.25">
      <c r="A263" s="9" t="s">
        <v>1965</v>
      </c>
      <c r="B263" s="8">
        <v>44829</v>
      </c>
      <c r="C263" s="8">
        <v>44834</v>
      </c>
      <c r="D263" s="40"/>
      <c r="G263" s="9">
        <v>23.86</v>
      </c>
      <c r="H263" s="307" t="s">
        <v>1966</v>
      </c>
      <c r="J263" s="93"/>
      <c r="K263" s="72"/>
      <c r="M263" s="9"/>
      <c r="N263" s="9"/>
      <c r="O263" s="9"/>
      <c r="P263" s="16"/>
    </row>
    <row r="264" spans="1:26" ht="14.25">
      <c r="A264" s="9" t="s">
        <v>1967</v>
      </c>
      <c r="B264" s="8">
        <v>44825</v>
      </c>
      <c r="C264" s="8">
        <v>44827</v>
      </c>
      <c r="D264" s="278" t="s">
        <v>1968</v>
      </c>
      <c r="E264" s="9" t="s">
        <v>1969</v>
      </c>
      <c r="F264" s="9" t="s">
        <v>1217</v>
      </c>
      <c r="G264" s="9">
        <v>107.42</v>
      </c>
      <c r="H264" s="305" t="s">
        <v>1970</v>
      </c>
      <c r="J264" s="93"/>
      <c r="K264" s="72"/>
      <c r="M264" s="9"/>
      <c r="N264" s="9"/>
      <c r="O264" s="9"/>
      <c r="P264" s="16"/>
    </row>
    <row r="265" spans="1:26" ht="14.25">
      <c r="A265" s="9" t="s">
        <v>1971</v>
      </c>
      <c r="B265" s="8">
        <v>44827</v>
      </c>
      <c r="C265" s="8">
        <v>44831</v>
      </c>
      <c r="D265" s="40"/>
      <c r="E265" s="9" t="s">
        <v>69</v>
      </c>
      <c r="G265" s="9">
        <v>16.260000000000002</v>
      </c>
      <c r="H265" s="305" t="s">
        <v>1972</v>
      </c>
      <c r="J265" s="93"/>
      <c r="K265" s="72"/>
      <c r="M265" s="9"/>
      <c r="N265" s="9"/>
      <c r="O265" s="9"/>
      <c r="P265" s="16"/>
    </row>
    <row r="266" spans="1:26" ht="14.25">
      <c r="A266" s="9" t="s">
        <v>1973</v>
      </c>
      <c r="B266" s="8">
        <v>44824</v>
      </c>
      <c r="C266" s="8">
        <v>44826</v>
      </c>
      <c r="D266" s="278" t="s">
        <v>1974</v>
      </c>
      <c r="E266" s="9" t="s">
        <v>69</v>
      </c>
      <c r="F266" s="316" t="s">
        <v>1217</v>
      </c>
      <c r="G266" s="9">
        <v>0</v>
      </c>
      <c r="H266" s="305" t="s">
        <v>1975</v>
      </c>
      <c r="J266" s="93"/>
      <c r="K266" s="72"/>
      <c r="M266" s="9"/>
      <c r="N266" s="9"/>
      <c r="O266" s="9"/>
      <c r="P266" s="16"/>
    </row>
    <row r="267" spans="1:26" ht="14.25">
      <c r="A267" s="9" t="s">
        <v>1976</v>
      </c>
      <c r="B267" s="8">
        <v>44828</v>
      </c>
      <c r="D267" s="40"/>
      <c r="E267" s="9" t="s">
        <v>1977</v>
      </c>
      <c r="G267" s="9">
        <v>11.92</v>
      </c>
      <c r="H267" s="307" t="s">
        <v>1978</v>
      </c>
      <c r="J267" s="93"/>
      <c r="K267" s="72"/>
      <c r="M267" s="9"/>
      <c r="N267" s="9"/>
      <c r="O267" s="9"/>
      <c r="P267" s="16"/>
    </row>
    <row r="268" spans="1:26" ht="14.25">
      <c r="A268" s="9" t="s">
        <v>1979</v>
      </c>
      <c r="B268" s="8">
        <v>44825</v>
      </c>
      <c r="C268" s="8">
        <v>44826</v>
      </c>
      <c r="D268" s="40"/>
      <c r="E268" s="9" t="s">
        <v>1980</v>
      </c>
      <c r="F268" s="9" t="s">
        <v>1217</v>
      </c>
      <c r="G268" s="9">
        <v>0</v>
      </c>
      <c r="H268" s="305"/>
      <c r="J268" s="93"/>
      <c r="K268" s="72"/>
      <c r="M268" s="9"/>
      <c r="N268" s="9"/>
      <c r="O268" s="9"/>
      <c r="P268" s="16"/>
    </row>
    <row r="269" spans="1:26" ht="14.25">
      <c r="A269" s="9" t="s">
        <v>1981</v>
      </c>
      <c r="B269" s="8">
        <v>44790</v>
      </c>
      <c r="C269" s="8">
        <v>44798</v>
      </c>
      <c r="D269" s="1646" t="s">
        <v>1982</v>
      </c>
      <c r="E269" s="9" t="s">
        <v>293</v>
      </c>
      <c r="F269" s="9" t="s">
        <v>1198</v>
      </c>
      <c r="G269" s="9">
        <v>456.89</v>
      </c>
      <c r="H269" s="305" t="s">
        <v>1983</v>
      </c>
      <c r="I269" s="18"/>
      <c r="J269" s="314"/>
      <c r="K269" s="317"/>
      <c r="L269" s="18"/>
      <c r="M269" s="18"/>
      <c r="N269" s="18"/>
      <c r="O269" s="18"/>
      <c r="P269" s="318"/>
      <c r="Q269" s="18"/>
      <c r="R269" s="18"/>
      <c r="S269" s="18"/>
      <c r="T269" s="18"/>
      <c r="U269" s="18"/>
      <c r="V269" s="18"/>
      <c r="W269" s="18"/>
      <c r="X269" s="18"/>
      <c r="Y269" s="18"/>
      <c r="Z269" s="18"/>
    </row>
    <row r="270" spans="1:26" ht="14.25">
      <c r="A270" s="9" t="s">
        <v>1981</v>
      </c>
      <c r="B270" s="8">
        <v>44791</v>
      </c>
      <c r="C270" s="8">
        <v>44799</v>
      </c>
      <c r="D270" s="277">
        <v>276995440076</v>
      </c>
      <c r="E270" s="9" t="s">
        <v>293</v>
      </c>
      <c r="F270" s="59" t="s">
        <v>1595</v>
      </c>
      <c r="G270" s="9">
        <v>618.45000000000005</v>
      </c>
      <c r="H270" s="305" t="s">
        <v>1984</v>
      </c>
      <c r="J270" s="93"/>
      <c r="K270" s="72"/>
      <c r="M270" s="9"/>
      <c r="N270" s="9"/>
      <c r="O270" s="9"/>
      <c r="P270" s="16"/>
    </row>
    <row r="271" spans="1:26" ht="14.25">
      <c r="A271" s="9" t="s">
        <v>1985</v>
      </c>
      <c r="B271" s="8">
        <v>44795</v>
      </c>
      <c r="C271" s="8">
        <v>44802</v>
      </c>
      <c r="D271" s="277" t="s">
        <v>1986</v>
      </c>
      <c r="E271" s="9" t="s">
        <v>293</v>
      </c>
      <c r="G271" s="9">
        <v>195.84</v>
      </c>
      <c r="H271" s="305" t="s">
        <v>1987</v>
      </c>
      <c r="J271" s="93"/>
      <c r="K271" s="72"/>
      <c r="M271" s="9"/>
      <c r="N271" s="9"/>
      <c r="O271" s="9"/>
      <c r="P271" s="16"/>
    </row>
    <row r="272" spans="1:26" ht="14.25">
      <c r="A272" s="9" t="s">
        <v>1988</v>
      </c>
      <c r="B272" s="8">
        <v>44787</v>
      </c>
      <c r="C272" s="8">
        <v>44793</v>
      </c>
      <c r="D272" s="277" t="s">
        <v>1989</v>
      </c>
      <c r="E272" s="9" t="s">
        <v>293</v>
      </c>
      <c r="F272" s="9" t="s">
        <v>1198</v>
      </c>
      <c r="G272" s="9">
        <v>633.34</v>
      </c>
      <c r="H272" s="305" t="s">
        <v>1990</v>
      </c>
      <c r="J272" s="93"/>
      <c r="K272" s="72"/>
      <c r="M272" s="9"/>
      <c r="N272" s="9"/>
      <c r="O272" s="9"/>
      <c r="P272" s="16"/>
    </row>
    <row r="273" spans="1:16" ht="14.25">
      <c r="A273" s="9" t="s">
        <v>1991</v>
      </c>
      <c r="B273" s="8">
        <v>44790</v>
      </c>
      <c r="C273" s="8">
        <v>44795</v>
      </c>
      <c r="D273" s="277" t="s">
        <v>1992</v>
      </c>
      <c r="E273" s="9" t="s">
        <v>293</v>
      </c>
      <c r="F273" s="9" t="s">
        <v>1198</v>
      </c>
      <c r="G273" s="9">
        <v>128.02000000000001</v>
      </c>
      <c r="H273" s="304" t="s">
        <v>1993</v>
      </c>
      <c r="J273" s="93"/>
      <c r="K273" s="72"/>
      <c r="M273" s="9"/>
      <c r="N273" s="9"/>
      <c r="O273" s="9"/>
      <c r="P273" s="16"/>
    </row>
    <row r="274" spans="1:16" ht="14.25">
      <c r="A274" s="9" t="s">
        <v>1991</v>
      </c>
      <c r="B274" s="8">
        <v>44790</v>
      </c>
      <c r="C274" s="8">
        <v>44796</v>
      </c>
      <c r="D274" s="277" t="s">
        <v>1994</v>
      </c>
      <c r="E274" s="9" t="s">
        <v>293</v>
      </c>
      <c r="F274" s="9" t="s">
        <v>1198</v>
      </c>
      <c r="G274" s="9">
        <v>184.45</v>
      </c>
      <c r="H274" s="304" t="s">
        <v>1995</v>
      </c>
      <c r="J274" s="93"/>
      <c r="K274" s="72"/>
      <c r="M274" s="9"/>
      <c r="N274" s="9"/>
      <c r="O274" s="9"/>
      <c r="P274" s="16"/>
    </row>
    <row r="275" spans="1:16" ht="12.75" customHeight="1">
      <c r="A275" s="18" t="s">
        <v>1996</v>
      </c>
      <c r="B275" s="319">
        <v>44814</v>
      </c>
      <c r="C275" s="319">
        <v>44820</v>
      </c>
      <c r="D275" s="27"/>
      <c r="E275" s="18" t="s">
        <v>1808</v>
      </c>
      <c r="F275" s="18"/>
      <c r="G275" s="18">
        <v>222</v>
      </c>
      <c r="H275" s="320">
        <v>2313702</v>
      </c>
      <c r="J275" s="93"/>
      <c r="K275" s="72"/>
      <c r="M275" s="9"/>
      <c r="N275" s="9"/>
      <c r="O275" s="9"/>
      <c r="P275" s="16"/>
    </row>
    <row r="276" spans="1:16">
      <c r="A276" s="9" t="s">
        <v>1997</v>
      </c>
      <c r="B276" s="8">
        <v>44820</v>
      </c>
      <c r="C276" s="8">
        <v>44824</v>
      </c>
      <c r="D276" s="40">
        <v>278066142348</v>
      </c>
      <c r="E276" s="9" t="s">
        <v>69</v>
      </c>
      <c r="F276" s="9" t="s">
        <v>1388</v>
      </c>
      <c r="G276" s="9">
        <v>432.92</v>
      </c>
      <c r="H276" s="265" t="s">
        <v>1998</v>
      </c>
      <c r="J276" s="93"/>
      <c r="K276" s="72"/>
      <c r="M276" s="9"/>
      <c r="N276" s="9"/>
      <c r="O276" s="9"/>
      <c r="P276" s="16"/>
    </row>
    <row r="277" spans="1:16" ht="14.25">
      <c r="A277" s="9" t="s">
        <v>1999</v>
      </c>
      <c r="B277" s="8">
        <v>44820</v>
      </c>
      <c r="C277" s="8">
        <v>44824</v>
      </c>
      <c r="D277" s="278" t="s">
        <v>2000</v>
      </c>
      <c r="E277" s="9" t="s">
        <v>69</v>
      </c>
      <c r="F277" s="9" t="s">
        <v>1217</v>
      </c>
      <c r="G277" s="9">
        <v>18.21</v>
      </c>
      <c r="H277" s="265" t="s">
        <v>2001</v>
      </c>
      <c r="J277" s="93"/>
      <c r="K277" s="72"/>
      <c r="M277" s="9"/>
      <c r="N277" s="9"/>
      <c r="O277" s="9"/>
      <c r="P277" s="16"/>
    </row>
    <row r="278" spans="1:16" ht="25.5">
      <c r="A278" s="321" t="s">
        <v>2002</v>
      </c>
      <c r="B278" s="8">
        <v>44757</v>
      </c>
      <c r="C278" s="8">
        <v>44762</v>
      </c>
      <c r="D278" s="40"/>
      <c r="E278" s="9" t="s">
        <v>1880</v>
      </c>
      <c r="G278" s="9">
        <v>162.69999999999999</v>
      </c>
      <c r="H278" s="295" t="s">
        <v>2003</v>
      </c>
      <c r="J278" s="93"/>
      <c r="K278" s="72"/>
      <c r="M278" s="9"/>
      <c r="N278" s="9"/>
      <c r="O278" s="9"/>
      <c r="P278" s="16"/>
    </row>
    <row r="279" spans="1:16" ht="28.5">
      <c r="A279" s="9" t="s">
        <v>2004</v>
      </c>
      <c r="B279" s="8">
        <v>44748</v>
      </c>
      <c r="D279" s="278" t="s">
        <v>2005</v>
      </c>
      <c r="E279" s="9" t="s">
        <v>1771</v>
      </c>
      <c r="F279" s="9" t="s">
        <v>1198</v>
      </c>
      <c r="G279" s="9">
        <v>33.5</v>
      </c>
      <c r="H279" s="251" t="s">
        <v>2005</v>
      </c>
      <c r="J279" s="93"/>
      <c r="K279" s="72"/>
      <c r="M279" s="9"/>
      <c r="N279" s="9"/>
      <c r="O279" s="9"/>
      <c r="P279" s="16"/>
    </row>
    <row r="280" spans="1:16" ht="28.5">
      <c r="A280" s="22" t="s">
        <v>1316</v>
      </c>
      <c r="B280" s="8">
        <v>44476</v>
      </c>
      <c r="D280" s="322"/>
      <c r="E280" s="9" t="s">
        <v>1316</v>
      </c>
      <c r="G280" s="9">
        <v>18</v>
      </c>
      <c r="H280" s="301" t="s">
        <v>2006</v>
      </c>
      <c r="J280" s="93"/>
      <c r="K280" s="72"/>
      <c r="M280" s="9"/>
      <c r="N280" s="9"/>
      <c r="O280" s="9"/>
      <c r="P280" s="16"/>
    </row>
    <row r="281" spans="1:16" ht="28.5">
      <c r="A281" s="9" t="s">
        <v>2007</v>
      </c>
      <c r="B281" s="8">
        <v>44733</v>
      </c>
      <c r="C281" s="8">
        <v>44741</v>
      </c>
      <c r="D281" s="278" t="s">
        <v>2008</v>
      </c>
      <c r="E281" s="9" t="s">
        <v>1771</v>
      </c>
      <c r="F281" s="9" t="s">
        <v>1217</v>
      </c>
      <c r="G281" s="9">
        <v>80</v>
      </c>
      <c r="H281" s="323" t="s">
        <v>2009</v>
      </c>
      <c r="J281" s="93"/>
      <c r="K281" s="72"/>
      <c r="M281" s="9"/>
      <c r="N281" s="9"/>
      <c r="O281" s="9"/>
      <c r="P281" s="16"/>
    </row>
    <row r="282" spans="1:16">
      <c r="A282" s="9" t="s">
        <v>2010</v>
      </c>
      <c r="B282" s="8">
        <v>44750</v>
      </c>
      <c r="C282" s="8">
        <v>44754</v>
      </c>
      <c r="D282" s="40"/>
      <c r="E282" s="9" t="s">
        <v>725</v>
      </c>
      <c r="G282" s="9">
        <v>10.84</v>
      </c>
      <c r="H282" s="295" t="s">
        <v>2011</v>
      </c>
      <c r="J282" s="93"/>
      <c r="K282" s="72"/>
      <c r="M282" s="9"/>
      <c r="N282" s="9"/>
      <c r="O282" s="9"/>
      <c r="P282" s="16"/>
    </row>
    <row r="283" spans="1:16" ht="30">
      <c r="A283" s="9" t="s">
        <v>2012</v>
      </c>
      <c r="B283" s="8">
        <v>44738</v>
      </c>
      <c r="C283" s="8">
        <v>44753</v>
      </c>
      <c r="D283" s="277" t="s">
        <v>2013</v>
      </c>
      <c r="E283" s="9" t="s">
        <v>2014</v>
      </c>
      <c r="F283" s="324" t="s">
        <v>2015</v>
      </c>
      <c r="H283" s="301" t="s">
        <v>2016</v>
      </c>
      <c r="J283" s="93"/>
      <c r="K283" s="72"/>
      <c r="M283" s="9"/>
      <c r="N283" s="9"/>
      <c r="O283" s="9"/>
      <c r="P283" s="16"/>
    </row>
    <row r="284" spans="1:16" ht="28.5">
      <c r="A284" s="9" t="s">
        <v>2017</v>
      </c>
      <c r="B284" s="8">
        <v>44750</v>
      </c>
      <c r="C284" s="8">
        <v>44753</v>
      </c>
      <c r="D284" s="40"/>
      <c r="E284" s="9" t="s">
        <v>725</v>
      </c>
      <c r="G284" s="9">
        <v>24.39</v>
      </c>
      <c r="H284" s="301" t="s">
        <v>2018</v>
      </c>
      <c r="J284" s="93"/>
      <c r="K284" s="72"/>
      <c r="M284" s="9"/>
      <c r="N284" s="9"/>
      <c r="O284" s="9"/>
      <c r="P284" s="16"/>
    </row>
    <row r="285" spans="1:16">
      <c r="A285" s="9" t="s">
        <v>2019</v>
      </c>
      <c r="B285" s="8">
        <v>44650</v>
      </c>
      <c r="C285" s="8">
        <v>44654</v>
      </c>
      <c r="D285" s="40" t="s">
        <v>2020</v>
      </c>
      <c r="E285" s="9" t="s">
        <v>725</v>
      </c>
      <c r="G285" s="9">
        <v>20</v>
      </c>
      <c r="J285" s="93"/>
      <c r="K285" s="72"/>
      <c r="M285" s="9"/>
      <c r="N285" s="9"/>
      <c r="O285" s="9"/>
      <c r="P285" s="16"/>
    </row>
    <row r="286" spans="1:16">
      <c r="A286" s="9" t="s">
        <v>2021</v>
      </c>
      <c r="B286" s="8">
        <v>44632</v>
      </c>
      <c r="C286" s="8">
        <v>44633</v>
      </c>
      <c r="D286" s="40" t="s">
        <v>2022</v>
      </c>
      <c r="E286" s="9" t="s">
        <v>725</v>
      </c>
      <c r="G286" s="9">
        <v>26.74</v>
      </c>
      <c r="H286" s="295" t="s">
        <v>2023</v>
      </c>
      <c r="J286" s="93"/>
      <c r="K286" s="72"/>
      <c r="M286" s="9"/>
      <c r="N286" s="9"/>
      <c r="O286" s="9"/>
      <c r="P286" s="16"/>
    </row>
    <row r="287" spans="1:16">
      <c r="A287" s="9" t="s">
        <v>2024</v>
      </c>
      <c r="B287" s="8">
        <v>44594</v>
      </c>
      <c r="C287" s="8">
        <v>44595</v>
      </c>
      <c r="D287" s="40"/>
      <c r="E287" s="9" t="s">
        <v>725</v>
      </c>
      <c r="G287" s="9">
        <v>7.47</v>
      </c>
      <c r="H287" s="295" t="s">
        <v>2025</v>
      </c>
      <c r="J287" s="93"/>
      <c r="K287" s="72"/>
      <c r="M287" s="9"/>
      <c r="N287" s="9"/>
      <c r="O287" s="9"/>
      <c r="P287" s="16"/>
    </row>
    <row r="288" spans="1:16" ht="25.5">
      <c r="A288" s="9" t="s">
        <v>2026</v>
      </c>
      <c r="B288" s="8">
        <v>44590</v>
      </c>
      <c r="D288" s="278" t="s">
        <v>2027</v>
      </c>
      <c r="E288" s="9" t="s">
        <v>725</v>
      </c>
      <c r="F288" s="251"/>
      <c r="G288" s="9">
        <v>13.11</v>
      </c>
      <c r="H288" s="265" t="s">
        <v>2028</v>
      </c>
      <c r="J288" s="93" t="s">
        <v>2029</v>
      </c>
      <c r="K288" s="72"/>
      <c r="M288" s="9" t="s">
        <v>2030</v>
      </c>
      <c r="N288" s="9" t="s">
        <v>1147</v>
      </c>
      <c r="O288" s="9">
        <v>2</v>
      </c>
      <c r="P288" s="16">
        <v>200</v>
      </c>
    </row>
    <row r="289" spans="1:16" ht="25.5">
      <c r="A289" s="9" t="s">
        <v>2031</v>
      </c>
      <c r="B289" s="8">
        <v>44594</v>
      </c>
      <c r="D289" s="40"/>
      <c r="J289" s="3"/>
      <c r="K289" s="72">
        <v>10</v>
      </c>
      <c r="M289" s="9" t="s">
        <v>2032</v>
      </c>
      <c r="N289" s="9" t="s">
        <v>1147</v>
      </c>
      <c r="O289" s="9">
        <v>1</v>
      </c>
      <c r="P289" s="16">
        <v>500</v>
      </c>
    </row>
    <row r="290" spans="1:16" ht="25.5">
      <c r="A290" s="9" t="s">
        <v>2033</v>
      </c>
      <c r="B290" s="8">
        <v>44590</v>
      </c>
      <c r="C290" s="8">
        <v>44593</v>
      </c>
      <c r="D290" s="40"/>
      <c r="E290" s="9" t="s">
        <v>2034</v>
      </c>
      <c r="G290" s="9">
        <v>18.600000000000001</v>
      </c>
      <c r="H290" s="265" t="s">
        <v>2035</v>
      </c>
      <c r="L290" s="9"/>
      <c r="M290" s="9" t="s">
        <v>2036</v>
      </c>
      <c r="N290" s="9" t="s">
        <v>1147</v>
      </c>
      <c r="O290" s="9">
        <v>1</v>
      </c>
      <c r="P290" s="16">
        <v>2000</v>
      </c>
    </row>
    <row r="291" spans="1:16" ht="15">
      <c r="A291" s="9">
        <v>2022</v>
      </c>
      <c r="B291" s="8"/>
      <c r="D291" s="309"/>
      <c r="E291" s="9"/>
      <c r="F291" s="9"/>
      <c r="H291" s="325"/>
      <c r="K291" s="72"/>
      <c r="L291" s="9"/>
      <c r="M291" s="9"/>
      <c r="N291" s="9"/>
      <c r="O291" s="9"/>
      <c r="P291" s="16"/>
    </row>
    <row r="292" spans="1:16" ht="30">
      <c r="A292" s="9" t="s">
        <v>2037</v>
      </c>
      <c r="B292" s="8">
        <v>44551</v>
      </c>
      <c r="D292" s="309" t="s">
        <v>2038</v>
      </c>
      <c r="E292" s="9" t="s">
        <v>1764</v>
      </c>
      <c r="F292" s="9" t="s">
        <v>1198</v>
      </c>
      <c r="H292" s="326">
        <v>2431870199</v>
      </c>
      <c r="K292" s="72">
        <v>100</v>
      </c>
      <c r="L292" s="9"/>
      <c r="M292" s="9" t="s">
        <v>2039</v>
      </c>
      <c r="N292" s="9" t="s">
        <v>1147</v>
      </c>
      <c r="O292" s="9">
        <v>1</v>
      </c>
      <c r="P292" s="16">
        <v>500</v>
      </c>
    </row>
    <row r="293" spans="1:16" ht="14.25">
      <c r="A293" s="9" t="s">
        <v>2040</v>
      </c>
      <c r="B293" s="8">
        <v>44530</v>
      </c>
      <c r="C293" s="8">
        <v>44547</v>
      </c>
      <c r="D293" s="278" t="s">
        <v>2041</v>
      </c>
      <c r="E293" s="9" t="s">
        <v>2042</v>
      </c>
      <c r="G293" s="9">
        <v>39.53</v>
      </c>
      <c r="H293" s="326" t="s">
        <v>2043</v>
      </c>
      <c r="J293" s="3"/>
      <c r="M293" s="9"/>
      <c r="N293" s="9"/>
      <c r="O293" s="9"/>
      <c r="P293" s="16"/>
    </row>
    <row r="294" spans="1:16" ht="14.25">
      <c r="A294" s="9" t="s">
        <v>2044</v>
      </c>
      <c r="B294" s="8">
        <v>44545</v>
      </c>
      <c r="C294" s="8">
        <v>44551</v>
      </c>
      <c r="D294" s="278" t="s">
        <v>2045</v>
      </c>
      <c r="E294" s="9" t="s">
        <v>1222</v>
      </c>
      <c r="G294" s="9">
        <v>7.58</v>
      </c>
      <c r="H294" s="325" t="s">
        <v>2046</v>
      </c>
      <c r="J294" s="3"/>
      <c r="M294" s="9"/>
      <c r="N294" s="9"/>
      <c r="O294" s="9"/>
      <c r="P294" s="16"/>
    </row>
    <row r="295" spans="1:16" ht="12.75" customHeight="1">
      <c r="A295" s="9" t="s">
        <v>2047</v>
      </c>
      <c r="C295" s="8">
        <v>44550</v>
      </c>
      <c r="D295" s="40"/>
      <c r="F295" s="9" t="s">
        <v>1388</v>
      </c>
      <c r="G295" s="9">
        <v>0</v>
      </c>
      <c r="H295" s="327">
        <v>287698815637</v>
      </c>
      <c r="J295" s="3"/>
      <c r="M295" s="9"/>
      <c r="N295" s="9"/>
      <c r="O295" s="9"/>
      <c r="P295" s="16"/>
    </row>
    <row r="296" spans="1:16" ht="14.25">
      <c r="A296" s="9" t="s">
        <v>2048</v>
      </c>
      <c r="B296" s="8">
        <v>44543</v>
      </c>
      <c r="C296" s="8">
        <v>44546</v>
      </c>
      <c r="D296" s="278" t="s">
        <v>2049</v>
      </c>
      <c r="E296" s="9" t="s">
        <v>1222</v>
      </c>
      <c r="G296" s="9">
        <v>23.75</v>
      </c>
      <c r="H296" s="325" t="s">
        <v>2050</v>
      </c>
      <c r="J296" s="3"/>
      <c r="M296" s="9"/>
      <c r="N296" s="9"/>
      <c r="O296" s="9"/>
      <c r="P296" s="16"/>
    </row>
    <row r="297" spans="1:16" ht="14.25">
      <c r="A297" s="22" t="s">
        <v>1398</v>
      </c>
      <c r="B297" s="8">
        <v>44543</v>
      </c>
      <c r="C297" s="8">
        <v>44546</v>
      </c>
      <c r="D297" s="278" t="s">
        <v>2049</v>
      </c>
      <c r="E297" s="9" t="s">
        <v>1222</v>
      </c>
      <c r="G297" s="9">
        <v>23.75</v>
      </c>
      <c r="H297" s="325" t="s">
        <v>2050</v>
      </c>
      <c r="J297" s="3"/>
      <c r="M297" s="9"/>
      <c r="N297" s="9"/>
      <c r="O297" s="9"/>
      <c r="P297" s="16"/>
    </row>
    <row r="298" spans="1:16" ht="14.25">
      <c r="A298" s="22" t="s">
        <v>2051</v>
      </c>
      <c r="B298" s="8">
        <v>44517</v>
      </c>
      <c r="C298" s="8">
        <v>44546</v>
      </c>
      <c r="D298" s="278" t="s">
        <v>2052</v>
      </c>
      <c r="E298" s="9" t="s">
        <v>1374</v>
      </c>
      <c r="G298" s="9">
        <v>38.799999999999997</v>
      </c>
      <c r="H298" s="325" t="s">
        <v>2053</v>
      </c>
      <c r="J298" s="3"/>
      <c r="M298" s="9"/>
      <c r="N298" s="9"/>
      <c r="O298" s="9"/>
      <c r="P298" s="16"/>
    </row>
    <row r="299" spans="1:16" ht="25.5">
      <c r="A299" s="9" t="s">
        <v>2054</v>
      </c>
      <c r="B299" s="8">
        <v>44540</v>
      </c>
      <c r="C299" s="8">
        <v>44544</v>
      </c>
      <c r="D299" s="278" t="s">
        <v>2055</v>
      </c>
      <c r="E299" s="9" t="s">
        <v>1222</v>
      </c>
      <c r="G299" s="9">
        <v>34.71</v>
      </c>
      <c r="H299" s="326" t="s">
        <v>2056</v>
      </c>
      <c r="J299" s="3"/>
      <c r="M299" s="9" t="s">
        <v>2057</v>
      </c>
      <c r="N299" s="9" t="s">
        <v>1147</v>
      </c>
      <c r="O299" s="9">
        <v>0</v>
      </c>
      <c r="P299" s="16">
        <v>2000</v>
      </c>
    </row>
    <row r="300" spans="1:16" ht="14.25">
      <c r="A300" s="22" t="s">
        <v>2058</v>
      </c>
      <c r="B300" s="8">
        <v>44537</v>
      </c>
      <c r="C300" s="8">
        <v>44543</v>
      </c>
      <c r="D300" s="278" t="s">
        <v>2059</v>
      </c>
      <c r="E300" s="9" t="s">
        <v>1222</v>
      </c>
      <c r="G300" s="9">
        <v>10.84</v>
      </c>
      <c r="H300" s="325" t="s">
        <v>2060</v>
      </c>
      <c r="L300" s="9"/>
      <c r="O300" s="9"/>
      <c r="P300" s="16"/>
    </row>
    <row r="301" spans="1:16" ht="14.25">
      <c r="A301" s="9" t="s">
        <v>2061</v>
      </c>
      <c r="B301" s="8">
        <v>44537</v>
      </c>
      <c r="C301" s="8">
        <v>44540</v>
      </c>
      <c r="D301" s="278" t="s">
        <v>2062</v>
      </c>
      <c r="E301" s="9" t="s">
        <v>1222</v>
      </c>
      <c r="G301" s="9">
        <v>16.260000000000002</v>
      </c>
      <c r="H301" s="325" t="s">
        <v>2063</v>
      </c>
      <c r="J301" s="9" t="s">
        <v>2064</v>
      </c>
      <c r="K301" s="9"/>
      <c r="L301" s="9"/>
      <c r="P301" s="16"/>
    </row>
    <row r="302" spans="1:16" ht="14.25">
      <c r="A302" s="9" t="s">
        <v>2065</v>
      </c>
      <c r="B302" s="8">
        <v>44532</v>
      </c>
      <c r="C302" s="8">
        <v>44537</v>
      </c>
      <c r="D302" s="278" t="s">
        <v>2066</v>
      </c>
      <c r="E302" s="9" t="s">
        <v>1222</v>
      </c>
      <c r="G302" s="9">
        <v>19.329999999999998</v>
      </c>
      <c r="H302" s="265" t="s">
        <v>2067</v>
      </c>
      <c r="J302" s="9" t="s">
        <v>2068</v>
      </c>
      <c r="K302" s="9"/>
      <c r="L302" s="9"/>
      <c r="M302" s="9" t="s">
        <v>2069</v>
      </c>
      <c r="N302" s="9" t="s">
        <v>1507</v>
      </c>
      <c r="O302" s="9">
        <v>1</v>
      </c>
      <c r="P302" s="16">
        <v>100</v>
      </c>
    </row>
    <row r="303" spans="1:16" ht="14.25">
      <c r="A303" s="22" t="s">
        <v>2070</v>
      </c>
      <c r="B303" s="8">
        <v>44527</v>
      </c>
      <c r="C303" s="8">
        <v>44531</v>
      </c>
      <c r="D303" s="328" t="s">
        <v>2071</v>
      </c>
      <c r="E303" s="9" t="s">
        <v>293</v>
      </c>
      <c r="F303" s="9" t="s">
        <v>1343</v>
      </c>
      <c r="G303" s="9">
        <v>15.05</v>
      </c>
      <c r="H303" s="325" t="s">
        <v>2072</v>
      </c>
      <c r="J303" s="93" t="s">
        <v>2073</v>
      </c>
      <c r="K303" s="72"/>
      <c r="L303" s="9"/>
      <c r="M303" s="9" t="s">
        <v>2074</v>
      </c>
      <c r="N303" s="9" t="s">
        <v>1507</v>
      </c>
      <c r="O303" s="9">
        <v>2</v>
      </c>
      <c r="P303" s="16">
        <v>500</v>
      </c>
    </row>
    <row r="304" spans="1:16">
      <c r="A304" s="22" t="s">
        <v>2075</v>
      </c>
      <c r="B304" s="8">
        <v>44520</v>
      </c>
      <c r="D304" s="40"/>
      <c r="E304" s="9" t="s">
        <v>1114</v>
      </c>
      <c r="G304" s="9">
        <v>0</v>
      </c>
      <c r="H304" s="325"/>
      <c r="M304" s="9" t="s">
        <v>2076</v>
      </c>
      <c r="N304" s="9" t="s">
        <v>1507</v>
      </c>
      <c r="P304" s="16">
        <v>100</v>
      </c>
    </row>
    <row r="305" spans="1:16" ht="14.25">
      <c r="A305" s="22" t="s">
        <v>2077</v>
      </c>
      <c r="B305" s="8">
        <v>44525</v>
      </c>
      <c r="C305" s="8">
        <v>44530</v>
      </c>
      <c r="D305" s="278" t="s">
        <v>2078</v>
      </c>
      <c r="E305" s="9" t="s">
        <v>725</v>
      </c>
      <c r="G305" s="9">
        <v>57.9</v>
      </c>
      <c r="H305" s="326" t="s">
        <v>2079</v>
      </c>
      <c r="M305" s="9" t="s">
        <v>2080</v>
      </c>
      <c r="O305" s="9">
        <v>6</v>
      </c>
      <c r="P305" s="16"/>
    </row>
    <row r="306" spans="1:16" ht="25.5">
      <c r="A306" s="9" t="s">
        <v>2081</v>
      </c>
      <c r="B306" s="8">
        <v>44524</v>
      </c>
      <c r="C306" s="8">
        <v>44529</v>
      </c>
      <c r="D306" s="278" t="s">
        <v>2082</v>
      </c>
      <c r="E306" s="9" t="s">
        <v>2083</v>
      </c>
      <c r="F306" s="9" t="s">
        <v>1198</v>
      </c>
      <c r="H306" s="322">
        <v>2641246099</v>
      </c>
      <c r="P306" s="16"/>
    </row>
    <row r="307" spans="1:16" ht="14.25">
      <c r="A307" s="9" t="s">
        <v>2084</v>
      </c>
      <c r="B307" s="8">
        <v>44513</v>
      </c>
      <c r="C307" s="8">
        <v>44519</v>
      </c>
      <c r="D307" s="278" t="s">
        <v>2085</v>
      </c>
      <c r="E307" s="9" t="s">
        <v>725</v>
      </c>
      <c r="G307" s="9">
        <v>6</v>
      </c>
      <c r="H307" s="326" t="s">
        <v>2086</v>
      </c>
      <c r="P307" s="16"/>
    </row>
    <row r="308" spans="1:16" ht="14.25">
      <c r="A308" s="9" t="s">
        <v>2087</v>
      </c>
      <c r="B308" s="8">
        <v>44519</v>
      </c>
      <c r="C308" s="8">
        <v>44523</v>
      </c>
      <c r="D308" s="278" t="s">
        <v>2088</v>
      </c>
      <c r="E308" s="9" t="s">
        <v>725</v>
      </c>
      <c r="G308" s="9">
        <v>7.57</v>
      </c>
      <c r="H308" s="325" t="s">
        <v>2089</v>
      </c>
      <c r="P308" s="16"/>
    </row>
    <row r="309" spans="1:16" ht="12.75" customHeight="1">
      <c r="A309" s="9" t="s">
        <v>2090</v>
      </c>
      <c r="B309" s="8">
        <v>44520</v>
      </c>
      <c r="C309" s="8">
        <v>44523</v>
      </c>
      <c r="D309" s="278" t="s">
        <v>2088</v>
      </c>
      <c r="E309" s="9" t="s">
        <v>725</v>
      </c>
      <c r="G309" s="9">
        <v>19.5</v>
      </c>
      <c r="H309" s="325" t="s">
        <v>2091</v>
      </c>
      <c r="M309" s="59" t="s">
        <v>2092</v>
      </c>
      <c r="N309" s="329">
        <f ca="1">NOW()+O309*30.4166</f>
        <v>1354994.8296879628</v>
      </c>
      <c r="O309" s="3">
        <f>SUM(O139:O307)</f>
        <v>43046</v>
      </c>
      <c r="P309" s="9">
        <f>SUM(P139:P307)</f>
        <v>5900</v>
      </c>
    </row>
    <row r="310" spans="1:16" ht="14.25">
      <c r="A310" s="9" t="s">
        <v>2093</v>
      </c>
      <c r="B310" s="8">
        <v>44510</v>
      </c>
      <c r="C310" s="330">
        <v>44519</v>
      </c>
      <c r="D310" s="278" t="s">
        <v>2094</v>
      </c>
      <c r="E310" s="9" t="s">
        <v>1131</v>
      </c>
      <c r="G310" s="9">
        <v>46.3</v>
      </c>
      <c r="H310" s="325" t="s">
        <v>2095</v>
      </c>
      <c r="P310" s="16"/>
    </row>
    <row r="311" spans="1:16" ht="14.25">
      <c r="A311" s="331" t="s">
        <v>2096</v>
      </c>
      <c r="B311" s="8">
        <v>44514</v>
      </c>
      <c r="C311" s="8">
        <v>44524</v>
      </c>
      <c r="D311" s="278" t="s">
        <v>2097</v>
      </c>
      <c r="E311" s="9" t="s">
        <v>293</v>
      </c>
      <c r="F311" s="9" t="s">
        <v>1198</v>
      </c>
      <c r="G311" s="9">
        <v>61.79</v>
      </c>
      <c r="H311" s="325" t="s">
        <v>2098</v>
      </c>
      <c r="J311" s="93"/>
      <c r="K311" s="72"/>
      <c r="L311" s="9"/>
      <c r="M311" s="9"/>
      <c r="O311" s="9"/>
      <c r="P311" s="16"/>
    </row>
    <row r="312" spans="1:16" ht="14.25">
      <c r="A312" s="9" t="s">
        <v>2084</v>
      </c>
      <c r="B312" s="8">
        <v>44513</v>
      </c>
      <c r="C312" s="8">
        <v>44517</v>
      </c>
      <c r="D312" s="278" t="s">
        <v>2097</v>
      </c>
      <c r="E312" s="9" t="s">
        <v>725</v>
      </c>
      <c r="G312" s="11">
        <v>16</v>
      </c>
      <c r="H312" s="326" t="s">
        <v>2099</v>
      </c>
      <c r="J312" s="93"/>
      <c r="K312" s="72"/>
      <c r="L312" s="9"/>
      <c r="M312" s="9"/>
      <c r="N312" s="9"/>
      <c r="O312" s="9"/>
      <c r="P312" s="16"/>
    </row>
    <row r="313" spans="1:16" ht="14.25">
      <c r="A313" s="22" t="s">
        <v>2100</v>
      </c>
      <c r="B313" s="8">
        <v>44513</v>
      </c>
      <c r="C313" s="8">
        <v>44517</v>
      </c>
      <c r="D313" s="278" t="s">
        <v>2101</v>
      </c>
      <c r="E313" s="9" t="s">
        <v>293</v>
      </c>
      <c r="F313" s="9" t="s">
        <v>1217</v>
      </c>
      <c r="G313" s="9">
        <v>330.08</v>
      </c>
      <c r="H313" s="325" t="s">
        <v>2102</v>
      </c>
      <c r="P313" s="16"/>
    </row>
    <row r="314" spans="1:16" ht="14.25">
      <c r="A314" s="9" t="s">
        <v>2103</v>
      </c>
      <c r="B314" s="8">
        <v>44511</v>
      </c>
      <c r="C314" s="8">
        <v>44516</v>
      </c>
      <c r="D314" s="278" t="s">
        <v>2104</v>
      </c>
      <c r="E314" s="9" t="s">
        <v>725</v>
      </c>
      <c r="F314" s="9" t="s">
        <v>1217</v>
      </c>
      <c r="G314" s="9">
        <v>11.92</v>
      </c>
      <c r="H314" s="325" t="s">
        <v>2105</v>
      </c>
      <c r="P314" s="16"/>
    </row>
    <row r="315" spans="1:16" ht="14.25">
      <c r="A315" s="9" t="s">
        <v>2106</v>
      </c>
      <c r="B315" s="8">
        <v>44512</v>
      </c>
      <c r="C315" s="8">
        <v>44516</v>
      </c>
      <c r="D315" s="278" t="s">
        <v>2107</v>
      </c>
      <c r="E315" s="9" t="s">
        <v>725</v>
      </c>
      <c r="F315" s="9" t="s">
        <v>1217</v>
      </c>
      <c r="G315" s="9">
        <v>13.01</v>
      </c>
      <c r="H315" s="325" t="s">
        <v>2108</v>
      </c>
      <c r="P315" s="16"/>
    </row>
    <row r="316" spans="1:16" ht="14.25">
      <c r="A316" s="9" t="s">
        <v>2109</v>
      </c>
      <c r="B316" s="8">
        <v>44509</v>
      </c>
      <c r="C316" s="8">
        <v>44512</v>
      </c>
      <c r="D316" s="278" t="s">
        <v>2110</v>
      </c>
      <c r="E316" s="9" t="s">
        <v>725</v>
      </c>
      <c r="F316" s="9" t="s">
        <v>1217</v>
      </c>
      <c r="G316" s="9">
        <v>181.4</v>
      </c>
      <c r="H316" s="325" t="s">
        <v>2111</v>
      </c>
      <c r="P316" s="16"/>
    </row>
    <row r="317" spans="1:16" ht="14.25">
      <c r="A317" s="9" t="s">
        <v>2112</v>
      </c>
      <c r="B317" s="8">
        <v>44483</v>
      </c>
      <c r="C317" s="8">
        <v>44498</v>
      </c>
      <c r="D317" s="278" t="s">
        <v>2113</v>
      </c>
      <c r="E317" s="9" t="s">
        <v>1374</v>
      </c>
      <c r="F317" s="9" t="s">
        <v>1217</v>
      </c>
      <c r="G317" s="9">
        <v>50</v>
      </c>
      <c r="H317" s="326" t="s">
        <v>2114</v>
      </c>
      <c r="P317" s="16"/>
    </row>
    <row r="318" spans="1:16" ht="14.25">
      <c r="A318" s="9" t="s">
        <v>2115</v>
      </c>
      <c r="B318" s="8">
        <v>44483</v>
      </c>
      <c r="C318" s="8">
        <v>44498</v>
      </c>
      <c r="D318" s="278" t="s">
        <v>2113</v>
      </c>
      <c r="E318" s="9" t="s">
        <v>1374</v>
      </c>
      <c r="F318" s="9" t="s">
        <v>1217</v>
      </c>
      <c r="G318" s="9">
        <v>3</v>
      </c>
      <c r="H318" s="326" t="s">
        <v>2114</v>
      </c>
      <c r="J318" s="9"/>
      <c r="K318" s="9"/>
      <c r="L318" s="9"/>
      <c r="P318" s="16"/>
    </row>
    <row r="319" spans="1:16" ht="14.25">
      <c r="A319" s="9" t="s">
        <v>2116</v>
      </c>
      <c r="B319" s="8">
        <v>44495</v>
      </c>
      <c r="C319" s="8">
        <v>44498</v>
      </c>
      <c r="D319" s="278" t="s">
        <v>2117</v>
      </c>
      <c r="E319" s="9" t="s">
        <v>725</v>
      </c>
      <c r="G319" s="9">
        <v>27.09</v>
      </c>
      <c r="H319" s="326" t="s">
        <v>2118</v>
      </c>
      <c r="J319" s="9"/>
      <c r="K319" s="9"/>
      <c r="L319" s="9"/>
      <c r="P319" s="16"/>
    </row>
    <row r="320" spans="1:16" ht="25.5">
      <c r="A320" s="9" t="s">
        <v>1277</v>
      </c>
      <c r="B320" s="8">
        <v>44496</v>
      </c>
      <c r="C320" s="8"/>
      <c r="D320" s="278" t="s">
        <v>2119</v>
      </c>
      <c r="E320" s="9" t="s">
        <v>1626</v>
      </c>
      <c r="F320" s="9" t="s">
        <v>1198</v>
      </c>
      <c r="G320" s="9"/>
      <c r="H320" s="325"/>
      <c r="J320" s="9"/>
      <c r="K320" s="9"/>
      <c r="L320" s="9"/>
    </row>
    <row r="321" spans="1:16" ht="14.25">
      <c r="A321" s="9" t="s">
        <v>2120</v>
      </c>
      <c r="B321" s="8">
        <v>44482</v>
      </c>
      <c r="C321" s="8">
        <v>44487</v>
      </c>
      <c r="D321" s="278" t="s">
        <v>2121</v>
      </c>
      <c r="E321" s="9" t="s">
        <v>69</v>
      </c>
      <c r="G321" s="9">
        <v>40.130000000000003</v>
      </c>
      <c r="H321" s="325" t="s">
        <v>2122</v>
      </c>
      <c r="J321" s="9"/>
      <c r="K321" s="9"/>
      <c r="L321" s="9"/>
    </row>
    <row r="322" spans="1:16" ht="30">
      <c r="A322" s="22" t="s">
        <v>2123</v>
      </c>
      <c r="B322" s="8">
        <v>44484</v>
      </c>
      <c r="D322" s="309" t="s">
        <v>2124</v>
      </c>
      <c r="E322" s="9" t="s">
        <v>1626</v>
      </c>
      <c r="F322" s="9" t="s">
        <v>1198</v>
      </c>
      <c r="G322" s="9">
        <v>12.5</v>
      </c>
      <c r="H322" s="332">
        <v>129639440</v>
      </c>
      <c r="O322" s="9" t="s">
        <v>2125</v>
      </c>
      <c r="P322" s="9">
        <f>P309/O309</f>
        <v>0.13706267713608697</v>
      </c>
    </row>
    <row r="323" spans="1:16" ht="14.25">
      <c r="A323" s="9" t="s">
        <v>2126</v>
      </c>
      <c r="B323" s="8">
        <v>44480</v>
      </c>
      <c r="C323" s="8">
        <v>44483</v>
      </c>
      <c r="D323" s="278" t="s">
        <v>2127</v>
      </c>
      <c r="E323" s="9" t="s">
        <v>69</v>
      </c>
      <c r="F323" s="9" t="s">
        <v>1217</v>
      </c>
      <c r="G323" s="9">
        <v>34.71</v>
      </c>
      <c r="H323" s="325" t="s">
        <v>2128</v>
      </c>
    </row>
    <row r="324" spans="1:16">
      <c r="A324" s="22" t="s">
        <v>2129</v>
      </c>
      <c r="B324" s="8">
        <v>44411</v>
      </c>
      <c r="C324" s="8">
        <v>44473</v>
      </c>
      <c r="D324" s="1647" t="s">
        <v>2130</v>
      </c>
      <c r="E324" s="9" t="s">
        <v>1370</v>
      </c>
      <c r="H324" s="326">
        <v>2780300779</v>
      </c>
    </row>
    <row r="325" spans="1:16">
      <c r="A325" s="9" t="s">
        <v>2131</v>
      </c>
      <c r="B325" s="8">
        <v>44471</v>
      </c>
      <c r="C325" s="8">
        <v>44477</v>
      </c>
      <c r="D325" s="1647" t="s">
        <v>2132</v>
      </c>
      <c r="E325" s="9" t="s">
        <v>1576</v>
      </c>
      <c r="F325" s="9" t="s">
        <v>1186</v>
      </c>
      <c r="G325" s="9">
        <v>11.95</v>
      </c>
      <c r="H325" s="325">
        <v>9546218472830</v>
      </c>
      <c r="J325" s="9"/>
      <c r="K325" s="9"/>
      <c r="L325" s="9"/>
      <c r="M325" s="9"/>
    </row>
    <row r="326" spans="1:16" ht="14.25">
      <c r="A326" s="9" t="s">
        <v>2133</v>
      </c>
      <c r="B326" s="8">
        <v>44471</v>
      </c>
      <c r="C326" s="8">
        <v>44480</v>
      </c>
      <c r="D326" s="278" t="s">
        <v>2134</v>
      </c>
      <c r="E326" s="9" t="s">
        <v>69</v>
      </c>
      <c r="G326" s="9">
        <v>52</v>
      </c>
      <c r="H326" s="325" t="s">
        <v>2135</v>
      </c>
      <c r="J326" s="9"/>
      <c r="K326" s="9"/>
      <c r="L326" s="9"/>
      <c r="M326" s="9"/>
      <c r="N326" s="2105" t="s">
        <v>2136</v>
      </c>
      <c r="O326" s="2087"/>
      <c r="P326" s="2087"/>
    </row>
    <row r="327" spans="1:16" ht="38.25">
      <c r="A327" s="9" t="s">
        <v>2137</v>
      </c>
      <c r="B327" s="8">
        <v>44475</v>
      </c>
      <c r="C327" s="8">
        <v>44480</v>
      </c>
      <c r="D327" s="278" t="s">
        <v>2134</v>
      </c>
      <c r="E327" s="9" t="s">
        <v>1311</v>
      </c>
      <c r="G327" s="9">
        <v>8.85</v>
      </c>
      <c r="H327" s="265" t="s">
        <v>2138</v>
      </c>
      <c r="J327" s="9"/>
      <c r="K327" s="9"/>
      <c r="L327" s="9"/>
      <c r="M327" s="9"/>
      <c r="N327" s="43" t="s">
        <v>1279</v>
      </c>
      <c r="O327" s="43" t="s">
        <v>2139</v>
      </c>
      <c r="P327" s="43" t="s">
        <v>2140</v>
      </c>
    </row>
    <row r="328" spans="1:16">
      <c r="A328" s="9" t="s">
        <v>2141</v>
      </c>
      <c r="B328" s="8">
        <v>44471</v>
      </c>
      <c r="C328" s="8">
        <v>44478</v>
      </c>
      <c r="D328" s="1647" t="s">
        <v>2142</v>
      </c>
      <c r="E328" s="9" t="s">
        <v>66</v>
      </c>
      <c r="F328" s="9" t="s">
        <v>1186</v>
      </c>
      <c r="G328" s="9">
        <v>8.94</v>
      </c>
      <c r="H328" s="325" t="s">
        <v>2143</v>
      </c>
      <c r="J328" s="9"/>
      <c r="K328" s="9"/>
      <c r="L328" s="9"/>
      <c r="M328" s="82" t="s">
        <v>2144</v>
      </c>
      <c r="N328" s="9">
        <v>12.6</v>
      </c>
      <c r="O328" s="9">
        <v>57.6</v>
      </c>
      <c r="P328" s="9">
        <v>22.7</v>
      </c>
    </row>
    <row r="329" spans="1:16">
      <c r="A329" s="9" t="s">
        <v>2145</v>
      </c>
      <c r="B329" s="8">
        <v>44471</v>
      </c>
      <c r="C329" s="8">
        <v>44475</v>
      </c>
      <c r="D329" s="1647">
        <v>534414302592</v>
      </c>
      <c r="E329" s="9" t="s">
        <v>2146</v>
      </c>
      <c r="G329" s="9">
        <v>46.48</v>
      </c>
      <c r="H329" s="325">
        <v>9546218472830</v>
      </c>
      <c r="M329" s="82" t="s">
        <v>2147</v>
      </c>
      <c r="N329" s="9">
        <f>N328*12</f>
        <v>151.19999999999999</v>
      </c>
      <c r="O329" s="9">
        <f>O328*12</f>
        <v>691.2</v>
      </c>
      <c r="P329" s="9">
        <f>P328*12</f>
        <v>272.39999999999998</v>
      </c>
    </row>
    <row r="330" spans="1:16" ht="25.5">
      <c r="A330" s="9" t="s">
        <v>2148</v>
      </c>
      <c r="B330" s="8">
        <v>44473</v>
      </c>
      <c r="C330" s="8">
        <v>44474</v>
      </c>
      <c r="D330" s="40"/>
      <c r="E330" s="9" t="s">
        <v>2149</v>
      </c>
      <c r="F330" s="9" t="s">
        <v>1427</v>
      </c>
      <c r="G330" s="9">
        <v>33</v>
      </c>
      <c r="M330" s="82" t="s">
        <v>2150</v>
      </c>
      <c r="N330" s="9">
        <v>480</v>
      </c>
      <c r="O330" s="9">
        <v>0</v>
      </c>
      <c r="P330" s="9">
        <v>480</v>
      </c>
    </row>
    <row r="331" spans="1:16" ht="14.25">
      <c r="A331" s="9" t="s">
        <v>2151</v>
      </c>
      <c r="B331" s="8">
        <v>44418</v>
      </c>
      <c r="C331" s="8">
        <v>44446</v>
      </c>
      <c r="D331" s="278" t="s">
        <v>2152</v>
      </c>
      <c r="E331" s="9" t="s">
        <v>1374</v>
      </c>
      <c r="M331" s="82" t="s">
        <v>2153</v>
      </c>
      <c r="N331" s="9">
        <f>N329+N330</f>
        <v>631.20000000000005</v>
      </c>
      <c r="O331" s="9">
        <f>O329+O330</f>
        <v>691.2</v>
      </c>
      <c r="P331" s="9">
        <f>P329+P330</f>
        <v>752.4</v>
      </c>
    </row>
    <row r="332" spans="1:16" ht="28.5">
      <c r="A332" s="9" t="s">
        <v>2154</v>
      </c>
      <c r="B332" s="8">
        <v>44425</v>
      </c>
      <c r="C332" s="8">
        <v>44436</v>
      </c>
      <c r="D332" s="278" t="s">
        <v>2155</v>
      </c>
      <c r="E332" s="9" t="s">
        <v>1131</v>
      </c>
      <c r="G332" s="9">
        <v>13.64</v>
      </c>
      <c r="H332" s="295" t="s">
        <v>2156</v>
      </c>
      <c r="J332" s="93"/>
      <c r="K332" s="72"/>
      <c r="L332" s="9"/>
      <c r="M332" s="9"/>
    </row>
    <row r="333" spans="1:16" ht="14.25">
      <c r="A333" s="9" t="s">
        <v>2157</v>
      </c>
      <c r="B333" s="8">
        <v>44412</v>
      </c>
      <c r="C333" s="8">
        <v>44417</v>
      </c>
      <c r="D333" s="278" t="s">
        <v>2158</v>
      </c>
      <c r="E333" s="9" t="s">
        <v>1222</v>
      </c>
      <c r="G333" s="9">
        <v>23.86</v>
      </c>
      <c r="H333" s="325" t="s">
        <v>2159</v>
      </c>
      <c r="J333" s="93"/>
      <c r="K333" s="72"/>
      <c r="L333" s="9"/>
      <c r="M333" s="9"/>
      <c r="N333" s="9">
        <v>1</v>
      </c>
      <c r="O333" s="9">
        <v>2</v>
      </c>
      <c r="P333" s="9">
        <v>3</v>
      </c>
    </row>
    <row r="334" spans="1:16">
      <c r="A334" s="9" t="s">
        <v>2160</v>
      </c>
      <c r="B334" s="8">
        <v>44408</v>
      </c>
      <c r="C334" s="9" t="s">
        <v>2161</v>
      </c>
      <c r="D334" s="40"/>
      <c r="E334" s="9" t="s">
        <v>1906</v>
      </c>
      <c r="G334" s="333">
        <v>8.39</v>
      </c>
      <c r="H334" s="325" t="s">
        <v>2162</v>
      </c>
      <c r="J334" s="93"/>
      <c r="K334" s="72"/>
      <c r="L334" s="9"/>
      <c r="M334" s="9"/>
    </row>
    <row r="335" spans="1:16" ht="14.25">
      <c r="A335" s="9" t="s">
        <v>2163</v>
      </c>
      <c r="B335" s="8">
        <v>44409</v>
      </c>
      <c r="C335" s="8">
        <v>44415</v>
      </c>
      <c r="D335" s="310" t="s">
        <v>2164</v>
      </c>
      <c r="J335" s="93"/>
      <c r="K335" s="72"/>
      <c r="L335" s="9"/>
      <c r="M335" s="9"/>
    </row>
    <row r="336" spans="1:16" ht="14.25">
      <c r="A336" s="9" t="s">
        <v>2165</v>
      </c>
      <c r="B336" s="8">
        <v>44403</v>
      </c>
      <c r="C336" s="8">
        <v>44424</v>
      </c>
      <c r="D336" s="278" t="s">
        <v>2166</v>
      </c>
      <c r="E336" s="9" t="s">
        <v>1906</v>
      </c>
      <c r="G336" s="9">
        <v>48.6</v>
      </c>
      <c r="H336" s="326" t="s">
        <v>2167</v>
      </c>
      <c r="J336" s="93"/>
      <c r="K336" s="72"/>
      <c r="L336" s="9"/>
      <c r="M336" s="9"/>
    </row>
    <row r="337" spans="1:13" ht="14.25">
      <c r="A337" s="9" t="s">
        <v>2168</v>
      </c>
      <c r="B337" s="8">
        <v>44403</v>
      </c>
      <c r="C337" s="8">
        <v>44424</v>
      </c>
      <c r="D337" s="278" t="s">
        <v>2166</v>
      </c>
      <c r="E337" s="9" t="s">
        <v>1906</v>
      </c>
      <c r="H337" s="326" t="s">
        <v>2167</v>
      </c>
    </row>
    <row r="338" spans="1:13">
      <c r="A338" s="9" t="s">
        <v>2169</v>
      </c>
      <c r="B338" s="8">
        <v>44408</v>
      </c>
      <c r="C338" s="8">
        <v>44412</v>
      </c>
      <c r="D338" s="40"/>
      <c r="E338" s="9" t="s">
        <v>1176</v>
      </c>
      <c r="G338" s="9">
        <v>9.7100000000000009</v>
      </c>
      <c r="H338" s="325" t="s">
        <v>2170</v>
      </c>
    </row>
    <row r="339" spans="1:13" ht="14.25">
      <c r="A339" s="9" t="s">
        <v>2171</v>
      </c>
      <c r="B339" s="8">
        <v>44409</v>
      </c>
      <c r="C339" s="334">
        <v>44412</v>
      </c>
      <c r="D339" s="278" t="s">
        <v>2172</v>
      </c>
      <c r="E339" s="9" t="s">
        <v>1222</v>
      </c>
      <c r="G339" s="9">
        <v>16.260000000000002</v>
      </c>
      <c r="H339" s="325" t="s">
        <v>2173</v>
      </c>
      <c r="M339" s="9"/>
    </row>
    <row r="340" spans="1:13" ht="14.25">
      <c r="A340" s="9" t="s">
        <v>2174</v>
      </c>
      <c r="B340" s="8">
        <v>44400</v>
      </c>
      <c r="C340" s="10">
        <v>44410</v>
      </c>
      <c r="D340" s="278" t="s">
        <v>2175</v>
      </c>
      <c r="E340" s="9" t="s">
        <v>2176</v>
      </c>
      <c r="G340" s="9">
        <v>76.69</v>
      </c>
      <c r="H340" s="325" t="s">
        <v>2177</v>
      </c>
      <c r="M340" s="9"/>
    </row>
    <row r="341" spans="1:13" ht="14.25">
      <c r="A341" s="9" t="s">
        <v>2178</v>
      </c>
      <c r="B341" s="8">
        <v>44404</v>
      </c>
      <c r="C341" s="8">
        <v>44407</v>
      </c>
      <c r="D341" s="278" t="s">
        <v>2179</v>
      </c>
      <c r="E341" s="9" t="s">
        <v>1222</v>
      </c>
      <c r="G341" s="9">
        <v>20.6</v>
      </c>
      <c r="H341" s="325" t="s">
        <v>2180</v>
      </c>
      <c r="M341" s="9"/>
    </row>
    <row r="342" spans="1:13" ht="14.25">
      <c r="A342" s="9" t="s">
        <v>2181</v>
      </c>
      <c r="B342" s="8">
        <v>44404</v>
      </c>
      <c r="C342" s="8">
        <v>44407</v>
      </c>
      <c r="D342" s="278" t="s">
        <v>2182</v>
      </c>
      <c r="E342" s="9" t="s">
        <v>1222</v>
      </c>
      <c r="G342" s="9">
        <v>9.75</v>
      </c>
      <c r="H342" s="325" t="s">
        <v>2183</v>
      </c>
      <c r="M342" s="9"/>
    </row>
    <row r="343" spans="1:13" ht="14.25">
      <c r="A343" s="22" t="s">
        <v>2184</v>
      </c>
      <c r="B343" s="8">
        <v>44398</v>
      </c>
      <c r="C343" s="10">
        <v>44405</v>
      </c>
      <c r="D343" s="278" t="s">
        <v>2185</v>
      </c>
      <c r="E343" s="9" t="s">
        <v>1176</v>
      </c>
      <c r="G343" s="9">
        <v>11.92</v>
      </c>
      <c r="H343" s="325" t="s">
        <v>2186</v>
      </c>
      <c r="M343" s="9"/>
    </row>
    <row r="344" spans="1:13" ht="14.25">
      <c r="A344" s="9" t="s">
        <v>2187</v>
      </c>
      <c r="B344" s="8">
        <v>44398</v>
      </c>
      <c r="C344" s="10">
        <v>44404</v>
      </c>
      <c r="D344" s="278" t="s">
        <v>2188</v>
      </c>
      <c r="G344" s="9">
        <v>24.94</v>
      </c>
      <c r="H344" s="325" t="s">
        <v>2189</v>
      </c>
      <c r="M344" s="9"/>
    </row>
    <row r="345" spans="1:13" ht="14.25">
      <c r="A345" s="9" t="s">
        <v>2190</v>
      </c>
      <c r="B345" s="8">
        <v>44390</v>
      </c>
      <c r="C345" s="8">
        <v>44403</v>
      </c>
      <c r="D345" s="278">
        <v>900172474</v>
      </c>
      <c r="E345" s="9" t="s">
        <v>1906</v>
      </c>
      <c r="F345" s="22" t="s">
        <v>2191</v>
      </c>
      <c r="G345" s="9">
        <v>10.97</v>
      </c>
      <c r="H345" s="325" t="s">
        <v>2192</v>
      </c>
      <c r="M345" s="9"/>
    </row>
    <row r="346" spans="1:13" ht="14.25">
      <c r="A346" s="9" t="s">
        <v>2193</v>
      </c>
      <c r="B346" s="8">
        <v>44375</v>
      </c>
      <c r="C346" s="8">
        <v>44400</v>
      </c>
      <c r="D346" s="278" t="s">
        <v>2194</v>
      </c>
      <c r="E346" s="9" t="s">
        <v>1374</v>
      </c>
      <c r="H346" s="326" t="s">
        <v>2195</v>
      </c>
      <c r="M346" s="9"/>
    </row>
    <row r="347" spans="1:13" ht="14.25">
      <c r="A347" s="9" t="s">
        <v>2196</v>
      </c>
      <c r="B347" s="8">
        <v>44395</v>
      </c>
      <c r="C347" s="10">
        <v>44403</v>
      </c>
      <c r="D347" s="278" t="s">
        <v>2197</v>
      </c>
      <c r="E347" s="9" t="s">
        <v>1906</v>
      </c>
      <c r="F347" s="251"/>
      <c r="H347" s="325" t="s">
        <v>2198</v>
      </c>
      <c r="M347" s="9"/>
    </row>
    <row r="348" spans="1:13" ht="14.25">
      <c r="A348" s="9" t="s">
        <v>2174</v>
      </c>
      <c r="B348" s="8">
        <v>44395</v>
      </c>
      <c r="C348" s="10">
        <v>44403</v>
      </c>
      <c r="D348" s="278" t="s">
        <v>2197</v>
      </c>
      <c r="E348" s="9" t="s">
        <v>1906</v>
      </c>
      <c r="H348" s="325" t="s">
        <v>2198</v>
      </c>
      <c r="M348" s="9"/>
    </row>
    <row r="349" spans="1:13" ht="14.25">
      <c r="A349" s="9" t="s">
        <v>2199</v>
      </c>
      <c r="B349" s="8">
        <v>44395</v>
      </c>
      <c r="C349" s="10">
        <v>44403</v>
      </c>
      <c r="D349" s="278" t="s">
        <v>2197</v>
      </c>
      <c r="E349" s="9" t="s">
        <v>1906</v>
      </c>
      <c r="H349" s="325" t="s">
        <v>2198</v>
      </c>
      <c r="J349" s="9"/>
      <c r="K349" s="9"/>
      <c r="M349" s="9"/>
    </row>
    <row r="350" spans="1:13" ht="14.25">
      <c r="A350" s="9" t="s">
        <v>2200</v>
      </c>
      <c r="B350" s="8">
        <v>44393</v>
      </c>
      <c r="C350" s="10">
        <v>44398</v>
      </c>
      <c r="D350" s="278" t="s">
        <v>2201</v>
      </c>
      <c r="E350" s="9" t="s">
        <v>1222</v>
      </c>
      <c r="G350" s="9">
        <v>13.39</v>
      </c>
      <c r="J350" s="9"/>
      <c r="K350" s="9"/>
      <c r="M350" s="9"/>
    </row>
    <row r="351" spans="1:13" ht="12.75" customHeight="1">
      <c r="A351" s="9" t="s">
        <v>2202</v>
      </c>
      <c r="B351" s="8">
        <v>44391</v>
      </c>
      <c r="C351" s="8">
        <v>44397</v>
      </c>
      <c r="D351" s="1648" t="s">
        <v>2203</v>
      </c>
      <c r="E351" s="9" t="s">
        <v>365</v>
      </c>
      <c r="G351" s="9">
        <v>34.369999999999997</v>
      </c>
      <c r="H351" s="325" t="s">
        <v>2204</v>
      </c>
      <c r="J351" s="9"/>
      <c r="M351" s="9"/>
    </row>
    <row r="352" spans="1:13" ht="14.25">
      <c r="A352" s="9" t="s">
        <v>2205</v>
      </c>
      <c r="B352" s="8">
        <v>44390</v>
      </c>
      <c r="C352" s="10">
        <v>44394</v>
      </c>
      <c r="D352" s="278" t="s">
        <v>2206</v>
      </c>
      <c r="E352" s="9" t="s">
        <v>1176</v>
      </c>
      <c r="G352" s="9">
        <v>43.39</v>
      </c>
      <c r="H352" s="325" t="s">
        <v>2207</v>
      </c>
      <c r="M352" s="9"/>
    </row>
    <row r="353" spans="1:13" ht="14.25">
      <c r="A353" s="9" t="s">
        <v>2208</v>
      </c>
      <c r="B353" s="8">
        <v>44389</v>
      </c>
      <c r="C353" s="10">
        <v>44392</v>
      </c>
      <c r="D353" s="278" t="s">
        <v>2209</v>
      </c>
      <c r="E353" s="9" t="s">
        <v>1176</v>
      </c>
      <c r="G353" s="9">
        <v>142.9</v>
      </c>
      <c r="H353" s="325" t="s">
        <v>2210</v>
      </c>
      <c r="J353" s="9"/>
      <c r="K353" s="9"/>
      <c r="M353" s="9"/>
    </row>
    <row r="354" spans="1:13" ht="14.25">
      <c r="A354" s="9" t="s">
        <v>2211</v>
      </c>
      <c r="B354" s="8">
        <v>44387</v>
      </c>
      <c r="C354" s="10">
        <v>44392</v>
      </c>
      <c r="D354" s="278" t="s">
        <v>2212</v>
      </c>
      <c r="H354" s="325" t="s">
        <v>2213</v>
      </c>
      <c r="J354" s="9"/>
      <c r="K354" s="9"/>
      <c r="M354" s="9"/>
    </row>
    <row r="355" spans="1:13" ht="14.25">
      <c r="A355" s="9" t="s">
        <v>2214</v>
      </c>
      <c r="B355" s="8">
        <v>44387</v>
      </c>
      <c r="C355" s="10">
        <v>44392</v>
      </c>
      <c r="D355" s="278" t="s">
        <v>2209</v>
      </c>
      <c r="H355" s="325" t="s">
        <v>2215</v>
      </c>
      <c r="J355" s="9"/>
      <c r="K355" s="9"/>
      <c r="M355" s="9"/>
    </row>
    <row r="356" spans="1:13" ht="14.25">
      <c r="A356" s="9" t="s">
        <v>2216</v>
      </c>
      <c r="B356" s="8">
        <v>44380</v>
      </c>
      <c r="C356" s="10">
        <v>44392</v>
      </c>
      <c r="D356" s="278" t="s">
        <v>2217</v>
      </c>
      <c r="E356" s="9" t="s">
        <v>1131</v>
      </c>
      <c r="H356" s="325" t="s">
        <v>2218</v>
      </c>
      <c r="J356" s="9"/>
      <c r="K356" s="9"/>
      <c r="M356" s="9"/>
    </row>
    <row r="357" spans="1:13" ht="14.25">
      <c r="A357" s="9" t="s">
        <v>2219</v>
      </c>
      <c r="B357" s="8">
        <v>44380</v>
      </c>
      <c r="C357" s="10">
        <v>44392</v>
      </c>
      <c r="D357" s="303" t="s">
        <v>2217</v>
      </c>
      <c r="E357" s="9" t="s">
        <v>1131</v>
      </c>
      <c r="H357" s="325" t="s">
        <v>2218</v>
      </c>
      <c r="J357" s="9"/>
      <c r="K357" s="9"/>
      <c r="M357" s="9"/>
    </row>
    <row r="358" spans="1:13" ht="14.25">
      <c r="A358" s="9" t="s">
        <v>2220</v>
      </c>
      <c r="B358" s="8">
        <v>44380</v>
      </c>
      <c r="C358" s="10">
        <v>44392</v>
      </c>
      <c r="D358" s="303" t="s">
        <v>2217</v>
      </c>
      <c r="E358" s="9" t="s">
        <v>1131</v>
      </c>
      <c r="H358" s="325" t="s">
        <v>2218</v>
      </c>
      <c r="J358" s="9"/>
      <c r="K358" s="9"/>
      <c r="M358" s="9"/>
    </row>
    <row r="359" spans="1:13" ht="14.25">
      <c r="A359" s="9" t="s">
        <v>2221</v>
      </c>
      <c r="B359" s="8">
        <v>44388</v>
      </c>
      <c r="C359" s="8">
        <v>44391</v>
      </c>
      <c r="D359" s="303" t="s">
        <v>2221</v>
      </c>
      <c r="E359" s="9" t="s">
        <v>1217</v>
      </c>
      <c r="G359" s="9" t="s">
        <v>2222</v>
      </c>
      <c r="H359" s="325">
        <v>1774501</v>
      </c>
      <c r="J359" s="9"/>
      <c r="K359" s="9"/>
      <c r="M359" s="9"/>
    </row>
    <row r="360" spans="1:13" ht="14.25">
      <c r="A360" s="22" t="s">
        <v>2223</v>
      </c>
      <c r="B360" s="8">
        <v>44377</v>
      </c>
      <c r="C360" s="8">
        <v>44391</v>
      </c>
      <c r="D360" s="284" t="s">
        <v>2224</v>
      </c>
      <c r="E360" s="9" t="s">
        <v>293</v>
      </c>
      <c r="G360" s="9">
        <v>5.24</v>
      </c>
      <c r="H360" s="325" t="s">
        <v>2225</v>
      </c>
      <c r="J360" s="9"/>
      <c r="K360" s="9"/>
      <c r="M360" s="9"/>
    </row>
    <row r="361" spans="1:13" ht="14.25">
      <c r="A361" s="9" t="s">
        <v>2226</v>
      </c>
      <c r="B361" s="8">
        <v>44387</v>
      </c>
      <c r="C361" s="8">
        <v>44390</v>
      </c>
      <c r="D361" s="278" t="s">
        <v>2227</v>
      </c>
      <c r="E361" s="9" t="s">
        <v>2228</v>
      </c>
      <c r="H361" s="325" t="s">
        <v>2229</v>
      </c>
    </row>
    <row r="362" spans="1:13" ht="14.25">
      <c r="A362" s="9" t="s">
        <v>2230</v>
      </c>
      <c r="B362" s="8">
        <v>44382</v>
      </c>
      <c r="C362" s="10">
        <v>44389</v>
      </c>
      <c r="D362" s="278" t="s">
        <v>2231</v>
      </c>
      <c r="E362" s="9" t="s">
        <v>1176</v>
      </c>
      <c r="G362" s="9">
        <v>79.900000000000006</v>
      </c>
      <c r="H362" s="325" t="s">
        <v>2232</v>
      </c>
    </row>
    <row r="363" spans="1:13" ht="14.25">
      <c r="A363" s="9" t="s">
        <v>2233</v>
      </c>
      <c r="B363" s="8">
        <v>44381</v>
      </c>
      <c r="C363" s="10">
        <v>44386</v>
      </c>
      <c r="D363" s="278" t="s">
        <v>2234</v>
      </c>
      <c r="E363" s="9" t="s">
        <v>69</v>
      </c>
      <c r="G363" s="9">
        <v>42.3</v>
      </c>
      <c r="H363" s="325" t="s">
        <v>2235</v>
      </c>
    </row>
    <row r="364" spans="1:13" ht="14.25">
      <c r="A364" s="9" t="s">
        <v>2236</v>
      </c>
      <c r="B364" s="8">
        <v>44378</v>
      </c>
      <c r="C364" s="8">
        <v>44382</v>
      </c>
      <c r="D364" s="278" t="s">
        <v>2237</v>
      </c>
      <c r="E364" s="9" t="s">
        <v>725</v>
      </c>
      <c r="G364" s="9">
        <v>5.99</v>
      </c>
      <c r="H364" s="326" t="s">
        <v>2238</v>
      </c>
      <c r="M364" s="3"/>
    </row>
    <row r="365" spans="1:13" ht="14.25">
      <c r="A365" s="9" t="s">
        <v>2239</v>
      </c>
      <c r="B365" s="8">
        <v>44366</v>
      </c>
      <c r="C365" s="8">
        <v>44379</v>
      </c>
      <c r="D365" s="278" t="s">
        <v>2240</v>
      </c>
      <c r="E365" s="9" t="s">
        <v>69</v>
      </c>
      <c r="G365" s="9">
        <v>6.4</v>
      </c>
      <c r="H365" s="265" t="s">
        <v>2241</v>
      </c>
      <c r="L365" s="9"/>
    </row>
    <row r="366" spans="1:13" ht="14.25">
      <c r="A366" s="9" t="s">
        <v>2242</v>
      </c>
      <c r="B366" s="8">
        <v>44374</v>
      </c>
      <c r="C366" s="8">
        <v>44377</v>
      </c>
      <c r="D366" s="278" t="s">
        <v>2243</v>
      </c>
      <c r="E366" s="9" t="s">
        <v>1222</v>
      </c>
      <c r="G366" s="9" t="s">
        <v>2244</v>
      </c>
      <c r="H366" s="265" t="s">
        <v>2245</v>
      </c>
      <c r="L366" s="9"/>
    </row>
    <row r="367" spans="1:13">
      <c r="A367" s="9" t="s">
        <v>2246</v>
      </c>
      <c r="B367" s="8">
        <v>44374</v>
      </c>
      <c r="D367" s="40"/>
      <c r="E367" s="335" t="s">
        <v>2247</v>
      </c>
      <c r="G367" s="9">
        <v>15.98</v>
      </c>
      <c r="H367" s="336">
        <v>252153</v>
      </c>
      <c r="K367" s="337"/>
      <c r="L367" s="3"/>
    </row>
    <row r="368" spans="1:13" ht="28.5">
      <c r="A368" s="9" t="s">
        <v>1955</v>
      </c>
      <c r="B368" s="8">
        <v>44365</v>
      </c>
      <c r="C368" s="8">
        <v>44371</v>
      </c>
      <c r="D368" s="303" t="s">
        <v>2248</v>
      </c>
      <c r="E368" s="9" t="s">
        <v>69</v>
      </c>
      <c r="F368" s="9" t="s">
        <v>2249</v>
      </c>
      <c r="G368" s="9" t="s">
        <v>2250</v>
      </c>
      <c r="H368" s="265" t="s">
        <v>2251</v>
      </c>
      <c r="K368" s="338"/>
      <c r="L368" s="3"/>
    </row>
    <row r="369" spans="1:11" ht="14.25">
      <c r="A369" s="9" t="s">
        <v>2252</v>
      </c>
      <c r="B369" s="8">
        <v>44366</v>
      </c>
      <c r="C369" s="8">
        <v>44371</v>
      </c>
      <c r="D369" s="278" t="s">
        <v>2253</v>
      </c>
      <c r="E369" s="9" t="s">
        <v>69</v>
      </c>
      <c r="G369" s="9">
        <v>6.99</v>
      </c>
      <c r="H369" s="265" t="s">
        <v>2254</v>
      </c>
    </row>
    <row r="370" spans="1:11" ht="14.25">
      <c r="A370" s="9" t="s">
        <v>2255</v>
      </c>
      <c r="B370" s="8">
        <v>44245</v>
      </c>
      <c r="C370" s="8">
        <v>44366</v>
      </c>
      <c r="D370" s="278"/>
      <c r="E370" s="253" t="s">
        <v>2256</v>
      </c>
      <c r="F370" s="9" t="s">
        <v>2257</v>
      </c>
      <c r="G370" s="9">
        <v>177.5</v>
      </c>
      <c r="H370" s="325" t="s">
        <v>2258</v>
      </c>
      <c r="J370" s="3"/>
      <c r="K370" s="43"/>
    </row>
    <row r="371" spans="1:11" ht="25.5">
      <c r="A371" s="9" t="s">
        <v>2259</v>
      </c>
      <c r="B371" s="8">
        <v>44358</v>
      </c>
      <c r="C371" s="8">
        <v>44361</v>
      </c>
      <c r="D371" s="278" t="s">
        <v>2260</v>
      </c>
      <c r="E371" s="9" t="s">
        <v>1741</v>
      </c>
      <c r="G371" s="9">
        <v>15.69</v>
      </c>
      <c r="H371" s="325" t="s">
        <v>2261</v>
      </c>
      <c r="J371" s="339"/>
      <c r="K371" s="340"/>
    </row>
    <row r="372" spans="1:11" ht="25.5">
      <c r="A372" s="9" t="s">
        <v>2262</v>
      </c>
      <c r="B372" s="8">
        <v>44339</v>
      </c>
      <c r="C372" s="8">
        <v>44348</v>
      </c>
      <c r="D372" s="284" t="s">
        <v>2263</v>
      </c>
      <c r="E372" s="9" t="s">
        <v>2264</v>
      </c>
      <c r="F372" s="9" t="s">
        <v>1388</v>
      </c>
      <c r="G372" s="9">
        <v>59.65</v>
      </c>
      <c r="H372" s="325" t="s">
        <v>2265</v>
      </c>
      <c r="J372" s="339"/>
      <c r="K372" s="340"/>
    </row>
    <row r="373" spans="1:11" ht="14.25">
      <c r="A373" s="9" t="s">
        <v>2266</v>
      </c>
      <c r="B373" s="8">
        <v>44334</v>
      </c>
      <c r="C373" s="8">
        <v>44348</v>
      </c>
      <c r="D373" s="278" t="s">
        <v>2267</v>
      </c>
      <c r="E373" s="9" t="s">
        <v>2268</v>
      </c>
      <c r="G373" s="9">
        <v>11.83</v>
      </c>
      <c r="H373" s="325" t="s">
        <v>2269</v>
      </c>
      <c r="J373" s="341"/>
      <c r="K373" s="342"/>
    </row>
    <row r="374" spans="1:11">
      <c r="A374" s="9" t="s">
        <v>2270</v>
      </c>
      <c r="B374" s="8">
        <v>44345</v>
      </c>
      <c r="C374" s="8">
        <v>44348</v>
      </c>
      <c r="D374" s="343" t="s">
        <v>2271</v>
      </c>
      <c r="E374" s="9" t="s">
        <v>2272</v>
      </c>
      <c r="G374" s="9">
        <v>11.16</v>
      </c>
      <c r="H374" s="325" t="s">
        <v>2273</v>
      </c>
      <c r="J374" s="339"/>
      <c r="K374" s="341"/>
    </row>
    <row r="375" spans="1:11">
      <c r="A375" s="9" t="s">
        <v>2274</v>
      </c>
      <c r="B375" s="8">
        <v>44339</v>
      </c>
      <c r="C375" s="8">
        <v>44348</v>
      </c>
      <c r="D375" s="40" t="s">
        <v>2275</v>
      </c>
      <c r="E375" s="9" t="s">
        <v>1118</v>
      </c>
      <c r="F375" s="9" t="s">
        <v>2276</v>
      </c>
      <c r="G375" s="9">
        <v>11.42</v>
      </c>
      <c r="H375" s="325" t="s">
        <v>2277</v>
      </c>
      <c r="J375" s="339"/>
      <c r="K375" s="341"/>
    </row>
    <row r="376" spans="1:11" ht="12.75" customHeight="1">
      <c r="A376" s="22" t="s">
        <v>2278</v>
      </c>
      <c r="B376" s="8">
        <v>44344</v>
      </c>
      <c r="C376" s="8">
        <v>44348</v>
      </c>
      <c r="D376" s="344" t="s">
        <v>2279</v>
      </c>
      <c r="E376" s="9" t="s">
        <v>2280</v>
      </c>
      <c r="F376" s="9" t="s">
        <v>2281</v>
      </c>
      <c r="G376" s="11">
        <v>45</v>
      </c>
      <c r="H376" s="345">
        <v>1787</v>
      </c>
      <c r="J376" s="339"/>
      <c r="K376" s="341"/>
    </row>
    <row r="377" spans="1:11" ht="14.25">
      <c r="A377" s="9" t="s">
        <v>2282</v>
      </c>
      <c r="B377" s="8">
        <v>44340</v>
      </c>
      <c r="C377" s="8">
        <v>44343</v>
      </c>
      <c r="D377" s="278" t="s">
        <v>2283</v>
      </c>
      <c r="E377" s="9" t="s">
        <v>1222</v>
      </c>
      <c r="G377" s="9">
        <v>49.95</v>
      </c>
      <c r="H377" s="325" t="s">
        <v>2284</v>
      </c>
      <c r="J377" s="339"/>
      <c r="K377" s="341"/>
    </row>
    <row r="378" spans="1:11" ht="14.25">
      <c r="A378" s="9" t="s">
        <v>2285</v>
      </c>
      <c r="B378" s="8">
        <v>44336</v>
      </c>
      <c r="C378" s="8">
        <v>44342</v>
      </c>
      <c r="D378" s="278" t="s">
        <v>2286</v>
      </c>
      <c r="E378" s="9" t="s">
        <v>1222</v>
      </c>
      <c r="G378" s="9">
        <v>9.9499999999999993</v>
      </c>
      <c r="H378" s="325" t="s">
        <v>2287</v>
      </c>
      <c r="J378" s="339"/>
      <c r="K378" s="341"/>
    </row>
    <row r="379" spans="1:11" ht="14.25">
      <c r="A379" s="9" t="s">
        <v>2288</v>
      </c>
      <c r="B379" s="8">
        <v>44329</v>
      </c>
      <c r="C379" s="8">
        <v>44341</v>
      </c>
      <c r="D379" s="284" t="s">
        <v>2289</v>
      </c>
      <c r="E379" s="9" t="s">
        <v>1764</v>
      </c>
      <c r="F379" s="9" t="s">
        <v>1198</v>
      </c>
      <c r="H379" s="325"/>
      <c r="J379" s="114"/>
    </row>
    <row r="380" spans="1:11" ht="14.25">
      <c r="A380" s="9" t="s">
        <v>2290</v>
      </c>
      <c r="B380" s="8">
        <v>44336</v>
      </c>
      <c r="C380" s="8">
        <v>44341</v>
      </c>
      <c r="D380" s="303" t="s">
        <v>2291</v>
      </c>
      <c r="E380" s="9" t="s">
        <v>1222</v>
      </c>
      <c r="G380" s="9">
        <v>10.79</v>
      </c>
      <c r="H380" s="325" t="s">
        <v>2292</v>
      </c>
      <c r="J380" s="93"/>
      <c r="K380" s="337"/>
    </row>
    <row r="381" spans="1:11" ht="25.5">
      <c r="A381" s="9" t="s">
        <v>2151</v>
      </c>
      <c r="B381" s="8">
        <v>44315</v>
      </c>
      <c r="C381" s="8">
        <v>44344</v>
      </c>
      <c r="D381" s="278" t="s">
        <v>2293</v>
      </c>
      <c r="E381" s="9" t="s">
        <v>1741</v>
      </c>
      <c r="H381" s="325" t="s">
        <v>2294</v>
      </c>
      <c r="J381" s="93"/>
      <c r="K381" s="72"/>
    </row>
    <row r="382" spans="1:11" ht="25.5">
      <c r="A382" s="9" t="s">
        <v>2295</v>
      </c>
      <c r="B382" s="8">
        <v>44323</v>
      </c>
      <c r="C382" s="9" t="s">
        <v>2296</v>
      </c>
      <c r="D382" s="278" t="s">
        <v>2297</v>
      </c>
      <c r="E382" s="9" t="s">
        <v>1741</v>
      </c>
      <c r="F382" s="9" t="s">
        <v>75</v>
      </c>
      <c r="H382" s="325" t="s">
        <v>2298</v>
      </c>
      <c r="J382" s="114"/>
    </row>
    <row r="383" spans="1:11">
      <c r="A383" s="9" t="s">
        <v>2299</v>
      </c>
      <c r="B383" s="8">
        <v>44335</v>
      </c>
      <c r="C383" s="10">
        <v>44340</v>
      </c>
      <c r="D383" s="40" t="s">
        <v>2300</v>
      </c>
      <c r="E383" s="9" t="s">
        <v>1222</v>
      </c>
      <c r="G383" s="9">
        <v>22.99</v>
      </c>
      <c r="H383" s="325" t="s">
        <v>2301</v>
      </c>
      <c r="J383" s="93"/>
      <c r="K383" s="72"/>
    </row>
    <row r="384" spans="1:11" ht="14.25">
      <c r="A384" s="9" t="s">
        <v>2302</v>
      </c>
      <c r="B384" s="8">
        <v>44332</v>
      </c>
      <c r="C384" s="8">
        <v>44335</v>
      </c>
      <c r="D384" s="278" t="s">
        <v>2303</v>
      </c>
      <c r="E384" s="9" t="s">
        <v>1176</v>
      </c>
      <c r="G384" s="9">
        <v>12.98</v>
      </c>
      <c r="H384" s="325" t="s">
        <v>2304</v>
      </c>
      <c r="J384" s="93"/>
      <c r="K384" s="72"/>
    </row>
    <row r="385" spans="1:12" ht="14.25">
      <c r="A385" s="25" t="s">
        <v>2305</v>
      </c>
      <c r="B385" s="10">
        <v>44330</v>
      </c>
      <c r="C385" s="10">
        <v>44334</v>
      </c>
      <c r="D385" s="278" t="s">
        <v>2306</v>
      </c>
      <c r="E385" s="9" t="s">
        <v>1176</v>
      </c>
      <c r="F385" s="9" t="s">
        <v>1217</v>
      </c>
      <c r="G385" s="9">
        <v>21.69</v>
      </c>
      <c r="H385" s="346" t="s">
        <v>2307</v>
      </c>
      <c r="J385" s="114"/>
      <c r="K385" s="72"/>
    </row>
    <row r="386" spans="1:12" ht="14.25">
      <c r="A386" s="25" t="s">
        <v>2308</v>
      </c>
      <c r="B386" s="10">
        <v>44332</v>
      </c>
      <c r="C386" s="10">
        <v>44334</v>
      </c>
      <c r="D386" s="278" t="s">
        <v>2309</v>
      </c>
      <c r="E386" s="9" t="s">
        <v>1176</v>
      </c>
      <c r="G386" s="9">
        <v>19.18</v>
      </c>
      <c r="H386" s="346" t="s">
        <v>2310</v>
      </c>
      <c r="J386" s="114"/>
      <c r="K386" s="72"/>
    </row>
    <row r="387" spans="1:12" ht="25.5">
      <c r="A387" s="347" t="s">
        <v>2311</v>
      </c>
      <c r="B387" s="348">
        <v>44319</v>
      </c>
      <c r="C387" s="348">
        <v>44333</v>
      </c>
      <c r="D387" s="278" t="s">
        <v>2312</v>
      </c>
      <c r="E387" s="9" t="s">
        <v>1741</v>
      </c>
      <c r="H387" s="346" t="s">
        <v>2313</v>
      </c>
    </row>
    <row r="388" spans="1:12" ht="25.5">
      <c r="A388" s="347" t="s">
        <v>2314</v>
      </c>
      <c r="B388" s="348">
        <v>44319</v>
      </c>
      <c r="C388" s="348">
        <v>44333</v>
      </c>
      <c r="D388" s="278" t="s">
        <v>2312</v>
      </c>
      <c r="E388" s="9" t="s">
        <v>1741</v>
      </c>
      <c r="H388" s="346" t="s">
        <v>2313</v>
      </c>
      <c r="J388" s="3"/>
    </row>
    <row r="389" spans="1:12" ht="25.5">
      <c r="A389" s="347" t="s">
        <v>2315</v>
      </c>
      <c r="B389" s="348">
        <v>44319</v>
      </c>
      <c r="C389" s="348">
        <v>44333</v>
      </c>
      <c r="D389" s="278" t="s">
        <v>2312</v>
      </c>
      <c r="E389" s="9" t="s">
        <v>1741</v>
      </c>
      <c r="F389" s="9" t="s">
        <v>2316</v>
      </c>
      <c r="H389" s="346" t="s">
        <v>2313</v>
      </c>
    </row>
    <row r="390" spans="1:12" ht="14.25">
      <c r="A390" s="347" t="s">
        <v>2315</v>
      </c>
      <c r="B390" s="8">
        <v>44319</v>
      </c>
      <c r="C390" s="8">
        <v>44334</v>
      </c>
      <c r="D390" s="278" t="s">
        <v>2317</v>
      </c>
      <c r="F390" s="9" t="s">
        <v>1198</v>
      </c>
    </row>
    <row r="391" spans="1:12" ht="25.5">
      <c r="A391" s="9" t="s">
        <v>2318</v>
      </c>
      <c r="B391" s="8">
        <v>44323</v>
      </c>
      <c r="C391" s="8">
        <v>44330</v>
      </c>
      <c r="D391" s="40"/>
      <c r="E391" s="9" t="s">
        <v>2319</v>
      </c>
      <c r="F391" s="9" t="s">
        <v>1427</v>
      </c>
      <c r="G391" s="9">
        <v>89.9</v>
      </c>
      <c r="H391" s="325">
        <v>865799448</v>
      </c>
    </row>
    <row r="392" spans="1:12" ht="14.25">
      <c r="A392" s="9" t="s">
        <v>2320</v>
      </c>
      <c r="B392" s="8">
        <v>44325</v>
      </c>
      <c r="C392" s="8">
        <v>44329</v>
      </c>
      <c r="D392" s="278" t="s">
        <v>2321</v>
      </c>
      <c r="E392" s="9" t="s">
        <v>1176</v>
      </c>
      <c r="G392" s="9">
        <v>72.64</v>
      </c>
      <c r="H392" s="349" t="s">
        <v>2322</v>
      </c>
    </row>
    <row r="393" spans="1:12" ht="14.25">
      <c r="A393" s="9" t="s">
        <v>2323</v>
      </c>
      <c r="B393" s="8">
        <v>44324</v>
      </c>
      <c r="C393" s="8">
        <v>44328</v>
      </c>
      <c r="D393" s="303" t="s">
        <v>2324</v>
      </c>
      <c r="E393" s="9" t="s">
        <v>2325</v>
      </c>
      <c r="G393" s="9">
        <v>16.989999999999998</v>
      </c>
      <c r="H393" s="346" t="s">
        <v>2326</v>
      </c>
    </row>
    <row r="394" spans="1:12">
      <c r="A394" s="9" t="s">
        <v>2327</v>
      </c>
      <c r="C394" s="8">
        <v>44327</v>
      </c>
      <c r="D394" s="40" t="s">
        <v>2328</v>
      </c>
      <c r="E394" s="9" t="s">
        <v>2329</v>
      </c>
      <c r="G394" s="9">
        <v>7</v>
      </c>
    </row>
    <row r="395" spans="1:12" ht="14.25">
      <c r="A395" s="9" t="s">
        <v>2330</v>
      </c>
      <c r="B395" s="8">
        <v>44314</v>
      </c>
      <c r="C395" s="8">
        <v>44324</v>
      </c>
      <c r="D395" s="278" t="s">
        <v>2331</v>
      </c>
      <c r="E395" s="9" t="s">
        <v>2332</v>
      </c>
      <c r="F395" s="9" t="s">
        <v>66</v>
      </c>
      <c r="G395" s="9">
        <v>13.07</v>
      </c>
      <c r="H395" s="325" t="s">
        <v>2333</v>
      </c>
    </row>
    <row r="396" spans="1:12" ht="14.25">
      <c r="A396" s="9" t="s">
        <v>2334</v>
      </c>
      <c r="B396" s="8">
        <v>44311</v>
      </c>
      <c r="C396" s="8">
        <v>44317</v>
      </c>
      <c r="D396" s="278" t="s">
        <v>2335</v>
      </c>
      <c r="E396" s="9" t="s">
        <v>69</v>
      </c>
      <c r="F396" s="9" t="s">
        <v>1198</v>
      </c>
      <c r="G396" s="9">
        <v>23.85</v>
      </c>
      <c r="H396" s="325" t="s">
        <v>2336</v>
      </c>
    </row>
    <row r="397" spans="1:12" ht="12.75" customHeight="1">
      <c r="A397" s="9" t="s">
        <v>2337</v>
      </c>
      <c r="B397" s="8">
        <v>44303</v>
      </c>
      <c r="C397" s="8">
        <v>44318</v>
      </c>
      <c r="D397" s="278" t="s">
        <v>2338</v>
      </c>
      <c r="E397" s="9" t="s">
        <v>2339</v>
      </c>
      <c r="F397" s="9" t="s">
        <v>1595</v>
      </c>
      <c r="G397" s="9">
        <v>30.28</v>
      </c>
      <c r="H397" s="350" t="s">
        <v>2340</v>
      </c>
      <c r="L397" s="9"/>
    </row>
    <row r="398" spans="1:12" ht="14.25">
      <c r="A398" s="9" t="s">
        <v>2341</v>
      </c>
      <c r="B398" s="8">
        <v>44311</v>
      </c>
      <c r="C398" s="8">
        <v>44315</v>
      </c>
      <c r="D398" s="278" t="s">
        <v>2342</v>
      </c>
      <c r="E398" s="9" t="s">
        <v>69</v>
      </c>
      <c r="H398" s="325" t="s">
        <v>2343</v>
      </c>
      <c r="L398" s="9"/>
    </row>
    <row r="399" spans="1:12" ht="14.25">
      <c r="A399" s="9" t="s">
        <v>2344</v>
      </c>
      <c r="B399" s="8">
        <v>44311</v>
      </c>
      <c r="C399" s="8">
        <v>44315</v>
      </c>
      <c r="D399" s="278" t="s">
        <v>2342</v>
      </c>
      <c r="E399" s="9" t="s">
        <v>69</v>
      </c>
      <c r="H399" s="325" t="s">
        <v>2343</v>
      </c>
      <c r="L399" s="9"/>
    </row>
    <row r="400" spans="1:12" ht="14.25">
      <c r="A400" s="9" t="s">
        <v>2345</v>
      </c>
      <c r="B400" s="8">
        <v>44311</v>
      </c>
      <c r="C400" s="8">
        <v>44315</v>
      </c>
      <c r="D400" s="278" t="s">
        <v>2342</v>
      </c>
      <c r="E400" s="9" t="s">
        <v>69</v>
      </c>
      <c r="H400" s="325" t="s">
        <v>2343</v>
      </c>
      <c r="L400" s="9"/>
    </row>
    <row r="401" spans="1:12">
      <c r="A401" s="9" t="s">
        <v>2346</v>
      </c>
      <c r="B401" s="8">
        <v>44297</v>
      </c>
      <c r="C401" s="8">
        <v>44313</v>
      </c>
      <c r="D401" s="40" t="s">
        <v>2347</v>
      </c>
      <c r="E401" s="9" t="s">
        <v>1724</v>
      </c>
      <c r="F401" s="9" t="s">
        <v>2348</v>
      </c>
      <c r="G401" s="9">
        <v>76.010000000000005</v>
      </c>
      <c r="H401" s="325" t="s">
        <v>2349</v>
      </c>
      <c r="L401" s="9"/>
    </row>
    <row r="402" spans="1:12" ht="14.25">
      <c r="A402" s="9" t="s">
        <v>2350</v>
      </c>
      <c r="B402" s="8">
        <v>44309</v>
      </c>
      <c r="C402" s="8">
        <v>44314</v>
      </c>
      <c r="D402" s="278"/>
      <c r="G402" s="9">
        <v>147.55000000000001</v>
      </c>
      <c r="H402" s="325"/>
      <c r="L402" s="9"/>
    </row>
    <row r="403" spans="1:12" ht="14.25">
      <c r="A403" s="9" t="s">
        <v>2351</v>
      </c>
      <c r="B403" s="8">
        <v>44307</v>
      </c>
      <c r="C403" s="8">
        <v>44309</v>
      </c>
      <c r="D403" s="278" t="s">
        <v>2352</v>
      </c>
      <c r="E403" s="9" t="s">
        <v>1176</v>
      </c>
      <c r="G403" s="9">
        <v>13.99</v>
      </c>
      <c r="H403" s="325" t="s">
        <v>2353</v>
      </c>
    </row>
    <row r="404" spans="1:12" ht="14.25">
      <c r="A404" s="347" t="s">
        <v>2354</v>
      </c>
      <c r="B404" s="348">
        <v>44292</v>
      </c>
      <c r="C404" s="8">
        <v>44308</v>
      </c>
      <c r="D404" s="351" t="s">
        <v>2355</v>
      </c>
      <c r="E404" s="9" t="s">
        <v>1232</v>
      </c>
      <c r="G404" s="347">
        <v>100.6</v>
      </c>
      <c r="H404" s="325" t="s">
        <v>2356</v>
      </c>
      <c r="I404" s="9">
        <v>16</v>
      </c>
    </row>
    <row r="405" spans="1:12" ht="14.25">
      <c r="A405" s="347" t="s">
        <v>2357</v>
      </c>
      <c r="B405" s="348">
        <v>44292</v>
      </c>
      <c r="C405" s="10">
        <v>44308</v>
      </c>
      <c r="D405" s="351" t="s">
        <v>2358</v>
      </c>
      <c r="E405" s="9" t="s">
        <v>1232</v>
      </c>
      <c r="G405" s="347">
        <v>100.6</v>
      </c>
      <c r="H405" s="325" t="s">
        <v>2356</v>
      </c>
    </row>
    <row r="406" spans="1:12" ht="14.25">
      <c r="A406" s="347" t="s">
        <v>2359</v>
      </c>
      <c r="B406" s="348">
        <v>44292</v>
      </c>
      <c r="C406" s="8">
        <v>44308</v>
      </c>
      <c r="D406" s="278" t="s">
        <v>2360</v>
      </c>
      <c r="E406" s="9" t="s">
        <v>1232</v>
      </c>
      <c r="G406" s="347">
        <v>100.6</v>
      </c>
      <c r="H406" s="325" t="s">
        <v>2356</v>
      </c>
    </row>
    <row r="407" spans="1:12" ht="14.25">
      <c r="A407" s="9" t="s">
        <v>2361</v>
      </c>
      <c r="B407" s="8">
        <v>44294</v>
      </c>
      <c r="C407" s="8">
        <v>44299</v>
      </c>
      <c r="D407" s="303" t="s">
        <v>2362</v>
      </c>
      <c r="E407" s="9" t="s">
        <v>69</v>
      </c>
      <c r="G407" s="9">
        <v>6.99</v>
      </c>
      <c r="H407" s="265" t="s">
        <v>2363</v>
      </c>
    </row>
    <row r="408" spans="1:12" ht="38.25">
      <c r="A408" s="9" t="s">
        <v>2364</v>
      </c>
      <c r="B408" s="8">
        <v>44292</v>
      </c>
      <c r="C408" s="10">
        <v>44300</v>
      </c>
      <c r="D408" s="352" t="s">
        <v>2365</v>
      </c>
      <c r="E408" s="9" t="s">
        <v>2366</v>
      </c>
      <c r="G408" s="9">
        <v>86.75</v>
      </c>
      <c r="H408" s="325" t="s">
        <v>2367</v>
      </c>
    </row>
    <row r="409" spans="1:12" ht="25.5">
      <c r="A409" s="9" t="s">
        <v>2368</v>
      </c>
      <c r="B409" s="8">
        <v>44298</v>
      </c>
      <c r="C409" s="8">
        <v>44299</v>
      </c>
      <c r="D409" s="278"/>
      <c r="E409" s="9" t="s">
        <v>2369</v>
      </c>
      <c r="G409" s="9">
        <v>89.99</v>
      </c>
    </row>
    <row r="410" spans="1:12" ht="25.5">
      <c r="A410" s="9" t="s">
        <v>2370</v>
      </c>
      <c r="B410" s="8">
        <v>44291</v>
      </c>
      <c r="C410" s="8">
        <v>44296</v>
      </c>
      <c r="D410" s="351" t="s">
        <v>2371</v>
      </c>
      <c r="E410" s="9" t="s">
        <v>2372</v>
      </c>
      <c r="G410" s="9">
        <v>101</v>
      </c>
      <c r="H410" s="325" t="s">
        <v>2373</v>
      </c>
    </row>
    <row r="411" spans="1:12" ht="14.25">
      <c r="A411" s="22" t="s">
        <v>2374</v>
      </c>
      <c r="B411" s="8">
        <v>44272</v>
      </c>
      <c r="C411" s="353">
        <v>44291</v>
      </c>
      <c r="D411" s="284" t="s">
        <v>2375</v>
      </c>
      <c r="E411" s="9"/>
      <c r="F411" s="9" t="s">
        <v>1198</v>
      </c>
      <c r="G411" s="9">
        <v>14.07</v>
      </c>
      <c r="H411" s="325">
        <v>4187529</v>
      </c>
      <c r="J411" s="93"/>
      <c r="K411" s="72"/>
    </row>
    <row r="412" spans="1:12" ht="28.5">
      <c r="A412" s="22" t="s">
        <v>2376</v>
      </c>
      <c r="B412" s="8">
        <v>44282</v>
      </c>
      <c r="C412" s="8">
        <v>44291</v>
      </c>
      <c r="D412" s="303" t="s">
        <v>2377</v>
      </c>
      <c r="E412" s="22" t="s">
        <v>2378</v>
      </c>
      <c r="G412" s="9">
        <v>99.95</v>
      </c>
      <c r="H412" s="325" t="s">
        <v>2379</v>
      </c>
      <c r="J412" s="114"/>
      <c r="K412" s="72"/>
    </row>
    <row r="413" spans="1:12" ht="14.25">
      <c r="A413" s="9" t="s">
        <v>2380</v>
      </c>
      <c r="B413" s="8">
        <v>44278</v>
      </c>
      <c r="C413" s="8">
        <v>44288</v>
      </c>
      <c r="D413" s="278"/>
      <c r="E413" s="9" t="s">
        <v>1724</v>
      </c>
      <c r="F413" s="9" t="s">
        <v>2381</v>
      </c>
      <c r="G413" s="9">
        <v>76.010000000000005</v>
      </c>
      <c r="H413" s="325" t="s">
        <v>2382</v>
      </c>
      <c r="J413" s="114"/>
      <c r="K413" s="72"/>
    </row>
    <row r="414" spans="1:12" ht="14.25">
      <c r="A414" s="9" t="s">
        <v>2383</v>
      </c>
      <c r="B414" s="8">
        <v>44284</v>
      </c>
      <c r="C414" s="10">
        <v>44288</v>
      </c>
      <c r="D414" s="278" t="s">
        <v>2384</v>
      </c>
      <c r="E414" s="9" t="s">
        <v>725</v>
      </c>
      <c r="G414" s="9">
        <v>10.06</v>
      </c>
      <c r="H414" s="325" t="s">
        <v>2385</v>
      </c>
      <c r="J414" s="114"/>
      <c r="K414" s="72"/>
    </row>
    <row r="415" spans="1:12">
      <c r="A415" s="9" t="s">
        <v>2386</v>
      </c>
      <c r="B415" s="8">
        <v>44283</v>
      </c>
      <c r="C415" s="8">
        <v>44288</v>
      </c>
      <c r="D415" s="40"/>
      <c r="E415" s="9" t="s">
        <v>2329</v>
      </c>
      <c r="G415" s="9">
        <v>7</v>
      </c>
      <c r="J415" s="93"/>
      <c r="K415" s="72"/>
    </row>
    <row r="416" spans="1:12" ht="14.25">
      <c r="A416" s="9" t="s">
        <v>2387</v>
      </c>
      <c r="B416" s="8">
        <v>44281</v>
      </c>
      <c r="C416" s="82" t="s">
        <v>2388</v>
      </c>
      <c r="D416" s="303" t="s">
        <v>2389</v>
      </c>
      <c r="E416" s="9" t="s">
        <v>69</v>
      </c>
      <c r="G416" s="9">
        <v>79.98</v>
      </c>
      <c r="H416" s="325" t="s">
        <v>2390</v>
      </c>
      <c r="J416" s="93"/>
      <c r="K416" s="72"/>
    </row>
    <row r="417" spans="1:11" ht="14.25">
      <c r="A417" s="9" t="s">
        <v>2391</v>
      </c>
      <c r="B417" s="8">
        <v>44268</v>
      </c>
      <c r="C417" s="8">
        <v>44298</v>
      </c>
      <c r="D417" s="278" t="s">
        <v>2392</v>
      </c>
      <c r="E417" s="9" t="s">
        <v>1906</v>
      </c>
      <c r="H417" s="325" t="s">
        <v>2393</v>
      </c>
      <c r="I417" s="9">
        <v>30</v>
      </c>
      <c r="J417" s="93"/>
      <c r="K417" s="72"/>
    </row>
    <row r="418" spans="1:11" ht="14.25">
      <c r="A418" s="22" t="s">
        <v>2394</v>
      </c>
      <c r="B418" s="8">
        <v>44268</v>
      </c>
      <c r="C418" s="10">
        <v>44284</v>
      </c>
      <c r="D418" s="278" t="s">
        <v>2395</v>
      </c>
      <c r="E418" s="9" t="s">
        <v>1906</v>
      </c>
      <c r="G418" s="9">
        <v>61.37</v>
      </c>
      <c r="H418" s="325" t="s">
        <v>2393</v>
      </c>
      <c r="I418" s="9">
        <v>16</v>
      </c>
      <c r="J418" s="93"/>
      <c r="K418" s="72"/>
    </row>
    <row r="419" spans="1:11" ht="25.5">
      <c r="A419" s="9" t="s">
        <v>2396</v>
      </c>
      <c r="B419" s="8">
        <v>44279</v>
      </c>
      <c r="C419" s="10">
        <v>44284</v>
      </c>
      <c r="D419" s="358" t="s">
        <v>2397</v>
      </c>
      <c r="E419" s="9" t="s">
        <v>2398</v>
      </c>
      <c r="F419" s="9"/>
      <c r="G419" s="9">
        <v>37.5</v>
      </c>
      <c r="H419" s="325">
        <v>19484</v>
      </c>
      <c r="J419" s="93"/>
      <c r="K419" s="72"/>
    </row>
    <row r="420" spans="1:11" ht="14.25">
      <c r="A420" s="22" t="s">
        <v>2399</v>
      </c>
      <c r="B420" s="8">
        <v>44272</v>
      </c>
      <c r="C420" s="8">
        <v>44279</v>
      </c>
      <c r="D420" s="355" t="s">
        <v>2400</v>
      </c>
      <c r="E420" s="9" t="s">
        <v>2401</v>
      </c>
      <c r="F420" s="9" t="s">
        <v>1198</v>
      </c>
      <c r="G420" s="9"/>
      <c r="H420" s="325"/>
      <c r="J420" s="93"/>
      <c r="K420" s="72"/>
    </row>
    <row r="421" spans="1:11" ht="14.25">
      <c r="A421" s="9" t="s">
        <v>2402</v>
      </c>
      <c r="B421" s="8">
        <v>44270</v>
      </c>
      <c r="C421" s="10">
        <v>44275</v>
      </c>
      <c r="D421" s="355" t="s">
        <v>2403</v>
      </c>
      <c r="E421" s="9" t="s">
        <v>2404</v>
      </c>
      <c r="F421" s="9" t="s">
        <v>1198</v>
      </c>
      <c r="G421" s="9">
        <v>16.95</v>
      </c>
      <c r="H421" s="325">
        <v>2984</v>
      </c>
      <c r="J421" s="93"/>
      <c r="K421" s="72"/>
    </row>
    <row r="422" spans="1:11" ht="14.25">
      <c r="A422" s="22" t="s">
        <v>2405</v>
      </c>
      <c r="B422" s="8">
        <v>44274</v>
      </c>
      <c r="C422" s="10">
        <v>44274</v>
      </c>
      <c r="D422" s="355" t="s">
        <v>2406</v>
      </c>
      <c r="E422" s="9" t="s">
        <v>1222</v>
      </c>
      <c r="F422" s="9"/>
      <c r="G422" s="9">
        <v>19.399999999999999</v>
      </c>
      <c r="H422" s="356" t="s">
        <v>2407</v>
      </c>
      <c r="J422" s="93"/>
      <c r="K422" s="72"/>
    </row>
    <row r="423" spans="1:11" ht="14.25">
      <c r="A423" s="22" t="s">
        <v>2408</v>
      </c>
      <c r="B423" s="8">
        <v>44274</v>
      </c>
      <c r="C423" s="10">
        <v>44274</v>
      </c>
      <c r="D423" s="355" t="s">
        <v>2406</v>
      </c>
      <c r="E423" s="9" t="s">
        <v>1222</v>
      </c>
      <c r="G423" s="9">
        <v>423.9</v>
      </c>
      <c r="H423" s="325" t="s">
        <v>2409</v>
      </c>
      <c r="J423" s="93"/>
      <c r="K423" s="72"/>
    </row>
    <row r="424" spans="1:11" ht="14.25">
      <c r="A424" s="22" t="s">
        <v>2410</v>
      </c>
      <c r="B424" s="8">
        <v>44274</v>
      </c>
      <c r="C424" s="10">
        <v>44274</v>
      </c>
      <c r="D424" s="355" t="s">
        <v>2406</v>
      </c>
      <c r="E424" s="9" t="s">
        <v>1176</v>
      </c>
      <c r="G424" s="9">
        <v>8.7899999999999991</v>
      </c>
      <c r="H424" s="325" t="s">
        <v>2411</v>
      </c>
      <c r="J424" s="93"/>
      <c r="K424" s="72"/>
    </row>
    <row r="425" spans="1:11" ht="25.5">
      <c r="A425" s="9" t="s">
        <v>2412</v>
      </c>
      <c r="B425" s="8">
        <v>44275</v>
      </c>
      <c r="D425" s="355"/>
      <c r="E425" s="9" t="s">
        <v>1370</v>
      </c>
      <c r="G425" s="9">
        <v>0</v>
      </c>
      <c r="H425" s="326">
        <v>2392208959</v>
      </c>
      <c r="J425" s="114" t="s">
        <v>2413</v>
      </c>
      <c r="K425" s="72"/>
    </row>
    <row r="426" spans="1:11" ht="28.5">
      <c r="A426" s="22" t="s">
        <v>2414</v>
      </c>
      <c r="B426" s="8">
        <v>44253</v>
      </c>
      <c r="C426" s="10">
        <v>44270</v>
      </c>
      <c r="D426" s="278" t="s">
        <v>2415</v>
      </c>
      <c r="E426" s="9" t="s">
        <v>725</v>
      </c>
      <c r="G426" s="9">
        <v>17.649999999999999</v>
      </c>
      <c r="H426" s="357" t="s">
        <v>2416</v>
      </c>
      <c r="J426" s="93" t="s">
        <v>2417</v>
      </c>
      <c r="K426" s="72"/>
    </row>
    <row r="427" spans="1:11" ht="14.25">
      <c r="A427" s="25" t="s">
        <v>2418</v>
      </c>
      <c r="B427" s="8">
        <v>44242</v>
      </c>
      <c r="C427" s="8">
        <v>44270</v>
      </c>
      <c r="D427" s="358" t="s">
        <v>2419</v>
      </c>
      <c r="E427" s="359" t="s">
        <v>2420</v>
      </c>
      <c r="G427" s="9">
        <v>104.49</v>
      </c>
      <c r="H427" s="357">
        <v>7957540441031</v>
      </c>
      <c r="J427" s="93" t="s">
        <v>2421</v>
      </c>
      <c r="K427" s="72"/>
    </row>
    <row r="428" spans="1:11" ht="25.5">
      <c r="A428" s="22" t="s">
        <v>2422</v>
      </c>
      <c r="B428" s="8">
        <v>44262</v>
      </c>
      <c r="C428" s="8">
        <v>44268</v>
      </c>
      <c r="D428" s="358" t="s">
        <v>2423</v>
      </c>
      <c r="E428" s="9" t="s">
        <v>2424</v>
      </c>
      <c r="F428" s="9" t="s">
        <v>1427</v>
      </c>
      <c r="G428" s="9">
        <v>61.64</v>
      </c>
      <c r="H428" s="360" t="s">
        <v>2425</v>
      </c>
      <c r="J428" s="361" t="s">
        <v>2426</v>
      </c>
      <c r="K428" s="72"/>
    </row>
    <row r="429" spans="1:11" ht="28.5">
      <c r="A429" s="9" t="s">
        <v>2427</v>
      </c>
      <c r="B429" s="8">
        <v>44264</v>
      </c>
      <c r="C429" s="10">
        <v>44266</v>
      </c>
      <c r="D429" s="358" t="s">
        <v>2428</v>
      </c>
      <c r="E429" s="9" t="s">
        <v>1222</v>
      </c>
      <c r="F429" s="9"/>
      <c r="G429" s="9">
        <v>102.88</v>
      </c>
      <c r="H429" s="357" t="s">
        <v>2429</v>
      </c>
      <c r="J429" s="361"/>
      <c r="K429" s="72"/>
    </row>
    <row r="430" spans="1:11" ht="14.25">
      <c r="A430" s="22" t="s">
        <v>2430</v>
      </c>
      <c r="B430" s="8">
        <v>44231</v>
      </c>
      <c r="C430" s="9" t="s">
        <v>2431</v>
      </c>
      <c r="D430" s="362" t="s">
        <v>2432</v>
      </c>
      <c r="E430" s="9" t="s">
        <v>293</v>
      </c>
      <c r="G430" s="9">
        <v>17</v>
      </c>
      <c r="H430" s="357" t="s">
        <v>2433</v>
      </c>
      <c r="J430" s="361"/>
      <c r="K430" s="72"/>
    </row>
    <row r="431" spans="1:11" ht="28.5">
      <c r="A431" s="9" t="s">
        <v>2434</v>
      </c>
      <c r="B431" s="8">
        <v>44259</v>
      </c>
      <c r="C431" s="8">
        <v>44264</v>
      </c>
      <c r="D431" s="358"/>
      <c r="E431" s="9" t="s">
        <v>1222</v>
      </c>
      <c r="G431" s="9">
        <v>67.53</v>
      </c>
      <c r="H431" s="357" t="s">
        <v>2435</v>
      </c>
      <c r="J431" s="3" t="s">
        <v>2436</v>
      </c>
      <c r="K431" s="363" t="s">
        <v>2437</v>
      </c>
    </row>
    <row r="432" spans="1:11" ht="28.5">
      <c r="A432" s="9" t="s">
        <v>2438</v>
      </c>
      <c r="B432" s="8">
        <v>44258</v>
      </c>
      <c r="C432" s="10">
        <v>44263</v>
      </c>
      <c r="D432" s="358" t="s">
        <v>2439</v>
      </c>
      <c r="E432" s="9" t="s">
        <v>725</v>
      </c>
      <c r="G432" s="9">
        <v>10.19</v>
      </c>
      <c r="H432" s="357" t="s">
        <v>2440</v>
      </c>
      <c r="J432" s="9"/>
      <c r="K432" s="72"/>
    </row>
    <row r="433" spans="1:11" ht="25.5">
      <c r="A433" s="121" t="s">
        <v>2441</v>
      </c>
      <c r="B433" s="10">
        <v>44242</v>
      </c>
      <c r="C433" s="10">
        <v>44252</v>
      </c>
      <c r="D433" s="358" t="s">
        <v>2442</v>
      </c>
      <c r="E433" s="9" t="s">
        <v>2443</v>
      </c>
      <c r="F433" s="9" t="s">
        <v>2444</v>
      </c>
      <c r="G433" s="11">
        <f>283.31*1.39</f>
        <v>393.80089999999996</v>
      </c>
      <c r="H433" s="357" t="s">
        <v>2445</v>
      </c>
      <c r="J433" s="9"/>
      <c r="K433" s="72"/>
    </row>
    <row r="434" spans="1:11" ht="14.25">
      <c r="A434" s="9" t="s">
        <v>2446</v>
      </c>
      <c r="B434" s="8">
        <v>44249</v>
      </c>
      <c r="C434" s="8">
        <v>44258</v>
      </c>
      <c r="D434" s="358" t="s">
        <v>2447</v>
      </c>
      <c r="G434" s="9">
        <v>39.85</v>
      </c>
      <c r="H434" s="357">
        <v>1084</v>
      </c>
      <c r="J434" s="9"/>
      <c r="K434" s="72"/>
    </row>
    <row r="435" spans="1:11" ht="14.25">
      <c r="A435" s="9" t="s">
        <v>2448</v>
      </c>
      <c r="B435" s="8">
        <v>44252</v>
      </c>
      <c r="C435" s="10">
        <v>44257</v>
      </c>
      <c r="D435" s="364" t="s">
        <v>2449</v>
      </c>
      <c r="E435" s="9" t="s">
        <v>2450</v>
      </c>
      <c r="G435" s="9">
        <v>40.4</v>
      </c>
      <c r="H435" s="357">
        <v>12732</v>
      </c>
      <c r="J435" s="9"/>
      <c r="K435" s="72"/>
    </row>
    <row r="436" spans="1:11" ht="28.5">
      <c r="A436" s="9" t="s">
        <v>2451</v>
      </c>
      <c r="B436" s="8">
        <v>44251</v>
      </c>
      <c r="C436" s="10">
        <v>44256</v>
      </c>
      <c r="D436" s="278" t="s">
        <v>2452</v>
      </c>
      <c r="E436" s="9" t="s">
        <v>725</v>
      </c>
      <c r="G436" s="9">
        <v>36.840000000000003</v>
      </c>
      <c r="H436" s="357" t="s">
        <v>2453</v>
      </c>
      <c r="J436" s="9"/>
      <c r="K436" s="72"/>
    </row>
    <row r="437" spans="1:11" ht="14.25">
      <c r="A437" s="9" t="s">
        <v>2454</v>
      </c>
      <c r="B437" s="8">
        <v>44251</v>
      </c>
      <c r="C437" s="8">
        <v>44257</v>
      </c>
      <c r="D437" s="358" t="s">
        <v>2455</v>
      </c>
      <c r="E437" s="9" t="s">
        <v>2456</v>
      </c>
      <c r="F437" s="9" t="s">
        <v>1198</v>
      </c>
      <c r="G437" s="9">
        <v>19.739999999999998</v>
      </c>
      <c r="H437" s="357" t="s">
        <v>2457</v>
      </c>
      <c r="J437" s="9"/>
      <c r="K437" s="72"/>
    </row>
    <row r="438" spans="1:11" ht="25.5">
      <c r="A438" s="22" t="s">
        <v>2458</v>
      </c>
      <c r="B438" s="8">
        <v>44227</v>
      </c>
      <c r="C438" s="8">
        <v>44259</v>
      </c>
      <c r="D438" s="358" t="s">
        <v>2459</v>
      </c>
      <c r="E438" s="365" t="s">
        <v>2460</v>
      </c>
      <c r="F438" s="9" t="s">
        <v>1198</v>
      </c>
      <c r="G438" s="9">
        <v>37.950000000000003</v>
      </c>
      <c r="H438" s="357">
        <v>33955963</v>
      </c>
      <c r="J438" s="9"/>
      <c r="K438" s="72"/>
    </row>
    <row r="439" spans="1:11" ht="14.25">
      <c r="A439" s="9" t="s">
        <v>2461</v>
      </c>
      <c r="B439" s="8">
        <v>44243</v>
      </c>
      <c r="C439" s="8">
        <v>44257</v>
      </c>
      <c r="D439" s="358" t="s">
        <v>2462</v>
      </c>
      <c r="E439" s="9" t="s">
        <v>2463</v>
      </c>
      <c r="G439" s="9">
        <v>25.08</v>
      </c>
      <c r="H439" s="357" t="s">
        <v>2464</v>
      </c>
      <c r="J439" s="9"/>
      <c r="K439" s="72"/>
    </row>
    <row r="440" spans="1:11" ht="14.25">
      <c r="A440" s="22" t="s">
        <v>2465</v>
      </c>
      <c r="B440" s="8">
        <v>44248</v>
      </c>
      <c r="C440" s="10">
        <v>44253</v>
      </c>
      <c r="D440" s="358" t="s">
        <v>2466</v>
      </c>
      <c r="E440" s="9" t="s">
        <v>2467</v>
      </c>
      <c r="G440" s="9">
        <v>17.95</v>
      </c>
      <c r="H440" s="366" t="s">
        <v>2468</v>
      </c>
      <c r="J440" s="9"/>
      <c r="K440" s="72"/>
    </row>
    <row r="441" spans="1:11" ht="25.5">
      <c r="A441" s="9" t="s">
        <v>2469</v>
      </c>
      <c r="B441" s="8">
        <v>44243</v>
      </c>
      <c r="C441" s="10">
        <v>44250</v>
      </c>
      <c r="D441" s="362" t="s">
        <v>2470</v>
      </c>
      <c r="E441" s="365" t="s">
        <v>2471</v>
      </c>
      <c r="G441" s="11">
        <v>100.9</v>
      </c>
      <c r="H441" s="357">
        <v>2877</v>
      </c>
      <c r="J441" s="9"/>
      <c r="K441" s="72"/>
    </row>
    <row r="442" spans="1:11" ht="25.5">
      <c r="A442" s="9" t="s">
        <v>2472</v>
      </c>
      <c r="B442" s="8">
        <v>44243</v>
      </c>
      <c r="C442" s="8">
        <v>44254</v>
      </c>
      <c r="D442" s="362" t="s">
        <v>2473</v>
      </c>
      <c r="E442" s="9" t="s">
        <v>2474</v>
      </c>
      <c r="F442" s="9" t="s">
        <v>1198</v>
      </c>
      <c r="G442" s="9">
        <v>45.92</v>
      </c>
      <c r="H442" s="357">
        <v>5537</v>
      </c>
      <c r="J442" s="9"/>
      <c r="K442" s="72"/>
    </row>
    <row r="443" spans="1:11" ht="12.75" customHeight="1">
      <c r="A443" s="367" t="s">
        <v>2475</v>
      </c>
      <c r="B443" s="367"/>
      <c r="C443" s="368">
        <v>44250</v>
      </c>
      <c r="D443" s="369" t="s">
        <v>2476</v>
      </c>
      <c r="H443" s="357" t="s">
        <v>2477</v>
      </c>
      <c r="J443" s="9"/>
      <c r="K443" s="72"/>
    </row>
    <row r="444" spans="1:11" ht="14.25">
      <c r="A444" s="9" t="s">
        <v>2478</v>
      </c>
      <c r="B444" s="8">
        <v>44252</v>
      </c>
      <c r="C444" s="8">
        <v>44253</v>
      </c>
      <c r="D444" s="358" t="s">
        <v>2479</v>
      </c>
      <c r="E444" s="9" t="s">
        <v>2480</v>
      </c>
      <c r="F444" s="9" t="s">
        <v>1198</v>
      </c>
      <c r="G444" s="9">
        <v>7.79</v>
      </c>
      <c r="H444" s="357" t="s">
        <v>2477</v>
      </c>
      <c r="J444" s="9"/>
      <c r="K444" s="72"/>
    </row>
    <row r="445" spans="1:11" ht="25.5">
      <c r="A445" s="9" t="s">
        <v>2481</v>
      </c>
      <c r="B445" s="8">
        <v>44243</v>
      </c>
      <c r="C445" s="8">
        <v>44256</v>
      </c>
      <c r="D445" s="362" t="s">
        <v>2482</v>
      </c>
      <c r="E445" s="365" t="s">
        <v>2483</v>
      </c>
      <c r="F445" s="9" t="s">
        <v>1198</v>
      </c>
      <c r="G445" s="11">
        <v>38.200000000000003</v>
      </c>
      <c r="H445" s="357">
        <v>80620471</v>
      </c>
      <c r="J445" s="9"/>
      <c r="K445" s="72"/>
    </row>
    <row r="446" spans="1:11" ht="14.25">
      <c r="A446" s="9" t="s">
        <v>2484</v>
      </c>
      <c r="B446" s="8">
        <v>44249</v>
      </c>
      <c r="C446" s="10">
        <v>44252</v>
      </c>
      <c r="D446" s="362" t="s">
        <v>2485</v>
      </c>
      <c r="E446" s="9" t="s">
        <v>2450</v>
      </c>
      <c r="F446" s="9" t="s">
        <v>1217</v>
      </c>
      <c r="G446" s="9">
        <v>27.38</v>
      </c>
      <c r="H446" s="357">
        <v>12694</v>
      </c>
      <c r="J446" s="9"/>
      <c r="K446" s="72"/>
    </row>
    <row r="447" spans="1:11" ht="28.5">
      <c r="A447" s="370" t="s">
        <v>2486</v>
      </c>
      <c r="B447" s="348">
        <v>44235</v>
      </c>
      <c r="C447" s="348">
        <v>44252</v>
      </c>
      <c r="D447" s="358" t="s">
        <v>2487</v>
      </c>
      <c r="E447" s="347" t="s">
        <v>1906</v>
      </c>
      <c r="F447" s="347"/>
      <c r="G447" s="347"/>
      <c r="H447" s="360" t="s">
        <v>2488</v>
      </c>
      <c r="I447" s="9">
        <v>17</v>
      </c>
      <c r="J447" s="9"/>
      <c r="K447" s="72"/>
    </row>
    <row r="448" spans="1:11" ht="28.5">
      <c r="A448" s="370" t="s">
        <v>2489</v>
      </c>
      <c r="B448" s="348">
        <v>44235</v>
      </c>
      <c r="C448" s="348">
        <v>44252</v>
      </c>
      <c r="D448" s="358" t="s">
        <v>2487</v>
      </c>
      <c r="E448" s="347" t="s">
        <v>1906</v>
      </c>
      <c r="F448" s="347" t="s">
        <v>2490</v>
      </c>
      <c r="G448" s="347">
        <v>183.1</v>
      </c>
      <c r="H448" s="357" t="s">
        <v>2488</v>
      </c>
      <c r="I448" s="9">
        <v>17</v>
      </c>
      <c r="J448" s="9"/>
      <c r="K448" s="72"/>
    </row>
    <row r="449" spans="1:11" ht="28.5">
      <c r="A449" s="370" t="s">
        <v>2491</v>
      </c>
      <c r="B449" s="348">
        <v>44235</v>
      </c>
      <c r="C449" s="348">
        <v>44252</v>
      </c>
      <c r="D449" s="358" t="s">
        <v>2492</v>
      </c>
      <c r="E449" s="347" t="s">
        <v>1906</v>
      </c>
      <c r="F449" s="347"/>
      <c r="G449" s="347"/>
      <c r="H449" s="357" t="s">
        <v>2488</v>
      </c>
      <c r="I449" s="9">
        <v>17</v>
      </c>
      <c r="J449" s="9"/>
      <c r="K449" s="72"/>
    </row>
    <row r="450" spans="1:11" ht="28.5">
      <c r="A450" s="9" t="s">
        <v>2493</v>
      </c>
      <c r="B450" s="8">
        <v>44244</v>
      </c>
      <c r="C450" s="10">
        <v>44249</v>
      </c>
      <c r="D450" s="278" t="s">
        <v>2494</v>
      </c>
      <c r="E450" s="9" t="s">
        <v>725</v>
      </c>
      <c r="F450" s="9" t="s">
        <v>1217</v>
      </c>
      <c r="G450" s="9">
        <v>31.45</v>
      </c>
      <c r="H450" s="357" t="s">
        <v>2495</v>
      </c>
      <c r="J450" s="9"/>
      <c r="K450" s="72"/>
    </row>
    <row r="451" spans="1:11" ht="25.5">
      <c r="A451" s="9" t="s">
        <v>2496</v>
      </c>
      <c r="B451" s="8">
        <v>44243</v>
      </c>
      <c r="C451" s="8">
        <v>44246</v>
      </c>
      <c r="D451" s="358" t="s">
        <v>2497</v>
      </c>
      <c r="E451" s="9" t="s">
        <v>2496</v>
      </c>
      <c r="F451" s="9" t="s">
        <v>1198</v>
      </c>
      <c r="G451" s="9">
        <v>111.67</v>
      </c>
      <c r="H451" s="357">
        <v>167269</v>
      </c>
      <c r="J451" s="9"/>
      <c r="K451" s="72"/>
    </row>
    <row r="452" spans="1:11" ht="28.5">
      <c r="A452" s="9" t="s">
        <v>2498</v>
      </c>
      <c r="B452" s="8">
        <v>44238</v>
      </c>
      <c r="C452" s="10">
        <v>44243</v>
      </c>
      <c r="D452" s="278" t="s">
        <v>2499</v>
      </c>
      <c r="E452" s="9" t="s">
        <v>725</v>
      </c>
      <c r="G452" s="9">
        <v>26.03</v>
      </c>
      <c r="H452" s="371" t="s">
        <v>2500</v>
      </c>
      <c r="K452" s="72"/>
    </row>
    <row r="453" spans="1:11" ht="14.25">
      <c r="A453" s="9" t="s">
        <v>2501</v>
      </c>
      <c r="B453" s="8">
        <v>44237</v>
      </c>
      <c r="C453" s="10">
        <v>44243</v>
      </c>
      <c r="D453" s="278" t="s">
        <v>2502</v>
      </c>
      <c r="E453" s="9" t="s">
        <v>725</v>
      </c>
      <c r="G453" s="9">
        <v>14.98</v>
      </c>
      <c r="H453" s="356" t="s">
        <v>2503</v>
      </c>
      <c r="J453" s="114"/>
      <c r="K453" s="72"/>
    </row>
    <row r="454" spans="1:11" ht="28.5">
      <c r="A454" s="9" t="s">
        <v>2504</v>
      </c>
      <c r="B454" s="8">
        <v>44236</v>
      </c>
      <c r="C454" s="9" t="s">
        <v>2505</v>
      </c>
      <c r="D454" s="278" t="s">
        <v>2506</v>
      </c>
      <c r="E454" s="9" t="s">
        <v>725</v>
      </c>
      <c r="G454" s="9">
        <v>72.64</v>
      </c>
      <c r="H454" s="371" t="s">
        <v>2507</v>
      </c>
      <c r="J454" s="114"/>
      <c r="K454" s="72"/>
    </row>
    <row r="455" spans="1:11" ht="12.75" customHeight="1">
      <c r="A455" s="22" t="s">
        <v>2508</v>
      </c>
      <c r="B455" s="8">
        <v>44235</v>
      </c>
      <c r="D455" s="1649"/>
      <c r="E455" s="9" t="s">
        <v>1217</v>
      </c>
      <c r="G455" s="9">
        <v>0</v>
      </c>
      <c r="H455" s="371">
        <v>1774501</v>
      </c>
      <c r="J455" s="114"/>
      <c r="K455" s="72"/>
    </row>
    <row r="456" spans="1:11" ht="25.5">
      <c r="A456" s="22" t="s">
        <v>2509</v>
      </c>
      <c r="B456" s="8">
        <v>44227</v>
      </c>
      <c r="C456" s="8">
        <v>44238</v>
      </c>
      <c r="D456" s="1650" t="s">
        <v>2510</v>
      </c>
      <c r="E456" s="365" t="s">
        <v>2511</v>
      </c>
      <c r="F456" s="9" t="s">
        <v>1217</v>
      </c>
      <c r="G456" s="9">
        <v>190.85</v>
      </c>
      <c r="H456" s="371">
        <v>1526855</v>
      </c>
      <c r="J456" s="114"/>
      <c r="K456" s="72"/>
    </row>
    <row r="457" spans="1:11" ht="24">
      <c r="A457" s="22" t="s">
        <v>2512</v>
      </c>
      <c r="B457" s="8">
        <v>44233</v>
      </c>
      <c r="C457" s="8">
        <v>44236</v>
      </c>
      <c r="D457" s="278" t="s">
        <v>2513</v>
      </c>
      <c r="E457" s="9" t="s">
        <v>69</v>
      </c>
      <c r="G457" s="112" t="s">
        <v>2514</v>
      </c>
      <c r="H457" s="356" t="s">
        <v>2515</v>
      </c>
      <c r="J457" s="114"/>
      <c r="K457" s="72"/>
    </row>
    <row r="458" spans="1:11" ht="28.5">
      <c r="A458" s="22" t="s">
        <v>2516</v>
      </c>
      <c r="B458" s="8">
        <v>44219</v>
      </c>
      <c r="C458" s="8">
        <v>44235</v>
      </c>
      <c r="D458" s="278" t="s">
        <v>2517</v>
      </c>
      <c r="E458" s="9" t="s">
        <v>2518</v>
      </c>
      <c r="G458" s="9">
        <v>102</v>
      </c>
      <c r="H458" s="372" t="s">
        <v>2519</v>
      </c>
      <c r="I458" s="9">
        <v>15</v>
      </c>
      <c r="J458" s="114"/>
      <c r="K458" s="72"/>
    </row>
    <row r="459" spans="1:11" ht="28.5">
      <c r="A459" s="9" t="s">
        <v>2520</v>
      </c>
      <c r="B459" s="8">
        <v>44228</v>
      </c>
      <c r="C459" s="8">
        <v>44233</v>
      </c>
      <c r="D459" s="278" t="s">
        <v>2521</v>
      </c>
      <c r="E459" s="9" t="s">
        <v>725</v>
      </c>
      <c r="G459" s="9">
        <v>7.49</v>
      </c>
      <c r="H459" s="371" t="s">
        <v>2522</v>
      </c>
      <c r="J459" s="114"/>
      <c r="K459" s="72"/>
    </row>
    <row r="460" spans="1:11" ht="28.5">
      <c r="A460" s="9" t="s">
        <v>2523</v>
      </c>
      <c r="B460" s="8">
        <v>44227</v>
      </c>
      <c r="C460" s="8">
        <v>44235</v>
      </c>
      <c r="D460" s="278" t="s">
        <v>2524</v>
      </c>
      <c r="E460" s="22" t="s">
        <v>2525</v>
      </c>
      <c r="F460" s="9" t="s">
        <v>1198</v>
      </c>
      <c r="G460" s="9">
        <v>187.17</v>
      </c>
      <c r="H460" s="371">
        <v>13591</v>
      </c>
      <c r="J460" s="114"/>
      <c r="K460" s="72"/>
    </row>
    <row r="461" spans="1:11" ht="28.5">
      <c r="A461" s="9" t="s">
        <v>2526</v>
      </c>
      <c r="B461" s="8">
        <v>44228</v>
      </c>
      <c r="C461" s="8">
        <v>44230</v>
      </c>
      <c r="D461" s="278" t="s">
        <v>2527</v>
      </c>
      <c r="E461" s="9" t="s">
        <v>725</v>
      </c>
      <c r="G461" s="9">
        <v>9.99</v>
      </c>
      <c r="H461" s="371" t="s">
        <v>2528</v>
      </c>
      <c r="J461" s="114"/>
      <c r="K461" s="72"/>
    </row>
    <row r="462" spans="1:11" ht="28.5">
      <c r="A462" s="22" t="s">
        <v>2529</v>
      </c>
      <c r="B462" s="8">
        <v>44227</v>
      </c>
      <c r="C462" s="8">
        <v>44230</v>
      </c>
      <c r="D462" s="278" t="s">
        <v>2530</v>
      </c>
      <c r="E462" s="9" t="s">
        <v>725</v>
      </c>
      <c r="G462" s="9">
        <v>20.54</v>
      </c>
      <c r="H462" s="371" t="s">
        <v>2531</v>
      </c>
      <c r="J462" s="114"/>
      <c r="K462" s="72"/>
    </row>
    <row r="463" spans="1:11" ht="14.25">
      <c r="A463" s="9" t="s">
        <v>2532</v>
      </c>
      <c r="B463" s="8">
        <v>44225</v>
      </c>
      <c r="C463" s="8">
        <v>44228</v>
      </c>
      <c r="D463" s="278" t="s">
        <v>2533</v>
      </c>
      <c r="E463" s="9" t="s">
        <v>1176</v>
      </c>
      <c r="G463" s="9">
        <v>43.99</v>
      </c>
      <c r="H463" s="373" t="s">
        <v>2534</v>
      </c>
      <c r="J463" s="114"/>
      <c r="K463" s="72"/>
    </row>
    <row r="464" spans="1:11">
      <c r="A464" s="9" t="s">
        <v>2535</v>
      </c>
      <c r="B464" s="8">
        <v>44219</v>
      </c>
      <c r="C464" s="9" t="s">
        <v>2536</v>
      </c>
      <c r="D464" s="374"/>
      <c r="E464" s="9" t="s">
        <v>725</v>
      </c>
      <c r="G464" s="9">
        <v>31</v>
      </c>
      <c r="H464" s="375" t="s">
        <v>2537</v>
      </c>
      <c r="J464" s="114"/>
      <c r="K464" s="72"/>
    </row>
    <row r="465" spans="1:11" ht="14.25">
      <c r="A465" s="9" t="s">
        <v>2538</v>
      </c>
      <c r="B465" s="8">
        <v>44223</v>
      </c>
      <c r="C465" s="8">
        <v>44225</v>
      </c>
      <c r="D465" s="278" t="s">
        <v>2539</v>
      </c>
      <c r="E465" s="9" t="s">
        <v>1222</v>
      </c>
      <c r="G465" s="9">
        <v>35.99</v>
      </c>
      <c r="H465" s="375" t="s">
        <v>2540</v>
      </c>
      <c r="J465" s="114"/>
      <c r="K465" s="72"/>
    </row>
    <row r="466" spans="1:11" ht="25.5">
      <c r="A466" s="9" t="s">
        <v>2541</v>
      </c>
      <c r="B466" s="8">
        <v>44219</v>
      </c>
      <c r="C466" s="9" t="s">
        <v>2542</v>
      </c>
      <c r="D466" s="374"/>
      <c r="E466" s="9" t="s">
        <v>2518</v>
      </c>
      <c r="J466" s="114"/>
      <c r="K466" s="72"/>
    </row>
    <row r="467" spans="1:11" ht="14.25">
      <c r="A467" s="9" t="s">
        <v>2543</v>
      </c>
      <c r="B467" s="8">
        <v>44220</v>
      </c>
      <c r="C467" s="8">
        <v>44223</v>
      </c>
      <c r="D467" s="278" t="s">
        <v>2544</v>
      </c>
      <c r="E467" s="9" t="s">
        <v>1222</v>
      </c>
      <c r="G467" s="9">
        <v>165.99</v>
      </c>
      <c r="H467" s="356" t="s">
        <v>2545</v>
      </c>
    </row>
    <row r="468" spans="1:11" ht="14.25">
      <c r="A468" s="9" t="s">
        <v>2546</v>
      </c>
      <c r="B468" s="8">
        <v>44221</v>
      </c>
      <c r="C468" s="8">
        <v>44223</v>
      </c>
      <c r="D468" s="278" t="s">
        <v>2547</v>
      </c>
      <c r="E468" s="9" t="s">
        <v>1222</v>
      </c>
      <c r="G468" s="9">
        <v>12.97</v>
      </c>
      <c r="H468" s="356" t="s">
        <v>2548</v>
      </c>
    </row>
    <row r="469" spans="1:11" ht="14.25">
      <c r="A469" s="9" t="s">
        <v>2549</v>
      </c>
      <c r="B469" s="8">
        <v>44215</v>
      </c>
      <c r="C469" s="8">
        <v>44217</v>
      </c>
      <c r="D469" s="278" t="s">
        <v>2550</v>
      </c>
      <c r="E469" s="9" t="s">
        <v>1176</v>
      </c>
      <c r="F469" s="9" t="s">
        <v>1217</v>
      </c>
      <c r="G469" s="9">
        <v>14</v>
      </c>
      <c r="H469" s="375" t="s">
        <v>2551</v>
      </c>
    </row>
    <row r="470" spans="1:11" ht="25.5">
      <c r="A470" s="9" t="s">
        <v>2552</v>
      </c>
      <c r="B470" s="8">
        <v>44198</v>
      </c>
      <c r="C470" s="8">
        <v>44222</v>
      </c>
      <c r="D470" s="303" t="s">
        <v>2553</v>
      </c>
      <c r="E470" s="9" t="s">
        <v>2518</v>
      </c>
      <c r="G470" s="9">
        <v>46.3</v>
      </c>
      <c r="H470" s="375" t="s">
        <v>2554</v>
      </c>
      <c r="I470" s="9">
        <v>24</v>
      </c>
    </row>
    <row r="471" spans="1:11" ht="14.25">
      <c r="A471" s="9" t="s">
        <v>2555</v>
      </c>
      <c r="B471" s="8">
        <v>44216</v>
      </c>
      <c r="C471" s="10">
        <v>44221</v>
      </c>
      <c r="D471" s="278" t="s">
        <v>2556</v>
      </c>
      <c r="E471" s="9" t="s">
        <v>1176</v>
      </c>
      <c r="G471" s="9">
        <v>13.88</v>
      </c>
      <c r="H471" s="375" t="s">
        <v>2557</v>
      </c>
    </row>
    <row r="472" spans="1:11" ht="14.25">
      <c r="A472" s="9" t="s">
        <v>2558</v>
      </c>
      <c r="B472" s="9">
        <v>1818</v>
      </c>
      <c r="C472" s="8">
        <v>44218</v>
      </c>
      <c r="D472" s="278" t="s">
        <v>2559</v>
      </c>
      <c r="E472" s="9" t="s">
        <v>1176</v>
      </c>
      <c r="G472" s="9">
        <v>8.49</v>
      </c>
      <c r="H472" s="375" t="s">
        <v>2560</v>
      </c>
    </row>
    <row r="473" spans="1:11" ht="14.25">
      <c r="A473" s="9" t="s">
        <v>2549</v>
      </c>
      <c r="B473" s="8">
        <v>44215</v>
      </c>
      <c r="C473" s="8">
        <v>44221</v>
      </c>
      <c r="D473" s="278" t="s">
        <v>2561</v>
      </c>
      <c r="E473" s="9" t="s">
        <v>1176</v>
      </c>
      <c r="G473" s="9">
        <v>12</v>
      </c>
      <c r="H473" s="375" t="s">
        <v>2562</v>
      </c>
    </row>
    <row r="474" spans="1:11" ht="14.25">
      <c r="A474" s="9" t="s">
        <v>2563</v>
      </c>
      <c r="B474" s="8">
        <v>44216</v>
      </c>
      <c r="C474" s="8">
        <v>44218</v>
      </c>
      <c r="D474" s="278" t="s">
        <v>2564</v>
      </c>
      <c r="E474" s="9" t="s">
        <v>1176</v>
      </c>
      <c r="F474" s="9" t="s">
        <v>135</v>
      </c>
      <c r="G474" s="9">
        <v>27.51</v>
      </c>
      <c r="H474" s="373" t="s">
        <v>2565</v>
      </c>
      <c r="K474" s="376"/>
    </row>
    <row r="475" spans="1:11" ht="12.75" customHeight="1">
      <c r="A475" s="9" t="s">
        <v>2566</v>
      </c>
      <c r="B475" s="8">
        <v>44212</v>
      </c>
      <c r="C475" s="8">
        <v>44216</v>
      </c>
      <c r="D475" s="40"/>
      <c r="E475" s="9" t="s">
        <v>1176</v>
      </c>
      <c r="G475" s="9">
        <v>45.67</v>
      </c>
      <c r="H475" s="375" t="s">
        <v>2567</v>
      </c>
      <c r="J475" s="377"/>
      <c r="K475" s="376"/>
    </row>
    <row r="476" spans="1:11" ht="12.75" customHeight="1">
      <c r="A476" s="9" t="s">
        <v>2568</v>
      </c>
      <c r="B476" s="8">
        <v>44208</v>
      </c>
      <c r="C476" s="8">
        <v>44211</v>
      </c>
      <c r="D476" s="278" t="s">
        <v>2569</v>
      </c>
      <c r="E476" s="9" t="s">
        <v>1222</v>
      </c>
      <c r="G476" s="9">
        <v>30.99</v>
      </c>
      <c r="H476" s="356" t="s">
        <v>2570</v>
      </c>
      <c r="J476" s="377"/>
      <c r="K476" s="376"/>
    </row>
    <row r="477" spans="1:11" ht="12.75" customHeight="1">
      <c r="A477" s="9" t="s">
        <v>2571</v>
      </c>
      <c r="B477" s="8">
        <v>44209</v>
      </c>
      <c r="C477" s="8">
        <v>44211</v>
      </c>
      <c r="D477" s="40"/>
      <c r="E477" s="9" t="s">
        <v>1222</v>
      </c>
      <c r="G477" s="9">
        <v>11.99</v>
      </c>
      <c r="H477" s="356" t="s">
        <v>2572</v>
      </c>
      <c r="J477" s="378"/>
      <c r="K477" s="376"/>
    </row>
    <row r="478" spans="1:11">
      <c r="A478" s="9" t="s">
        <v>2573</v>
      </c>
      <c r="B478" s="8">
        <v>44209</v>
      </c>
      <c r="C478" s="8">
        <v>44214</v>
      </c>
      <c r="D478" s="374"/>
      <c r="E478" s="9" t="s">
        <v>1222</v>
      </c>
      <c r="G478" s="9">
        <v>12.97</v>
      </c>
      <c r="H478" s="356" t="s">
        <v>2574</v>
      </c>
    </row>
    <row r="479" spans="1:11">
      <c r="A479" s="3">
        <v>2020</v>
      </c>
      <c r="B479" s="8"/>
      <c r="C479" s="112"/>
      <c r="D479" s="374"/>
      <c r="E479" s="9"/>
      <c r="G479" s="9"/>
      <c r="H479" s="375"/>
    </row>
    <row r="480" spans="1:11">
      <c r="A480" s="9" t="s">
        <v>1277</v>
      </c>
      <c r="B480" s="8">
        <v>44186</v>
      </c>
      <c r="C480" s="112" t="s">
        <v>2575</v>
      </c>
      <c r="D480" s="374" t="s">
        <v>2576</v>
      </c>
      <c r="E480" s="9" t="s">
        <v>1764</v>
      </c>
      <c r="G480" s="9">
        <v>0</v>
      </c>
      <c r="H480" s="373">
        <v>2790792849</v>
      </c>
    </row>
    <row r="481" spans="1:11" ht="25.5">
      <c r="A481" s="379" t="s">
        <v>2577</v>
      </c>
      <c r="B481" s="8">
        <v>44204</v>
      </c>
      <c r="C481" s="8">
        <v>44209</v>
      </c>
      <c r="D481" s="278" t="s">
        <v>2578</v>
      </c>
      <c r="E481" s="9" t="s">
        <v>1902</v>
      </c>
      <c r="F481" s="9" t="s">
        <v>1217</v>
      </c>
      <c r="G481" s="9">
        <v>7.58</v>
      </c>
      <c r="H481" s="380" t="s">
        <v>2579</v>
      </c>
    </row>
    <row r="482" spans="1:11">
      <c r="A482" s="9" t="s">
        <v>2580</v>
      </c>
      <c r="B482" s="8">
        <v>44192</v>
      </c>
      <c r="C482" s="8">
        <v>43834</v>
      </c>
      <c r="D482" s="374" t="s">
        <v>2581</v>
      </c>
      <c r="E482" s="9" t="s">
        <v>1222</v>
      </c>
      <c r="F482" s="9" t="s">
        <v>1217</v>
      </c>
      <c r="G482" s="9">
        <v>10.63</v>
      </c>
      <c r="H482" s="375" t="s">
        <v>2582</v>
      </c>
    </row>
    <row r="483" spans="1:11">
      <c r="A483" s="347" t="s">
        <v>2151</v>
      </c>
      <c r="B483" s="348">
        <v>44165</v>
      </c>
      <c r="C483" s="381" t="s">
        <v>2583</v>
      </c>
      <c r="D483" s="382" t="s">
        <v>2584</v>
      </c>
      <c r="E483" s="347"/>
      <c r="F483" s="347"/>
      <c r="G483" s="347"/>
      <c r="H483" s="383" t="s">
        <v>2585</v>
      </c>
    </row>
    <row r="484" spans="1:11" ht="25.5">
      <c r="A484" s="347" t="s">
        <v>2586</v>
      </c>
      <c r="B484" s="348">
        <v>44189</v>
      </c>
      <c r="C484" s="348">
        <v>44202</v>
      </c>
      <c r="D484" s="382" t="s">
        <v>2587</v>
      </c>
      <c r="E484" s="347" t="s">
        <v>1771</v>
      </c>
      <c r="F484" s="347"/>
      <c r="G484" s="347"/>
      <c r="H484" s="383" t="s">
        <v>2588</v>
      </c>
    </row>
    <row r="485" spans="1:11" ht="25.5">
      <c r="A485" s="347" t="s">
        <v>2589</v>
      </c>
      <c r="B485" s="348">
        <v>44183</v>
      </c>
      <c r="C485" s="347" t="s">
        <v>2590</v>
      </c>
      <c r="D485" s="382" t="s">
        <v>2591</v>
      </c>
      <c r="E485" s="347" t="s">
        <v>1771</v>
      </c>
      <c r="F485" s="347"/>
      <c r="G485" s="347">
        <v>11.06</v>
      </c>
      <c r="H485" s="383" t="s">
        <v>2592</v>
      </c>
    </row>
    <row r="486" spans="1:11" ht="25.5">
      <c r="A486" s="347" t="s">
        <v>2593</v>
      </c>
      <c r="B486" s="348">
        <v>44188</v>
      </c>
      <c r="C486" s="348">
        <v>43860</v>
      </c>
      <c r="D486" s="382" t="s">
        <v>2587</v>
      </c>
      <c r="E486" s="347" t="s">
        <v>1771</v>
      </c>
      <c r="F486" s="347"/>
      <c r="G486" s="347"/>
      <c r="H486" s="384" t="s">
        <v>2594</v>
      </c>
    </row>
    <row r="487" spans="1:11" ht="25.5">
      <c r="A487" s="9" t="s">
        <v>2595</v>
      </c>
      <c r="B487" s="8">
        <v>44171</v>
      </c>
      <c r="C487" s="353">
        <v>44196</v>
      </c>
      <c r="D487" s="374" t="s">
        <v>2596</v>
      </c>
      <c r="E487" s="9" t="s">
        <v>1771</v>
      </c>
      <c r="F487" s="9" t="s">
        <v>1217</v>
      </c>
      <c r="H487" s="375" t="s">
        <v>2597</v>
      </c>
    </row>
    <row r="488" spans="1:11" ht="25.5">
      <c r="A488" s="9" t="s">
        <v>2598</v>
      </c>
      <c r="B488" s="8">
        <v>44171</v>
      </c>
      <c r="C488" s="353">
        <v>44196</v>
      </c>
      <c r="D488" s="374" t="s">
        <v>2596</v>
      </c>
      <c r="E488" s="9" t="s">
        <v>1771</v>
      </c>
      <c r="F488" s="9" t="s">
        <v>1217</v>
      </c>
      <c r="H488" s="375" t="s">
        <v>2597</v>
      </c>
    </row>
    <row r="489" spans="1:11" ht="12.75" customHeight="1">
      <c r="A489" s="9" t="s">
        <v>2599</v>
      </c>
      <c r="B489" s="8">
        <v>44171</v>
      </c>
      <c r="C489" s="353">
        <v>44196</v>
      </c>
      <c r="D489" s="374" t="s">
        <v>2596</v>
      </c>
      <c r="E489" s="9" t="s">
        <v>1771</v>
      </c>
      <c r="F489" s="9" t="s">
        <v>1217</v>
      </c>
      <c r="H489" s="375" t="s">
        <v>2597</v>
      </c>
      <c r="J489" s="377"/>
      <c r="K489" s="69"/>
    </row>
    <row r="490" spans="1:11" ht="12.75" customHeight="1">
      <c r="A490" s="9" t="s">
        <v>2600</v>
      </c>
      <c r="B490" s="8">
        <v>44186</v>
      </c>
      <c r="D490" s="40"/>
      <c r="E490" s="9" t="s">
        <v>1764</v>
      </c>
      <c r="H490" s="373">
        <v>2790792849</v>
      </c>
      <c r="J490" s="378"/>
      <c r="K490" s="376"/>
    </row>
    <row r="491" spans="1:11" ht="17.25">
      <c r="A491" s="9" t="s">
        <v>2601</v>
      </c>
      <c r="B491" s="8">
        <v>44166</v>
      </c>
      <c r="C491" s="82"/>
      <c r="D491" s="278" t="s">
        <v>2584</v>
      </c>
      <c r="E491" s="385" t="s">
        <v>2602</v>
      </c>
      <c r="F491" s="9" t="s">
        <v>135</v>
      </c>
      <c r="H491" s="375" t="s">
        <v>2603</v>
      </c>
      <c r="J491" s="25"/>
      <c r="K491" s="69"/>
    </row>
    <row r="492" spans="1:11">
      <c r="A492" s="9" t="s">
        <v>2604</v>
      </c>
      <c r="B492" s="8">
        <v>44177</v>
      </c>
      <c r="C492" s="330">
        <v>44191</v>
      </c>
      <c r="D492" s="386" t="s">
        <v>2605</v>
      </c>
      <c r="E492" s="9" t="s">
        <v>1176</v>
      </c>
      <c r="F492" s="9" t="s">
        <v>1198</v>
      </c>
      <c r="G492" s="9">
        <v>21.88</v>
      </c>
      <c r="H492" s="375" t="s">
        <v>2606</v>
      </c>
      <c r="K492" s="69"/>
    </row>
    <row r="493" spans="1:11" ht="14.25">
      <c r="A493" s="9" t="s">
        <v>2604</v>
      </c>
      <c r="B493" s="8">
        <v>44178</v>
      </c>
      <c r="C493" s="330">
        <v>44188</v>
      </c>
      <c r="D493" s="284" t="s">
        <v>2607</v>
      </c>
      <c r="E493" s="9" t="s">
        <v>1705</v>
      </c>
      <c r="G493" s="9">
        <v>22.88</v>
      </c>
      <c r="H493" s="375">
        <v>6192002161984</v>
      </c>
    </row>
    <row r="494" spans="1:11" ht="12.75" customHeight="1">
      <c r="A494" s="9" t="s">
        <v>2608</v>
      </c>
      <c r="B494" s="8">
        <v>44178</v>
      </c>
      <c r="C494" s="387">
        <v>44184</v>
      </c>
      <c r="D494" s="278" t="s">
        <v>2609</v>
      </c>
      <c r="E494" s="9" t="s">
        <v>1176</v>
      </c>
      <c r="F494" s="9"/>
      <c r="G494" s="9">
        <v>6.99</v>
      </c>
      <c r="H494" s="375" t="s">
        <v>2610</v>
      </c>
      <c r="J494" s="377"/>
      <c r="K494" s="376"/>
    </row>
    <row r="495" spans="1:11" ht="14.25">
      <c r="A495" s="9" t="s">
        <v>2611</v>
      </c>
      <c r="B495" s="8">
        <v>44178</v>
      </c>
      <c r="C495" s="353"/>
      <c r="D495" s="303" t="s">
        <v>2612</v>
      </c>
      <c r="E495" s="9" t="s">
        <v>2613</v>
      </c>
      <c r="F495" s="9" t="s">
        <v>1198</v>
      </c>
      <c r="G495" s="9">
        <v>27.1</v>
      </c>
      <c r="H495" s="375" t="s">
        <v>2614</v>
      </c>
    </row>
    <row r="496" spans="1:11" ht="14.25">
      <c r="A496" s="9" t="s">
        <v>2615</v>
      </c>
      <c r="B496" s="8">
        <v>44177</v>
      </c>
      <c r="C496" s="388" t="s">
        <v>2616</v>
      </c>
      <c r="D496" s="278" t="s">
        <v>2617</v>
      </c>
      <c r="E496" s="9" t="s">
        <v>1176</v>
      </c>
      <c r="G496" s="9">
        <v>10.8</v>
      </c>
      <c r="H496" s="375" t="s">
        <v>2618</v>
      </c>
    </row>
    <row r="497" spans="1:11" ht="14.25">
      <c r="A497" s="9" t="s">
        <v>2619</v>
      </c>
      <c r="B497" s="8">
        <v>44179</v>
      </c>
      <c r="C497" s="10">
        <v>44182</v>
      </c>
      <c r="D497" s="278" t="s">
        <v>2620</v>
      </c>
      <c r="E497" s="9"/>
      <c r="G497" s="9">
        <v>9.99</v>
      </c>
      <c r="H497" s="356" t="s">
        <v>2621</v>
      </c>
    </row>
    <row r="498" spans="1:11" ht="14.25">
      <c r="A498" s="9" t="s">
        <v>2622</v>
      </c>
      <c r="B498" s="8">
        <v>44179</v>
      </c>
      <c r="C498" s="8">
        <v>44182</v>
      </c>
      <c r="D498" s="278"/>
      <c r="E498" s="9" t="s">
        <v>1217</v>
      </c>
      <c r="G498" s="9">
        <v>0</v>
      </c>
    </row>
    <row r="499" spans="1:11" ht="14.25">
      <c r="A499" s="9" t="s">
        <v>2623</v>
      </c>
      <c r="B499" s="8">
        <v>44179</v>
      </c>
      <c r="C499" s="353">
        <v>44182</v>
      </c>
      <c r="D499" s="278"/>
      <c r="E499" s="9" t="s">
        <v>1176</v>
      </c>
      <c r="F499" s="9"/>
      <c r="G499" s="9">
        <v>28.87</v>
      </c>
      <c r="H499" s="356" t="s">
        <v>2624</v>
      </c>
    </row>
    <row r="500" spans="1:11" ht="14.25">
      <c r="A500" s="9" t="s">
        <v>2625</v>
      </c>
      <c r="B500" s="8">
        <v>44176</v>
      </c>
      <c r="C500" s="348">
        <v>44179</v>
      </c>
      <c r="D500" s="278" t="s">
        <v>2626</v>
      </c>
      <c r="E500" s="9" t="s">
        <v>1176</v>
      </c>
      <c r="G500" s="9">
        <v>19.989999999999998</v>
      </c>
      <c r="H500" s="389" t="s">
        <v>2627</v>
      </c>
    </row>
    <row r="501" spans="1:11" ht="14.25">
      <c r="A501" s="9" t="s">
        <v>2628</v>
      </c>
      <c r="B501" s="8">
        <v>44177</v>
      </c>
      <c r="C501" s="348">
        <v>44179</v>
      </c>
      <c r="D501" s="278" t="s">
        <v>2626</v>
      </c>
      <c r="E501" s="9" t="s">
        <v>1176</v>
      </c>
      <c r="G501" s="9">
        <v>28.94</v>
      </c>
      <c r="H501" s="389" t="s">
        <v>2629</v>
      </c>
      <c r="K501" s="6">
        <f>SUM(K474:K500)</f>
        <v>0</v>
      </c>
    </row>
    <row r="502" spans="1:11" ht="12.75" customHeight="1">
      <c r="A502" s="9" t="s">
        <v>2630</v>
      </c>
      <c r="B502" s="8">
        <v>44165</v>
      </c>
      <c r="C502" s="353">
        <v>44176</v>
      </c>
      <c r="D502" s="390">
        <v>781160030210</v>
      </c>
      <c r="E502" s="391" t="s">
        <v>2631</v>
      </c>
      <c r="F502" s="9" t="s">
        <v>1388</v>
      </c>
      <c r="G502" s="9">
        <v>544.98</v>
      </c>
      <c r="H502" s="392" t="s">
        <v>2632</v>
      </c>
      <c r="J502" s="393" t="s">
        <v>2633</v>
      </c>
      <c r="K502" s="394">
        <f>K501/4</f>
        <v>0</v>
      </c>
    </row>
    <row r="503" spans="1:11" ht="25.5">
      <c r="A503" s="253" t="s">
        <v>2634</v>
      </c>
      <c r="B503" s="8">
        <v>44173</v>
      </c>
      <c r="C503" s="353">
        <v>44176</v>
      </c>
      <c r="D503" s="40"/>
      <c r="E503" s="9" t="s">
        <v>1176</v>
      </c>
      <c r="G503" s="9">
        <v>59.59</v>
      </c>
      <c r="H503" s="356" t="s">
        <v>2635</v>
      </c>
      <c r="K503" s="6"/>
    </row>
    <row r="504" spans="1:11" ht="12.75" customHeight="1">
      <c r="A504" s="9" t="s">
        <v>2636</v>
      </c>
      <c r="B504" s="8">
        <v>44165</v>
      </c>
      <c r="C504" s="353">
        <v>44174</v>
      </c>
      <c r="D504" s="395">
        <v>780971494281</v>
      </c>
      <c r="E504" s="391" t="s">
        <v>2631</v>
      </c>
      <c r="F504" s="9" t="s">
        <v>1388</v>
      </c>
      <c r="G504" s="9">
        <v>544.98</v>
      </c>
      <c r="H504" s="392" t="s">
        <v>2632</v>
      </c>
      <c r="J504" s="393" t="s">
        <v>2633</v>
      </c>
      <c r="K504" s="394">
        <f>SUM(K491:K502)</f>
        <v>0</v>
      </c>
    </row>
    <row r="505" spans="1:11">
      <c r="A505" s="9" t="s">
        <v>2637</v>
      </c>
      <c r="B505" s="8">
        <v>44170</v>
      </c>
      <c r="C505" s="353">
        <v>44174</v>
      </c>
      <c r="D505" s="395" t="s">
        <v>2638</v>
      </c>
      <c r="E505" s="9" t="s">
        <v>1176</v>
      </c>
      <c r="F505" s="9" t="s">
        <v>1217</v>
      </c>
      <c r="G505" s="12">
        <v>239.99</v>
      </c>
      <c r="H505" s="389" t="s">
        <v>2639</v>
      </c>
      <c r="J505" s="9" t="s">
        <v>1136</v>
      </c>
      <c r="K505" s="9">
        <f>K504/4</f>
        <v>0</v>
      </c>
    </row>
    <row r="506" spans="1:11" ht="25.5">
      <c r="A506" s="9" t="s">
        <v>2640</v>
      </c>
      <c r="B506" s="8">
        <v>44167</v>
      </c>
      <c r="C506" s="10">
        <v>44172</v>
      </c>
      <c r="D506" s="395" t="s">
        <v>2641</v>
      </c>
      <c r="E506" s="9" t="s">
        <v>2083</v>
      </c>
      <c r="F506" s="9" t="s">
        <v>1198</v>
      </c>
      <c r="G506" s="9">
        <v>0</v>
      </c>
      <c r="H506" s="396">
        <v>2388006549</v>
      </c>
    </row>
    <row r="507" spans="1:11" ht="25.5">
      <c r="A507" s="9" t="s">
        <v>2642</v>
      </c>
      <c r="B507" s="8">
        <v>44166</v>
      </c>
      <c r="C507" s="9" t="s">
        <v>2643</v>
      </c>
      <c r="D507" s="395" t="s">
        <v>2644</v>
      </c>
      <c r="E507" s="9" t="s">
        <v>2645</v>
      </c>
      <c r="F507" s="9" t="s">
        <v>725</v>
      </c>
      <c r="G507" s="9">
        <v>746.82</v>
      </c>
      <c r="H507" s="389" t="s">
        <v>2646</v>
      </c>
    </row>
    <row r="508" spans="1:11">
      <c r="A508" s="397" t="s">
        <v>2647</v>
      </c>
      <c r="B508" s="8">
        <v>44168</v>
      </c>
      <c r="C508" s="8">
        <v>44173</v>
      </c>
      <c r="D508" s="395" t="s">
        <v>2648</v>
      </c>
      <c r="E508" s="9" t="s">
        <v>1222</v>
      </c>
      <c r="G508" s="9">
        <v>7.58</v>
      </c>
      <c r="H508" s="389" t="s">
        <v>2649</v>
      </c>
    </row>
    <row r="509" spans="1:11">
      <c r="A509" s="9" t="s">
        <v>2650</v>
      </c>
      <c r="B509" s="8">
        <v>44153</v>
      </c>
      <c r="C509" s="8">
        <v>44169</v>
      </c>
      <c r="D509" s="395"/>
      <c r="E509" s="9" t="s">
        <v>1198</v>
      </c>
      <c r="F509" s="9" t="s">
        <v>1198</v>
      </c>
      <c r="G509" s="9">
        <v>0</v>
      </c>
      <c r="H509" s="398" t="s">
        <v>2651</v>
      </c>
      <c r="J509" s="361"/>
      <c r="K509" s="72"/>
    </row>
    <row r="510" spans="1:11">
      <c r="A510" s="9" t="s">
        <v>2652</v>
      </c>
      <c r="C510" s="8">
        <v>44168</v>
      </c>
      <c r="D510" s="399" t="s">
        <v>2653</v>
      </c>
      <c r="F510" s="9" t="s">
        <v>1217</v>
      </c>
      <c r="H510" s="9" t="s">
        <v>2654</v>
      </c>
      <c r="K510" s="72"/>
    </row>
    <row r="511" spans="1:11" ht="25.5">
      <c r="A511" s="9" t="s">
        <v>2655</v>
      </c>
      <c r="B511" s="8">
        <v>44163</v>
      </c>
      <c r="C511" s="8">
        <v>44167</v>
      </c>
      <c r="D511" s="374"/>
      <c r="E511" s="365" t="s">
        <v>2656</v>
      </c>
      <c r="G511" s="9">
        <v>21.3</v>
      </c>
      <c r="H511" s="380">
        <v>8124160</v>
      </c>
      <c r="K511" s="72"/>
    </row>
    <row r="512" spans="1:11" ht="14.25">
      <c r="A512" s="400" t="s">
        <v>2657</v>
      </c>
      <c r="B512" s="8">
        <v>44154</v>
      </c>
      <c r="C512" s="8">
        <v>44160</v>
      </c>
      <c r="D512" s="303" t="s">
        <v>2658</v>
      </c>
      <c r="E512" s="9" t="s">
        <v>1176</v>
      </c>
      <c r="F512" s="9" t="s">
        <v>1217</v>
      </c>
      <c r="G512" s="9">
        <v>24.9</v>
      </c>
      <c r="H512" s="380" t="s">
        <v>2659</v>
      </c>
      <c r="J512" s="93"/>
      <c r="K512" s="72"/>
    </row>
    <row r="513" spans="1:11" ht="28.5">
      <c r="A513" s="401" t="s">
        <v>2660</v>
      </c>
      <c r="B513" s="8">
        <v>44156</v>
      </c>
      <c r="C513" s="8">
        <v>44167</v>
      </c>
      <c r="D513" s="351" t="s">
        <v>2661</v>
      </c>
      <c r="E513" s="9" t="s">
        <v>293</v>
      </c>
      <c r="F513" s="9" t="s">
        <v>1198</v>
      </c>
      <c r="G513" s="9">
        <v>11.13</v>
      </c>
      <c r="H513" s="380" t="s">
        <v>2662</v>
      </c>
      <c r="K513" s="72"/>
    </row>
    <row r="514" spans="1:11" ht="14.25">
      <c r="A514" s="9" t="s">
        <v>2546</v>
      </c>
      <c r="B514" s="8">
        <v>44155</v>
      </c>
      <c r="C514" s="8">
        <v>44160</v>
      </c>
      <c r="D514" s="278" t="s">
        <v>2663</v>
      </c>
      <c r="F514" s="9" t="s">
        <v>1217</v>
      </c>
      <c r="G514" s="9">
        <v>12.97</v>
      </c>
      <c r="H514" s="380" t="s">
        <v>2664</v>
      </c>
      <c r="K514" s="72"/>
    </row>
    <row r="515" spans="1:11" ht="14.25">
      <c r="A515" s="9" t="s">
        <v>1365</v>
      </c>
      <c r="B515" s="8">
        <v>44151</v>
      </c>
      <c r="C515" s="8">
        <v>44155</v>
      </c>
      <c r="D515" s="278" t="s">
        <v>2665</v>
      </c>
      <c r="E515" s="9" t="s">
        <v>1176</v>
      </c>
      <c r="F515" s="9" t="s">
        <v>1217</v>
      </c>
      <c r="G515" s="9">
        <v>59.97</v>
      </c>
      <c r="H515" s="356" t="s">
        <v>2666</v>
      </c>
      <c r="J515" s="356" t="s">
        <v>2602</v>
      </c>
      <c r="K515" s="72"/>
    </row>
    <row r="516" spans="1:11">
      <c r="A516" s="9" t="s">
        <v>2667</v>
      </c>
      <c r="B516" s="8">
        <v>44147</v>
      </c>
      <c r="C516" s="8">
        <v>44155</v>
      </c>
      <c r="D516" s="374" t="s">
        <v>2668</v>
      </c>
      <c r="E516" s="9" t="s">
        <v>293</v>
      </c>
      <c r="F516" s="9" t="s">
        <v>1198</v>
      </c>
      <c r="G516" s="9">
        <v>46.5</v>
      </c>
      <c r="H516" s="380" t="s">
        <v>2669</v>
      </c>
      <c r="K516" s="72"/>
    </row>
    <row r="517" spans="1:11">
      <c r="A517" s="9" t="s">
        <v>2670</v>
      </c>
      <c r="B517" s="8">
        <v>44143</v>
      </c>
      <c r="C517" s="330">
        <v>44149</v>
      </c>
      <c r="D517" s="374" t="s">
        <v>2671</v>
      </c>
      <c r="E517" s="9" t="s">
        <v>725</v>
      </c>
      <c r="F517" s="9" t="s">
        <v>1198</v>
      </c>
      <c r="G517" s="9">
        <v>24.97</v>
      </c>
      <c r="H517" s="380" t="s">
        <v>2672</v>
      </c>
      <c r="K517" s="72"/>
    </row>
    <row r="518" spans="1:11" ht="14.25">
      <c r="A518" s="9" t="s">
        <v>2673</v>
      </c>
      <c r="B518" s="8">
        <v>44137</v>
      </c>
      <c r="C518" s="8">
        <v>44144</v>
      </c>
      <c r="D518" s="278"/>
      <c r="E518" s="9" t="s">
        <v>1186</v>
      </c>
      <c r="F518" s="9" t="s">
        <v>1186</v>
      </c>
      <c r="G518" s="9" t="s">
        <v>2222</v>
      </c>
      <c r="H518" s="398" t="s">
        <v>2674</v>
      </c>
      <c r="K518" s="72"/>
    </row>
    <row r="519" spans="1:11" ht="14.25">
      <c r="A519" s="9" t="s">
        <v>2675</v>
      </c>
      <c r="B519" s="8">
        <v>44128</v>
      </c>
      <c r="C519" s="8">
        <v>44145</v>
      </c>
      <c r="D519" s="284" t="s">
        <v>2676</v>
      </c>
      <c r="E519" s="9" t="s">
        <v>1906</v>
      </c>
      <c r="F519" s="9" t="s">
        <v>1217</v>
      </c>
      <c r="G519" s="9">
        <v>95</v>
      </c>
      <c r="H519" s="380" t="s">
        <v>2677</v>
      </c>
      <c r="K519" s="72"/>
    </row>
    <row r="520" spans="1:11" ht="14.25">
      <c r="A520" s="9" t="s">
        <v>2678</v>
      </c>
      <c r="B520" s="8">
        <v>44140</v>
      </c>
      <c r="C520" s="8">
        <v>44145</v>
      </c>
      <c r="D520" s="278" t="s">
        <v>2679</v>
      </c>
      <c r="E520" s="9" t="s">
        <v>1222</v>
      </c>
      <c r="F520" s="9" t="s">
        <v>1217</v>
      </c>
      <c r="G520" s="9">
        <v>49.99</v>
      </c>
      <c r="H520" s="380" t="s">
        <v>2680</v>
      </c>
      <c r="K520" s="72"/>
    </row>
    <row r="521" spans="1:11" ht="14.25">
      <c r="A521" s="9" t="s">
        <v>2681</v>
      </c>
      <c r="B521" s="8">
        <v>44142</v>
      </c>
      <c r="C521" s="8">
        <v>44145</v>
      </c>
      <c r="D521" s="278" t="s">
        <v>2682</v>
      </c>
      <c r="E521" s="9" t="s">
        <v>1222</v>
      </c>
      <c r="F521" s="9" t="s">
        <v>1217</v>
      </c>
      <c r="G521" s="9">
        <v>21.63</v>
      </c>
      <c r="H521" s="380" t="s">
        <v>2683</v>
      </c>
      <c r="K521" s="72"/>
    </row>
    <row r="522" spans="1:11" ht="14.25">
      <c r="A522" s="9" t="s">
        <v>2684</v>
      </c>
      <c r="B522" s="8">
        <v>44131</v>
      </c>
      <c r="C522" s="8">
        <v>44138</v>
      </c>
      <c r="D522" s="402" t="s">
        <v>2685</v>
      </c>
      <c r="E522" s="9" t="s">
        <v>1176</v>
      </c>
      <c r="F522" s="9" t="s">
        <v>1343</v>
      </c>
      <c r="G522" s="9">
        <v>62.82</v>
      </c>
      <c r="H522" s="380" t="s">
        <v>2686</v>
      </c>
      <c r="J522" s="114"/>
      <c r="K522" s="72"/>
    </row>
    <row r="523" spans="1:11" ht="14.25">
      <c r="A523" s="9" t="s">
        <v>2687</v>
      </c>
      <c r="B523" s="8">
        <v>44132</v>
      </c>
      <c r="C523" s="8">
        <v>44138</v>
      </c>
      <c r="D523" s="402" t="s">
        <v>2685</v>
      </c>
      <c r="E523" s="9" t="s">
        <v>1176</v>
      </c>
      <c r="F523" s="9" t="s">
        <v>1343</v>
      </c>
      <c r="G523" s="9">
        <v>44.98</v>
      </c>
      <c r="H523" s="403" t="s">
        <v>2688</v>
      </c>
      <c r="J523" s="114"/>
      <c r="K523" s="72"/>
    </row>
    <row r="524" spans="1:11">
      <c r="A524" s="9" t="s">
        <v>2689</v>
      </c>
      <c r="B524" s="8">
        <v>44127</v>
      </c>
      <c r="C524" s="8">
        <v>44134</v>
      </c>
      <c r="D524" s="374">
        <v>934818578497</v>
      </c>
      <c r="E524" s="9" t="s">
        <v>2690</v>
      </c>
      <c r="G524" s="9">
        <v>0</v>
      </c>
      <c r="H524" s="404" t="s">
        <v>2691</v>
      </c>
      <c r="J524" s="114"/>
      <c r="K524" s="72"/>
    </row>
    <row r="525" spans="1:11">
      <c r="A525" s="9" t="s">
        <v>2692</v>
      </c>
      <c r="B525" s="8">
        <v>44130</v>
      </c>
      <c r="C525" s="8">
        <v>44133</v>
      </c>
      <c r="D525" s="386" t="s">
        <v>2693</v>
      </c>
      <c r="E525" s="9" t="s">
        <v>1176</v>
      </c>
      <c r="G525" s="9">
        <v>15.74</v>
      </c>
      <c r="H525" s="380" t="s">
        <v>2693</v>
      </c>
      <c r="J525" s="114"/>
      <c r="K525" s="72"/>
    </row>
    <row r="526" spans="1:11">
      <c r="A526" s="9" t="s">
        <v>2694</v>
      </c>
      <c r="B526" s="8">
        <v>44132</v>
      </c>
      <c r="C526" s="8">
        <v>44134</v>
      </c>
      <c r="D526" s="1651">
        <v>398319136980</v>
      </c>
      <c r="E526" s="9" t="s">
        <v>1705</v>
      </c>
      <c r="F526" s="9" t="s">
        <v>1595</v>
      </c>
      <c r="G526" s="9">
        <v>895</v>
      </c>
      <c r="H526" s="405" t="s">
        <v>2695</v>
      </c>
      <c r="J526" s="114"/>
      <c r="K526" s="72"/>
    </row>
    <row r="527" spans="1:11">
      <c r="A527" s="9" t="s">
        <v>2696</v>
      </c>
      <c r="B527" s="8">
        <v>44130</v>
      </c>
      <c r="C527" s="8">
        <v>44133</v>
      </c>
      <c r="D527" s="374" t="s">
        <v>2697</v>
      </c>
      <c r="E527" s="9" t="s">
        <v>1176</v>
      </c>
      <c r="G527" s="9">
        <v>23.77</v>
      </c>
      <c r="H527" s="380" t="s">
        <v>2698</v>
      </c>
      <c r="J527" s="114"/>
      <c r="K527" s="72"/>
    </row>
    <row r="528" spans="1:11">
      <c r="A528" s="9" t="s">
        <v>2699</v>
      </c>
      <c r="B528" s="8">
        <v>44124</v>
      </c>
      <c r="C528" s="8">
        <v>44132</v>
      </c>
      <c r="D528" s="406" t="s">
        <v>2700</v>
      </c>
      <c r="E528" s="9" t="s">
        <v>1705</v>
      </c>
      <c r="G528" s="9">
        <v>18.399999999999999</v>
      </c>
      <c r="H528" s="403">
        <v>5662081801240</v>
      </c>
      <c r="J528" s="114"/>
      <c r="K528" s="72"/>
    </row>
    <row r="529" spans="1:12" ht="14.25">
      <c r="A529" s="9" t="s">
        <v>2701</v>
      </c>
      <c r="B529" s="8">
        <v>44125</v>
      </c>
      <c r="C529" s="8">
        <v>44130</v>
      </c>
      <c r="D529" s="402" t="s">
        <v>2702</v>
      </c>
      <c r="E529" s="9" t="s">
        <v>1176</v>
      </c>
      <c r="F529" s="9" t="s">
        <v>1217</v>
      </c>
      <c r="G529" s="9">
        <v>12.97</v>
      </c>
      <c r="H529" s="404" t="s">
        <v>2703</v>
      </c>
      <c r="J529" s="114"/>
      <c r="K529" s="72"/>
    </row>
    <row r="530" spans="1:12" ht="14.25">
      <c r="A530" s="9" t="s">
        <v>2704</v>
      </c>
      <c r="B530" s="8">
        <v>44125</v>
      </c>
      <c r="C530" s="8">
        <v>44130</v>
      </c>
      <c r="D530" s="402" t="s">
        <v>2705</v>
      </c>
      <c r="E530" s="9" t="s">
        <v>1176</v>
      </c>
      <c r="F530" s="9" t="s">
        <v>1217</v>
      </c>
      <c r="G530" s="9">
        <v>14.09</v>
      </c>
      <c r="H530" s="404" t="s">
        <v>2706</v>
      </c>
      <c r="J530" s="114"/>
      <c r="K530" s="72"/>
    </row>
    <row r="531" spans="1:12" ht="14.25">
      <c r="A531" s="9" t="s">
        <v>2707</v>
      </c>
      <c r="B531" s="8">
        <v>44122</v>
      </c>
      <c r="C531" s="8">
        <v>44130</v>
      </c>
      <c r="D531" s="402" t="s">
        <v>2702</v>
      </c>
      <c r="E531" s="9" t="s">
        <v>1176</v>
      </c>
      <c r="F531" s="9" t="s">
        <v>1217</v>
      </c>
      <c r="K531" s="72"/>
    </row>
    <row r="532" spans="1:12" ht="14.25">
      <c r="A532" s="9" t="s">
        <v>2708</v>
      </c>
      <c r="B532" s="8">
        <v>44126</v>
      </c>
      <c r="C532" s="8">
        <v>44130</v>
      </c>
      <c r="D532" s="407" t="s">
        <v>2709</v>
      </c>
      <c r="E532" s="9" t="s">
        <v>293</v>
      </c>
      <c r="F532" s="9" t="s">
        <v>1198</v>
      </c>
      <c r="G532" s="9">
        <v>35</v>
      </c>
      <c r="H532" s="404" t="s">
        <v>2710</v>
      </c>
      <c r="K532" s="72"/>
    </row>
    <row r="533" spans="1:12" ht="14.25">
      <c r="A533" s="9" t="s">
        <v>2711</v>
      </c>
      <c r="B533" s="8">
        <v>44122</v>
      </c>
      <c r="C533" s="8">
        <v>44126</v>
      </c>
      <c r="D533" s="278" t="s">
        <v>2712</v>
      </c>
      <c r="E533" s="9" t="s">
        <v>1176</v>
      </c>
      <c r="F533" s="9" t="s">
        <v>1217</v>
      </c>
      <c r="G533" s="9">
        <v>19.350000000000001</v>
      </c>
      <c r="H533" s="408" t="s">
        <v>2713</v>
      </c>
      <c r="K533" s="72"/>
    </row>
    <row r="534" spans="1:12" ht="14.25">
      <c r="A534" s="9" t="s">
        <v>2714</v>
      </c>
      <c r="B534" s="8">
        <v>44122</v>
      </c>
      <c r="C534" s="8">
        <v>44126</v>
      </c>
      <c r="D534" s="278" t="s">
        <v>2712</v>
      </c>
      <c r="E534" s="9" t="s">
        <v>1176</v>
      </c>
      <c r="F534" s="9" t="s">
        <v>1217</v>
      </c>
      <c r="G534" s="9">
        <v>27.6</v>
      </c>
      <c r="H534" s="408" t="s">
        <v>2715</v>
      </c>
      <c r="K534" s="72"/>
    </row>
    <row r="535" spans="1:12" ht="14.25">
      <c r="A535" s="9" t="s">
        <v>2716</v>
      </c>
      <c r="B535" s="8">
        <v>44119</v>
      </c>
      <c r="C535" s="8">
        <v>44124</v>
      </c>
      <c r="D535" s="278" t="s">
        <v>2717</v>
      </c>
      <c r="E535" s="9" t="s">
        <v>69</v>
      </c>
      <c r="G535" s="9">
        <v>83.53</v>
      </c>
      <c r="H535" s="265" t="s">
        <v>2718</v>
      </c>
      <c r="K535" s="72"/>
    </row>
    <row r="536" spans="1:12" ht="25.5">
      <c r="A536" s="9" t="s">
        <v>2719</v>
      </c>
      <c r="B536" s="8">
        <v>44013</v>
      </c>
      <c r="C536" s="8">
        <v>44035</v>
      </c>
      <c r="D536" s="278" t="s">
        <v>2720</v>
      </c>
      <c r="E536" s="9" t="s">
        <v>2721</v>
      </c>
      <c r="F536" s="9" t="s">
        <v>2722</v>
      </c>
      <c r="G536" s="9">
        <v>21.97</v>
      </c>
      <c r="H536" s="409" t="s">
        <v>2723</v>
      </c>
      <c r="K536" s="72"/>
    </row>
    <row r="537" spans="1:12" ht="14.25">
      <c r="A537" s="9" t="s">
        <v>2724</v>
      </c>
      <c r="B537" s="8">
        <v>44021</v>
      </c>
      <c r="C537" s="8">
        <v>44030</v>
      </c>
      <c r="D537" s="284" t="s">
        <v>2725</v>
      </c>
      <c r="E537" s="9" t="s">
        <v>293</v>
      </c>
      <c r="F537" s="9" t="s">
        <v>1198</v>
      </c>
      <c r="G537" s="9">
        <v>25.99</v>
      </c>
      <c r="H537" s="409" t="s">
        <v>2726</v>
      </c>
      <c r="K537" s="72"/>
    </row>
    <row r="538" spans="1:12" ht="25.5">
      <c r="A538" s="9" t="s">
        <v>2727</v>
      </c>
      <c r="B538" s="8">
        <v>44022</v>
      </c>
      <c r="C538" s="8">
        <v>44025</v>
      </c>
      <c r="D538" s="284" t="s">
        <v>2728</v>
      </c>
      <c r="E538" s="9" t="s">
        <v>2729</v>
      </c>
      <c r="F538" s="9" t="s">
        <v>1198</v>
      </c>
      <c r="G538" s="9">
        <v>0</v>
      </c>
      <c r="K538" s="72"/>
    </row>
    <row r="539" spans="1:12">
      <c r="A539" s="9" t="s">
        <v>2221</v>
      </c>
      <c r="B539" s="8">
        <v>43995</v>
      </c>
      <c r="C539" s="8">
        <v>44020</v>
      </c>
      <c r="D539" s="40"/>
      <c r="E539" s="9" t="s">
        <v>1217</v>
      </c>
      <c r="K539" s="72"/>
    </row>
    <row r="540" spans="1:12" ht="14.25">
      <c r="A540" s="9" t="s">
        <v>2730</v>
      </c>
      <c r="B540" s="8">
        <v>44011</v>
      </c>
      <c r="C540" s="8">
        <v>44020</v>
      </c>
      <c r="D540" s="284" t="s">
        <v>2731</v>
      </c>
      <c r="E540" s="9" t="s">
        <v>2732</v>
      </c>
      <c r="F540" s="9" t="s">
        <v>1343</v>
      </c>
      <c r="G540" s="9">
        <v>120.54</v>
      </c>
      <c r="H540" s="409" t="s">
        <v>2733</v>
      </c>
      <c r="K540" s="72"/>
    </row>
    <row r="541" spans="1:12" ht="25.5">
      <c r="A541" s="9" t="s">
        <v>2734</v>
      </c>
      <c r="B541" s="8">
        <v>44006</v>
      </c>
      <c r="C541" s="8">
        <v>44013</v>
      </c>
      <c r="D541" s="402" t="s">
        <v>2735</v>
      </c>
      <c r="E541" s="9" t="s">
        <v>2721</v>
      </c>
      <c r="F541" s="9" t="s">
        <v>1217</v>
      </c>
      <c r="G541" s="9">
        <v>14.64</v>
      </c>
      <c r="H541" s="409" t="s">
        <v>2736</v>
      </c>
      <c r="K541" s="72">
        <v>750</v>
      </c>
      <c r="L541" s="83">
        <f>K541/30</f>
        <v>25</v>
      </c>
    </row>
    <row r="542" spans="1:12" ht="14.25">
      <c r="A542" s="9" t="s">
        <v>2737</v>
      </c>
      <c r="B542" s="8">
        <v>44006</v>
      </c>
      <c r="C542" s="8">
        <v>44012</v>
      </c>
      <c r="D542" s="40"/>
      <c r="E542" s="9" t="s">
        <v>1118</v>
      </c>
      <c r="G542" s="9">
        <v>26.95</v>
      </c>
      <c r="H542" s="304" t="s">
        <v>2738</v>
      </c>
      <c r="K542" s="72">
        <v>1000</v>
      </c>
      <c r="L542" s="83">
        <f>K542/30</f>
        <v>33.333333333333336</v>
      </c>
    </row>
    <row r="543" spans="1:12" ht="25.5">
      <c r="A543" s="9" t="s">
        <v>2739</v>
      </c>
      <c r="B543" s="8">
        <v>43993</v>
      </c>
      <c r="C543" s="8">
        <v>44009</v>
      </c>
      <c r="D543" s="410" t="s">
        <v>2740</v>
      </c>
      <c r="E543" s="9" t="s">
        <v>2518</v>
      </c>
      <c r="F543" s="411" t="s">
        <v>2741</v>
      </c>
      <c r="G543" s="9">
        <v>69.349999999999994</v>
      </c>
      <c r="H543" s="412" t="s">
        <v>2742</v>
      </c>
      <c r="K543" s="413">
        <v>1250</v>
      </c>
      <c r="L543" s="83">
        <f>K543/30</f>
        <v>41.666666666666664</v>
      </c>
    </row>
    <row r="544" spans="1:12">
      <c r="A544" s="9" t="s">
        <v>2743</v>
      </c>
      <c r="B544" s="8">
        <v>44003</v>
      </c>
      <c r="C544" s="8">
        <v>44008</v>
      </c>
      <c r="D544" s="1650" t="s">
        <v>2744</v>
      </c>
      <c r="E544" s="9" t="s">
        <v>2745</v>
      </c>
      <c r="G544" s="9">
        <v>124.5</v>
      </c>
      <c r="H544" s="409">
        <v>996593642</v>
      </c>
      <c r="K544" s="413">
        <v>1500</v>
      </c>
      <c r="L544" s="83">
        <f>K544/30</f>
        <v>50</v>
      </c>
    </row>
    <row r="545" spans="1:11" ht="25.5">
      <c r="A545" s="9" t="s">
        <v>2746</v>
      </c>
      <c r="B545" s="8">
        <v>44000</v>
      </c>
      <c r="C545" s="8">
        <v>44006</v>
      </c>
      <c r="D545" s="402" t="s">
        <v>2747</v>
      </c>
      <c r="E545" s="9" t="s">
        <v>2518</v>
      </c>
      <c r="G545" s="9">
        <v>95</v>
      </c>
      <c r="H545" s="412" t="s">
        <v>2748</v>
      </c>
      <c r="J545" s="361"/>
      <c r="K545" s="361"/>
    </row>
    <row r="546" spans="1:11" ht="25.5">
      <c r="A546" s="9" t="s">
        <v>2749</v>
      </c>
      <c r="B546" s="8">
        <v>43998</v>
      </c>
      <c r="C546" s="8">
        <v>44001</v>
      </c>
      <c r="D546" s="40" t="s">
        <v>2750</v>
      </c>
      <c r="E546" s="9" t="s">
        <v>1902</v>
      </c>
      <c r="G546" s="9">
        <v>28.32</v>
      </c>
      <c r="H546" s="412" t="s">
        <v>2751</v>
      </c>
      <c r="J546" s="361"/>
      <c r="K546" s="361"/>
    </row>
    <row r="547" spans="1:11" ht="25.5">
      <c r="A547" s="9" t="s">
        <v>2752</v>
      </c>
      <c r="B547" s="8">
        <v>43993</v>
      </c>
      <c r="C547" s="8">
        <v>43999</v>
      </c>
      <c r="D547" s="402" t="s">
        <v>2753</v>
      </c>
      <c r="E547" s="9" t="s">
        <v>2518</v>
      </c>
      <c r="H547" s="412" t="s">
        <v>2742</v>
      </c>
      <c r="J547" s="361"/>
      <c r="K547" s="361"/>
    </row>
    <row r="548" spans="1:11" ht="25.5">
      <c r="A548" s="9" t="s">
        <v>1566</v>
      </c>
      <c r="B548" s="8">
        <v>43989</v>
      </c>
      <c r="C548" s="8">
        <v>43994</v>
      </c>
      <c r="D548" s="402" t="s">
        <v>2754</v>
      </c>
      <c r="E548" s="9" t="s">
        <v>1311</v>
      </c>
      <c r="G548" s="9">
        <v>31.99</v>
      </c>
      <c r="H548" s="412" t="s">
        <v>2755</v>
      </c>
      <c r="J548" s="361"/>
      <c r="K548" s="361"/>
    </row>
    <row r="549" spans="1:11" ht="25.5">
      <c r="A549" s="9" t="s">
        <v>2756</v>
      </c>
      <c r="B549" s="8">
        <v>43989</v>
      </c>
      <c r="C549" s="8">
        <v>43992</v>
      </c>
      <c r="D549" s="402" t="s">
        <v>2757</v>
      </c>
      <c r="E549" s="9" t="s">
        <v>1311</v>
      </c>
      <c r="G549" s="9">
        <v>32.54</v>
      </c>
      <c r="H549" s="412" t="s">
        <v>2758</v>
      </c>
      <c r="J549" s="361"/>
      <c r="K549" s="361"/>
    </row>
    <row r="550" spans="1:11" ht="25.5">
      <c r="A550" s="9" t="s">
        <v>2759</v>
      </c>
      <c r="B550" s="8">
        <v>43981</v>
      </c>
      <c r="C550" s="8">
        <v>43993</v>
      </c>
      <c r="D550" s="402" t="s">
        <v>2760</v>
      </c>
      <c r="E550" s="9" t="s">
        <v>1311</v>
      </c>
      <c r="G550" s="9">
        <v>8.67</v>
      </c>
      <c r="H550" s="412" t="s">
        <v>2761</v>
      </c>
      <c r="J550" s="361"/>
      <c r="K550" s="361"/>
    </row>
    <row r="551" spans="1:11" ht="25.5">
      <c r="A551" s="9" t="s">
        <v>2762</v>
      </c>
      <c r="B551" s="8">
        <v>43975</v>
      </c>
      <c r="C551" s="8">
        <v>43994</v>
      </c>
      <c r="D551" s="278" t="s">
        <v>2763</v>
      </c>
      <c r="E551" s="9" t="s">
        <v>2518</v>
      </c>
      <c r="G551" s="9">
        <v>32</v>
      </c>
      <c r="H551" s="412" t="s">
        <v>2764</v>
      </c>
      <c r="J551" s="414"/>
      <c r="K551" s="361"/>
    </row>
    <row r="552" spans="1:11" ht="25.5">
      <c r="A552" s="9" t="s">
        <v>2765</v>
      </c>
      <c r="B552" s="8">
        <v>43981</v>
      </c>
      <c r="C552" s="8">
        <v>43988</v>
      </c>
      <c r="D552" s="40"/>
      <c r="E552" s="9" t="s">
        <v>1311</v>
      </c>
      <c r="G552" s="9">
        <v>33.4</v>
      </c>
      <c r="H552" s="409">
        <v>1390845392</v>
      </c>
      <c r="J552" s="414"/>
      <c r="K552" s="361"/>
    </row>
    <row r="553" spans="1:11" ht="25.5">
      <c r="A553" s="9" t="s">
        <v>2766</v>
      </c>
      <c r="B553" s="8">
        <v>43978</v>
      </c>
      <c r="C553" s="8">
        <v>43983</v>
      </c>
      <c r="D553" s="402" t="s">
        <v>2767</v>
      </c>
      <c r="E553" s="9" t="s">
        <v>1311</v>
      </c>
      <c r="G553" s="9">
        <v>32.54</v>
      </c>
      <c r="H553" s="412" t="s">
        <v>2768</v>
      </c>
      <c r="J553" s="361"/>
      <c r="K553" s="361"/>
    </row>
    <row r="554" spans="1:11">
      <c r="A554" s="9" t="s">
        <v>2769</v>
      </c>
      <c r="B554" s="8">
        <v>43971</v>
      </c>
      <c r="C554" s="8">
        <v>43987</v>
      </c>
      <c r="D554" s="40"/>
      <c r="E554" s="9" t="s">
        <v>293</v>
      </c>
      <c r="G554" s="9">
        <v>30.88</v>
      </c>
      <c r="H554" s="412" t="s">
        <v>2770</v>
      </c>
      <c r="J554" s="361"/>
      <c r="K554" s="361"/>
    </row>
    <row r="555" spans="1:11" ht="14.25">
      <c r="A555" s="9" t="s">
        <v>2771</v>
      </c>
      <c r="B555" s="8">
        <v>43966</v>
      </c>
      <c r="C555" s="8">
        <v>43977</v>
      </c>
      <c r="D555" s="415" t="s">
        <v>2772</v>
      </c>
      <c r="E555" s="9" t="s">
        <v>2329</v>
      </c>
      <c r="G555" s="9">
        <v>7</v>
      </c>
      <c r="H555" s="9" t="s">
        <v>2773</v>
      </c>
      <c r="J555" s="361"/>
      <c r="K555" s="361"/>
    </row>
    <row r="556" spans="1:11" ht="25.5">
      <c r="A556" s="9" t="s">
        <v>2774</v>
      </c>
      <c r="B556" s="8">
        <v>43968</v>
      </c>
      <c r="C556" s="8">
        <v>43974</v>
      </c>
      <c r="D556" s="40" t="s">
        <v>2775</v>
      </c>
      <c r="E556" s="9" t="s">
        <v>2776</v>
      </c>
      <c r="G556" s="9">
        <v>13.51</v>
      </c>
      <c r="H556" s="412" t="s">
        <v>2777</v>
      </c>
      <c r="J556" s="416" t="s">
        <v>2778</v>
      </c>
      <c r="K556" s="361"/>
    </row>
    <row r="557" spans="1:11">
      <c r="A557" s="9" t="s">
        <v>2779</v>
      </c>
      <c r="B557" s="8">
        <v>43956</v>
      </c>
      <c r="C557" s="8">
        <v>43973</v>
      </c>
      <c r="D557" s="1652" t="s">
        <v>2780</v>
      </c>
      <c r="E557" s="9" t="s">
        <v>725</v>
      </c>
      <c r="F557" s="9" t="s">
        <v>1217</v>
      </c>
      <c r="G557" s="9">
        <v>37.71</v>
      </c>
      <c r="H557" s="412" t="s">
        <v>2781</v>
      </c>
      <c r="J557" s="361" t="s">
        <v>2782</v>
      </c>
      <c r="K557" s="413">
        <v>1</v>
      </c>
    </row>
    <row r="558" spans="1:11" ht="14.25">
      <c r="A558" s="9" t="s">
        <v>2783</v>
      </c>
      <c r="B558" s="8">
        <v>43968</v>
      </c>
      <c r="C558" s="8">
        <v>43973</v>
      </c>
      <c r="D558" s="417" t="s">
        <v>2784</v>
      </c>
      <c r="E558" s="9" t="s">
        <v>293</v>
      </c>
      <c r="F558" s="9" t="s">
        <v>1198</v>
      </c>
      <c r="G558" s="9">
        <v>94.9</v>
      </c>
      <c r="H558" s="412" t="s">
        <v>2785</v>
      </c>
      <c r="J558" s="93" t="s">
        <v>2786</v>
      </c>
      <c r="K558" s="72">
        <v>1</v>
      </c>
    </row>
    <row r="559" spans="1:11" ht="14.25">
      <c r="A559" s="9" t="s">
        <v>2787</v>
      </c>
      <c r="B559" s="8">
        <v>43947</v>
      </c>
      <c r="C559" s="8">
        <v>43967</v>
      </c>
      <c r="D559" s="415" t="s">
        <v>2788</v>
      </c>
      <c r="E559" s="9" t="s">
        <v>725</v>
      </c>
      <c r="G559" s="9">
        <v>21.02</v>
      </c>
      <c r="H559" s="412" t="s">
        <v>2789</v>
      </c>
      <c r="J559" s="93" t="s">
        <v>2790</v>
      </c>
      <c r="K559" s="72">
        <v>2</v>
      </c>
    </row>
    <row r="560" spans="1:11" ht="14.25">
      <c r="A560" s="9" t="s">
        <v>2791</v>
      </c>
      <c r="B560" s="8">
        <v>43961</v>
      </c>
      <c r="C560" s="8">
        <v>43965</v>
      </c>
      <c r="D560" s="415" t="s">
        <v>2792</v>
      </c>
      <c r="E560" s="9" t="s">
        <v>293</v>
      </c>
      <c r="F560" s="9" t="s">
        <v>1198</v>
      </c>
      <c r="G560" s="9">
        <v>112.49</v>
      </c>
      <c r="H560" s="304" t="s">
        <v>2793</v>
      </c>
      <c r="J560" s="9" t="s">
        <v>2794</v>
      </c>
      <c r="K560" s="9">
        <v>1</v>
      </c>
    </row>
    <row r="561" spans="1:12" ht="14.25">
      <c r="A561" s="9" t="s">
        <v>2795</v>
      </c>
      <c r="B561" s="8">
        <v>43961</v>
      </c>
      <c r="C561" s="8">
        <v>43966</v>
      </c>
      <c r="D561" s="415"/>
      <c r="E561" s="9" t="s">
        <v>2796</v>
      </c>
      <c r="G561" s="9">
        <v>45.49</v>
      </c>
    </row>
    <row r="562" spans="1:12" ht="14.25">
      <c r="A562" s="9" t="s">
        <v>2797</v>
      </c>
      <c r="B562" s="8">
        <v>43957</v>
      </c>
      <c r="C562" s="8">
        <v>43966</v>
      </c>
      <c r="D562" s="415"/>
      <c r="E562" s="9" t="s">
        <v>2796</v>
      </c>
      <c r="G562" s="9">
        <v>45.49</v>
      </c>
      <c r="J562" s="361" t="s">
        <v>2798</v>
      </c>
      <c r="K562" s="413">
        <v>2</v>
      </c>
    </row>
    <row r="563" spans="1:12" ht="25.5">
      <c r="A563" s="9" t="s">
        <v>2799</v>
      </c>
      <c r="B563" s="8">
        <v>43925</v>
      </c>
      <c r="C563" s="8">
        <v>43964</v>
      </c>
      <c r="D563" s="417" t="s">
        <v>2800</v>
      </c>
      <c r="E563" s="9" t="s">
        <v>1880</v>
      </c>
      <c r="F563" s="9" t="s">
        <v>1198</v>
      </c>
      <c r="G563" s="9">
        <v>7.57</v>
      </c>
      <c r="H563" s="412" t="s">
        <v>2801</v>
      </c>
      <c r="J563" s="114" t="s">
        <v>2633</v>
      </c>
      <c r="K563" s="337">
        <f>SUM(K387:K562)</f>
        <v>4507</v>
      </c>
    </row>
    <row r="564" spans="1:12" ht="25.5">
      <c r="A564" s="9" t="s">
        <v>2802</v>
      </c>
      <c r="B564" s="8">
        <v>43955</v>
      </c>
      <c r="C564" s="8">
        <v>43963</v>
      </c>
      <c r="D564" s="417" t="s">
        <v>2803</v>
      </c>
      <c r="E564" s="9" t="s">
        <v>1880</v>
      </c>
      <c r="G564" s="9">
        <f>12.59+5.41</f>
        <v>18</v>
      </c>
      <c r="H564" s="412" t="s">
        <v>2804</v>
      </c>
      <c r="J564" s="114" t="s">
        <v>2805</v>
      </c>
      <c r="K564" s="337">
        <f>K563/3</f>
        <v>1502.3333333333333</v>
      </c>
    </row>
    <row r="565" spans="1:12" ht="14.25">
      <c r="A565" s="9" t="s">
        <v>2806</v>
      </c>
      <c r="B565" s="8">
        <v>43947</v>
      </c>
      <c r="C565" s="8">
        <v>43963</v>
      </c>
      <c r="D565" s="415" t="s">
        <v>2807</v>
      </c>
      <c r="E565" s="9" t="s">
        <v>725</v>
      </c>
      <c r="G565" s="9">
        <v>21.02</v>
      </c>
      <c r="H565" s="412" t="s">
        <v>2789</v>
      </c>
      <c r="J565" s="114" t="s">
        <v>2808</v>
      </c>
      <c r="K565" s="338">
        <f>K564/4</f>
        <v>375.58333333333331</v>
      </c>
    </row>
    <row r="566" spans="1:12" ht="14.25">
      <c r="A566" s="9" t="s">
        <v>2809</v>
      </c>
      <c r="B566" s="8">
        <v>43956</v>
      </c>
      <c r="C566" s="8">
        <v>43962</v>
      </c>
      <c r="D566" s="417" t="s">
        <v>2810</v>
      </c>
      <c r="E566" s="9" t="s">
        <v>66</v>
      </c>
      <c r="G566" s="9">
        <v>34.78</v>
      </c>
      <c r="H566" s="412" t="s">
        <v>2811</v>
      </c>
    </row>
    <row r="567" spans="1:12" ht="25.5">
      <c r="A567" s="9" t="s">
        <v>2812</v>
      </c>
      <c r="B567" s="8">
        <v>43957</v>
      </c>
      <c r="C567" s="8">
        <v>43960</v>
      </c>
      <c r="D567" s="417" t="s">
        <v>2813</v>
      </c>
      <c r="E567" s="9" t="s">
        <v>1880</v>
      </c>
      <c r="F567" s="9" t="s">
        <v>1198</v>
      </c>
      <c r="G567" s="9">
        <v>9.9499999999999993</v>
      </c>
      <c r="H567" s="412" t="s">
        <v>2814</v>
      </c>
    </row>
    <row r="568" spans="1:12" ht="25.5">
      <c r="A568" s="9" t="s">
        <v>2815</v>
      </c>
      <c r="B568" s="8">
        <v>43957</v>
      </c>
      <c r="C568" s="8">
        <v>43960</v>
      </c>
      <c r="D568" s="417" t="s">
        <v>2813</v>
      </c>
      <c r="E568" s="9" t="s">
        <v>1880</v>
      </c>
      <c r="F568" s="9" t="s">
        <v>1198</v>
      </c>
      <c r="G568" s="9">
        <v>35.9</v>
      </c>
      <c r="H568" s="412" t="s">
        <v>2816</v>
      </c>
    </row>
    <row r="569" spans="1:12" ht="25.5">
      <c r="A569" s="9" t="s">
        <v>2817</v>
      </c>
      <c r="B569" s="8">
        <v>43955</v>
      </c>
      <c r="C569" s="8">
        <v>43960</v>
      </c>
      <c r="D569" s="415" t="s">
        <v>2813</v>
      </c>
      <c r="E569" s="9" t="s">
        <v>1880</v>
      </c>
      <c r="F569" s="9" t="s">
        <v>1198</v>
      </c>
      <c r="G569" s="9">
        <v>10.17</v>
      </c>
      <c r="H569" s="412" t="s">
        <v>2818</v>
      </c>
      <c r="L569" s="9">
        <v>338</v>
      </c>
    </row>
    <row r="570" spans="1:12" ht="25.5">
      <c r="A570" s="9" t="s">
        <v>2819</v>
      </c>
      <c r="B570" s="8">
        <v>43951</v>
      </c>
      <c r="C570" s="8">
        <v>43959</v>
      </c>
      <c r="D570" s="415"/>
      <c r="E570" s="9" t="s">
        <v>2820</v>
      </c>
      <c r="F570" s="9" t="s">
        <v>1198</v>
      </c>
      <c r="G570" s="9">
        <v>33.53</v>
      </c>
      <c r="H570" s="412">
        <v>228755</v>
      </c>
      <c r="L570" s="9">
        <v>7.43</v>
      </c>
    </row>
    <row r="571" spans="1:12" ht="14.25">
      <c r="A571" s="9" t="s">
        <v>2821</v>
      </c>
      <c r="B571" s="8">
        <v>43955</v>
      </c>
      <c r="C571" s="8">
        <v>43959</v>
      </c>
      <c r="D571" s="417" t="s">
        <v>2822</v>
      </c>
      <c r="E571" s="9" t="s">
        <v>2823</v>
      </c>
      <c r="F571" s="9" t="s">
        <v>1198</v>
      </c>
      <c r="H571" s="412"/>
      <c r="L571" s="9">
        <f>L569/L570</f>
        <v>45.491251682368777</v>
      </c>
    </row>
    <row r="572" spans="1:12" ht="14.25">
      <c r="A572" s="9" t="s">
        <v>2824</v>
      </c>
      <c r="B572" s="8">
        <v>43948</v>
      </c>
      <c r="C572" s="8">
        <v>43955</v>
      </c>
      <c r="D572" s="415" t="s">
        <v>2825</v>
      </c>
      <c r="E572" s="9" t="s">
        <v>2329</v>
      </c>
      <c r="F572" s="9" t="s">
        <v>1217</v>
      </c>
      <c r="G572" s="9">
        <v>7</v>
      </c>
      <c r="H572" s="412"/>
    </row>
    <row r="573" spans="1:12" ht="14.25">
      <c r="A573" s="9" t="s">
        <v>2826</v>
      </c>
      <c r="B573" s="8">
        <v>43948</v>
      </c>
      <c r="C573" s="8">
        <v>43955</v>
      </c>
      <c r="D573" s="415" t="s">
        <v>2827</v>
      </c>
      <c r="E573" s="9" t="s">
        <v>2828</v>
      </c>
      <c r="F573" s="9" t="s">
        <v>1198</v>
      </c>
      <c r="G573" s="9">
        <v>48.4</v>
      </c>
      <c r="H573" s="412"/>
    </row>
    <row r="574" spans="1:12" ht="14.25">
      <c r="A574" s="9" t="s">
        <v>1277</v>
      </c>
      <c r="B574" s="8">
        <v>43949</v>
      </c>
      <c r="C574" s="8">
        <v>43952</v>
      </c>
      <c r="D574" s="415" t="s">
        <v>2829</v>
      </c>
      <c r="E574" s="9" t="s">
        <v>1370</v>
      </c>
      <c r="F574" s="9" t="s">
        <v>1198</v>
      </c>
      <c r="G574" s="9">
        <v>0</v>
      </c>
      <c r="H574" s="418">
        <v>2015314619</v>
      </c>
    </row>
    <row r="575" spans="1:12" ht="25.5">
      <c r="A575" s="9" t="s">
        <v>2830</v>
      </c>
      <c r="B575" s="8">
        <v>43950</v>
      </c>
      <c r="C575" s="8">
        <v>43955</v>
      </c>
      <c r="D575" s="40"/>
      <c r="E575" s="9" t="s">
        <v>2820</v>
      </c>
      <c r="G575" s="9">
        <v>71.05</v>
      </c>
      <c r="H575" s="412">
        <v>51315</v>
      </c>
    </row>
    <row r="576" spans="1:12" ht="25.5">
      <c r="A576" s="20" t="s">
        <v>2831</v>
      </c>
      <c r="B576" s="8">
        <v>43947</v>
      </c>
      <c r="C576" s="8">
        <v>43953</v>
      </c>
      <c r="D576" s="415"/>
      <c r="E576" s="9" t="s">
        <v>2820</v>
      </c>
      <c r="G576" s="9">
        <v>54.8</v>
      </c>
      <c r="H576" s="412">
        <v>51251</v>
      </c>
    </row>
    <row r="577" spans="1:11" ht="25.5">
      <c r="A577" s="9" t="s">
        <v>2832</v>
      </c>
      <c r="B577" s="8">
        <v>43948</v>
      </c>
      <c r="C577" s="8">
        <v>43951</v>
      </c>
      <c r="D577" s="402" t="s">
        <v>2833</v>
      </c>
      <c r="E577" s="9" t="s">
        <v>1880</v>
      </c>
      <c r="G577" s="9">
        <v>5.5</v>
      </c>
      <c r="H577" s="412" t="s">
        <v>2834</v>
      </c>
      <c r="J577" s="9" t="s">
        <v>2835</v>
      </c>
    </row>
    <row r="578" spans="1:11" ht="25.5">
      <c r="A578" s="9" t="s">
        <v>2836</v>
      </c>
      <c r="B578" s="8">
        <v>43949</v>
      </c>
      <c r="C578" s="8">
        <v>43951</v>
      </c>
      <c r="D578" s="402" t="s">
        <v>2833</v>
      </c>
      <c r="E578" s="9" t="s">
        <v>1880</v>
      </c>
      <c r="G578" s="9">
        <v>33.909999999999997</v>
      </c>
      <c r="H578" s="419" t="s">
        <v>2837</v>
      </c>
      <c r="K578" s="9"/>
    </row>
    <row r="579" spans="1:11" ht="25.5">
      <c r="A579" s="9" t="s">
        <v>1599</v>
      </c>
      <c r="B579" s="8">
        <v>43948</v>
      </c>
      <c r="C579" s="8">
        <v>43950</v>
      </c>
      <c r="D579" s="415" t="s">
        <v>2838</v>
      </c>
      <c r="E579" s="9" t="s">
        <v>1880</v>
      </c>
      <c r="G579" s="9">
        <v>30.43</v>
      </c>
      <c r="H579" s="412" t="s">
        <v>2839</v>
      </c>
      <c r="K579" s="9"/>
    </row>
    <row r="580" spans="1:11" ht="14.25">
      <c r="A580" s="9" t="s">
        <v>2840</v>
      </c>
      <c r="B580" s="8">
        <v>43940</v>
      </c>
      <c r="C580" s="8">
        <v>43948</v>
      </c>
      <c r="D580" s="407" t="s">
        <v>2841</v>
      </c>
      <c r="E580" s="9" t="s">
        <v>293</v>
      </c>
      <c r="F580" s="9" t="s">
        <v>1198</v>
      </c>
      <c r="G580" s="9">
        <v>24</v>
      </c>
      <c r="H580" s="304" t="s">
        <v>2842</v>
      </c>
      <c r="K580" s="9" t="s">
        <v>135</v>
      </c>
    </row>
    <row r="581" spans="1:11" ht="14.25">
      <c r="A581" s="9" t="s">
        <v>2843</v>
      </c>
      <c r="B581" s="8">
        <v>43941</v>
      </c>
      <c r="C581" s="8">
        <v>43948</v>
      </c>
      <c r="D581" s="415" t="s">
        <v>2844</v>
      </c>
      <c r="E581" s="9" t="s">
        <v>293</v>
      </c>
      <c r="F581" s="9" t="s">
        <v>1198</v>
      </c>
      <c r="G581" s="9">
        <v>81</v>
      </c>
      <c r="H581" s="304" t="s">
        <v>2845</v>
      </c>
    </row>
    <row r="582" spans="1:11" ht="14.25">
      <c r="A582" s="9" t="s">
        <v>2846</v>
      </c>
      <c r="B582" s="8">
        <v>43935</v>
      </c>
      <c r="C582" s="8">
        <v>43944</v>
      </c>
      <c r="D582" s="358" t="s">
        <v>2847</v>
      </c>
      <c r="E582" s="9" t="s">
        <v>293</v>
      </c>
      <c r="F582" s="9" t="s">
        <v>2848</v>
      </c>
      <c r="G582" s="9">
        <v>125</v>
      </c>
      <c r="H582" s="304"/>
    </row>
    <row r="583" spans="1:11" ht="25.5">
      <c r="A583" s="9" t="s">
        <v>2849</v>
      </c>
      <c r="B583" s="8">
        <v>43931</v>
      </c>
      <c r="C583" s="8">
        <v>43942</v>
      </c>
      <c r="D583" s="420" t="s">
        <v>2850</v>
      </c>
      <c r="E583" s="9" t="s">
        <v>1819</v>
      </c>
      <c r="G583" s="9">
        <v>102.6</v>
      </c>
    </row>
    <row r="584" spans="1:11" ht="14.25">
      <c r="A584" s="9" t="s">
        <v>2851</v>
      </c>
      <c r="B584" s="8">
        <v>43934</v>
      </c>
      <c r="C584" s="8">
        <v>43941</v>
      </c>
      <c r="D584" s="40"/>
      <c r="E584" s="9" t="s">
        <v>2828</v>
      </c>
      <c r="F584" s="9" t="s">
        <v>1198</v>
      </c>
      <c r="G584" s="9">
        <v>12.25</v>
      </c>
      <c r="H584" s="304">
        <v>9206768</v>
      </c>
      <c r="J584" s="25"/>
    </row>
    <row r="585" spans="1:11" ht="28.5">
      <c r="A585" s="9" t="s">
        <v>2852</v>
      </c>
      <c r="B585" s="8">
        <v>43936</v>
      </c>
      <c r="C585" s="8">
        <v>43939</v>
      </c>
      <c r="D585" s="358" t="s">
        <v>2853</v>
      </c>
      <c r="E585" s="9" t="s">
        <v>1880</v>
      </c>
      <c r="G585" s="9">
        <v>79.95</v>
      </c>
      <c r="H585" s="304" t="s">
        <v>2854</v>
      </c>
    </row>
    <row r="586" spans="1:11">
      <c r="A586" s="9" t="s">
        <v>2855</v>
      </c>
      <c r="B586" s="8">
        <v>43935</v>
      </c>
      <c r="C586" s="8">
        <v>43938</v>
      </c>
      <c r="D586" s="358" t="s">
        <v>2856</v>
      </c>
      <c r="E586" s="9" t="s">
        <v>725</v>
      </c>
      <c r="G586" s="9">
        <v>13.13</v>
      </c>
      <c r="H586" s="265" t="s">
        <v>2857</v>
      </c>
    </row>
    <row r="587" spans="1:11" ht="28.5">
      <c r="A587" s="9" t="s">
        <v>2858</v>
      </c>
      <c r="B587" s="8">
        <v>43911</v>
      </c>
      <c r="C587" s="8">
        <v>43929</v>
      </c>
      <c r="D587" s="358" t="s">
        <v>2859</v>
      </c>
      <c r="E587" s="9" t="s">
        <v>1819</v>
      </c>
      <c r="F587" s="9" t="s">
        <v>1217</v>
      </c>
      <c r="G587" s="9">
        <v>19.079999999999998</v>
      </c>
      <c r="H587" s="304" t="s">
        <v>2860</v>
      </c>
      <c r="J587" s="3"/>
      <c r="K587" s="3"/>
    </row>
    <row r="588" spans="1:11" ht="28.5">
      <c r="A588" s="9" t="s">
        <v>2861</v>
      </c>
      <c r="B588" s="8">
        <v>43924</v>
      </c>
      <c r="C588" s="8">
        <v>43928</v>
      </c>
      <c r="D588" s="362" t="s">
        <v>2862</v>
      </c>
      <c r="E588" s="9" t="s">
        <v>1880</v>
      </c>
      <c r="F588" s="9" t="s">
        <v>1217</v>
      </c>
      <c r="G588" s="9">
        <v>6.08</v>
      </c>
      <c r="H588" s="304" t="s">
        <v>2863</v>
      </c>
      <c r="J588" s="3"/>
      <c r="K588" s="3"/>
    </row>
    <row r="589" spans="1:11" ht="28.5">
      <c r="A589" s="9" t="s">
        <v>2864</v>
      </c>
      <c r="B589" s="8">
        <v>43923</v>
      </c>
      <c r="C589" s="8">
        <v>43927</v>
      </c>
      <c r="D589" s="362" t="s">
        <v>2865</v>
      </c>
      <c r="E589" s="9" t="s">
        <v>1880</v>
      </c>
      <c r="F589" s="9" t="s">
        <v>1217</v>
      </c>
      <c r="G589" s="9">
        <v>30.33</v>
      </c>
      <c r="H589" s="304" t="s">
        <v>2866</v>
      </c>
      <c r="J589" s="3"/>
      <c r="K589" s="421"/>
    </row>
    <row r="590" spans="1:11" ht="25.5">
      <c r="A590" s="9" t="s">
        <v>2867</v>
      </c>
      <c r="B590" s="8">
        <v>43921</v>
      </c>
      <c r="C590" s="8">
        <v>43923</v>
      </c>
      <c r="D590" s="358" t="s">
        <v>2868</v>
      </c>
      <c r="E590" s="9" t="s">
        <v>1880</v>
      </c>
      <c r="F590" s="9" t="s">
        <v>1217</v>
      </c>
      <c r="G590" s="9">
        <v>18.84</v>
      </c>
      <c r="H590" s="265" t="s">
        <v>2869</v>
      </c>
    </row>
    <row r="591" spans="1:11" ht="28.5">
      <c r="A591" s="9" t="s">
        <v>2870</v>
      </c>
      <c r="B591" s="8">
        <v>43919</v>
      </c>
      <c r="C591" s="8">
        <v>43923</v>
      </c>
      <c r="D591" s="358" t="s">
        <v>2871</v>
      </c>
      <c r="E591" s="9" t="s">
        <v>1880</v>
      </c>
      <c r="F591" s="9" t="s">
        <v>1198</v>
      </c>
      <c r="G591" s="9">
        <v>10.59</v>
      </c>
      <c r="H591" s="304" t="s">
        <v>2872</v>
      </c>
    </row>
    <row r="592" spans="1:11" ht="14.25">
      <c r="A592" s="9" t="s">
        <v>2873</v>
      </c>
      <c r="B592" s="8">
        <v>43914</v>
      </c>
      <c r="C592" s="8">
        <v>43922</v>
      </c>
      <c r="D592" s="358" t="s">
        <v>2874</v>
      </c>
      <c r="E592" s="9" t="s">
        <v>1576</v>
      </c>
      <c r="F592" s="9" t="s">
        <v>2875</v>
      </c>
      <c r="G592" s="9">
        <v>32.54</v>
      </c>
      <c r="H592" s="304" t="s">
        <v>2876</v>
      </c>
    </row>
    <row r="593" spans="1:8" ht="28.5">
      <c r="A593" s="9" t="s">
        <v>2877</v>
      </c>
      <c r="B593" s="8">
        <v>43911</v>
      </c>
      <c r="C593" s="8">
        <v>43922</v>
      </c>
      <c r="D593" s="358" t="s">
        <v>2878</v>
      </c>
      <c r="E593" s="9" t="s">
        <v>1819</v>
      </c>
      <c r="F593" s="9" t="s">
        <v>1217</v>
      </c>
      <c r="G593" s="9">
        <v>130</v>
      </c>
      <c r="H593" s="304" t="s">
        <v>2860</v>
      </c>
    </row>
    <row r="594" spans="1:8" ht="25.5">
      <c r="A594" s="9" t="s">
        <v>2879</v>
      </c>
      <c r="B594" s="8">
        <v>43914</v>
      </c>
      <c r="C594" s="8">
        <v>43917</v>
      </c>
      <c r="D594" s="362" t="s">
        <v>2880</v>
      </c>
      <c r="E594" s="9" t="s">
        <v>1880</v>
      </c>
      <c r="G594" s="9">
        <v>11.98</v>
      </c>
      <c r="H594" s="304"/>
    </row>
    <row r="595" spans="1:8" ht="14.25">
      <c r="A595" s="25" t="s">
        <v>2881</v>
      </c>
      <c r="B595" s="10">
        <v>43886</v>
      </c>
      <c r="C595" s="422">
        <v>43895</v>
      </c>
      <c r="D595" s="362" t="s">
        <v>2882</v>
      </c>
      <c r="E595" s="347" t="s">
        <v>2883</v>
      </c>
      <c r="F595" s="347" t="s">
        <v>1198</v>
      </c>
      <c r="G595" s="347">
        <v>6.23</v>
      </c>
      <c r="H595" s="304" t="s">
        <v>2884</v>
      </c>
    </row>
    <row r="596" spans="1:8" ht="25.5">
      <c r="A596" s="400" t="s">
        <v>2885</v>
      </c>
      <c r="B596" s="8">
        <v>43894</v>
      </c>
      <c r="C596" s="8">
        <v>43902</v>
      </c>
      <c r="D596" s="358" t="s">
        <v>2886</v>
      </c>
      <c r="E596" s="9" t="s">
        <v>293</v>
      </c>
      <c r="F596" s="9" t="s">
        <v>2887</v>
      </c>
      <c r="G596" s="9">
        <v>16</v>
      </c>
      <c r="H596" s="304" t="s">
        <v>2888</v>
      </c>
    </row>
    <row r="597" spans="1:8" ht="28.5">
      <c r="A597" s="9" t="s">
        <v>2889</v>
      </c>
      <c r="B597" s="8">
        <v>43896</v>
      </c>
      <c r="C597" s="8">
        <v>43899</v>
      </c>
      <c r="D597" s="362" t="s">
        <v>2890</v>
      </c>
      <c r="E597" s="9" t="s">
        <v>1880</v>
      </c>
      <c r="G597" s="9">
        <v>6.99</v>
      </c>
      <c r="H597" s="304" t="s">
        <v>2891</v>
      </c>
    </row>
    <row r="598" spans="1:8" ht="28.5">
      <c r="A598" s="9" t="s">
        <v>2892</v>
      </c>
      <c r="B598" s="8">
        <v>43887</v>
      </c>
      <c r="C598" s="353">
        <v>43896</v>
      </c>
      <c r="D598" s="362" t="s">
        <v>2893</v>
      </c>
      <c r="E598" s="9" t="s">
        <v>1771</v>
      </c>
      <c r="F598" s="9" t="s">
        <v>1198</v>
      </c>
      <c r="G598" s="9">
        <v>44.69</v>
      </c>
      <c r="H598" s="304" t="s">
        <v>2894</v>
      </c>
    </row>
    <row r="599" spans="1:8" ht="14.25">
      <c r="A599" s="25" t="s">
        <v>2895</v>
      </c>
      <c r="B599" s="10">
        <v>43886</v>
      </c>
      <c r="C599" s="422">
        <v>43895</v>
      </c>
      <c r="D599" s="362" t="s">
        <v>2882</v>
      </c>
      <c r="E599" s="347" t="s">
        <v>2896</v>
      </c>
      <c r="F599" s="347" t="s">
        <v>1198</v>
      </c>
      <c r="G599" s="347">
        <v>18.79</v>
      </c>
      <c r="H599" s="304"/>
    </row>
    <row r="600" spans="1:8" ht="28.5">
      <c r="A600" s="25" t="s">
        <v>2897</v>
      </c>
      <c r="B600" s="10">
        <v>43893</v>
      </c>
      <c r="C600" s="10">
        <v>43895</v>
      </c>
      <c r="D600" s="358" t="s">
        <v>2898</v>
      </c>
      <c r="E600" s="9" t="s">
        <v>1880</v>
      </c>
      <c r="F600" s="9" t="s">
        <v>1217</v>
      </c>
      <c r="G600" s="9">
        <v>27.67</v>
      </c>
      <c r="H600" s="304" t="s">
        <v>2899</v>
      </c>
    </row>
    <row r="601" spans="1:8" ht="14.25">
      <c r="A601" s="25" t="s">
        <v>2900</v>
      </c>
      <c r="B601" s="10">
        <v>43892</v>
      </c>
      <c r="C601" s="10">
        <v>43894</v>
      </c>
      <c r="D601" s="358" t="s">
        <v>2901</v>
      </c>
      <c r="E601" s="9" t="s">
        <v>725</v>
      </c>
      <c r="F601" s="9" t="s">
        <v>1217</v>
      </c>
      <c r="G601" s="9">
        <v>25.31</v>
      </c>
      <c r="H601" s="304"/>
    </row>
    <row r="602" spans="1:8" ht="28.5">
      <c r="A602" s="9" t="s">
        <v>2902</v>
      </c>
      <c r="B602" s="8">
        <v>43886</v>
      </c>
      <c r="C602" s="353">
        <v>43893</v>
      </c>
      <c r="D602" s="362" t="s">
        <v>2903</v>
      </c>
      <c r="E602" s="9" t="s">
        <v>2904</v>
      </c>
      <c r="F602" s="9" t="s">
        <v>1198</v>
      </c>
      <c r="G602" s="9">
        <v>125.32</v>
      </c>
      <c r="H602" s="304" t="s">
        <v>2905</v>
      </c>
    </row>
    <row r="603" spans="1:8" ht="28.5">
      <c r="A603" s="25" t="s">
        <v>2906</v>
      </c>
      <c r="B603" s="10">
        <v>43887</v>
      </c>
      <c r="C603" s="10">
        <v>43889</v>
      </c>
      <c r="D603" s="358" t="s">
        <v>2907</v>
      </c>
      <c r="E603" s="423" t="s">
        <v>1902</v>
      </c>
      <c r="F603" s="423" t="s">
        <v>1217</v>
      </c>
      <c r="G603" s="25">
        <v>115</v>
      </c>
      <c r="H603" s="304" t="s">
        <v>2908</v>
      </c>
    </row>
    <row r="604" spans="1:8" ht="28.5">
      <c r="A604" s="25" t="s">
        <v>2909</v>
      </c>
      <c r="B604" s="10">
        <v>43887</v>
      </c>
      <c r="C604" s="10">
        <v>43889</v>
      </c>
      <c r="D604" s="358" t="s">
        <v>2907</v>
      </c>
      <c r="E604" s="423" t="s">
        <v>1902</v>
      </c>
      <c r="F604" s="423" t="s">
        <v>1217</v>
      </c>
      <c r="G604" s="25">
        <v>14</v>
      </c>
      <c r="H604" s="304" t="s">
        <v>2908</v>
      </c>
    </row>
    <row r="605" spans="1:8" ht="28.5">
      <c r="A605" s="9" t="s">
        <v>2910</v>
      </c>
      <c r="B605" s="8">
        <v>43882</v>
      </c>
      <c r="C605" s="353">
        <v>43888</v>
      </c>
      <c r="D605" s="362" t="s">
        <v>2911</v>
      </c>
      <c r="E605" s="9" t="s">
        <v>725</v>
      </c>
      <c r="F605" s="9" t="s">
        <v>1198</v>
      </c>
      <c r="G605" s="9">
        <v>89.99</v>
      </c>
      <c r="H605" s="304" t="s">
        <v>2912</v>
      </c>
    </row>
    <row r="606" spans="1:8" ht="28.5">
      <c r="A606" s="9" t="s">
        <v>2913</v>
      </c>
      <c r="B606" s="8">
        <v>43876</v>
      </c>
      <c r="C606" s="8">
        <v>43886</v>
      </c>
      <c r="D606" s="362" t="s">
        <v>2914</v>
      </c>
      <c r="E606" s="9" t="s">
        <v>725</v>
      </c>
      <c r="F606" s="9" t="s">
        <v>1198</v>
      </c>
      <c r="G606" s="9">
        <v>8.01</v>
      </c>
      <c r="H606" s="304" t="s">
        <v>2915</v>
      </c>
    </row>
    <row r="607" spans="1:8" ht="28.5">
      <c r="A607" s="9" t="s">
        <v>2916</v>
      </c>
      <c r="B607" s="8">
        <v>43876</v>
      </c>
      <c r="C607" s="8">
        <v>43881</v>
      </c>
      <c r="D607" s="358" t="s">
        <v>2917</v>
      </c>
      <c r="E607" s="9" t="s">
        <v>2918</v>
      </c>
      <c r="G607" s="9">
        <v>49.53</v>
      </c>
      <c r="H607" s="304" t="s">
        <v>2919</v>
      </c>
    </row>
    <row r="608" spans="1:8" ht="25.5">
      <c r="A608" s="9" t="s">
        <v>2920</v>
      </c>
      <c r="B608" s="8">
        <v>43873</v>
      </c>
      <c r="C608" s="8">
        <v>43881</v>
      </c>
      <c r="D608" s="358" t="s">
        <v>2921</v>
      </c>
      <c r="E608" s="9" t="s">
        <v>2922</v>
      </c>
      <c r="F608" s="9" t="s">
        <v>1217</v>
      </c>
      <c r="G608" s="9">
        <v>0</v>
      </c>
      <c r="H608" s="304"/>
    </row>
    <row r="609" spans="1:15" ht="14.25">
      <c r="A609" s="9" t="s">
        <v>2923</v>
      </c>
      <c r="B609" s="8">
        <v>43862</v>
      </c>
      <c r="C609" s="424" t="s">
        <v>2924</v>
      </c>
      <c r="D609" s="362" t="s">
        <v>2925</v>
      </c>
      <c r="E609" s="9" t="s">
        <v>69</v>
      </c>
      <c r="F609" s="9" t="s">
        <v>2926</v>
      </c>
      <c r="G609" s="9">
        <v>3.14</v>
      </c>
      <c r="H609" s="304"/>
    </row>
    <row r="610" spans="1:15" ht="14.25">
      <c r="A610" s="9" t="s">
        <v>1277</v>
      </c>
      <c r="B610" s="8">
        <v>43877</v>
      </c>
      <c r="C610" s="8">
        <v>43880</v>
      </c>
      <c r="D610" s="358" t="s">
        <v>2927</v>
      </c>
      <c r="E610" s="9" t="s">
        <v>1337</v>
      </c>
      <c r="F610" s="9" t="s">
        <v>1198</v>
      </c>
      <c r="G610" s="9">
        <v>0</v>
      </c>
      <c r="H610" s="425">
        <v>2524955409</v>
      </c>
      <c r="N610" s="9">
        <v>26666.66</v>
      </c>
    </row>
    <row r="611" spans="1:15" ht="28.5">
      <c r="A611" s="9" t="s">
        <v>2928</v>
      </c>
      <c r="B611" s="8">
        <v>43870</v>
      </c>
      <c r="C611" s="422">
        <v>43879</v>
      </c>
      <c r="D611" s="362" t="s">
        <v>2929</v>
      </c>
      <c r="E611" s="9" t="s">
        <v>725</v>
      </c>
      <c r="F611" s="9" t="s">
        <v>1198</v>
      </c>
      <c r="G611" s="9">
        <v>9.99</v>
      </c>
      <c r="H611" s="304" t="s">
        <v>2930</v>
      </c>
      <c r="N611" s="9">
        <v>40000</v>
      </c>
    </row>
    <row r="612" spans="1:15" ht="14.25">
      <c r="A612" s="9" t="s">
        <v>2931</v>
      </c>
      <c r="B612" s="8">
        <v>43874</v>
      </c>
      <c r="D612" s="40" t="s">
        <v>2932</v>
      </c>
      <c r="E612" s="9" t="s">
        <v>2933</v>
      </c>
      <c r="G612" s="9">
        <v>137.55000000000001</v>
      </c>
      <c r="H612" s="304"/>
      <c r="N612" s="9">
        <f>N610+N611</f>
        <v>66666.66</v>
      </c>
    </row>
    <row r="613" spans="1:15" ht="25.5">
      <c r="A613" s="9" t="s">
        <v>2934</v>
      </c>
      <c r="B613" s="8">
        <v>43874</v>
      </c>
      <c r="C613" s="8">
        <v>43876</v>
      </c>
      <c r="D613" s="402" t="s">
        <v>2935</v>
      </c>
      <c r="E613" s="9" t="s">
        <v>1880</v>
      </c>
      <c r="F613" s="9">
        <f>15.99/200</f>
        <v>7.9950000000000007E-2</v>
      </c>
      <c r="G613" s="9">
        <v>15.99</v>
      </c>
      <c r="H613" s="412" t="s">
        <v>2936</v>
      </c>
    </row>
    <row r="614" spans="1:15">
      <c r="A614" s="9" t="s">
        <v>2937</v>
      </c>
      <c r="B614" s="8">
        <v>43859</v>
      </c>
      <c r="C614" s="353">
        <v>43875</v>
      </c>
      <c r="D614" s="40" t="s">
        <v>2938</v>
      </c>
      <c r="E614" s="9" t="s">
        <v>2939</v>
      </c>
      <c r="G614" s="426">
        <v>354.68</v>
      </c>
      <c r="N614" s="36">
        <v>0.4</v>
      </c>
      <c r="O614" s="9">
        <f>N612*N614</f>
        <v>26666.664000000004</v>
      </c>
    </row>
    <row r="615" spans="1:15">
      <c r="A615" s="9" t="s">
        <v>2940</v>
      </c>
      <c r="B615" s="8">
        <v>43871</v>
      </c>
      <c r="C615" s="8">
        <v>43874</v>
      </c>
      <c r="D615" s="358" t="s">
        <v>2941</v>
      </c>
      <c r="E615" s="9" t="s">
        <v>725</v>
      </c>
      <c r="G615" s="9">
        <v>19.43</v>
      </c>
      <c r="H615" s="412" t="s">
        <v>2942</v>
      </c>
      <c r="N615" s="36">
        <v>0.6</v>
      </c>
      <c r="O615" s="9">
        <f>N612*N615</f>
        <v>39999.995999999999</v>
      </c>
    </row>
    <row r="616" spans="1:15" ht="25.5">
      <c r="A616" s="9" t="s">
        <v>2943</v>
      </c>
      <c r="B616" s="8">
        <v>43869</v>
      </c>
      <c r="C616" s="353">
        <v>43872</v>
      </c>
      <c r="D616" s="362" t="s">
        <v>2944</v>
      </c>
      <c r="E616" s="9" t="s">
        <v>1902</v>
      </c>
      <c r="G616" s="9">
        <v>26.99</v>
      </c>
    </row>
    <row r="617" spans="1:15" ht="25.5">
      <c r="A617" s="9" t="s">
        <v>2945</v>
      </c>
      <c r="B617" s="8">
        <v>43870</v>
      </c>
      <c r="C617" s="353">
        <v>43872</v>
      </c>
      <c r="D617" s="362" t="s">
        <v>2946</v>
      </c>
      <c r="E617" s="9" t="s">
        <v>1880</v>
      </c>
      <c r="G617" s="9">
        <v>6.24</v>
      </c>
      <c r="H617" s="9" t="s">
        <v>2947</v>
      </c>
    </row>
    <row r="618" spans="1:15">
      <c r="A618" s="9" t="s">
        <v>2948</v>
      </c>
      <c r="B618" s="8">
        <v>43864</v>
      </c>
      <c r="C618" s="8">
        <v>43869</v>
      </c>
      <c r="D618" s="40"/>
      <c r="E618" s="9" t="s">
        <v>2949</v>
      </c>
      <c r="G618" s="9">
        <v>115.26</v>
      </c>
    </row>
    <row r="619" spans="1:15" ht="25.5">
      <c r="A619" s="9" t="s">
        <v>2950</v>
      </c>
      <c r="B619" s="8">
        <v>43866</v>
      </c>
      <c r="C619" s="8">
        <v>43868</v>
      </c>
      <c r="D619" s="362" t="s">
        <v>2951</v>
      </c>
      <c r="F619" s="9" t="s">
        <v>1880</v>
      </c>
      <c r="G619" s="9">
        <v>9.99</v>
      </c>
      <c r="H619" s="412" t="s">
        <v>2952</v>
      </c>
    </row>
    <row r="620" spans="1:15">
      <c r="A620" s="9" t="s">
        <v>2953</v>
      </c>
      <c r="B620" s="8">
        <v>43859</v>
      </c>
      <c r="C620" s="8">
        <v>43867</v>
      </c>
      <c r="D620" s="358"/>
      <c r="E620" s="9" t="s">
        <v>293</v>
      </c>
      <c r="G620" s="9">
        <v>50</v>
      </c>
    </row>
    <row r="621" spans="1:15">
      <c r="A621" s="9" t="s">
        <v>2954</v>
      </c>
      <c r="B621" s="8">
        <v>43862</v>
      </c>
      <c r="C621" s="8">
        <v>43866</v>
      </c>
      <c r="D621" s="358">
        <v>138636091844</v>
      </c>
      <c r="E621" s="9" t="s">
        <v>69</v>
      </c>
      <c r="F621" s="9" t="s">
        <v>1595</v>
      </c>
      <c r="G621" s="9">
        <v>199</v>
      </c>
    </row>
    <row r="622" spans="1:15">
      <c r="A622" s="9" t="s">
        <v>2955</v>
      </c>
      <c r="B622" s="8">
        <v>43860</v>
      </c>
      <c r="C622" s="8">
        <v>43864</v>
      </c>
      <c r="D622" s="362" t="s">
        <v>2956</v>
      </c>
      <c r="E622" s="9" t="s">
        <v>2957</v>
      </c>
      <c r="G622" s="9">
        <v>120.29</v>
      </c>
    </row>
    <row r="623" spans="1:15">
      <c r="A623" s="9" t="s">
        <v>2958</v>
      </c>
      <c r="B623" s="8">
        <v>43858</v>
      </c>
      <c r="C623" s="8">
        <v>43862</v>
      </c>
      <c r="D623" s="40" t="s">
        <v>2959</v>
      </c>
    </row>
    <row r="624" spans="1:15" ht="25.5">
      <c r="A624" s="9" t="s">
        <v>2960</v>
      </c>
      <c r="B624" s="8">
        <v>43854</v>
      </c>
      <c r="C624" s="8">
        <v>43857</v>
      </c>
      <c r="D624" s="358" t="s">
        <v>135</v>
      </c>
      <c r="E624" s="9" t="s">
        <v>1880</v>
      </c>
      <c r="G624" s="9">
        <v>27.72</v>
      </c>
    </row>
    <row r="625" spans="1:7">
      <c r="A625" s="9" t="s">
        <v>2958</v>
      </c>
      <c r="B625" s="8">
        <v>43851</v>
      </c>
      <c r="C625" s="8">
        <v>43855</v>
      </c>
      <c r="D625" s="40" t="s">
        <v>2959</v>
      </c>
    </row>
    <row r="626" spans="1:7" ht="25.5">
      <c r="A626" s="9" t="s">
        <v>2961</v>
      </c>
      <c r="B626" s="8">
        <v>43852</v>
      </c>
      <c r="C626" s="8">
        <v>43854</v>
      </c>
      <c r="D626" s="358" t="s">
        <v>2962</v>
      </c>
      <c r="E626" s="9" t="s">
        <v>1880</v>
      </c>
      <c r="G626" s="9">
        <v>27.49</v>
      </c>
    </row>
    <row r="627" spans="1:7" ht="25.5">
      <c r="A627" s="9" t="s">
        <v>2963</v>
      </c>
      <c r="B627" s="8">
        <v>43851</v>
      </c>
      <c r="C627" s="8">
        <v>43853</v>
      </c>
      <c r="D627" s="358" t="s">
        <v>2964</v>
      </c>
      <c r="E627" s="9" t="s">
        <v>1880</v>
      </c>
      <c r="F627" s="9" t="s">
        <v>1343</v>
      </c>
      <c r="G627" s="9">
        <v>44.97</v>
      </c>
    </row>
    <row r="628" spans="1:7" ht="25.5">
      <c r="A628" s="9" t="s">
        <v>2965</v>
      </c>
      <c r="B628" s="8">
        <v>43851</v>
      </c>
      <c r="C628" s="8">
        <v>43853</v>
      </c>
      <c r="D628" s="358" t="s">
        <v>2964</v>
      </c>
      <c r="E628" s="9" t="s">
        <v>1880</v>
      </c>
      <c r="F628" s="9" t="s">
        <v>1343</v>
      </c>
      <c r="G628" s="9">
        <v>61.82</v>
      </c>
    </row>
    <row r="629" spans="1:7" ht="25.5">
      <c r="A629" s="9" t="s">
        <v>2966</v>
      </c>
      <c r="B629" s="8">
        <v>43849</v>
      </c>
      <c r="C629" s="8">
        <v>43851</v>
      </c>
      <c r="D629" s="362" t="s">
        <v>2967</v>
      </c>
      <c r="E629" s="9" t="s">
        <v>1880</v>
      </c>
      <c r="G629" s="9">
        <v>32.54</v>
      </c>
    </row>
    <row r="630" spans="1:7">
      <c r="A630" s="9" t="s">
        <v>2968</v>
      </c>
      <c r="B630" s="8">
        <v>43844</v>
      </c>
      <c r="C630" s="8">
        <v>43850</v>
      </c>
      <c r="D630" s="358" t="s">
        <v>2969</v>
      </c>
      <c r="E630" s="9" t="s">
        <v>391</v>
      </c>
      <c r="G630" s="9">
        <v>35.909999999999997</v>
      </c>
    </row>
    <row r="631" spans="1:7" ht="25.5">
      <c r="A631" s="9" t="s">
        <v>2970</v>
      </c>
      <c r="B631" s="8">
        <v>43844</v>
      </c>
      <c r="C631" s="8">
        <v>43846</v>
      </c>
      <c r="D631" s="362" t="s">
        <v>2971</v>
      </c>
      <c r="E631" s="9" t="s">
        <v>2721</v>
      </c>
      <c r="G631" s="9">
        <v>15.99</v>
      </c>
    </row>
    <row r="632" spans="1:7">
      <c r="A632" s="9" t="s">
        <v>2972</v>
      </c>
      <c r="B632" s="8">
        <v>43838</v>
      </c>
      <c r="C632" s="8">
        <v>43843</v>
      </c>
      <c r="D632" s="358"/>
      <c r="G632" s="9">
        <v>18.5</v>
      </c>
    </row>
    <row r="633" spans="1:7">
      <c r="A633" s="9" t="s">
        <v>2973</v>
      </c>
      <c r="B633" s="8">
        <v>43839</v>
      </c>
      <c r="C633" s="8">
        <v>43843</v>
      </c>
      <c r="D633" s="358" t="s">
        <v>2974</v>
      </c>
      <c r="E633" s="82" t="s">
        <v>725</v>
      </c>
      <c r="F633" s="9"/>
      <c r="G633" s="9">
        <v>133.05000000000001</v>
      </c>
    </row>
    <row r="634" spans="1:7">
      <c r="A634" s="9" t="s">
        <v>2975</v>
      </c>
      <c r="B634" s="8">
        <v>43838</v>
      </c>
      <c r="C634" s="8">
        <v>43844</v>
      </c>
      <c r="D634" s="358"/>
      <c r="G634" s="9">
        <v>14.99</v>
      </c>
    </row>
    <row r="635" spans="1:7">
      <c r="A635" s="9" t="s">
        <v>226</v>
      </c>
      <c r="B635" s="8">
        <v>43832</v>
      </c>
      <c r="C635" s="353">
        <v>43839</v>
      </c>
      <c r="D635" s="362" t="s">
        <v>2976</v>
      </c>
      <c r="E635" s="82" t="s">
        <v>2977</v>
      </c>
      <c r="F635" s="9"/>
      <c r="G635" s="9">
        <v>242.29</v>
      </c>
    </row>
    <row r="636" spans="1:7">
      <c r="A636" s="9" t="s">
        <v>2978</v>
      </c>
      <c r="B636" s="8">
        <v>43832</v>
      </c>
      <c r="D636" s="362" t="s">
        <v>2979</v>
      </c>
    </row>
    <row r="637" spans="1:7" ht="25.5">
      <c r="A637" s="9" t="s">
        <v>2980</v>
      </c>
      <c r="B637" s="8">
        <v>43834</v>
      </c>
      <c r="C637" s="8">
        <v>43837</v>
      </c>
      <c r="D637" s="362" t="s">
        <v>2981</v>
      </c>
      <c r="E637" s="82" t="s">
        <v>1902</v>
      </c>
      <c r="F637" s="9"/>
      <c r="G637" s="9">
        <v>54.24</v>
      </c>
    </row>
    <row r="638" spans="1:7">
      <c r="A638" s="9" t="s">
        <v>2982</v>
      </c>
      <c r="B638" s="8">
        <v>43670</v>
      </c>
      <c r="D638" s="358" t="s">
        <v>2983</v>
      </c>
      <c r="E638" s="82" t="s">
        <v>2984</v>
      </c>
      <c r="F638" s="82" t="s">
        <v>1217</v>
      </c>
    </row>
    <row r="639" spans="1:7" ht="25.5">
      <c r="A639" s="9" t="s">
        <v>2985</v>
      </c>
      <c r="B639" s="8">
        <v>43831</v>
      </c>
      <c r="C639" s="427">
        <v>43836</v>
      </c>
      <c r="D639" s="362" t="s">
        <v>2986</v>
      </c>
      <c r="E639" s="82" t="s">
        <v>1902</v>
      </c>
      <c r="G639" s="9">
        <v>16.239999999999998</v>
      </c>
    </row>
    <row r="640" spans="1:7">
      <c r="A640" s="3">
        <v>2019</v>
      </c>
      <c r="B640" s="8"/>
      <c r="C640" s="8"/>
      <c r="D640" s="358"/>
      <c r="E640" s="82"/>
    </row>
    <row r="641" spans="1:8" ht="25.5">
      <c r="A641" s="9" t="s">
        <v>2987</v>
      </c>
      <c r="B641" s="8">
        <v>43822</v>
      </c>
      <c r="C641" s="8">
        <v>43467</v>
      </c>
      <c r="D641" s="358" t="s">
        <v>2988</v>
      </c>
      <c r="E641" s="82" t="s">
        <v>1902</v>
      </c>
    </row>
    <row r="642" spans="1:8">
      <c r="A642" s="9" t="s">
        <v>2989</v>
      </c>
      <c r="B642" s="8">
        <v>44194</v>
      </c>
      <c r="C642" s="8">
        <v>43833</v>
      </c>
      <c r="D642" s="358"/>
      <c r="E642" s="9" t="s">
        <v>1724</v>
      </c>
      <c r="F642" s="9" t="s">
        <v>2990</v>
      </c>
    </row>
    <row r="643" spans="1:8" ht="25.5">
      <c r="A643" s="9" t="s">
        <v>2991</v>
      </c>
      <c r="B643" s="8">
        <v>43828</v>
      </c>
      <c r="C643" s="8">
        <v>43468</v>
      </c>
      <c r="D643" s="362" t="s">
        <v>2992</v>
      </c>
      <c r="E643" s="82" t="s">
        <v>1902</v>
      </c>
    </row>
    <row r="644" spans="1:8" ht="25.5">
      <c r="A644" s="9" t="s">
        <v>2993</v>
      </c>
      <c r="B644" s="8">
        <v>43822</v>
      </c>
      <c r="C644" s="8">
        <v>43829</v>
      </c>
      <c r="D644" s="362" t="s">
        <v>2994</v>
      </c>
      <c r="E644" s="9" t="s">
        <v>1902</v>
      </c>
      <c r="F644" s="9" t="s">
        <v>2995</v>
      </c>
    </row>
    <row r="645" spans="1:8">
      <c r="A645" s="9" t="s">
        <v>2996</v>
      </c>
      <c r="B645" s="22" t="s">
        <v>2997</v>
      </c>
      <c r="C645" s="8">
        <v>43829</v>
      </c>
      <c r="D645" s="40"/>
      <c r="E645" s="82"/>
      <c r="F645" s="82"/>
    </row>
    <row r="646" spans="1:8" ht="25.5">
      <c r="A646" s="9" t="s">
        <v>2993</v>
      </c>
      <c r="B646" s="8">
        <v>43822</v>
      </c>
      <c r="C646" s="8">
        <v>43829</v>
      </c>
      <c r="D646" s="40"/>
      <c r="E646" s="9" t="s">
        <v>1902</v>
      </c>
      <c r="F646" s="9" t="s">
        <v>2998</v>
      </c>
    </row>
    <row r="647" spans="1:8" ht="25.5">
      <c r="A647" s="9" t="s">
        <v>2993</v>
      </c>
      <c r="B647" s="8">
        <v>43822</v>
      </c>
      <c r="C647" s="8">
        <v>43829</v>
      </c>
      <c r="D647" s="40"/>
      <c r="E647" s="9" t="s">
        <v>1902</v>
      </c>
      <c r="F647" s="9" t="s">
        <v>2999</v>
      </c>
    </row>
    <row r="648" spans="1:8" ht="25.5">
      <c r="A648" s="9" t="s">
        <v>3000</v>
      </c>
      <c r="B648" s="8">
        <v>43821</v>
      </c>
      <c r="C648" s="8">
        <v>43826</v>
      </c>
      <c r="D648" s="40"/>
      <c r="E648" s="9" t="s">
        <v>1902</v>
      </c>
    </row>
    <row r="649" spans="1:8" ht="25.5">
      <c r="A649" s="9" t="s">
        <v>3001</v>
      </c>
      <c r="B649" s="8">
        <v>43820</v>
      </c>
      <c r="C649" s="8">
        <v>43826</v>
      </c>
      <c r="D649" s="402" t="s">
        <v>3002</v>
      </c>
      <c r="E649" s="9" t="s">
        <v>1902</v>
      </c>
      <c r="F649" s="9" t="s">
        <v>1217</v>
      </c>
    </row>
    <row r="650" spans="1:8" ht="25.5">
      <c r="A650" s="9" t="s">
        <v>3003</v>
      </c>
      <c r="B650" s="8">
        <v>43818</v>
      </c>
      <c r="C650" s="8">
        <v>43826</v>
      </c>
      <c r="D650" s="402" t="s">
        <v>3004</v>
      </c>
      <c r="E650" s="9" t="s">
        <v>1902</v>
      </c>
      <c r="F650" s="9" t="s">
        <v>1217</v>
      </c>
    </row>
    <row r="651" spans="1:8" ht="14.25">
      <c r="A651" s="9" t="s">
        <v>1623</v>
      </c>
      <c r="B651" s="8">
        <v>43815</v>
      </c>
      <c r="C651" s="8">
        <v>43819</v>
      </c>
      <c r="D651" s="428" t="s">
        <v>3005</v>
      </c>
      <c r="E651" s="9" t="s">
        <v>1764</v>
      </c>
      <c r="F651" s="9" t="s">
        <v>1198</v>
      </c>
    </row>
    <row r="652" spans="1:8" ht="25.5">
      <c r="A652" s="9" t="s">
        <v>3006</v>
      </c>
      <c r="B652" s="8">
        <v>43814</v>
      </c>
      <c r="C652" s="8">
        <v>43818</v>
      </c>
      <c r="D652" s="428" t="s">
        <v>3007</v>
      </c>
      <c r="E652" s="9" t="s">
        <v>1902</v>
      </c>
      <c r="F652" s="9" t="s">
        <v>1217</v>
      </c>
    </row>
    <row r="653" spans="1:8" ht="28.5">
      <c r="A653" s="9" t="s">
        <v>3008</v>
      </c>
      <c r="B653" s="8">
        <v>43813</v>
      </c>
      <c r="C653" s="8">
        <v>43816</v>
      </c>
      <c r="D653" s="40" t="s">
        <v>3009</v>
      </c>
      <c r="E653" s="9" t="s">
        <v>1902</v>
      </c>
      <c r="H653" s="429" t="s">
        <v>3010</v>
      </c>
    </row>
    <row r="654" spans="1:8" ht="28.5">
      <c r="A654" s="9" t="s">
        <v>3011</v>
      </c>
      <c r="B654" s="8">
        <v>43813</v>
      </c>
      <c r="C654" s="8">
        <v>43816</v>
      </c>
      <c r="D654" s="40" t="s">
        <v>3009</v>
      </c>
      <c r="E654" s="9" t="s">
        <v>1902</v>
      </c>
      <c r="H654" s="429" t="s">
        <v>3010</v>
      </c>
    </row>
    <row r="655" spans="1:8" ht="25.5">
      <c r="A655" s="9" t="s">
        <v>3012</v>
      </c>
      <c r="B655" s="8">
        <v>43811</v>
      </c>
      <c r="C655" s="8">
        <v>43815</v>
      </c>
      <c r="D655" s="402" t="s">
        <v>3013</v>
      </c>
      <c r="E655" s="9" t="s">
        <v>1880</v>
      </c>
      <c r="F655" s="9" t="s">
        <v>1217</v>
      </c>
    </row>
    <row r="656" spans="1:8" ht="14.25">
      <c r="A656" s="9" t="s">
        <v>1316</v>
      </c>
      <c r="B656" s="8">
        <v>43807</v>
      </c>
      <c r="C656" s="8">
        <v>43811</v>
      </c>
      <c r="D656" s="430" t="s">
        <v>3014</v>
      </c>
      <c r="F656" s="9" t="s">
        <v>1186</v>
      </c>
    </row>
    <row r="657" spans="1:7" ht="25.5">
      <c r="A657" s="9" t="s">
        <v>3015</v>
      </c>
      <c r="B657" s="8">
        <v>43806</v>
      </c>
      <c r="C657" s="8">
        <v>43808</v>
      </c>
      <c r="D657" s="40"/>
      <c r="E657" s="9" t="s">
        <v>1880</v>
      </c>
    </row>
    <row r="658" spans="1:7" ht="25.5">
      <c r="A658" s="9" t="s">
        <v>3016</v>
      </c>
      <c r="B658" s="8">
        <v>43806</v>
      </c>
      <c r="C658" s="8">
        <v>43810</v>
      </c>
      <c r="D658" s="402" t="s">
        <v>3017</v>
      </c>
      <c r="E658" s="9" t="s">
        <v>1880</v>
      </c>
      <c r="F658" s="9" t="s">
        <v>1186</v>
      </c>
    </row>
    <row r="659" spans="1:7" ht="25.5">
      <c r="A659" s="9" t="s">
        <v>3018</v>
      </c>
      <c r="B659" s="8">
        <v>43804</v>
      </c>
      <c r="C659" s="8">
        <v>43808</v>
      </c>
      <c r="D659" s="40" t="s">
        <v>3019</v>
      </c>
      <c r="E659" s="9" t="s">
        <v>1880</v>
      </c>
    </row>
    <row r="660" spans="1:7">
      <c r="A660" s="9" t="s">
        <v>3020</v>
      </c>
      <c r="B660" s="8">
        <v>43804</v>
      </c>
      <c r="C660" s="8">
        <v>43809</v>
      </c>
      <c r="D660" s="40"/>
      <c r="E660" s="9" t="s">
        <v>293</v>
      </c>
    </row>
    <row r="661" spans="1:7">
      <c r="A661" s="9" t="s">
        <v>3021</v>
      </c>
      <c r="B661" s="8">
        <v>43802</v>
      </c>
      <c r="C661" s="8">
        <v>43480</v>
      </c>
      <c r="D661" s="40"/>
    </row>
    <row r="662" spans="1:7">
      <c r="A662" s="9" t="s">
        <v>3022</v>
      </c>
      <c r="B662" s="8">
        <v>43801</v>
      </c>
      <c r="C662" s="8">
        <v>43809</v>
      </c>
      <c r="D662" s="40"/>
      <c r="E662" s="9" t="s">
        <v>66</v>
      </c>
      <c r="F662" s="9" t="s">
        <v>1186</v>
      </c>
    </row>
    <row r="663" spans="1:7" ht="14.25">
      <c r="A663" s="9" t="s">
        <v>3023</v>
      </c>
      <c r="B663" s="8">
        <v>43797</v>
      </c>
      <c r="C663" s="8">
        <v>43801</v>
      </c>
      <c r="D663" s="402">
        <v>9832</v>
      </c>
      <c r="E663" s="9" t="s">
        <v>69</v>
      </c>
    </row>
    <row r="664" spans="1:7" ht="14.25">
      <c r="A664" s="9" t="s">
        <v>3024</v>
      </c>
      <c r="B664" s="8">
        <v>43797</v>
      </c>
      <c r="C664" s="8">
        <v>43801</v>
      </c>
      <c r="D664" s="402">
        <v>9832</v>
      </c>
      <c r="E664" s="9" t="s">
        <v>69</v>
      </c>
    </row>
    <row r="665" spans="1:7">
      <c r="A665" s="9" t="s">
        <v>3025</v>
      </c>
      <c r="B665" s="8">
        <v>43797</v>
      </c>
      <c r="C665" s="8">
        <v>43801</v>
      </c>
      <c r="D665" s="40">
        <v>3039</v>
      </c>
      <c r="E665" s="9" t="s">
        <v>293</v>
      </c>
    </row>
    <row r="666" spans="1:7">
      <c r="A666" s="9" t="s">
        <v>3026</v>
      </c>
      <c r="B666" s="8">
        <v>43797</v>
      </c>
      <c r="C666" s="8">
        <v>43801</v>
      </c>
      <c r="D666" s="40"/>
      <c r="E666" s="9" t="s">
        <v>69</v>
      </c>
      <c r="F666" s="9" t="s">
        <v>3027</v>
      </c>
    </row>
    <row r="667" spans="1:7" ht="25.5">
      <c r="A667" s="9" t="s">
        <v>3028</v>
      </c>
      <c r="B667" s="8">
        <v>43797</v>
      </c>
      <c r="C667" s="8">
        <v>43802</v>
      </c>
      <c r="D667" s="1652" t="s">
        <v>3029</v>
      </c>
      <c r="E667" s="253" t="s">
        <v>3030</v>
      </c>
    </row>
    <row r="668" spans="1:7">
      <c r="A668" s="9" t="s">
        <v>3031</v>
      </c>
      <c r="B668" s="8">
        <v>43796</v>
      </c>
      <c r="C668" s="8">
        <v>43802</v>
      </c>
      <c r="D668" s="40"/>
      <c r="E668" s="9" t="s">
        <v>69</v>
      </c>
    </row>
    <row r="669" spans="1:7" ht="25.5">
      <c r="A669" s="9" t="s">
        <v>3032</v>
      </c>
      <c r="B669" s="8">
        <v>43793</v>
      </c>
      <c r="C669" s="8">
        <v>43795</v>
      </c>
      <c r="D669" s="40"/>
      <c r="E669" s="9" t="s">
        <v>1311</v>
      </c>
    </row>
    <row r="670" spans="1:7">
      <c r="A670" s="9" t="s">
        <v>3033</v>
      </c>
      <c r="B670" s="8">
        <v>43793</v>
      </c>
      <c r="C670" s="8">
        <v>43808</v>
      </c>
      <c r="D670" s="40" t="s">
        <v>3034</v>
      </c>
      <c r="E670" s="9" t="s">
        <v>3035</v>
      </c>
      <c r="F670" s="9" t="s">
        <v>1343</v>
      </c>
      <c r="G670" s="9" t="s">
        <v>3036</v>
      </c>
    </row>
    <row r="671" spans="1:7">
      <c r="A671" s="9" t="s">
        <v>3037</v>
      </c>
      <c r="B671" s="8">
        <v>43786</v>
      </c>
      <c r="C671" s="8">
        <v>43794</v>
      </c>
      <c r="D671" s="40"/>
      <c r="E671" s="82" t="s">
        <v>2463</v>
      </c>
    </row>
    <row r="672" spans="1:7">
      <c r="A672" s="9" t="s">
        <v>3038</v>
      </c>
      <c r="B672" s="8">
        <v>43785</v>
      </c>
      <c r="C672" s="8">
        <v>43789</v>
      </c>
      <c r="D672" s="40"/>
      <c r="E672" s="82" t="s">
        <v>3039</v>
      </c>
    </row>
    <row r="673" spans="1:7">
      <c r="A673" s="9" t="s">
        <v>3040</v>
      </c>
      <c r="B673" s="8">
        <v>43785</v>
      </c>
      <c r="C673" s="8">
        <v>43789</v>
      </c>
      <c r="D673" s="362" t="s">
        <v>3041</v>
      </c>
      <c r="E673" s="82" t="s">
        <v>293</v>
      </c>
    </row>
    <row r="674" spans="1:7">
      <c r="A674" s="9" t="s">
        <v>3042</v>
      </c>
      <c r="B674" s="8">
        <v>43784</v>
      </c>
      <c r="C674" s="8">
        <v>43790</v>
      </c>
      <c r="D674" s="358">
        <v>778100584841</v>
      </c>
      <c r="E674" s="82"/>
      <c r="F674" s="82" t="s">
        <v>3043</v>
      </c>
    </row>
    <row r="675" spans="1:7" ht="25.5">
      <c r="A675" s="9" t="s">
        <v>3044</v>
      </c>
      <c r="B675" s="8">
        <v>43783</v>
      </c>
      <c r="C675" s="8">
        <v>43787</v>
      </c>
      <c r="D675" s="40">
        <v>4176</v>
      </c>
      <c r="E675" s="9" t="s">
        <v>1311</v>
      </c>
      <c r="F675" s="9" t="s">
        <v>1186</v>
      </c>
    </row>
    <row r="676" spans="1:7" ht="25.5">
      <c r="A676" s="9" t="s">
        <v>3045</v>
      </c>
      <c r="B676" s="8">
        <v>43783</v>
      </c>
      <c r="C676" s="8">
        <v>43789</v>
      </c>
      <c r="D676" s="431" t="s">
        <v>3046</v>
      </c>
      <c r="E676" s="82" t="s">
        <v>3047</v>
      </c>
      <c r="F676" s="82" t="s">
        <v>1198</v>
      </c>
      <c r="G676" s="9" t="s">
        <v>3048</v>
      </c>
    </row>
    <row r="677" spans="1:7">
      <c r="A677" s="9" t="s">
        <v>3049</v>
      </c>
      <c r="B677" s="8">
        <v>43783</v>
      </c>
      <c r="C677" s="8">
        <v>43794</v>
      </c>
      <c r="D677" s="40"/>
      <c r="E677" s="82" t="s">
        <v>66</v>
      </c>
      <c r="F677" s="82"/>
    </row>
    <row r="678" spans="1:7">
      <c r="A678" s="9" t="s">
        <v>3050</v>
      </c>
      <c r="B678" s="8">
        <v>43783</v>
      </c>
      <c r="C678" s="8">
        <v>43794</v>
      </c>
      <c r="D678" s="40" t="s">
        <v>3051</v>
      </c>
      <c r="E678" s="82" t="s">
        <v>66</v>
      </c>
      <c r="F678" s="82" t="s">
        <v>1198</v>
      </c>
    </row>
    <row r="679" spans="1:7">
      <c r="A679" s="9" t="s">
        <v>3052</v>
      </c>
      <c r="B679" s="8">
        <v>43782</v>
      </c>
      <c r="C679" s="8">
        <v>43784</v>
      </c>
      <c r="D679" s="40"/>
      <c r="E679" s="9" t="s">
        <v>69</v>
      </c>
    </row>
    <row r="680" spans="1:7">
      <c r="A680" s="9" t="s">
        <v>3053</v>
      </c>
      <c r="B680" s="8">
        <v>43782</v>
      </c>
      <c r="C680" s="8">
        <v>43785</v>
      </c>
      <c r="D680" s="40"/>
      <c r="E680" s="9" t="s">
        <v>69</v>
      </c>
    </row>
    <row r="681" spans="1:7">
      <c r="A681" s="9" t="s">
        <v>3054</v>
      </c>
      <c r="B681" s="8">
        <v>43778</v>
      </c>
      <c r="C681" s="8">
        <v>43803</v>
      </c>
      <c r="D681" s="40">
        <v>1788</v>
      </c>
      <c r="E681" s="82" t="s">
        <v>2926</v>
      </c>
      <c r="F681" s="82"/>
    </row>
    <row r="682" spans="1:7" ht="25.5">
      <c r="A682" s="9" t="s">
        <v>3055</v>
      </c>
      <c r="B682" s="8">
        <v>43775</v>
      </c>
      <c r="C682" s="8">
        <v>43781</v>
      </c>
      <c r="D682" s="432" t="s">
        <v>3056</v>
      </c>
      <c r="E682" s="9" t="s">
        <v>3057</v>
      </c>
      <c r="F682" s="9" t="s">
        <v>1186</v>
      </c>
    </row>
    <row r="683" spans="1:7">
      <c r="A683" s="9" t="s">
        <v>2221</v>
      </c>
      <c r="B683" s="8">
        <v>43772</v>
      </c>
      <c r="D683" s="40"/>
    </row>
    <row r="684" spans="1:7" ht="25.5">
      <c r="A684" s="9" t="s">
        <v>3058</v>
      </c>
      <c r="B684" s="8">
        <v>43771</v>
      </c>
      <c r="C684" s="8">
        <v>43774</v>
      </c>
      <c r="D684" s="40"/>
      <c r="E684" s="9" t="s">
        <v>1311</v>
      </c>
    </row>
    <row r="685" spans="1:7" ht="12.75" customHeight="1">
      <c r="A685" s="9" t="s">
        <v>3059</v>
      </c>
      <c r="B685" s="8">
        <v>43759</v>
      </c>
      <c r="D685" s="433" t="s">
        <v>3060</v>
      </c>
      <c r="F685" s="9" t="s">
        <v>1343</v>
      </c>
    </row>
    <row r="686" spans="1:7" ht="25.5">
      <c r="A686" s="9" t="s">
        <v>3061</v>
      </c>
      <c r="B686" s="8">
        <v>43759</v>
      </c>
      <c r="C686" s="8">
        <v>43775</v>
      </c>
      <c r="D686" s="410">
        <v>119034660674</v>
      </c>
      <c r="E686" s="9" t="s">
        <v>3062</v>
      </c>
      <c r="F686" s="9" t="s">
        <v>3043</v>
      </c>
    </row>
    <row r="687" spans="1:7" ht="25.5">
      <c r="A687" s="9" t="s">
        <v>3063</v>
      </c>
      <c r="B687" s="8">
        <v>43758</v>
      </c>
      <c r="C687" s="8">
        <v>43761</v>
      </c>
      <c r="D687" s="40"/>
      <c r="E687" s="9" t="s">
        <v>1880</v>
      </c>
    </row>
    <row r="688" spans="1:7">
      <c r="A688" s="9" t="s">
        <v>3064</v>
      </c>
      <c r="B688" s="8">
        <v>43758</v>
      </c>
      <c r="D688" s="40"/>
      <c r="E688" s="9" t="s">
        <v>1343</v>
      </c>
    </row>
    <row r="689" spans="1:5">
      <c r="A689" s="9" t="s">
        <v>3065</v>
      </c>
      <c r="B689" s="8">
        <v>43758</v>
      </c>
      <c r="D689" s="40"/>
      <c r="E689" s="9" t="s">
        <v>1343</v>
      </c>
    </row>
    <row r="690" spans="1:5">
      <c r="A690" s="9" t="s">
        <v>3064</v>
      </c>
      <c r="B690" s="8">
        <v>43758</v>
      </c>
      <c r="D690" s="40"/>
      <c r="E690" s="9" t="s">
        <v>1198</v>
      </c>
    </row>
    <row r="691" spans="1:5" ht="25.5">
      <c r="A691" s="9" t="s">
        <v>3066</v>
      </c>
      <c r="B691" s="8">
        <v>43754</v>
      </c>
      <c r="C691" s="8">
        <v>43756</v>
      </c>
      <c r="D691" s="40"/>
      <c r="E691" s="9" t="s">
        <v>1880</v>
      </c>
    </row>
    <row r="692" spans="1:5">
      <c r="A692" s="9" t="s">
        <v>3067</v>
      </c>
      <c r="B692" s="8">
        <v>43751</v>
      </c>
      <c r="C692" s="8">
        <v>43764</v>
      </c>
      <c r="D692" s="40"/>
      <c r="E692" s="9" t="s">
        <v>3068</v>
      </c>
    </row>
    <row r="693" spans="1:5">
      <c r="A693" s="9" t="s">
        <v>1808</v>
      </c>
      <c r="B693" s="8">
        <v>43748</v>
      </c>
      <c r="D693" s="40"/>
    </row>
    <row r="694" spans="1:5">
      <c r="A694" s="9" t="s">
        <v>3069</v>
      </c>
      <c r="B694" s="8">
        <v>43747</v>
      </c>
      <c r="C694" s="8">
        <v>43752</v>
      </c>
      <c r="D694" s="40"/>
      <c r="E694" s="9" t="s">
        <v>1724</v>
      </c>
    </row>
    <row r="695" spans="1:5" ht="25.5">
      <c r="A695" s="9" t="s">
        <v>3070</v>
      </c>
      <c r="B695" s="8">
        <v>43747</v>
      </c>
      <c r="C695" s="8">
        <v>43768</v>
      </c>
      <c r="D695" s="40"/>
      <c r="E695" s="9" t="s">
        <v>3071</v>
      </c>
    </row>
    <row r="696" spans="1:5" ht="25.5">
      <c r="A696" s="9" t="s">
        <v>3072</v>
      </c>
      <c r="B696" s="8">
        <v>43746</v>
      </c>
      <c r="C696" s="8">
        <v>43748</v>
      </c>
      <c r="D696" s="40"/>
      <c r="E696" s="9" t="s">
        <v>1880</v>
      </c>
    </row>
    <row r="697" spans="1:5">
      <c r="A697" s="9" t="s">
        <v>3073</v>
      </c>
      <c r="B697" s="8">
        <v>43744</v>
      </c>
      <c r="C697" s="8">
        <v>43752</v>
      </c>
      <c r="D697" s="40"/>
      <c r="E697" s="9" t="s">
        <v>293</v>
      </c>
    </row>
    <row r="698" spans="1:5">
      <c r="A698" s="9" t="s">
        <v>3074</v>
      </c>
      <c r="B698" s="8">
        <v>43739</v>
      </c>
      <c r="C698" s="8">
        <v>43741</v>
      </c>
      <c r="D698" s="40"/>
      <c r="E698" s="9" t="s">
        <v>3075</v>
      </c>
    </row>
    <row r="699" spans="1:5" ht="25.5">
      <c r="A699" s="9" t="s">
        <v>3076</v>
      </c>
      <c r="B699" s="8">
        <v>43733</v>
      </c>
      <c r="C699" s="8">
        <v>43735</v>
      </c>
      <c r="D699" s="40"/>
      <c r="E699" s="9" t="s">
        <v>1880</v>
      </c>
    </row>
    <row r="700" spans="1:5" ht="25.5">
      <c r="A700" s="9" t="s">
        <v>3077</v>
      </c>
      <c r="B700" s="8">
        <v>43733</v>
      </c>
      <c r="C700" s="8">
        <v>43735</v>
      </c>
      <c r="D700" s="40"/>
      <c r="E700" s="9" t="s">
        <v>1880</v>
      </c>
    </row>
    <row r="701" spans="1:5">
      <c r="A701" s="9" t="s">
        <v>3078</v>
      </c>
      <c r="B701" s="8">
        <v>43732</v>
      </c>
      <c r="C701" s="22" t="s">
        <v>3079</v>
      </c>
      <c r="D701" s="40"/>
      <c r="E701" s="9" t="s">
        <v>1724</v>
      </c>
    </row>
    <row r="702" spans="1:5" ht="25.5">
      <c r="A702" s="9" t="s">
        <v>226</v>
      </c>
      <c r="B702" s="8">
        <v>43732</v>
      </c>
      <c r="C702" s="8">
        <v>43713</v>
      </c>
      <c r="D702" s="40"/>
      <c r="E702" s="9" t="s">
        <v>2904</v>
      </c>
    </row>
    <row r="703" spans="1:5">
      <c r="A703" s="9" t="s">
        <v>3080</v>
      </c>
      <c r="B703" s="8">
        <v>43726</v>
      </c>
      <c r="C703" s="8">
        <v>43735</v>
      </c>
      <c r="D703" s="40"/>
    </row>
    <row r="704" spans="1:5">
      <c r="A704" s="9" t="s">
        <v>3081</v>
      </c>
      <c r="B704" s="8">
        <v>43725</v>
      </c>
      <c r="C704" s="8">
        <v>43733</v>
      </c>
      <c r="D704" s="40"/>
      <c r="E704" s="9" t="s">
        <v>391</v>
      </c>
    </row>
    <row r="705" spans="1:5" ht="25.5">
      <c r="A705" s="9" t="s">
        <v>3082</v>
      </c>
      <c r="B705" s="8">
        <v>43715</v>
      </c>
      <c r="C705" s="8">
        <v>43717</v>
      </c>
      <c r="D705" s="40" t="s">
        <v>3083</v>
      </c>
      <c r="E705" s="9" t="s">
        <v>1311</v>
      </c>
    </row>
    <row r="706" spans="1:5">
      <c r="A706" s="9" t="s">
        <v>3084</v>
      </c>
      <c r="B706" s="8">
        <v>43665</v>
      </c>
      <c r="C706" s="9" t="s">
        <v>3085</v>
      </c>
      <c r="D706" s="40"/>
    </row>
    <row r="707" spans="1:5">
      <c r="A707" s="9" t="s">
        <v>3086</v>
      </c>
      <c r="B707" s="8">
        <v>43659</v>
      </c>
      <c r="C707" s="8">
        <v>43664</v>
      </c>
      <c r="D707" s="40"/>
      <c r="E707" s="9" t="s">
        <v>69</v>
      </c>
    </row>
    <row r="708" spans="1:5" ht="25.5">
      <c r="A708" s="9" t="s">
        <v>3087</v>
      </c>
      <c r="B708" s="8">
        <v>43656</v>
      </c>
      <c r="C708" s="8">
        <v>43658</v>
      </c>
      <c r="D708" s="40"/>
      <c r="E708" s="9" t="s">
        <v>1311</v>
      </c>
    </row>
    <row r="709" spans="1:5">
      <c r="A709" s="9" t="s">
        <v>3088</v>
      </c>
      <c r="B709" s="8">
        <v>43656</v>
      </c>
      <c r="D709" s="40"/>
      <c r="E709" s="9" t="s">
        <v>3089</v>
      </c>
    </row>
    <row r="710" spans="1:5">
      <c r="A710" s="9" t="s">
        <v>3090</v>
      </c>
      <c r="B710" s="8">
        <v>43654</v>
      </c>
      <c r="D710" s="40" t="s">
        <v>3091</v>
      </c>
      <c r="E710" s="9" t="s">
        <v>3092</v>
      </c>
    </row>
    <row r="711" spans="1:5">
      <c r="A711" s="9" t="s">
        <v>3093</v>
      </c>
      <c r="B711" s="8">
        <v>43653</v>
      </c>
      <c r="C711" s="8">
        <v>43656</v>
      </c>
      <c r="D711" s="40"/>
      <c r="E711" s="9" t="s">
        <v>69</v>
      </c>
    </row>
    <row r="712" spans="1:5">
      <c r="A712" s="9" t="s">
        <v>3094</v>
      </c>
      <c r="B712" s="8">
        <v>43653</v>
      </c>
      <c r="C712" s="8">
        <v>43657</v>
      </c>
      <c r="D712" s="40"/>
    </row>
    <row r="713" spans="1:5" ht="25.5">
      <c r="A713" s="9" t="s">
        <v>3095</v>
      </c>
      <c r="B713" s="8">
        <v>43651</v>
      </c>
      <c r="C713" s="22" t="s">
        <v>3096</v>
      </c>
      <c r="D713" s="40"/>
      <c r="E713" s="9" t="s">
        <v>3097</v>
      </c>
    </row>
    <row r="714" spans="1:5" ht="25.5">
      <c r="A714" s="9" t="s">
        <v>3098</v>
      </c>
      <c r="B714" s="8">
        <v>43649</v>
      </c>
      <c r="C714" s="8">
        <v>43654</v>
      </c>
      <c r="D714" s="40"/>
      <c r="E714" s="9" t="s">
        <v>1311</v>
      </c>
    </row>
    <row r="715" spans="1:5">
      <c r="A715" s="9" t="s">
        <v>3099</v>
      </c>
      <c r="B715" s="8">
        <v>43649</v>
      </c>
      <c r="D715" s="40"/>
    </row>
    <row r="716" spans="1:5">
      <c r="A716" s="9" t="s">
        <v>3100</v>
      </c>
      <c r="B716" s="8">
        <v>43647</v>
      </c>
      <c r="C716" s="8">
        <v>43649</v>
      </c>
      <c r="D716" s="40"/>
    </row>
    <row r="717" spans="1:5">
      <c r="A717" s="9" t="s">
        <v>3101</v>
      </c>
      <c r="B717" s="8">
        <v>43646</v>
      </c>
      <c r="C717" s="8">
        <v>43648</v>
      </c>
      <c r="D717" s="40"/>
    </row>
    <row r="718" spans="1:5">
      <c r="A718" s="9" t="s">
        <v>3102</v>
      </c>
      <c r="B718" s="8">
        <v>43646</v>
      </c>
      <c r="C718" s="8">
        <v>43649</v>
      </c>
      <c r="D718" s="40"/>
    </row>
    <row r="719" spans="1:5" ht="25.5">
      <c r="A719" s="9" t="s">
        <v>3103</v>
      </c>
      <c r="B719" s="8">
        <v>43645</v>
      </c>
      <c r="C719" s="8">
        <v>43648</v>
      </c>
      <c r="D719" s="40"/>
      <c r="E719" s="9" t="s">
        <v>1311</v>
      </c>
    </row>
    <row r="720" spans="1:5">
      <c r="A720" s="9" t="s">
        <v>3104</v>
      </c>
      <c r="B720" s="8">
        <v>43641</v>
      </c>
      <c r="C720" s="8">
        <v>43643</v>
      </c>
      <c r="D720" s="40"/>
      <c r="E720" s="9" t="s">
        <v>66</v>
      </c>
    </row>
    <row r="721" spans="1:6">
      <c r="A721" s="9" t="s">
        <v>1623</v>
      </c>
      <c r="B721" s="8">
        <v>43635</v>
      </c>
      <c r="D721" s="40"/>
    </row>
    <row r="722" spans="1:6">
      <c r="A722" s="9" t="s">
        <v>3105</v>
      </c>
      <c r="B722" s="8">
        <v>43635</v>
      </c>
      <c r="D722" s="40"/>
    </row>
    <row r="723" spans="1:6">
      <c r="A723" s="9" t="s">
        <v>3106</v>
      </c>
      <c r="B723" s="8">
        <v>43634</v>
      </c>
      <c r="D723" s="40"/>
    </row>
    <row r="724" spans="1:6">
      <c r="A724" s="9" t="s">
        <v>3107</v>
      </c>
      <c r="B724" s="8">
        <v>43632</v>
      </c>
      <c r="C724" s="8">
        <v>43635</v>
      </c>
      <c r="D724" s="40"/>
    </row>
    <row r="725" spans="1:6">
      <c r="A725" s="9" t="s">
        <v>3108</v>
      </c>
      <c r="B725" s="8">
        <v>43627</v>
      </c>
      <c r="C725" s="8">
        <v>43628</v>
      </c>
      <c r="D725" s="40"/>
    </row>
    <row r="726" spans="1:6">
      <c r="A726" s="9" t="s">
        <v>3109</v>
      </c>
      <c r="B726" s="8">
        <v>43587</v>
      </c>
      <c r="C726" s="8">
        <v>43588</v>
      </c>
      <c r="D726" s="40"/>
    </row>
    <row r="727" spans="1:6">
      <c r="A727" s="9" t="s">
        <v>3110</v>
      </c>
      <c r="B727" s="8">
        <v>43586</v>
      </c>
      <c r="D727" s="40"/>
    </row>
    <row r="728" spans="1:6">
      <c r="A728" s="9" t="s">
        <v>3111</v>
      </c>
      <c r="B728" s="8">
        <v>43579</v>
      </c>
      <c r="C728" s="8">
        <v>43582</v>
      </c>
      <c r="D728" s="40"/>
    </row>
    <row r="729" spans="1:6">
      <c r="A729" s="9" t="s">
        <v>3112</v>
      </c>
      <c r="B729" s="8">
        <v>43579</v>
      </c>
      <c r="C729" s="8"/>
      <c r="D729" s="40"/>
    </row>
    <row r="730" spans="1:6">
      <c r="A730" s="9" t="s">
        <v>3113</v>
      </c>
      <c r="B730" s="8">
        <v>43578</v>
      </c>
      <c r="C730" s="8">
        <v>43588</v>
      </c>
      <c r="D730" s="40" t="s">
        <v>3114</v>
      </c>
      <c r="E730" s="9" t="s">
        <v>69</v>
      </c>
      <c r="F730" s="9" t="s">
        <v>1343</v>
      </c>
    </row>
    <row r="731" spans="1:6">
      <c r="A731" s="9" t="s">
        <v>3115</v>
      </c>
      <c r="B731" s="8">
        <v>43573</v>
      </c>
      <c r="C731" s="8">
        <v>43577</v>
      </c>
      <c r="D731" s="40"/>
    </row>
    <row r="732" spans="1:6">
      <c r="A732" s="9" t="s">
        <v>3116</v>
      </c>
      <c r="B732" s="8">
        <v>43571</v>
      </c>
      <c r="C732" s="8">
        <v>43577</v>
      </c>
      <c r="D732" s="40"/>
    </row>
    <row r="733" spans="1:6">
      <c r="A733" s="9" t="s">
        <v>3117</v>
      </c>
      <c r="B733" s="8">
        <v>43570</v>
      </c>
      <c r="C733" s="8">
        <v>43572</v>
      </c>
      <c r="D733" s="40"/>
      <c r="E733" s="9" t="s">
        <v>69</v>
      </c>
    </row>
    <row r="734" spans="1:6">
      <c r="A734" s="9" t="s">
        <v>3118</v>
      </c>
      <c r="B734" s="8">
        <v>43569</v>
      </c>
      <c r="C734" s="8">
        <v>43572</v>
      </c>
      <c r="D734" s="40"/>
      <c r="E734" s="9" t="s">
        <v>69</v>
      </c>
    </row>
    <row r="735" spans="1:6">
      <c r="A735" s="9" t="s">
        <v>3119</v>
      </c>
      <c r="B735" s="8">
        <v>43568</v>
      </c>
      <c r="D735" s="40"/>
      <c r="E735" s="9" t="s">
        <v>69</v>
      </c>
    </row>
    <row r="736" spans="1:6">
      <c r="A736" s="9" t="s">
        <v>3120</v>
      </c>
      <c r="B736" s="8">
        <v>43567</v>
      </c>
      <c r="C736" s="8">
        <v>43573</v>
      </c>
      <c r="D736" s="40"/>
    </row>
    <row r="737" spans="1:6">
      <c r="A737" s="9" t="s">
        <v>3121</v>
      </c>
      <c r="B737" s="8">
        <v>43566</v>
      </c>
      <c r="C737" s="8">
        <v>43567</v>
      </c>
      <c r="D737" s="40"/>
      <c r="E737" s="9" t="s">
        <v>69</v>
      </c>
    </row>
    <row r="738" spans="1:6">
      <c r="A738" s="9" t="s">
        <v>3122</v>
      </c>
      <c r="B738" s="8">
        <v>43564</v>
      </c>
      <c r="C738" s="8">
        <v>43566</v>
      </c>
      <c r="D738" s="40"/>
      <c r="E738" s="9" t="s">
        <v>3123</v>
      </c>
      <c r="F738" s="9" t="s">
        <v>1186</v>
      </c>
    </row>
    <row r="739" spans="1:6">
      <c r="A739" s="9" t="s">
        <v>3124</v>
      </c>
      <c r="B739" s="8">
        <v>43561</v>
      </c>
      <c r="C739" s="9" t="s">
        <v>28</v>
      </c>
      <c r="D739" s="434">
        <v>43570</v>
      </c>
      <c r="E739" s="9" t="s">
        <v>3125</v>
      </c>
      <c r="F739" s="9" t="s">
        <v>1186</v>
      </c>
    </row>
    <row r="740" spans="1:6">
      <c r="A740" s="9" t="s">
        <v>3126</v>
      </c>
      <c r="B740" s="8">
        <v>43560</v>
      </c>
      <c r="C740" s="8">
        <v>43577</v>
      </c>
      <c r="D740" s="40"/>
      <c r="E740" s="9" t="s">
        <v>69</v>
      </c>
    </row>
    <row r="741" spans="1:6">
      <c r="A741" s="9" t="s">
        <v>3127</v>
      </c>
      <c r="B741" s="8">
        <v>43559</v>
      </c>
      <c r="C741" s="8">
        <v>43562</v>
      </c>
      <c r="D741" s="40"/>
    </row>
    <row r="742" spans="1:6">
      <c r="A742" s="9" t="s">
        <v>3128</v>
      </c>
      <c r="B742" s="8">
        <v>43552</v>
      </c>
      <c r="C742" s="8">
        <v>43553</v>
      </c>
      <c r="D742" s="40"/>
      <c r="E742" s="9" t="s">
        <v>69</v>
      </c>
      <c r="F742" s="9" t="s">
        <v>1217</v>
      </c>
    </row>
    <row r="743" spans="1:6">
      <c r="A743" s="9" t="s">
        <v>3129</v>
      </c>
      <c r="B743" s="8">
        <v>43552</v>
      </c>
      <c r="C743" s="8">
        <v>43559</v>
      </c>
      <c r="D743" s="40"/>
      <c r="E743" s="9" t="s">
        <v>69</v>
      </c>
    </row>
    <row r="744" spans="1:6">
      <c r="A744" s="9" t="s">
        <v>3130</v>
      </c>
      <c r="B744" s="8">
        <v>43549</v>
      </c>
      <c r="C744" s="8">
        <v>43551</v>
      </c>
      <c r="D744" s="40" t="s">
        <v>3131</v>
      </c>
      <c r="E744" s="9" t="s">
        <v>69</v>
      </c>
      <c r="F744" s="9" t="s">
        <v>1217</v>
      </c>
    </row>
    <row r="745" spans="1:6">
      <c r="A745" s="9" t="s">
        <v>2623</v>
      </c>
      <c r="B745" s="8">
        <v>43542</v>
      </c>
      <c r="C745" s="8">
        <v>43544</v>
      </c>
      <c r="D745" s="435" t="s">
        <v>3132</v>
      </c>
      <c r="E745" s="9" t="s">
        <v>69</v>
      </c>
    </row>
    <row r="746" spans="1:6">
      <c r="A746" s="9" t="s">
        <v>3133</v>
      </c>
      <c r="B746" s="8">
        <v>43541</v>
      </c>
      <c r="C746" s="8">
        <v>43545</v>
      </c>
      <c r="D746" s="40"/>
      <c r="F746" s="9" t="s">
        <v>1198</v>
      </c>
    </row>
    <row r="747" spans="1:6" ht="25.5">
      <c r="A747" s="9" t="s">
        <v>3134</v>
      </c>
      <c r="B747" s="8">
        <v>43537</v>
      </c>
      <c r="C747" s="353">
        <v>43540</v>
      </c>
      <c r="D747" s="40" t="s">
        <v>3135</v>
      </c>
      <c r="E747" s="9" t="s">
        <v>1880</v>
      </c>
    </row>
    <row r="748" spans="1:6" ht="25.5">
      <c r="A748" s="9" t="s">
        <v>3136</v>
      </c>
      <c r="B748" s="8">
        <v>43486</v>
      </c>
      <c r="C748" s="8">
        <v>43489</v>
      </c>
      <c r="D748" s="40" t="s">
        <v>3137</v>
      </c>
      <c r="E748" s="9" t="s">
        <v>1311</v>
      </c>
    </row>
    <row r="749" spans="1:6">
      <c r="A749" s="9" t="s">
        <v>2600</v>
      </c>
      <c r="B749" s="8">
        <v>43485</v>
      </c>
      <c r="C749" s="353">
        <v>43490</v>
      </c>
      <c r="D749" s="40" t="s">
        <v>3138</v>
      </c>
      <c r="E749" s="9" t="s">
        <v>3139</v>
      </c>
    </row>
    <row r="750" spans="1:6">
      <c r="A750" s="9" t="s">
        <v>3140</v>
      </c>
      <c r="B750" s="8">
        <v>43484</v>
      </c>
      <c r="C750" s="353">
        <v>43490</v>
      </c>
      <c r="D750" s="1652" t="s">
        <v>3141</v>
      </c>
      <c r="E750" s="9" t="s">
        <v>293</v>
      </c>
      <c r="F750" s="9" t="s">
        <v>1198</v>
      </c>
    </row>
    <row r="751" spans="1:6">
      <c r="A751" s="9" t="s">
        <v>3142</v>
      </c>
      <c r="B751" s="8">
        <v>43483</v>
      </c>
      <c r="C751" s="8">
        <v>43486</v>
      </c>
      <c r="D751" s="40" t="s">
        <v>3143</v>
      </c>
      <c r="E751" s="9" t="s">
        <v>69</v>
      </c>
      <c r="F751" s="9" t="s">
        <v>1217</v>
      </c>
    </row>
    <row r="752" spans="1:6">
      <c r="A752" s="9" t="s">
        <v>3144</v>
      </c>
      <c r="B752" s="8">
        <v>43480</v>
      </c>
      <c r="C752" s="8">
        <v>43484</v>
      </c>
      <c r="D752" s="40"/>
      <c r="E752" s="9" t="s">
        <v>2654</v>
      </c>
      <c r="F752" s="9" t="s">
        <v>293</v>
      </c>
    </row>
    <row r="753" spans="1:6" ht="14.25">
      <c r="A753" s="9" t="s">
        <v>3145</v>
      </c>
      <c r="B753" s="8">
        <v>43478</v>
      </c>
      <c r="C753" s="8">
        <v>43484</v>
      </c>
      <c r="D753" s="407" t="s">
        <v>3146</v>
      </c>
      <c r="E753" s="9" t="s">
        <v>1186</v>
      </c>
      <c r="F753" s="9" t="s">
        <v>66</v>
      </c>
    </row>
    <row r="754" spans="1:6">
      <c r="A754" s="9" t="s">
        <v>3147</v>
      </c>
      <c r="B754" s="8">
        <v>43477</v>
      </c>
      <c r="C754" s="8">
        <v>43480</v>
      </c>
      <c r="D754" s="40" t="s">
        <v>3148</v>
      </c>
      <c r="E754" s="9" t="s">
        <v>1198</v>
      </c>
      <c r="F754" s="9" t="s">
        <v>69</v>
      </c>
    </row>
    <row r="755" spans="1:6">
      <c r="A755" s="9" t="s">
        <v>3149</v>
      </c>
      <c r="B755" s="8">
        <v>43476</v>
      </c>
      <c r="C755" s="8">
        <v>43483</v>
      </c>
      <c r="D755" s="40" t="s">
        <v>3150</v>
      </c>
      <c r="F755" s="9" t="s">
        <v>1186</v>
      </c>
    </row>
    <row r="756" spans="1:6">
      <c r="A756" s="9" t="s">
        <v>3151</v>
      </c>
      <c r="B756" s="8">
        <v>43476</v>
      </c>
      <c r="C756" s="8">
        <v>43520</v>
      </c>
      <c r="D756" s="40"/>
      <c r="F756" s="9" t="s">
        <v>3152</v>
      </c>
    </row>
    <row r="757" spans="1:6">
      <c r="A757" s="9" t="s">
        <v>3153</v>
      </c>
      <c r="B757" s="8">
        <v>43474</v>
      </c>
      <c r="C757" s="8">
        <v>43476</v>
      </c>
      <c r="D757" s="40" t="s">
        <v>3154</v>
      </c>
      <c r="E757" s="9" t="s">
        <v>1343</v>
      </c>
    </row>
    <row r="758" spans="1:6">
      <c r="A758" s="9" t="s">
        <v>3155</v>
      </c>
      <c r="B758" s="8">
        <v>43474</v>
      </c>
      <c r="C758" s="8">
        <v>43479</v>
      </c>
      <c r="D758" s="40" t="s">
        <v>3156</v>
      </c>
      <c r="E758" s="9" t="s">
        <v>1343</v>
      </c>
    </row>
    <row r="759" spans="1:6">
      <c r="A759" s="9" t="s">
        <v>3157</v>
      </c>
      <c r="B759" s="8">
        <v>43474</v>
      </c>
      <c r="C759" s="8">
        <v>43480</v>
      </c>
      <c r="D759" s="40" t="s">
        <v>3156</v>
      </c>
      <c r="E759" s="9" t="s">
        <v>1217</v>
      </c>
    </row>
    <row r="760" spans="1:6" ht="12.75" customHeight="1">
      <c r="A760" s="9" t="s">
        <v>3158</v>
      </c>
      <c r="B760" s="8">
        <v>43471</v>
      </c>
      <c r="C760" s="8">
        <v>43475</v>
      </c>
      <c r="D760" s="436" t="s">
        <v>3159</v>
      </c>
      <c r="F760" s="9" t="s">
        <v>1186</v>
      </c>
    </row>
    <row r="761" spans="1:6" ht="42.75">
      <c r="A761" s="9" t="s">
        <v>3160</v>
      </c>
      <c r="B761" s="8">
        <v>43470</v>
      </c>
      <c r="C761" s="8">
        <v>43473</v>
      </c>
      <c r="D761" s="40" t="s">
        <v>3161</v>
      </c>
      <c r="E761" s="437" t="s">
        <v>3162</v>
      </c>
      <c r="F761" s="9" t="s">
        <v>1186</v>
      </c>
    </row>
    <row r="762" spans="1:6">
      <c r="A762" s="9" t="s">
        <v>3163</v>
      </c>
      <c r="B762" s="8">
        <v>43468</v>
      </c>
      <c r="C762" s="8">
        <v>43479</v>
      </c>
      <c r="D762" s="40"/>
      <c r="E762" s="9" t="s">
        <v>1198</v>
      </c>
    </row>
    <row r="763" spans="1:6" ht="12.75" customHeight="1">
      <c r="A763" s="3">
        <v>2018</v>
      </c>
      <c r="B763" s="8"/>
      <c r="C763" s="8"/>
      <c r="D763" s="40"/>
      <c r="E763" s="327"/>
    </row>
    <row r="764" spans="1:6" ht="12.75" customHeight="1">
      <c r="A764" s="9" t="s">
        <v>3164</v>
      </c>
      <c r="B764" s="8">
        <v>43465</v>
      </c>
      <c r="C764" s="8">
        <v>43474</v>
      </c>
      <c r="D764" s="40" t="s">
        <v>3165</v>
      </c>
      <c r="E764" s="327" t="s">
        <v>3166</v>
      </c>
    </row>
    <row r="765" spans="1:6">
      <c r="A765" s="9" t="s">
        <v>3167</v>
      </c>
      <c r="B765" s="8">
        <v>43463</v>
      </c>
      <c r="C765" s="8">
        <v>43103</v>
      </c>
      <c r="D765" s="40" t="s">
        <v>1880</v>
      </c>
    </row>
    <row r="766" spans="1:6">
      <c r="A766" s="9" t="s">
        <v>3168</v>
      </c>
      <c r="B766" s="8">
        <v>43463</v>
      </c>
      <c r="C766" s="8">
        <v>43107</v>
      </c>
      <c r="D766" s="40" t="s">
        <v>1880</v>
      </c>
    </row>
    <row r="767" spans="1:6" ht="12.75" customHeight="1">
      <c r="A767" s="9" t="s">
        <v>3169</v>
      </c>
      <c r="B767" s="8">
        <v>43463</v>
      </c>
      <c r="C767" s="8">
        <v>43472</v>
      </c>
      <c r="D767" s="40" t="s">
        <v>3170</v>
      </c>
      <c r="E767" s="327" t="s">
        <v>3171</v>
      </c>
    </row>
    <row r="768" spans="1:6">
      <c r="A768" s="9" t="s">
        <v>3172</v>
      </c>
      <c r="B768" s="8">
        <v>43461</v>
      </c>
      <c r="C768" s="8">
        <v>43131</v>
      </c>
      <c r="D768" s="40"/>
    </row>
    <row r="769" spans="1:6">
      <c r="A769" s="9" t="s">
        <v>3173</v>
      </c>
      <c r="B769" s="8">
        <v>43459</v>
      </c>
      <c r="C769" s="9" t="s">
        <v>3174</v>
      </c>
      <c r="D769" s="40"/>
    </row>
    <row r="770" spans="1:6" ht="28.5">
      <c r="A770" s="9" t="s">
        <v>3175</v>
      </c>
      <c r="B770" s="8">
        <v>43458</v>
      </c>
      <c r="C770" s="8">
        <v>43472</v>
      </c>
      <c r="D770" s="40" t="s">
        <v>3176</v>
      </c>
      <c r="E770" s="438" t="s">
        <v>3177</v>
      </c>
    </row>
    <row r="771" spans="1:6">
      <c r="A771" s="9" t="s">
        <v>3178</v>
      </c>
      <c r="B771" s="8">
        <v>43455</v>
      </c>
      <c r="C771" s="8">
        <v>43465</v>
      </c>
      <c r="D771" s="40" t="s">
        <v>3179</v>
      </c>
      <c r="E771" s="9" t="s">
        <v>3180</v>
      </c>
    </row>
    <row r="772" spans="1:6">
      <c r="A772" s="9" t="s">
        <v>3181</v>
      </c>
      <c r="B772" s="8">
        <v>43455</v>
      </c>
      <c r="C772" s="8">
        <v>43474</v>
      </c>
      <c r="D772" s="40" t="s">
        <v>2276</v>
      </c>
    </row>
    <row r="773" spans="1:6">
      <c r="A773" s="9" t="s">
        <v>3182</v>
      </c>
      <c r="B773" s="8">
        <v>43453</v>
      </c>
      <c r="D773" s="40"/>
    </row>
    <row r="774" spans="1:6">
      <c r="A774" s="9" t="s">
        <v>3183</v>
      </c>
      <c r="B774" s="8">
        <v>43451</v>
      </c>
      <c r="D774" s="40"/>
    </row>
    <row r="775" spans="1:6">
      <c r="A775" s="9" t="s">
        <v>3184</v>
      </c>
      <c r="B775" s="8">
        <v>43450</v>
      </c>
      <c r="C775" s="8">
        <v>43452</v>
      </c>
      <c r="D775" s="40"/>
    </row>
    <row r="776" spans="1:6">
      <c r="A776" s="9" t="s">
        <v>3185</v>
      </c>
      <c r="B776" s="8">
        <v>43449</v>
      </c>
      <c r="C776" s="8">
        <v>43453</v>
      </c>
      <c r="D776" s="40"/>
    </row>
    <row r="777" spans="1:6">
      <c r="A777" s="9" t="s">
        <v>3186</v>
      </c>
      <c r="B777" s="8">
        <v>43449</v>
      </c>
      <c r="C777" s="8">
        <v>43455</v>
      </c>
      <c r="D777" s="40"/>
    </row>
    <row r="778" spans="1:6">
      <c r="A778" s="9" t="s">
        <v>3187</v>
      </c>
      <c r="B778" s="8">
        <v>43441</v>
      </c>
      <c r="C778" s="8">
        <v>43446</v>
      </c>
      <c r="D778" s="40" t="s">
        <v>3188</v>
      </c>
    </row>
    <row r="779" spans="1:6">
      <c r="A779" s="9" t="s">
        <v>3189</v>
      </c>
      <c r="B779" s="8">
        <v>43439</v>
      </c>
      <c r="C779" s="22" t="s">
        <v>3190</v>
      </c>
      <c r="D779" s="40" t="s">
        <v>3191</v>
      </c>
    </row>
    <row r="780" spans="1:6">
      <c r="A780" s="9" t="s">
        <v>3192</v>
      </c>
      <c r="B780" s="8">
        <v>43438</v>
      </c>
      <c r="D780" s="40" t="s">
        <v>3193</v>
      </c>
    </row>
    <row r="781" spans="1:6">
      <c r="A781" s="9" t="s">
        <v>3194</v>
      </c>
      <c r="B781" s="8">
        <v>43438</v>
      </c>
      <c r="C781" s="8">
        <v>43441</v>
      </c>
      <c r="D781" s="40" t="s">
        <v>1705</v>
      </c>
    </row>
    <row r="782" spans="1:6">
      <c r="A782" s="9" t="s">
        <v>3195</v>
      </c>
      <c r="B782" s="8">
        <v>43432</v>
      </c>
      <c r="C782" s="8">
        <v>43435</v>
      </c>
      <c r="D782" s="40"/>
    </row>
    <row r="783" spans="1:6">
      <c r="A783" s="9" t="s">
        <v>3196</v>
      </c>
      <c r="B783" s="8">
        <v>43430</v>
      </c>
      <c r="C783" s="8">
        <v>43433</v>
      </c>
      <c r="D783" s="40"/>
    </row>
    <row r="784" spans="1:6">
      <c r="A784" s="439" t="s">
        <v>3197</v>
      </c>
      <c r="B784" s="8">
        <v>43425</v>
      </c>
      <c r="C784" s="8">
        <v>43430</v>
      </c>
      <c r="D784" s="2106" t="s">
        <v>3198</v>
      </c>
      <c r="E784" s="2087"/>
      <c r="F784" s="2087"/>
    </row>
    <row r="785" spans="1:4">
      <c r="A785" s="439" t="s">
        <v>3199</v>
      </c>
      <c r="B785" s="8">
        <v>43423</v>
      </c>
      <c r="C785" s="8">
        <v>43425</v>
      </c>
      <c r="D785" s="40"/>
    </row>
    <row r="786" spans="1:4">
      <c r="A786" s="9" t="s">
        <v>3200</v>
      </c>
      <c r="B786" s="8">
        <v>43420</v>
      </c>
      <c r="D786" s="40" t="s">
        <v>2926</v>
      </c>
    </row>
    <row r="787" spans="1:4">
      <c r="A787" s="9" t="s">
        <v>3201</v>
      </c>
      <c r="B787" s="8">
        <v>43416</v>
      </c>
      <c r="C787" s="8">
        <v>43418</v>
      </c>
      <c r="D787" s="40"/>
    </row>
    <row r="788" spans="1:4">
      <c r="A788" s="9" t="s">
        <v>3202</v>
      </c>
      <c r="B788" s="8">
        <v>43416</v>
      </c>
      <c r="C788" s="8">
        <v>43420</v>
      </c>
      <c r="D788" s="40"/>
    </row>
    <row r="789" spans="1:4">
      <c r="A789" s="9" t="s">
        <v>226</v>
      </c>
      <c r="B789" s="8">
        <v>43416</v>
      </c>
      <c r="C789" s="8">
        <v>43432</v>
      </c>
      <c r="D789" s="40"/>
    </row>
    <row r="790" spans="1:4">
      <c r="A790" s="9" t="s">
        <v>3203</v>
      </c>
      <c r="B790" s="8">
        <v>43411</v>
      </c>
      <c r="D790" s="40"/>
    </row>
    <row r="791" spans="1:4">
      <c r="A791" s="9" t="s">
        <v>3204</v>
      </c>
      <c r="B791" s="8">
        <v>43410</v>
      </c>
      <c r="D791" s="40"/>
    </row>
    <row r="792" spans="1:4">
      <c r="A792" s="9" t="s">
        <v>3205</v>
      </c>
      <c r="B792" s="8">
        <v>43408</v>
      </c>
      <c r="D792" s="40"/>
    </row>
    <row r="793" spans="1:4">
      <c r="A793" s="9" t="s">
        <v>3206</v>
      </c>
      <c r="B793" s="8">
        <v>43407</v>
      </c>
      <c r="D793" s="40"/>
    </row>
    <row r="794" spans="1:4">
      <c r="A794" s="9" t="s">
        <v>3206</v>
      </c>
      <c r="B794" s="8">
        <v>43407</v>
      </c>
      <c r="D794" s="40"/>
    </row>
    <row r="795" spans="1:4">
      <c r="A795" s="9" t="s">
        <v>3207</v>
      </c>
      <c r="B795" s="8">
        <v>43405</v>
      </c>
      <c r="D795" s="40"/>
    </row>
    <row r="796" spans="1:4">
      <c r="A796" s="9" t="s">
        <v>3208</v>
      </c>
      <c r="B796" s="8">
        <v>43405</v>
      </c>
      <c r="D796" s="40"/>
    </row>
    <row r="797" spans="1:4">
      <c r="A797" s="9" t="s">
        <v>3209</v>
      </c>
      <c r="B797" s="8">
        <v>43395</v>
      </c>
      <c r="D797" s="40"/>
    </row>
    <row r="798" spans="1:4">
      <c r="A798" s="9" t="s">
        <v>3210</v>
      </c>
      <c r="B798" s="8">
        <v>43394</v>
      </c>
      <c r="D798" s="40"/>
    </row>
    <row r="799" spans="1:4">
      <c r="A799" s="9" t="s">
        <v>3211</v>
      </c>
      <c r="B799" s="8">
        <v>43392</v>
      </c>
      <c r="D799" s="40"/>
    </row>
    <row r="800" spans="1:4">
      <c r="A800" s="9" t="s">
        <v>3212</v>
      </c>
      <c r="B800" s="8">
        <v>43390</v>
      </c>
      <c r="D800" s="40"/>
    </row>
    <row r="801" spans="1:4">
      <c r="A801" s="9" t="s">
        <v>3213</v>
      </c>
      <c r="B801" s="8">
        <v>43389</v>
      </c>
      <c r="D801" s="40"/>
    </row>
    <row r="802" spans="1:4">
      <c r="A802" s="9" t="s">
        <v>3214</v>
      </c>
      <c r="B802" s="8">
        <v>43388</v>
      </c>
      <c r="C802" s="8">
        <v>43393</v>
      </c>
      <c r="D802" s="40"/>
    </row>
    <row r="803" spans="1:4">
      <c r="A803" s="9" t="s">
        <v>3215</v>
      </c>
      <c r="B803" s="8">
        <v>43387</v>
      </c>
      <c r="D803" s="40"/>
    </row>
    <row r="804" spans="1:4">
      <c r="A804" s="9" t="s">
        <v>3216</v>
      </c>
      <c r="B804" s="8">
        <v>43383</v>
      </c>
      <c r="C804" s="8">
        <v>43388</v>
      </c>
      <c r="D804" s="40"/>
    </row>
    <row r="805" spans="1:4">
      <c r="A805" s="9" t="s">
        <v>3217</v>
      </c>
      <c r="B805" s="8">
        <v>43382</v>
      </c>
      <c r="C805" s="8">
        <v>43384</v>
      </c>
      <c r="D805" s="40"/>
    </row>
    <row r="806" spans="1:4">
      <c r="A806" s="9" t="s">
        <v>3218</v>
      </c>
      <c r="B806" s="8">
        <v>43378</v>
      </c>
      <c r="C806" s="8">
        <v>43382</v>
      </c>
      <c r="D806" s="40"/>
    </row>
    <row r="807" spans="1:4">
      <c r="A807" s="9" t="s">
        <v>3219</v>
      </c>
      <c r="B807" s="8">
        <v>43378</v>
      </c>
      <c r="C807" s="8">
        <v>43382</v>
      </c>
      <c r="D807" s="40" t="s">
        <v>3220</v>
      </c>
    </row>
    <row r="808" spans="1:4">
      <c r="A808" s="9" t="s">
        <v>3221</v>
      </c>
      <c r="B808" s="8">
        <v>43377</v>
      </c>
      <c r="C808" s="8">
        <v>43382</v>
      </c>
      <c r="D808" s="40"/>
    </row>
    <row r="809" spans="1:4">
      <c r="A809" s="9" t="s">
        <v>3222</v>
      </c>
      <c r="B809" s="8">
        <v>43377</v>
      </c>
      <c r="C809" s="8">
        <v>43384</v>
      </c>
      <c r="D809" s="40"/>
    </row>
    <row r="810" spans="1:4" ht="42.75">
      <c r="A810" s="9" t="s">
        <v>3223</v>
      </c>
      <c r="B810" s="8">
        <v>43356</v>
      </c>
      <c r="D810" s="440" t="s">
        <v>3224</v>
      </c>
    </row>
    <row r="811" spans="1:4">
      <c r="A811" s="9" t="s">
        <v>3225</v>
      </c>
      <c r="B811" s="8">
        <v>43355</v>
      </c>
      <c r="C811" s="8">
        <v>43358</v>
      </c>
      <c r="D811" s="40"/>
    </row>
    <row r="812" spans="1:4">
      <c r="A812" s="9" t="s">
        <v>3226</v>
      </c>
      <c r="B812" s="8">
        <v>43339</v>
      </c>
      <c r="C812" s="8">
        <v>43341</v>
      </c>
      <c r="D812" s="40">
        <v>1881938</v>
      </c>
    </row>
    <row r="813" spans="1:4">
      <c r="A813" s="9" t="s">
        <v>3227</v>
      </c>
      <c r="B813" s="8">
        <v>43339</v>
      </c>
      <c r="C813" s="8">
        <v>43354</v>
      </c>
      <c r="D813" s="40"/>
    </row>
    <row r="814" spans="1:4">
      <c r="A814" s="9" t="s">
        <v>3228</v>
      </c>
      <c r="B814" s="8">
        <v>43338</v>
      </c>
      <c r="C814" s="8">
        <v>43342</v>
      </c>
      <c r="D814" s="40"/>
    </row>
    <row r="815" spans="1:4">
      <c r="A815" s="9" t="s">
        <v>3229</v>
      </c>
      <c r="B815" s="8">
        <v>43335</v>
      </c>
      <c r="C815" s="8">
        <v>43339</v>
      </c>
      <c r="D815" s="40"/>
    </row>
    <row r="816" spans="1:4">
      <c r="A816" s="9" t="s">
        <v>3230</v>
      </c>
      <c r="B816" s="8">
        <v>43334</v>
      </c>
      <c r="C816" s="8">
        <v>43339</v>
      </c>
      <c r="D816" s="40"/>
    </row>
    <row r="817" spans="1:4">
      <c r="A817" s="9" t="s">
        <v>3231</v>
      </c>
      <c r="B817" s="8">
        <v>43331</v>
      </c>
      <c r="C817" s="8">
        <v>43334</v>
      </c>
      <c r="D817" s="40"/>
    </row>
    <row r="818" spans="1:4">
      <c r="A818" s="9" t="s">
        <v>3232</v>
      </c>
      <c r="B818" s="8">
        <v>43331</v>
      </c>
      <c r="C818" s="8">
        <v>43341</v>
      </c>
      <c r="D818" s="40" t="s">
        <v>3233</v>
      </c>
    </row>
    <row r="819" spans="1:4">
      <c r="A819" s="9" t="s">
        <v>3234</v>
      </c>
      <c r="B819" s="8">
        <v>43328</v>
      </c>
      <c r="C819" s="8">
        <v>43340</v>
      </c>
      <c r="D819" s="40" t="s">
        <v>3235</v>
      </c>
    </row>
    <row r="820" spans="1:4">
      <c r="A820" s="9" t="s">
        <v>3236</v>
      </c>
      <c r="B820" s="8">
        <v>43326</v>
      </c>
      <c r="C820" s="8">
        <v>43328</v>
      </c>
      <c r="D820" s="40"/>
    </row>
    <row r="821" spans="1:4">
      <c r="A821" s="9" t="s">
        <v>3237</v>
      </c>
      <c r="B821" s="8">
        <v>43322</v>
      </c>
      <c r="D821" s="40"/>
    </row>
    <row r="822" spans="1:4">
      <c r="A822" s="9" t="s">
        <v>3238</v>
      </c>
      <c r="B822" s="8">
        <v>43322</v>
      </c>
      <c r="D822" s="40"/>
    </row>
    <row r="823" spans="1:4">
      <c r="A823" s="9" t="s">
        <v>1808</v>
      </c>
      <c r="B823" s="8">
        <v>43318</v>
      </c>
      <c r="C823" s="8">
        <v>43325</v>
      </c>
      <c r="D823" s="40"/>
    </row>
    <row r="824" spans="1:4">
      <c r="A824" s="9" t="s">
        <v>3239</v>
      </c>
      <c r="B824" s="8">
        <v>43317</v>
      </c>
      <c r="D824" s="40"/>
    </row>
    <row r="825" spans="1:4">
      <c r="A825" s="9" t="s">
        <v>3240</v>
      </c>
      <c r="B825" s="8">
        <v>43313</v>
      </c>
      <c r="D825" s="40"/>
    </row>
    <row r="826" spans="1:4">
      <c r="A826" s="9" t="s">
        <v>3241</v>
      </c>
      <c r="B826" s="8">
        <v>43312</v>
      </c>
      <c r="D826" s="40"/>
    </row>
    <row r="827" spans="1:4">
      <c r="A827" s="9" t="s">
        <v>3242</v>
      </c>
      <c r="B827" s="8">
        <v>43312</v>
      </c>
      <c r="D827" s="40"/>
    </row>
    <row r="828" spans="1:4">
      <c r="A828" s="9" t="s">
        <v>3243</v>
      </c>
      <c r="B828" s="8">
        <v>43310</v>
      </c>
      <c r="D828" s="40"/>
    </row>
    <row r="829" spans="1:4">
      <c r="A829" s="9" t="s">
        <v>3244</v>
      </c>
      <c r="B829" s="8">
        <v>43309</v>
      </c>
      <c r="D829" s="40"/>
    </row>
    <row r="830" spans="1:4">
      <c r="A830" s="9" t="s">
        <v>3245</v>
      </c>
      <c r="B830" s="8">
        <v>43306</v>
      </c>
      <c r="C830" s="8">
        <v>43311</v>
      </c>
      <c r="D830" s="40"/>
    </row>
    <row r="831" spans="1:4">
      <c r="A831" s="9" t="s">
        <v>3246</v>
      </c>
      <c r="B831" s="8">
        <v>43296</v>
      </c>
      <c r="D831" s="40"/>
    </row>
    <row r="832" spans="1:4">
      <c r="A832" s="9" t="s">
        <v>3247</v>
      </c>
      <c r="B832" s="8">
        <v>43295</v>
      </c>
      <c r="D832" s="40"/>
    </row>
    <row r="833" spans="1:7">
      <c r="A833" s="9" t="s">
        <v>2600</v>
      </c>
      <c r="B833" s="8">
        <v>43292</v>
      </c>
      <c r="D833" s="40"/>
    </row>
    <row r="834" spans="1:7">
      <c r="A834" s="9" t="s">
        <v>3248</v>
      </c>
      <c r="B834" s="8">
        <v>43291</v>
      </c>
      <c r="C834" s="22" t="s">
        <v>3249</v>
      </c>
      <c r="D834" s="40"/>
    </row>
    <row r="835" spans="1:7">
      <c r="A835" s="9" t="s">
        <v>3250</v>
      </c>
      <c r="B835" s="8">
        <v>43291</v>
      </c>
      <c r="D835" s="40"/>
    </row>
    <row r="836" spans="1:7">
      <c r="A836" s="9" t="s">
        <v>3251</v>
      </c>
      <c r="B836" s="8">
        <v>43290</v>
      </c>
      <c r="D836" s="40"/>
    </row>
    <row r="837" spans="1:7">
      <c r="A837" s="9" t="s">
        <v>3252</v>
      </c>
      <c r="B837" s="8">
        <v>43288</v>
      </c>
      <c r="D837" s="40"/>
    </row>
    <row r="838" spans="1:7">
      <c r="A838" s="9" t="s">
        <v>3253</v>
      </c>
      <c r="B838" s="8">
        <v>43284</v>
      </c>
      <c r="C838" s="9" t="s">
        <v>3254</v>
      </c>
      <c r="D838" s="40"/>
    </row>
    <row r="839" spans="1:7">
      <c r="A839" s="9" t="s">
        <v>1235</v>
      </c>
      <c r="B839" s="8">
        <v>43280</v>
      </c>
      <c r="D839" s="40"/>
    </row>
    <row r="840" spans="1:7">
      <c r="A840" s="9" t="s">
        <v>2434</v>
      </c>
      <c r="B840" s="8">
        <v>43277</v>
      </c>
      <c r="C840" s="9" t="s">
        <v>1217</v>
      </c>
      <c r="D840" s="40"/>
    </row>
    <row r="841" spans="1:7">
      <c r="A841" s="9" t="s">
        <v>3255</v>
      </c>
      <c r="B841" s="8">
        <v>43275</v>
      </c>
      <c r="C841" s="9" t="s">
        <v>3256</v>
      </c>
      <c r="D841" s="40"/>
    </row>
    <row r="842" spans="1:7">
      <c r="A842" s="9" t="s">
        <v>3257</v>
      </c>
      <c r="B842" s="8">
        <v>43262</v>
      </c>
      <c r="C842" s="9" t="s">
        <v>69</v>
      </c>
      <c r="D842" s="40" t="s">
        <v>3258</v>
      </c>
    </row>
    <row r="843" spans="1:7">
      <c r="A843" s="9" t="s">
        <v>3259</v>
      </c>
      <c r="B843" s="8">
        <v>43260</v>
      </c>
      <c r="C843" s="22" t="s">
        <v>3260</v>
      </c>
      <c r="D843" s="40" t="s">
        <v>3258</v>
      </c>
    </row>
    <row r="844" spans="1:7">
      <c r="A844" s="9" t="s">
        <v>1316</v>
      </c>
      <c r="B844" s="8">
        <v>43258</v>
      </c>
      <c r="C844" s="9" t="s">
        <v>3261</v>
      </c>
      <c r="D844" s="40" t="s">
        <v>3258</v>
      </c>
    </row>
    <row r="845" spans="1:7">
      <c r="A845" s="9" t="s">
        <v>3262</v>
      </c>
      <c r="B845" s="8">
        <v>43253</v>
      </c>
      <c r="C845" s="22" t="s">
        <v>3263</v>
      </c>
      <c r="D845" s="40" t="s">
        <v>3258</v>
      </c>
      <c r="G845" s="441"/>
    </row>
    <row r="846" spans="1:7">
      <c r="A846" s="9" t="s">
        <v>3264</v>
      </c>
      <c r="B846" s="8">
        <v>43247</v>
      </c>
      <c r="C846" s="427">
        <v>43232</v>
      </c>
      <c r="D846" s="40" t="s">
        <v>3258</v>
      </c>
    </row>
    <row r="847" spans="1:7">
      <c r="A847" s="9" t="s">
        <v>3265</v>
      </c>
      <c r="B847" s="8">
        <v>43246</v>
      </c>
      <c r="C847" s="22" t="s">
        <v>3266</v>
      </c>
      <c r="D847" s="40" t="s">
        <v>3258</v>
      </c>
      <c r="G847" s="441"/>
    </row>
    <row r="848" spans="1:7">
      <c r="A848" s="9" t="s">
        <v>3267</v>
      </c>
      <c r="B848" s="8">
        <v>43245</v>
      </c>
      <c r="C848" s="9" t="s">
        <v>3268</v>
      </c>
      <c r="D848" s="40" t="s">
        <v>3258</v>
      </c>
      <c r="G848" s="441"/>
    </row>
    <row r="849" spans="1:7">
      <c r="A849" s="9" t="s">
        <v>3269</v>
      </c>
      <c r="B849" s="8">
        <v>43245</v>
      </c>
      <c r="C849" s="9" t="s">
        <v>3268</v>
      </c>
      <c r="D849" s="40" t="s">
        <v>3258</v>
      </c>
      <c r="G849" s="16"/>
    </row>
    <row r="850" spans="1:7">
      <c r="A850" s="9" t="s">
        <v>3270</v>
      </c>
      <c r="B850" s="8">
        <v>43245</v>
      </c>
      <c r="C850" s="9" t="s">
        <v>3268</v>
      </c>
      <c r="D850" s="40" t="s">
        <v>3258</v>
      </c>
      <c r="G850" s="16"/>
    </row>
    <row r="851" spans="1:7">
      <c r="A851" s="9" t="s">
        <v>3271</v>
      </c>
      <c r="B851" s="8">
        <v>43244</v>
      </c>
      <c r="C851" s="22" t="s">
        <v>3272</v>
      </c>
      <c r="D851" s="40" t="s">
        <v>3258</v>
      </c>
      <c r="G851" s="16"/>
    </row>
    <row r="852" spans="1:7">
      <c r="A852" s="9" t="s">
        <v>3273</v>
      </c>
      <c r="B852" s="8">
        <v>43242</v>
      </c>
      <c r="C852" s="8">
        <v>43243</v>
      </c>
      <c r="D852" s="40" t="s">
        <v>3258</v>
      </c>
      <c r="G852" s="441"/>
    </row>
    <row r="853" spans="1:7">
      <c r="A853" s="9" t="s">
        <v>3274</v>
      </c>
      <c r="C853" s="8">
        <v>43378</v>
      </c>
      <c r="D853" s="40" t="s">
        <v>3275</v>
      </c>
    </row>
    <row r="854" spans="1:7">
      <c r="A854" s="9" t="s">
        <v>3276</v>
      </c>
      <c r="C854" s="8">
        <v>43446</v>
      </c>
      <c r="D854" s="40"/>
    </row>
    <row r="855" spans="1:7">
      <c r="D855" s="40"/>
    </row>
  </sheetData>
  <mergeCells count="3">
    <mergeCell ref="S1:U1"/>
    <mergeCell ref="N326:P326"/>
    <mergeCell ref="D784:F784"/>
  </mergeCells>
  <conditionalFormatting sqref="N253">
    <cfRule type="cellIs" dxfId="1" priority="1" operator="lessThan">
      <formula>0</formula>
    </cfRule>
    <cfRule type="cellIs" dxfId="0" priority="2" operator="greaterThanOrEqual">
      <formula>500</formula>
    </cfRule>
  </conditionalFormatting>
  <hyperlinks>
    <hyperlink ref="H43" r:id="rId1" xr:uid="{00000000-0004-0000-0300-00000F000000}"/>
    <hyperlink ref="H45" r:id="rId2" xr:uid="{00000000-0004-0000-0300-000010000000}"/>
    <hyperlink ref="H46" r:id="rId3" xr:uid="{00000000-0004-0000-0300-000011000000}"/>
    <hyperlink ref="H47" r:id="rId4" xr:uid="{00000000-0004-0000-0300-000012000000}"/>
    <hyperlink ref="H51" r:id="rId5" xr:uid="{00000000-0004-0000-0300-000013000000}"/>
    <hyperlink ref="H52" r:id="rId6" xr:uid="{00000000-0004-0000-0300-000014000000}"/>
    <hyperlink ref="H56" r:id="rId7" xr:uid="{00000000-0004-0000-0300-000015000000}"/>
    <hyperlink ref="H57" r:id="rId8" xr:uid="{00000000-0004-0000-0300-000016000000}"/>
    <hyperlink ref="H59" r:id="rId9" xr:uid="{00000000-0004-0000-0300-000017000000}"/>
    <hyperlink ref="H60" r:id="rId10" xr:uid="{00000000-0004-0000-0300-000018000000}"/>
    <hyperlink ref="H61" r:id="rId11" xr:uid="{00000000-0004-0000-0300-000019000000}"/>
    <hyperlink ref="D63" r:id="rId12" xr:uid="{00000000-0004-0000-0300-00001A000000}"/>
    <hyperlink ref="E63" r:id="rId13" xr:uid="{00000000-0004-0000-0300-00001B000000}"/>
    <hyperlink ref="H64" r:id="rId14" xr:uid="{00000000-0004-0000-0300-00001C000000}"/>
    <hyperlink ref="H66" r:id="rId15" xr:uid="{00000000-0004-0000-0300-00001D000000}"/>
    <hyperlink ref="H68" r:id="rId16" xr:uid="{00000000-0004-0000-0300-00001E000000}"/>
    <hyperlink ref="H71" r:id="rId17" xr:uid="{00000000-0004-0000-0300-00001F000000}"/>
    <hyperlink ref="H73" r:id="rId18" xr:uid="{00000000-0004-0000-0300-000020000000}"/>
    <hyperlink ref="H74" r:id="rId19" xr:uid="{00000000-0004-0000-0300-000021000000}"/>
    <hyperlink ref="H75" r:id="rId20" xr:uid="{00000000-0004-0000-0300-000022000000}"/>
    <hyperlink ref="H76" r:id="rId21" xr:uid="{00000000-0004-0000-0300-000023000000}"/>
    <hyperlink ref="H78" r:id="rId22" xr:uid="{00000000-0004-0000-0300-000024000000}"/>
    <hyperlink ref="H79" r:id="rId23" xr:uid="{00000000-0004-0000-0300-000025000000}"/>
    <hyperlink ref="H80" r:id="rId24" xr:uid="{00000000-0004-0000-0300-000026000000}"/>
    <hyperlink ref="H81" r:id="rId25" xr:uid="{00000000-0004-0000-0300-000027000000}"/>
    <hyperlink ref="H82" r:id="rId26" xr:uid="{00000000-0004-0000-0300-000028000000}"/>
    <hyperlink ref="H85" r:id="rId27" xr:uid="{00000000-0004-0000-0300-000029000000}"/>
    <hyperlink ref="H86" r:id="rId28" xr:uid="{00000000-0004-0000-0300-00002A000000}"/>
    <hyperlink ref="H88" r:id="rId29" xr:uid="{00000000-0004-0000-0300-00002B000000}"/>
    <hyperlink ref="H90" r:id="rId30" xr:uid="{00000000-0004-0000-0300-00002C000000}"/>
    <hyperlink ref="D91" r:id="rId31" display="https://www.fedex.com/apps/fedextrack/index.html?tracknumbers=785700167397&amp;cntry_code=us" xr:uid="{00000000-0004-0000-0300-00002D000000}"/>
    <hyperlink ref="H92" r:id="rId32" xr:uid="{00000000-0004-0000-0300-00002E000000}"/>
    <hyperlink ref="H94" r:id="rId33" xr:uid="{00000000-0004-0000-0300-00002F000000}"/>
    <hyperlink ref="H95" r:id="rId34" xr:uid="{00000000-0004-0000-0300-000030000000}"/>
    <hyperlink ref="H96" r:id="rId35" xr:uid="{00000000-0004-0000-0300-000031000000}"/>
    <hyperlink ref="H98" r:id="rId36" xr:uid="{00000000-0004-0000-0300-000032000000}"/>
    <hyperlink ref="H99" r:id="rId37" xr:uid="{00000000-0004-0000-0300-000033000000}"/>
    <hyperlink ref="H101" r:id="rId38" xr:uid="{00000000-0004-0000-0300-000034000000}"/>
    <hyperlink ref="D103" r:id="rId39" display="https://www.fedex.com/fedextrack/?tracknumbers=681455589370" xr:uid="{00000000-0004-0000-0300-000035000000}"/>
    <hyperlink ref="E104" r:id="rId40" xr:uid="{00000000-0004-0000-0300-000036000000}"/>
    <hyperlink ref="H105" r:id="rId41" xr:uid="{00000000-0004-0000-0300-000037000000}"/>
    <hyperlink ref="H109" r:id="rId42" xr:uid="{00000000-0004-0000-0300-000038000000}"/>
    <hyperlink ref="H111" r:id="rId43" xr:uid="{00000000-0004-0000-0300-000039000000}"/>
    <hyperlink ref="H113" r:id="rId44" xr:uid="{00000000-0004-0000-0300-00003A000000}"/>
    <hyperlink ref="H114" r:id="rId45" xr:uid="{00000000-0004-0000-0300-00003B000000}"/>
    <hyperlink ref="H116" r:id="rId46" xr:uid="{00000000-0004-0000-0300-00003C000000}"/>
    <hyperlink ref="H117" r:id="rId47" xr:uid="{00000000-0004-0000-0300-00003D000000}"/>
    <hyperlink ref="H118" r:id="rId48" xr:uid="{00000000-0004-0000-0300-00003E000000}"/>
    <hyperlink ref="H119" r:id="rId49" xr:uid="{00000000-0004-0000-0300-00003F000000}"/>
    <hyperlink ref="H122" r:id="rId50" xr:uid="{00000000-0004-0000-0300-000040000000}"/>
    <hyperlink ref="H123" r:id="rId51" xr:uid="{00000000-0004-0000-0300-000041000000}"/>
    <hyperlink ref="H125" r:id="rId52" xr:uid="{00000000-0004-0000-0300-000042000000}"/>
    <hyperlink ref="H126" r:id="rId53" xr:uid="{00000000-0004-0000-0300-000043000000}"/>
    <hyperlink ref="H127" r:id="rId54" xr:uid="{00000000-0004-0000-0300-000044000000}"/>
    <hyperlink ref="H132" r:id="rId55" xr:uid="{00000000-0004-0000-0300-000045000000}"/>
    <hyperlink ref="D134" r:id="rId56" xr:uid="{00000000-0004-0000-0300-000046000000}"/>
    <hyperlink ref="H135" r:id="rId57" xr:uid="{00000000-0004-0000-0300-000047000000}"/>
    <hyperlink ref="H137" r:id="rId58" xr:uid="{00000000-0004-0000-0300-000048000000}"/>
    <hyperlink ref="H138" r:id="rId59" xr:uid="{00000000-0004-0000-0300-000049000000}"/>
    <hyperlink ref="H139" r:id="rId60" xr:uid="{00000000-0004-0000-0300-00004A000000}"/>
    <hyperlink ref="H140" r:id="rId61" xr:uid="{00000000-0004-0000-0300-00004B000000}"/>
    <hyperlink ref="H143" r:id="rId62" xr:uid="{00000000-0004-0000-0300-00004C000000}"/>
    <hyperlink ref="H145" r:id="rId63" xr:uid="{00000000-0004-0000-0300-00004D000000}"/>
    <hyperlink ref="D149" r:id="rId64" display="https://www.fedex.com/fedextrack/?tracknumbers=607114894977&amp;locale=en_US" xr:uid="{00000000-0004-0000-0300-00004E000000}"/>
    <hyperlink ref="H150" r:id="rId65" xr:uid="{00000000-0004-0000-0300-00004F000000}"/>
    <hyperlink ref="D152" r:id="rId66" xr:uid="{00000000-0004-0000-0300-000050000000}"/>
    <hyperlink ref="H153" r:id="rId67" xr:uid="{00000000-0004-0000-0300-000051000000}"/>
    <hyperlink ref="D154" r:id="rId68" xr:uid="{00000000-0004-0000-0300-000052000000}"/>
    <hyperlink ref="D156" r:id="rId69" xr:uid="{00000000-0004-0000-0300-000053000000}"/>
    <hyperlink ref="H157" r:id="rId70" xr:uid="{00000000-0004-0000-0300-000054000000}"/>
    <hyperlink ref="H158" r:id="rId71" xr:uid="{00000000-0004-0000-0300-000055000000}"/>
    <hyperlink ref="D159" r:id="rId72" xr:uid="{00000000-0004-0000-0300-000056000000}"/>
    <hyperlink ref="H160" r:id="rId73" xr:uid="{00000000-0004-0000-0300-000057000000}"/>
    <hyperlink ref="D163" r:id="rId74" xr:uid="{00000000-0004-0000-0300-000058000000}"/>
    <hyperlink ref="H165" r:id="rId75" xr:uid="{00000000-0004-0000-0300-000059000000}"/>
    <hyperlink ref="H166" r:id="rId76" xr:uid="{00000000-0004-0000-0300-00005A000000}"/>
    <hyperlink ref="H167" r:id="rId77" xr:uid="{00000000-0004-0000-0300-00005B000000}"/>
    <hyperlink ref="H168" r:id="rId78" xr:uid="{00000000-0004-0000-0300-00005C000000}"/>
    <hyperlink ref="H169" r:id="rId79" xr:uid="{00000000-0004-0000-0300-00005D000000}"/>
    <hyperlink ref="D170" r:id="rId80" xr:uid="{00000000-0004-0000-0300-00005E000000}"/>
    <hyperlink ref="H172" r:id="rId81" xr:uid="{00000000-0004-0000-0300-00005F000000}"/>
    <hyperlink ref="H178" r:id="rId82" xr:uid="{00000000-0004-0000-0300-000060000000}"/>
    <hyperlink ref="H180" r:id="rId83" xr:uid="{00000000-0004-0000-0300-000061000000}"/>
    <hyperlink ref="H181" r:id="rId84" xr:uid="{00000000-0004-0000-0300-000062000000}"/>
    <hyperlink ref="H183" r:id="rId85" xr:uid="{00000000-0004-0000-0300-000063000000}"/>
    <hyperlink ref="H184" r:id="rId86" xr:uid="{00000000-0004-0000-0300-000064000000}"/>
    <hyperlink ref="H185" r:id="rId87" xr:uid="{00000000-0004-0000-0300-000065000000}"/>
    <hyperlink ref="H186" r:id="rId88" xr:uid="{00000000-0004-0000-0300-000066000000}"/>
    <hyperlink ref="H187" r:id="rId89" xr:uid="{00000000-0004-0000-0300-000067000000}"/>
    <hyperlink ref="H190" r:id="rId90" display="https://www.caremark.com/wps/portal/ALTERNATE_AUTH&amp;cid=em_trx_pbm_order_received_order_number" xr:uid="{00000000-0004-0000-0300-000068000000}"/>
    <hyperlink ref="D191" r:id="rId91" xr:uid="{00000000-0004-0000-0300-000069000000}"/>
    <hyperlink ref="H191" r:id="rId92" xr:uid="{00000000-0004-0000-0300-00006A000000}"/>
    <hyperlink ref="H192" r:id="rId93" xr:uid="{00000000-0004-0000-0300-00006B000000}"/>
    <hyperlink ref="D193" r:id="rId94" xr:uid="{00000000-0004-0000-0300-00006C000000}"/>
    <hyperlink ref="D194" r:id="rId95" xr:uid="{00000000-0004-0000-0300-00006D000000}"/>
    <hyperlink ref="H195" r:id="rId96" xr:uid="{00000000-0004-0000-0300-00006E000000}"/>
    <hyperlink ref="H197" r:id="rId97" xr:uid="{00000000-0004-0000-0300-00006F000000}"/>
    <hyperlink ref="H198" r:id="rId98" xr:uid="{00000000-0004-0000-0300-000070000000}"/>
    <hyperlink ref="H201" r:id="rId99" xr:uid="{00000000-0004-0000-0300-000071000000}"/>
    <hyperlink ref="H203" r:id="rId100" xr:uid="{00000000-0004-0000-0300-000072000000}"/>
    <hyperlink ref="H204" r:id="rId101" xr:uid="{00000000-0004-0000-0300-000073000000}"/>
    <hyperlink ref="H205" r:id="rId102" xr:uid="{00000000-0004-0000-0300-000074000000}"/>
    <hyperlink ref="H206" r:id="rId103" xr:uid="{00000000-0004-0000-0300-000075000000}"/>
    <hyperlink ref="H207" r:id="rId104" xr:uid="{00000000-0004-0000-0300-000076000000}"/>
    <hyperlink ref="H209" r:id="rId105" xr:uid="{00000000-0004-0000-0300-000077000000}"/>
    <hyperlink ref="D210" r:id="rId106" xr:uid="{00000000-0004-0000-0300-000078000000}"/>
    <hyperlink ref="H210" r:id="rId107" xr:uid="{00000000-0004-0000-0300-000079000000}"/>
    <hyperlink ref="D211" r:id="rId108" xr:uid="{00000000-0004-0000-0300-00007A000000}"/>
    <hyperlink ref="H211" r:id="rId109" xr:uid="{00000000-0004-0000-0300-00007B000000}"/>
    <hyperlink ref="H212" r:id="rId110" xr:uid="{00000000-0004-0000-0300-00007C000000}"/>
    <hyperlink ref="H214" r:id="rId111" xr:uid="{00000000-0004-0000-0300-00007D000000}"/>
    <hyperlink ref="H216" r:id="rId112" xr:uid="{00000000-0004-0000-0300-00007E000000}"/>
    <hyperlink ref="D220" r:id="rId113" xr:uid="{00000000-0004-0000-0300-00007F000000}"/>
    <hyperlink ref="H221" r:id="rId114" xr:uid="{00000000-0004-0000-0300-000080000000}"/>
    <hyperlink ref="D224" r:id="rId115" xr:uid="{00000000-0004-0000-0300-000081000000}"/>
    <hyperlink ref="H225" r:id="rId116" xr:uid="{00000000-0004-0000-0300-000082000000}"/>
    <hyperlink ref="H226" r:id="rId117" xr:uid="{00000000-0004-0000-0300-000083000000}"/>
    <hyperlink ref="H230" r:id="rId118" xr:uid="{00000000-0004-0000-0300-000084000000}"/>
    <hyperlink ref="H231" r:id="rId119" xr:uid="{00000000-0004-0000-0300-000085000000}"/>
    <hyperlink ref="H234" r:id="rId120" xr:uid="{00000000-0004-0000-0300-000086000000}"/>
    <hyperlink ref="H237" r:id="rId121" display="https://www.caremark.com/wps/myportal/ORDER_STATUS?cid=em_trx_pbm_order_shipped_order_number" xr:uid="{00000000-0004-0000-0300-000087000000}"/>
    <hyperlink ref="H238" r:id="rId122" xr:uid="{00000000-0004-0000-0300-000088000000}"/>
    <hyperlink ref="H239" r:id="rId123" xr:uid="{00000000-0004-0000-0300-000089000000}"/>
    <hyperlink ref="D240" r:id="rId124" xr:uid="{00000000-0004-0000-0300-00008A000000}"/>
    <hyperlink ref="H242" r:id="rId125" xr:uid="{00000000-0004-0000-0300-00008B000000}"/>
    <hyperlink ref="H243" r:id="rId126" xr:uid="{00000000-0004-0000-0300-00008C000000}"/>
    <hyperlink ref="H246" r:id="rId127" xr:uid="{00000000-0004-0000-0300-00008D000000}"/>
    <hyperlink ref="H249" r:id="rId128" xr:uid="{00000000-0004-0000-0300-00008E000000}"/>
    <hyperlink ref="H250" r:id="rId129" xr:uid="{00000000-0004-0000-0300-00008F000000}"/>
    <hyperlink ref="H251" r:id="rId130" xr:uid="{00000000-0004-0000-0300-000090000000}"/>
    <hyperlink ref="H253" r:id="rId131" xr:uid="{00000000-0004-0000-0300-000091000000}"/>
    <hyperlink ref="H254" r:id="rId132" xr:uid="{00000000-0004-0000-0300-000092000000}"/>
    <hyperlink ref="D255" r:id="rId133" xr:uid="{00000000-0004-0000-0300-000093000000}"/>
    <hyperlink ref="H256" r:id="rId134" xr:uid="{00000000-0004-0000-0300-000094000000}"/>
    <hyperlink ref="H257" r:id="rId135" xr:uid="{00000000-0004-0000-0300-000095000000}"/>
    <hyperlink ref="H258" r:id="rId136" xr:uid="{00000000-0004-0000-0300-000096000000}"/>
    <hyperlink ref="D259" r:id="rId137" display="http://click.t.kohls.com/?qs=2de9c30c7e0bfed9273d3b2a2d954626449d9ced86d5a32899346be2578d2405676710d2821368ee4e307ff03516bfca3072b6499ac7d73cf104c3c614f7d28f" xr:uid="{00000000-0004-0000-0300-000097000000}"/>
    <hyperlink ref="H263" r:id="rId138" xr:uid="{00000000-0004-0000-0300-000098000000}"/>
    <hyperlink ref="H267" r:id="rId139" xr:uid="{00000000-0004-0000-0300-000099000000}"/>
    <hyperlink ref="D269" r:id="rId140" xr:uid="{00000000-0004-0000-0300-00009A000000}"/>
    <hyperlink ref="H276" r:id="rId141" xr:uid="{00000000-0004-0000-0300-00009B000000}"/>
    <hyperlink ref="H277" r:id="rId142" xr:uid="{00000000-0004-0000-0300-00009C000000}"/>
    <hyperlink ref="H281" r:id="rId143" xr:uid="{00000000-0004-0000-0300-00009D000000}"/>
    <hyperlink ref="H288" r:id="rId144" xr:uid="{00000000-0004-0000-0300-00009E000000}"/>
    <hyperlink ref="H290" r:id="rId145" xr:uid="{00000000-0004-0000-0300-00009F000000}"/>
    <hyperlink ref="H292" r:id="rId146" display="https://www.caremark.com/wps/myportal/ORDER_STATUS" xr:uid="{00000000-0004-0000-0300-0000A0000000}"/>
    <hyperlink ref="H293" r:id="rId147" xr:uid="{00000000-0004-0000-0300-0000A1000000}"/>
    <hyperlink ref="H299" r:id="rId148" xr:uid="{00000000-0004-0000-0300-0000A2000000}"/>
    <hyperlink ref="H302" r:id="rId149" xr:uid="{00000000-0004-0000-0300-0000A3000000}"/>
    <hyperlink ref="H305" r:id="rId150" xr:uid="{00000000-0004-0000-0300-0000A4000000}"/>
    <hyperlink ref="H307" r:id="rId151" xr:uid="{00000000-0004-0000-0300-0000A5000000}"/>
    <hyperlink ref="H312" r:id="rId152" xr:uid="{00000000-0004-0000-0300-0000A6000000}"/>
    <hyperlink ref="H317" r:id="rId153" xr:uid="{00000000-0004-0000-0300-0000A7000000}"/>
    <hyperlink ref="H318" r:id="rId154" xr:uid="{00000000-0004-0000-0300-0000A8000000}"/>
    <hyperlink ref="H319" r:id="rId155" xr:uid="{00000000-0004-0000-0300-0000A9000000}"/>
    <hyperlink ref="D324" r:id="rId156" xr:uid="{00000000-0004-0000-0300-0000AA000000}"/>
    <hyperlink ref="H324" r:id="rId157" display="https://www.caremark.com/wps/myportal/ORDER_STATUS" xr:uid="{00000000-0004-0000-0300-0000AB000000}"/>
    <hyperlink ref="D325" r:id="rId158" xr:uid="{00000000-0004-0000-0300-0000AC000000}"/>
    <hyperlink ref="H327" r:id="rId159" xr:uid="{00000000-0004-0000-0300-0000AD000000}"/>
    <hyperlink ref="D328" r:id="rId160" xr:uid="{00000000-0004-0000-0300-0000AE000000}"/>
    <hyperlink ref="D329" r:id="rId161" display="https://w-mt.co/g/rptrcks/comm-smart-app/services/tracking/clickTracker?redirectTo=nfIHogzhpa7%2F2J2phrlCR7ud3h07QdD57ALHVxzwe%2FWLUqxRNqWUssfXrBwZFMNxf4kaW6zLXJJzOeH3F%2Ffhfnw1opV3KmHmrVqlDY%2BwUBzPvFJsSe%2F9GLLy8ptvjvH6MaTVRZuoIeBIjeGbLCu9EKVFotkVRfEtrjodmGg5eOj4OLBWArXNgVlKgVobwec0m1Jxzmex%2BBHdjffD03rhEFKhv9y2FfFkM93umljuLbmKJVjDJaHi4PoQnERPiBKUs2G4KceFOAHt%2BMvQJDQhDnE5YUglJV5Q28PCK1NaEB1QnSw%2FhUbBaKwpkEgzw3K31DzukVcGUT9f5YNUHYT1joerwej%2FagApCjd6A1lHtar%2F5%2BQdDXNWYDnCptopKDq7xSV4E0dqYtBzf2rbd6GS5USD2XHcM2bdD96P2Wh30LYDqleNW9TeWA3LDQehxOirOAR8v%2F3x9w%2BOPlqZdXm9lnKnTwFLhyugCkFPx2yLB8qZ4usZHSUWIsIauJZjlLSGG%2BBgVNz4gJ0ncDQJe5ZyWiSJ%2Bl3fvvbxmSkQmip%2FN6PdVl0JPi0llfrqXVEnAI9yebfibBOyFd87WKViwm7V2%2BQJAYp4T9fK7rhy%2F6RJcSkYfSzlP316nC56VR03Ed5Y%2B4k4W3iabuu0U2lL9NqdVC83ngJjIwVUdCnIOl1exFYQLRcD3DxEK2cMSjosJk828ceX3x0PZuTCwWRMFKzd6T0mloLXKVQNQtQbPhQhOFIDItN7q9wCnZJll0B8yMLuiuJUpi0O9XFBVzcYy1wjO4i8KmJBRitkDV6TlEPgC5bKfJFQs38lvUH5SordgkUV%2F6plzgGUapSg3aM3DZgZTRJHqepiYdKSltw53fvWC6o%3D&amp;meta=qXYi4%2FFRmEyDWs%2FpZOLgWlJIM3cDiCPrASpNh6q4BCmCvNI7ha8MXX15A%2BeuvvGmsozWZsh%2BnbOTQKKBaygFFT0r6sZA2am4U1jhQsvHTQ1kPKskofOSskZwNdgTmKN8g4i3AQMQrgrL9SD7sOiuhCt43rXJEFQsgZam9W4S8oyL7VT7qwBWFktEjPVHPgAvNAUEv3USBuahY4l40rLNZg%3D%3D&amp;iv=byapDN4mHwwnKHjPBszHEA%3D%3D" xr:uid="{00000000-0004-0000-0300-0000AF000000}"/>
    <hyperlink ref="D335" r:id="rId162" xr:uid="{00000000-0004-0000-0300-0000B0000000}"/>
    <hyperlink ref="H336" r:id="rId163" xr:uid="{00000000-0004-0000-0300-0000B1000000}"/>
    <hyperlink ref="H337" r:id="rId164" xr:uid="{00000000-0004-0000-0300-0000B2000000}"/>
    <hyperlink ref="H346" r:id="rId165" xr:uid="{00000000-0004-0000-0300-0000B3000000}"/>
    <hyperlink ref="D351" r:id="rId166" xr:uid="{00000000-0004-0000-0300-0000B4000000}"/>
    <hyperlink ref="D360" r:id="rId167" xr:uid="{00000000-0004-0000-0300-0000B5000000}"/>
    <hyperlink ref="H364" r:id="rId168" xr:uid="{00000000-0004-0000-0300-0000B6000000}"/>
    <hyperlink ref="H365" r:id="rId169" xr:uid="{00000000-0004-0000-0300-0000B7000000}"/>
    <hyperlink ref="H366" r:id="rId170" xr:uid="{00000000-0004-0000-0300-0000B8000000}"/>
    <hyperlink ref="E367" r:id="rId171" xr:uid="{00000000-0004-0000-0300-0000B9000000}"/>
    <hyperlink ref="H368" r:id="rId172" xr:uid="{00000000-0004-0000-0300-0000BA000000}"/>
    <hyperlink ref="H369" r:id="rId173" xr:uid="{00000000-0004-0000-0300-0000BB000000}"/>
    <hyperlink ref="E370" r:id="rId174" xr:uid="{00000000-0004-0000-0300-0000BC000000}"/>
    <hyperlink ref="D372" r:id="rId175" xr:uid="{00000000-0004-0000-0300-0000BD000000}"/>
    <hyperlink ref="D376" r:id="rId176" xr:uid="{00000000-0004-0000-0300-0000BE000000}"/>
    <hyperlink ref="D379" r:id="rId177" xr:uid="{00000000-0004-0000-0300-0000BF000000}"/>
    <hyperlink ref="H407" r:id="rId178" xr:uid="{00000000-0004-0000-0300-0000C0000000}"/>
    <hyperlink ref="D408" r:id="rId179" xr:uid="{00000000-0004-0000-0300-0000C1000000}"/>
    <hyperlink ref="D411" r:id="rId180" xr:uid="{00000000-0004-0000-0300-0000C2000000}"/>
    <hyperlink ref="H425" r:id="rId181" display="https://www.caremark.com/wps/portal/ALTERNATE_AUTH?xid=&amp;cid=em_pbm_cmp_orderreceived&amp;lpg=ORDER_STATUS" xr:uid="{00000000-0004-0000-0300-0000C3000000}"/>
    <hyperlink ref="E427" r:id="rId182" xr:uid="{00000000-0004-0000-0300-0000C4000000}"/>
    <hyperlink ref="H428" r:id="rId183" xr:uid="{00000000-0004-0000-0300-0000C5000000}"/>
    <hyperlink ref="D430" r:id="rId184" xr:uid="{00000000-0004-0000-0300-0000C6000000}"/>
    <hyperlink ref="D435" r:id="rId185" xr:uid="{00000000-0004-0000-0300-0000C7000000}"/>
    <hyperlink ref="E438" r:id="rId186" xr:uid="{00000000-0004-0000-0300-0000C8000000}"/>
    <hyperlink ref="D441" r:id="rId187" xr:uid="{00000000-0004-0000-0300-0000C9000000}"/>
    <hyperlink ref="E441" r:id="rId188" xr:uid="{00000000-0004-0000-0300-0000CA000000}"/>
    <hyperlink ref="D442" r:id="rId189" xr:uid="{00000000-0004-0000-0300-0000CB000000}"/>
    <hyperlink ref="D445" r:id="rId190" xr:uid="{00000000-0004-0000-0300-0000CC000000}"/>
    <hyperlink ref="E445" r:id="rId191" xr:uid="{00000000-0004-0000-0300-0000CD000000}"/>
    <hyperlink ref="D446" r:id="rId192" xr:uid="{00000000-0004-0000-0300-0000CE000000}"/>
    <hyperlink ref="H447" r:id="rId193" xr:uid="{00000000-0004-0000-0300-0000CF000000}"/>
    <hyperlink ref="D456" r:id="rId194" xr:uid="{00000000-0004-0000-0300-0000D0000000}"/>
    <hyperlink ref="E456" r:id="rId195" xr:uid="{00000000-0004-0000-0300-0000D1000000}"/>
    <hyperlink ref="H458" r:id="rId196" xr:uid="{00000000-0004-0000-0300-0000D2000000}"/>
    <hyperlink ref="H463" r:id="rId197" xr:uid="{00000000-0004-0000-0300-0000D3000000}"/>
    <hyperlink ref="H474" r:id="rId198" xr:uid="{00000000-0004-0000-0300-0000D4000000}"/>
    <hyperlink ref="H480" r:id="rId199" display="https://www.caremark.com/wps/portal/ALTERNATE_AUTH?xid=&amp;cid=em_pbm_cmp_orderreceived&amp;lpg=ORDER_STATUS" xr:uid="{00000000-0004-0000-0300-0000D5000000}"/>
    <hyperlink ref="A481" r:id="rId200" xr:uid="{00000000-0004-0000-0300-0000D6000000}"/>
    <hyperlink ref="H486" r:id="rId201" xr:uid="{00000000-0004-0000-0300-0000D7000000}"/>
    <hyperlink ref="H490" r:id="rId202" display="https://www.caremark.com/wps/portal/ALTERNATE_AUTH?xid=&amp;cid=em_pbm_cmp_orderreceived&amp;lpg=ORDER_STATUS" xr:uid="{00000000-0004-0000-0300-0000D8000000}"/>
    <hyperlink ref="D493" r:id="rId203" xr:uid="{00000000-0004-0000-0300-0000D9000000}"/>
    <hyperlink ref="E502" r:id="rId204" xr:uid="{00000000-0004-0000-0300-0000DA000000}"/>
    <hyperlink ref="A503" r:id="rId205" xr:uid="{00000000-0004-0000-0300-0000DB000000}"/>
    <hyperlink ref="E504" r:id="rId206" xr:uid="{00000000-0004-0000-0300-0000DC000000}"/>
    <hyperlink ref="H506" r:id="rId207" display="https://www.caremark.com/wps/myportal/ORDER_STATUS" xr:uid="{00000000-0004-0000-0300-0000DD000000}"/>
    <hyperlink ref="A508" r:id="rId208" xr:uid="{00000000-0004-0000-0300-0000DE000000}"/>
    <hyperlink ref="H509" r:id="rId209" xr:uid="{00000000-0004-0000-0300-0000DF000000}"/>
    <hyperlink ref="D510" r:id="rId210" xr:uid="{00000000-0004-0000-0300-0000E0000000}"/>
    <hyperlink ref="E511" r:id="rId211" xr:uid="{00000000-0004-0000-0300-0000E1000000}"/>
    <hyperlink ref="H518" r:id="rId212" xr:uid="{00000000-0004-0000-0300-0000E2000000}"/>
    <hyperlink ref="D519" r:id="rId213" xr:uid="{00000000-0004-0000-0300-0000E3000000}"/>
    <hyperlink ref="D522" r:id="rId214" xr:uid="{00000000-0004-0000-0300-0000E4000000}"/>
    <hyperlink ref="D523" r:id="rId215" xr:uid="{00000000-0004-0000-0300-0000E5000000}"/>
    <hyperlink ref="D526" r:id="rId216" display="https://www.fedex.com/apps/fedextrack/?action=track&amp;trackingnumber=398319136980" xr:uid="{00000000-0004-0000-0300-0000E6000000}"/>
    <hyperlink ref="D528" r:id="rId217" xr:uid="{00000000-0004-0000-0300-0000E7000000}"/>
    <hyperlink ref="D529" r:id="rId218" xr:uid="{00000000-0004-0000-0300-0000E8000000}"/>
    <hyperlink ref="D530" r:id="rId219" xr:uid="{00000000-0004-0000-0300-0000E9000000}"/>
    <hyperlink ref="D531" r:id="rId220" xr:uid="{00000000-0004-0000-0300-0000EA000000}"/>
    <hyperlink ref="H535" r:id="rId221" xr:uid="{00000000-0004-0000-0300-0000EB000000}"/>
    <hyperlink ref="D537" r:id="rId222" xr:uid="{00000000-0004-0000-0300-0000EC000000}"/>
    <hyperlink ref="D538" r:id="rId223" xr:uid="{00000000-0004-0000-0300-0000ED000000}"/>
    <hyperlink ref="D540" r:id="rId224" xr:uid="{00000000-0004-0000-0300-0000EE000000}"/>
    <hyperlink ref="D541" r:id="rId225" xr:uid="{00000000-0004-0000-0300-0000EF000000}"/>
    <hyperlink ref="D544" r:id="rId226" xr:uid="{00000000-0004-0000-0300-0000F0000000}"/>
    <hyperlink ref="D545" r:id="rId227" xr:uid="{00000000-0004-0000-0300-0000F1000000}"/>
    <hyperlink ref="D547" r:id="rId228" xr:uid="{00000000-0004-0000-0300-0000F2000000}"/>
    <hyperlink ref="D548" r:id="rId229" xr:uid="{00000000-0004-0000-0300-0000F3000000}"/>
    <hyperlink ref="D549" r:id="rId230" xr:uid="{00000000-0004-0000-0300-0000F4000000}"/>
    <hyperlink ref="D550" r:id="rId231" xr:uid="{00000000-0004-0000-0300-0000F5000000}"/>
    <hyperlink ref="D553" r:id="rId232" xr:uid="{00000000-0004-0000-0300-0000F6000000}"/>
    <hyperlink ref="D557" r:id="rId233" xr:uid="{00000000-0004-0000-0300-0000F7000000}"/>
    <hyperlink ref="D558" r:id="rId234" xr:uid="{00000000-0004-0000-0300-0000F8000000}"/>
    <hyperlink ref="D563" r:id="rId235" xr:uid="{00000000-0004-0000-0300-0000F9000000}"/>
    <hyperlink ref="D564" r:id="rId236" xr:uid="{00000000-0004-0000-0300-0000FA000000}"/>
    <hyperlink ref="D566" r:id="rId237" xr:uid="{00000000-0004-0000-0300-0000FB000000}"/>
    <hyperlink ref="D567" r:id="rId238" xr:uid="{00000000-0004-0000-0300-0000FC000000}"/>
    <hyperlink ref="D568" r:id="rId239" xr:uid="{00000000-0004-0000-0300-0000FD000000}"/>
    <hyperlink ref="D571" r:id="rId240" xr:uid="{00000000-0004-0000-0300-0000FE000000}"/>
    <hyperlink ref="H574" r:id="rId241" display="https://www.caremark.com/wps/portal/ALTERNATE_AUTH?xid=&amp;cid=em_pbm_cmp_orderreceived&amp;lpg=ORDER_STATUS" xr:uid="{00000000-0004-0000-0300-0000FF000000}"/>
    <hyperlink ref="D577" r:id="rId242" xr:uid="{00000000-0004-0000-0300-000000010000}"/>
    <hyperlink ref="D578" r:id="rId243" xr:uid="{00000000-0004-0000-0300-000001010000}"/>
    <hyperlink ref="H586" r:id="rId244" xr:uid="{00000000-0004-0000-0300-000002010000}"/>
    <hyperlink ref="D588" r:id="rId245" xr:uid="{00000000-0004-0000-0300-000003010000}"/>
    <hyperlink ref="D589" r:id="rId246" xr:uid="{00000000-0004-0000-0300-000004010000}"/>
    <hyperlink ref="H590" r:id="rId247" xr:uid="{00000000-0004-0000-0300-000005010000}"/>
    <hyperlink ref="D594" r:id="rId248" xr:uid="{00000000-0004-0000-0300-000006010000}"/>
    <hyperlink ref="D595" r:id="rId249" xr:uid="{00000000-0004-0000-0300-000007010000}"/>
    <hyperlink ref="D597" r:id="rId250" xr:uid="{00000000-0004-0000-0300-000008010000}"/>
    <hyperlink ref="D598" r:id="rId251" xr:uid="{00000000-0004-0000-0300-000009010000}"/>
    <hyperlink ref="D599" r:id="rId252" xr:uid="{00000000-0004-0000-0300-00000A010000}"/>
    <hyperlink ref="D602" r:id="rId253" xr:uid="{00000000-0004-0000-0300-00000B010000}"/>
    <hyperlink ref="D605" r:id="rId254" xr:uid="{00000000-0004-0000-0300-00000C010000}"/>
    <hyperlink ref="D606" r:id="rId255" xr:uid="{00000000-0004-0000-0300-00000D010000}"/>
    <hyperlink ref="D609" r:id="rId256" xr:uid="{00000000-0004-0000-0300-00000E010000}"/>
    <hyperlink ref="H610" r:id="rId257" display="about:blank" xr:uid="{00000000-0004-0000-0300-00000F010000}"/>
    <hyperlink ref="D611" r:id="rId258" xr:uid="{00000000-0004-0000-0300-000010010000}"/>
    <hyperlink ref="D613" r:id="rId259" xr:uid="{00000000-0004-0000-0300-000011010000}"/>
    <hyperlink ref="D616" r:id="rId260" xr:uid="{00000000-0004-0000-0300-000012010000}"/>
    <hyperlink ref="D617" r:id="rId261" xr:uid="{00000000-0004-0000-0300-000013010000}"/>
    <hyperlink ref="D619" r:id="rId262" xr:uid="{00000000-0004-0000-0300-000014010000}"/>
    <hyperlink ref="D622" r:id="rId263" xr:uid="{00000000-0004-0000-0300-000015010000}"/>
    <hyperlink ref="D629" r:id="rId264" xr:uid="{00000000-0004-0000-0300-000016010000}"/>
    <hyperlink ref="D631" r:id="rId265" xr:uid="{00000000-0004-0000-0300-000017010000}"/>
    <hyperlink ref="D635" r:id="rId266" xr:uid="{00000000-0004-0000-0300-000018010000}"/>
    <hyperlink ref="D636" r:id="rId267" xr:uid="{00000000-0004-0000-0300-000019010000}"/>
    <hyperlink ref="D637" r:id="rId268" xr:uid="{00000000-0004-0000-0300-00001A010000}"/>
    <hyperlink ref="D639" r:id="rId269" xr:uid="{00000000-0004-0000-0300-00001B010000}"/>
    <hyperlink ref="D643" r:id="rId270" xr:uid="{00000000-0004-0000-0300-00001C010000}"/>
    <hyperlink ref="D644" r:id="rId271" xr:uid="{00000000-0004-0000-0300-00001D010000}"/>
    <hyperlink ref="D649" r:id="rId272" xr:uid="{00000000-0004-0000-0300-00001E010000}"/>
    <hyperlink ref="D650" r:id="rId273" xr:uid="{00000000-0004-0000-0300-00001F010000}"/>
    <hyperlink ref="H653" r:id="rId274" xr:uid="{00000000-0004-0000-0300-000020010000}"/>
    <hyperlink ref="H654" r:id="rId275" xr:uid="{00000000-0004-0000-0300-000021010000}"/>
    <hyperlink ref="D655" r:id="rId276" xr:uid="{00000000-0004-0000-0300-000022010000}"/>
    <hyperlink ref="D658" r:id="rId277" xr:uid="{00000000-0004-0000-0300-000023010000}"/>
    <hyperlink ref="D663" r:id="rId278" display="https://www.amazon.com/progress-tracker/package/ref=pe_2640190_232586610_scr_pt_asin?_encoding=UTF8&amp;from=gp&amp;itemId=&amp;orderId=114-9221944-6174655&amp;packageIndex=0&amp;shipmentId=24859202472301" xr:uid="{00000000-0004-0000-0300-000024010000}"/>
    <hyperlink ref="D664" r:id="rId279" display="https://www.amazon.com/progress-tracker/package/ref=pe_2640190_232586610_scr_pt_asin?_encoding=UTF8&amp;from=gp&amp;itemId=&amp;orderId=114-9221944-6174655&amp;packageIndex=0&amp;shipmentId=24859202472301" xr:uid="{00000000-0004-0000-0300-000025010000}"/>
    <hyperlink ref="D667" r:id="rId280" xr:uid="{00000000-0004-0000-0300-000026010000}"/>
    <hyperlink ref="E667" r:id="rId281" xr:uid="{00000000-0004-0000-0300-000027010000}"/>
    <hyperlink ref="D673" r:id="rId282" xr:uid="{00000000-0004-0000-0300-000028010000}"/>
    <hyperlink ref="D682" r:id="rId283" xr:uid="{00000000-0004-0000-0300-000029010000}"/>
    <hyperlink ref="D750" r:id="rId284" xr:uid="{00000000-0004-0000-0300-00002A010000}"/>
    <hyperlink ref="D760" r:id="rId285" xr:uid="{00000000-0004-0000-0300-00002B010000}"/>
    <hyperlink ref="E770" r:id="rId286" xr:uid="{00000000-0004-0000-0300-00002C010000}"/>
    <hyperlink ref="D810" r:id="rId287" xr:uid="{00000000-0004-0000-0300-00002D010000}"/>
    <hyperlink ref="H22" r:id="rId288" display="https://www.amazon.com/gp/r.html?C=1N85WR5439VWW&amp;K=D88AMRB2CGGN&amp;M=urn:rtn:msg:2024110322362655ffb5f0bf7b4c7098f785fe3470p0na&amp;R=2MBIAH6A5NF0O&amp;T=C&amp;U=https%3A%2F%2Fwww.amazon.com%2Fgp%2Fyour-account%2Fship-track%3Fie%3DUTF8%26orderId%3D113-5368580-6667454%26packageIndex%3D0%26shipmentId%3DQhSFkTS9V%26ref_%3Dpe_386300_442618370_scr_pt_asin&amp;H=8VAO3QRDSAT1P6NP1MUTWBZIAJQA&amp;ref_=pe_386300_442618370_scr_pt_asin" xr:uid="{42806193-7E57-4EE7-B884-A2AACF0783D8}"/>
    <hyperlink ref="H21" r:id="rId289" display="https://www.amazon.com/gp/r.html?C=1GDZONJ9HF37K&amp;K=D88AMRB2CGGN&amp;M=urn:rtn:msg:202411210341585bbf293e249c46adb52f8f4b61b0p0na&amp;R=VQOYZOOCK3HX&amp;T=C&amp;U=https%3A%2F%2Fwww.amazon.com%2Fgp%2Fcss%2Forder-details%3ForderId%3D113-4397320-0196211%26ref_%3Dpe_386300_440135490_TE_simp_od&amp;H=AGRRWTKVABOFJSBZAL9QYEWKKLSA&amp;ref_=pe_386300_440135490_TE_simp_od" xr:uid="{492227AC-773B-495E-9F1D-34134C2C2955}"/>
    <hyperlink ref="H20" r:id="rId290" display="https://www.amazon.com/gp/r.html?C=1GDZONJ9HF37K&amp;K=D88AMRB2CGGN&amp;M=urn:rtn:msg:2024112313311446e79dcd1982422b972e619380c0p0na&amp;R=1G83BXID8HNE5&amp;T=C&amp;U=https%3A%2F%2Fwww.amazon.com%2Fgp%2Fcss%2Forder-details%3ForderId%3D113-5702083-0605058%26ref_%3Dpe_386300_440135490_TE_simp_od&amp;H=TKMQIWDI2K491O4YW8YNCFMVYDKA&amp;ref_=pe_386300_440135490_TE_simp_od" xr:uid="{060954FF-5FD3-4E1D-8802-E42AEEC5AAE9}"/>
    <hyperlink ref="D18" r:id="rId291" display="https://www.fedex.com/fedextrack/?trknbr=429310844456" xr:uid="{D3D4A82C-E8D7-46C3-B6A9-F9515428EC68}"/>
    <hyperlink ref="H14" r:id="rId292" display="https://www.amazon.com/gp/r.html?C=1GDZONJ9HF37K&amp;K=D88AMRB2CGGN&amp;M=urn:rtn:msg:202501011540368885be8c6745456f97196e7e4390p0na&amp;R=1QZJLM5QCZCZN&amp;T=C&amp;U=https%3A%2F%2Fwww.amazon.com%2Fgp%2Fcss%2Forder-details%3ForderId%3D113-1153659-6740220%26ref_%3Dpe_386300_440135490_TE_simp_od&amp;H=HUFLNU7XDVYSECQFPRQTXBQI6ZYA&amp;ref_=pe_386300_440135490_TE_simp_od" xr:uid="{A6C9D0AF-781B-4B6D-B892-0AB9777EE7F5}"/>
    <hyperlink ref="H13" r:id="rId293" display="https://www.amazon.com/gp/r.html?C=1GDZONJ9HF37K&amp;K=D88AMRB2CGGN&amp;M=urn:rtn:msg:20250104213739d36967cdf72a4e5cb7759c6076d0p0na&amp;R=3T0R46VMHLNFH&amp;T=C&amp;U=https%3A%2F%2Fwww.amazon.com%2Fgp%2Fcss%2Forder-details%3ForderId%3D113-2594118-4333863%26ref_%3Dpe_386300_440135490_TE_simp_od&amp;H=KNIANSTJXXQSNU7Z6EAKBKNPAQSA&amp;ref_=pe_386300_440135490_TE_simp_od" xr:uid="{939CBE71-7619-4711-A544-B5542C48451A}"/>
    <hyperlink ref="H15" r:id="rId294" display="https://www.amazon.com/gp/r.html?C=1GDZONJ9HF37K&amp;K=D88AMRB2CGGN&amp;M=urn:rtn:msg:20250105034115015b814482374cba9ea9a9eb8c60p0na&amp;R=2LX22R308JNR6&amp;T=C&amp;U=https%3A%2F%2Fwww.amazon.com%2Fgp%2Fcss%2Forder-details%3ForderId%3D113-7084989-1381067%26ref_%3Dpe_386300_440135490_TE_simp_od&amp;H=QGTTRKOXAJFTXRFG1L7JGGBHHF4A&amp;ref_=pe_386300_440135490_TE_simp_od" xr:uid="{626A1D4F-C6B7-4BEA-BB53-670D1F3799D1}"/>
    <hyperlink ref="H9" r:id="rId295" display="https://www.amazon.com/gp/r.html?C=1GDZONJ9HF37K&amp;K=D88AMRB2CGGN&amp;M=urn:rtn:msg:2025010921501403232264522c4c159b17974ada00p0na&amp;R=33F376C5GL22Y&amp;T=C&amp;U=https%3A%2F%2Fwww.amazon.com%2Fgp%2Fcss%2Forder-details%3ForderId%3D113-5950811-1212229%26ref_%3Dpe_386300_440135490_TE_simp_od&amp;H=UHSATKPY7XOSF5I6RNNREYQJS9OA&amp;ref_=pe_386300_440135490_TE_simp_od" xr:uid="{BE741297-355E-445F-9C09-DDD3032857D0}"/>
  </hyperlinks>
  <printOptions horizontalCentered="1" gridLines="1"/>
  <pageMargins left="0.7" right="0.7" top="0.75" bottom="0.75" header="0" footer="0"/>
  <pageSetup fitToHeight="0" pageOrder="overThenDown" orientation="portrait" cellComments="atEnd"/>
  <legacyDrawing r:id="rId29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R5"/>
  <sheetViews>
    <sheetView workbookViewId="0"/>
  </sheetViews>
  <sheetFormatPr defaultColWidth="12.7109375" defaultRowHeight="12.75" customHeight="1"/>
  <cols>
    <col min="1" max="15" width="6.7109375" customWidth="1"/>
    <col min="16" max="16" width="22.140625" customWidth="1"/>
    <col min="17" max="17" width="29.7109375" customWidth="1"/>
    <col min="18" max="18" width="36" customWidth="1"/>
  </cols>
  <sheetData>
    <row r="1" spans="1:18">
      <c r="A1" s="2105" t="s">
        <v>5636</v>
      </c>
      <c r="B1" s="2087"/>
      <c r="C1" s="2087"/>
      <c r="D1" s="2087"/>
      <c r="E1" s="2087"/>
      <c r="F1" s="2087"/>
      <c r="G1" s="2087"/>
      <c r="H1" s="2136" t="s">
        <v>5637</v>
      </c>
      <c r="I1" s="2087"/>
      <c r="J1" s="2087"/>
      <c r="K1" s="2087"/>
      <c r="L1" s="2087"/>
      <c r="M1" s="2087"/>
      <c r="N1" s="2087"/>
      <c r="O1" s="2137"/>
    </row>
    <row r="2" spans="1:18">
      <c r="A2" s="2107" t="s">
        <v>5638</v>
      </c>
      <c r="B2" s="2094"/>
      <c r="C2" s="2094"/>
      <c r="D2" s="2094"/>
      <c r="E2" s="2094"/>
      <c r="F2" s="2094"/>
      <c r="G2" s="2094"/>
      <c r="H2" s="531"/>
      <c r="I2" s="2138" t="s">
        <v>5639</v>
      </c>
      <c r="J2" s="2094"/>
      <c r="K2" s="2094"/>
      <c r="L2" s="2094"/>
      <c r="M2" s="2094"/>
      <c r="N2" s="2094"/>
      <c r="O2" s="2095"/>
      <c r="P2" s="3"/>
      <c r="Q2" s="3"/>
    </row>
    <row r="3" spans="1:18">
      <c r="A3" s="47" t="s">
        <v>5640</v>
      </c>
      <c r="B3" s="533" t="s">
        <v>5641</v>
      </c>
      <c r="C3" s="533" t="s">
        <v>5642</v>
      </c>
      <c r="D3" s="533" t="s">
        <v>5643</v>
      </c>
      <c r="E3" s="533" t="s">
        <v>5644</v>
      </c>
      <c r="F3" s="533">
        <v>-1000</v>
      </c>
      <c r="G3" s="533">
        <v>-500</v>
      </c>
      <c r="H3" s="534" t="s">
        <v>3529</v>
      </c>
      <c r="I3" s="533" t="s">
        <v>5645</v>
      </c>
      <c r="J3" s="533" t="s">
        <v>5646</v>
      </c>
      <c r="K3" s="533" t="s">
        <v>5647</v>
      </c>
      <c r="L3" s="533" t="s">
        <v>5648</v>
      </c>
      <c r="M3" s="533" t="s">
        <v>5649</v>
      </c>
      <c r="N3" s="533" t="s">
        <v>5650</v>
      </c>
      <c r="O3" s="142" t="s">
        <v>3530</v>
      </c>
      <c r="P3" s="3"/>
      <c r="Q3" s="3"/>
      <c r="R3" s="3"/>
    </row>
    <row r="4" spans="1:18">
      <c r="A4" s="535" t="s">
        <v>3531</v>
      </c>
      <c r="B4" s="536"/>
      <c r="C4" s="536"/>
      <c r="D4" s="536"/>
      <c r="E4" s="536"/>
      <c r="F4" s="536"/>
      <c r="G4" s="536"/>
      <c r="H4" s="537"/>
      <c r="I4" s="536"/>
      <c r="J4" s="536"/>
      <c r="K4" s="536"/>
      <c r="L4" s="536"/>
      <c r="M4" s="536"/>
      <c r="N4" s="536"/>
      <c r="O4" s="538" t="s">
        <v>3532</v>
      </c>
      <c r="P4" s="3"/>
      <c r="Q4" s="3"/>
      <c r="R4" s="3"/>
    </row>
    <row r="5" spans="1:18">
      <c r="A5" s="2139" t="s">
        <v>5651</v>
      </c>
      <c r="B5" s="2140"/>
      <c r="C5" s="2140"/>
      <c r="D5" s="2140"/>
      <c r="E5" s="2140"/>
      <c r="F5" s="2140"/>
      <c r="G5" s="2140"/>
      <c r="H5" s="2141" t="s">
        <v>5652</v>
      </c>
      <c r="I5" s="2140"/>
      <c r="J5" s="2140"/>
      <c r="K5" s="2140"/>
      <c r="L5" s="2140"/>
      <c r="M5" s="2140"/>
      <c r="N5" s="2140"/>
      <c r="O5" s="2142"/>
    </row>
  </sheetData>
  <mergeCells count="6">
    <mergeCell ref="A1:G1"/>
    <mergeCell ref="H1:O1"/>
    <mergeCell ref="A2:G2"/>
    <mergeCell ref="I2:O2"/>
    <mergeCell ref="A5:G5"/>
    <mergeCell ref="H5:O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A32"/>
  <sheetViews>
    <sheetView workbookViewId="0"/>
  </sheetViews>
  <sheetFormatPr defaultColWidth="12.7109375" defaultRowHeight="12.75" customHeight="1"/>
  <cols>
    <col min="1" max="1" width="82.42578125" customWidth="1"/>
    <col min="4" max="5" width="65.7109375" customWidth="1"/>
  </cols>
  <sheetData>
    <row r="1" spans="1:1">
      <c r="A1" s="9" t="s">
        <v>5653</v>
      </c>
    </row>
    <row r="2" spans="1:1">
      <c r="A2" s="9" t="s">
        <v>5654</v>
      </c>
    </row>
    <row r="3" spans="1:1">
      <c r="A3" s="9" t="s">
        <v>5655</v>
      </c>
    </row>
    <row r="4" spans="1:1">
      <c r="A4" s="9" t="s">
        <v>5656</v>
      </c>
    </row>
    <row r="5" spans="1:1">
      <c r="A5" s="9" t="s">
        <v>5657</v>
      </c>
    </row>
    <row r="6" spans="1:1">
      <c r="A6" s="9" t="s">
        <v>5658</v>
      </c>
    </row>
    <row r="7" spans="1:1">
      <c r="A7" s="9" t="s">
        <v>5659</v>
      </c>
    </row>
    <row r="8" spans="1:1">
      <c r="A8" s="9" t="s">
        <v>5660</v>
      </c>
    </row>
    <row r="9" spans="1:1">
      <c r="A9" s="9" t="s">
        <v>5661</v>
      </c>
    </row>
    <row r="10" spans="1:1">
      <c r="A10" s="9" t="s">
        <v>5662</v>
      </c>
    </row>
    <row r="11" spans="1:1">
      <c r="A11" s="9" t="s">
        <v>5663</v>
      </c>
    </row>
    <row r="12" spans="1:1">
      <c r="A12" s="9" t="s">
        <v>5664</v>
      </c>
    </row>
    <row r="13" spans="1:1">
      <c r="A13" s="9" t="s">
        <v>5665</v>
      </c>
    </row>
    <row r="14" spans="1:1">
      <c r="A14" s="9" t="s">
        <v>5666</v>
      </c>
    </row>
    <row r="15" spans="1:1">
      <c r="A15" s="9" t="s">
        <v>5667</v>
      </c>
    </row>
    <row r="16" spans="1:1">
      <c r="A16" s="3" t="s">
        <v>5668</v>
      </c>
    </row>
    <row r="17" spans="1:1">
      <c r="A17" s="3" t="s">
        <v>5669</v>
      </c>
    </row>
    <row r="18" spans="1:1">
      <c r="A18" s="9" t="s">
        <v>5670</v>
      </c>
    </row>
    <row r="19" spans="1:1">
      <c r="A19" s="9" t="s">
        <v>5671</v>
      </c>
    </row>
    <row r="20" spans="1:1">
      <c r="A20" s="9" t="s">
        <v>5672</v>
      </c>
    </row>
    <row r="21" spans="1:1">
      <c r="A21" s="3" t="s">
        <v>5673</v>
      </c>
    </row>
    <row r="22" spans="1:1">
      <c r="A22" s="9" t="s">
        <v>5674</v>
      </c>
    </row>
    <row r="23" spans="1:1">
      <c r="A23" s="9" t="s">
        <v>5675</v>
      </c>
    </row>
    <row r="24" spans="1:1">
      <c r="A24" s="9" t="s">
        <v>5676</v>
      </c>
    </row>
    <row r="25" spans="1:1">
      <c r="A25" s="9" t="s">
        <v>5677</v>
      </c>
    </row>
    <row r="26" spans="1:1">
      <c r="A26" s="9" t="s">
        <v>5678</v>
      </c>
    </row>
    <row r="27" spans="1:1">
      <c r="A27" s="3" t="s">
        <v>5679</v>
      </c>
    </row>
    <row r="28" spans="1:1">
      <c r="A28" s="3" t="s">
        <v>4501</v>
      </c>
    </row>
    <row r="29" spans="1:1">
      <c r="A29" s="3" t="s">
        <v>5680</v>
      </c>
    </row>
    <row r="30" spans="1:1">
      <c r="A30" s="9" t="s">
        <v>5681</v>
      </c>
    </row>
    <row r="31" spans="1:1">
      <c r="A31" s="9" t="s">
        <v>5682</v>
      </c>
    </row>
    <row r="32" spans="1:1">
      <c r="A32" s="9" t="s">
        <v>5683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pageSetUpPr fitToPage="1"/>
  </sheetPr>
  <dimension ref="A1:H46"/>
  <sheetViews>
    <sheetView topLeftCell="A25" workbookViewId="0">
      <selection activeCell="F31" sqref="F31"/>
    </sheetView>
  </sheetViews>
  <sheetFormatPr defaultColWidth="12.7109375" defaultRowHeight="12.75" customHeight="1"/>
  <cols>
    <col min="1" max="1" width="27.28515625" customWidth="1"/>
    <col min="2" max="2" width="7.85546875" customWidth="1"/>
    <col min="3" max="20" width="15.140625" customWidth="1"/>
  </cols>
  <sheetData>
    <row r="1" spans="1:8">
      <c r="A1" s="578" t="s">
        <v>5769</v>
      </c>
      <c r="D1" s="9" t="s">
        <v>5770</v>
      </c>
      <c r="F1" s="9" t="s">
        <v>5771</v>
      </c>
      <c r="G1" s="9" t="s">
        <v>5772</v>
      </c>
    </row>
    <row r="2" spans="1:8">
      <c r="A2" s="9" t="s">
        <v>5773</v>
      </c>
      <c r="B2" s="9">
        <v>1961</v>
      </c>
      <c r="C2" s="40" t="s">
        <v>5774</v>
      </c>
      <c r="D2" s="9"/>
      <c r="F2" s="9" t="s">
        <v>5775</v>
      </c>
      <c r="G2" s="9" t="s">
        <v>5776</v>
      </c>
    </row>
    <row r="3" spans="1:8">
      <c r="A3" s="9" t="s">
        <v>5777</v>
      </c>
      <c r="B3" s="9">
        <v>1969</v>
      </c>
      <c r="C3" s="40"/>
      <c r="D3" s="9" t="s">
        <v>5778</v>
      </c>
      <c r="F3" s="9" t="s">
        <v>5779</v>
      </c>
      <c r="G3" s="9" t="s">
        <v>5780</v>
      </c>
    </row>
    <row r="4" spans="1:8">
      <c r="A4" s="9" t="s">
        <v>5781</v>
      </c>
      <c r="B4" s="9">
        <v>1974</v>
      </c>
      <c r="C4" s="808"/>
      <c r="D4" s="9"/>
      <c r="E4" s="9"/>
      <c r="F4" s="9" t="s">
        <v>5782</v>
      </c>
      <c r="G4" s="9" t="s">
        <v>5783</v>
      </c>
    </row>
    <row r="5" spans="1:8">
      <c r="A5" s="9" t="s">
        <v>5784</v>
      </c>
      <c r="B5" s="9">
        <v>1980</v>
      </c>
      <c r="C5" s="808">
        <v>44514</v>
      </c>
      <c r="D5" s="9"/>
      <c r="E5" s="9"/>
      <c r="F5" s="9" t="s">
        <v>5785</v>
      </c>
      <c r="G5" s="9" t="s">
        <v>5786</v>
      </c>
    </row>
    <row r="6" spans="1:8">
      <c r="A6" s="59" t="s">
        <v>5787</v>
      </c>
      <c r="B6" s="9">
        <v>1981</v>
      </c>
      <c r="C6" s="809" t="s">
        <v>5788</v>
      </c>
      <c r="D6" s="9" t="s">
        <v>5789</v>
      </c>
      <c r="E6" s="40">
        <v>1989</v>
      </c>
      <c r="F6" s="9" t="s">
        <v>5790</v>
      </c>
      <c r="G6" s="9" t="s">
        <v>5783</v>
      </c>
    </row>
    <row r="7" spans="1:8">
      <c r="A7" s="9" t="s">
        <v>5791</v>
      </c>
      <c r="B7" s="9">
        <v>1983</v>
      </c>
      <c r="C7" s="808">
        <v>44211</v>
      </c>
      <c r="F7" s="9" t="s">
        <v>5792</v>
      </c>
      <c r="G7" s="9" t="s">
        <v>5793</v>
      </c>
    </row>
    <row r="8" spans="1:8">
      <c r="A8" s="59" t="s">
        <v>5794</v>
      </c>
      <c r="B8" s="9">
        <v>1983</v>
      </c>
      <c r="C8" s="40"/>
      <c r="D8" s="9" t="s">
        <v>5795</v>
      </c>
      <c r="E8" s="460" t="s">
        <v>5796</v>
      </c>
    </row>
    <row r="9" spans="1:8">
      <c r="A9" s="9" t="s">
        <v>5797</v>
      </c>
      <c r="B9" s="9">
        <v>1985</v>
      </c>
      <c r="F9" s="9" t="s">
        <v>4392</v>
      </c>
      <c r="G9" s="767">
        <f>67/7</f>
        <v>9.5714285714285712</v>
      </c>
    </row>
    <row r="10" spans="1:8">
      <c r="A10" s="9" t="s">
        <v>5798</v>
      </c>
      <c r="B10" s="9">
        <v>1990</v>
      </c>
    </row>
    <row r="11" spans="1:8">
      <c r="A11" s="9" t="s">
        <v>5799</v>
      </c>
      <c r="B11" s="9">
        <v>1990</v>
      </c>
      <c r="D11" s="9"/>
      <c r="E11" s="9"/>
    </row>
    <row r="12" spans="1:8">
      <c r="A12" s="9" t="s">
        <v>5800</v>
      </c>
      <c r="B12" s="9">
        <v>1990</v>
      </c>
      <c r="D12" s="9"/>
      <c r="E12" s="9"/>
    </row>
    <row r="13" spans="1:8">
      <c r="A13" s="9" t="s">
        <v>5801</v>
      </c>
      <c r="B13" s="9">
        <v>1990</v>
      </c>
      <c r="D13" s="9" t="s">
        <v>5802</v>
      </c>
      <c r="E13" s="9" t="s">
        <v>5803</v>
      </c>
    </row>
    <row r="14" spans="1:8">
      <c r="A14" s="9" t="s">
        <v>5804</v>
      </c>
      <c r="B14" s="9">
        <v>1991</v>
      </c>
      <c r="C14" s="808"/>
      <c r="D14" s="9"/>
      <c r="E14" s="793"/>
      <c r="G14" s="9"/>
      <c r="H14" s="9"/>
    </row>
    <row r="15" spans="1:8">
      <c r="A15" s="59" t="s">
        <v>5805</v>
      </c>
      <c r="B15" s="9">
        <v>1992</v>
      </c>
      <c r="C15" s="808">
        <v>42723</v>
      </c>
      <c r="E15" s="793"/>
      <c r="G15" s="9" t="s">
        <v>5806</v>
      </c>
      <c r="H15" s="9" t="s">
        <v>5807</v>
      </c>
    </row>
    <row r="16" spans="1:8">
      <c r="A16" s="9" t="s">
        <v>5808</v>
      </c>
      <c r="B16" s="9">
        <v>1994</v>
      </c>
      <c r="D16" s="9" t="s">
        <v>5809</v>
      </c>
      <c r="E16" s="9">
        <v>1909</v>
      </c>
    </row>
    <row r="17" spans="1:5">
      <c r="A17" s="9" t="s">
        <v>5810</v>
      </c>
      <c r="B17" s="9">
        <v>1995</v>
      </c>
      <c r="C17" s="9" t="s">
        <v>19</v>
      </c>
      <c r="E17" s="810"/>
    </row>
    <row r="18" spans="1:5">
      <c r="A18" s="9" t="s">
        <v>5811</v>
      </c>
      <c r="B18" s="82" t="s">
        <v>5812</v>
      </c>
    </row>
    <row r="19" spans="1:5">
      <c r="A19" s="9" t="s">
        <v>5813</v>
      </c>
      <c r="B19" s="9">
        <v>2000</v>
      </c>
    </row>
    <row r="20" spans="1:5">
      <c r="A20" s="9" t="s">
        <v>5814</v>
      </c>
      <c r="B20" s="9">
        <v>2001</v>
      </c>
    </row>
    <row r="21" spans="1:5">
      <c r="A21" s="59" t="s">
        <v>5815</v>
      </c>
      <c r="B21" s="9">
        <v>2002</v>
      </c>
      <c r="C21" s="9" t="s">
        <v>18</v>
      </c>
    </row>
    <row r="22" spans="1:5">
      <c r="A22" s="59" t="s">
        <v>5816</v>
      </c>
      <c r="B22" s="9">
        <v>2007</v>
      </c>
      <c r="C22" s="9"/>
    </row>
    <row r="23" spans="1:5">
      <c r="A23" s="59" t="s">
        <v>5817</v>
      </c>
      <c r="B23" s="9">
        <v>2008</v>
      </c>
      <c r="C23" s="9" t="s">
        <v>26</v>
      </c>
    </row>
    <row r="24" spans="1:5">
      <c r="A24" s="9" t="s">
        <v>5818</v>
      </c>
      <c r="B24" s="9">
        <v>2008</v>
      </c>
    </row>
    <row r="25" spans="1:5">
      <c r="A25" s="9" t="s">
        <v>5819</v>
      </c>
      <c r="B25" s="9">
        <v>2008</v>
      </c>
    </row>
    <row r="26" spans="1:5">
      <c r="A26" s="9" t="s">
        <v>5820</v>
      </c>
      <c r="B26" s="9">
        <v>2009</v>
      </c>
      <c r="C26" s="811">
        <v>44332</v>
      </c>
      <c r="D26" s="9"/>
    </row>
    <row r="27" spans="1:5">
      <c r="A27" s="9" t="s">
        <v>5821</v>
      </c>
      <c r="B27" s="9">
        <v>2010</v>
      </c>
      <c r="C27" s="809" t="s">
        <v>5822</v>
      </c>
      <c r="D27" s="9" t="s">
        <v>5823</v>
      </c>
    </row>
    <row r="28" spans="1:5">
      <c r="A28" s="9" t="s">
        <v>5824</v>
      </c>
      <c r="B28" s="9">
        <v>2010</v>
      </c>
      <c r="C28" s="40" t="s">
        <v>19</v>
      </c>
    </row>
    <row r="29" spans="1:5">
      <c r="A29" s="9" t="s">
        <v>5825</v>
      </c>
      <c r="B29" s="9">
        <v>2010</v>
      </c>
      <c r="C29" s="40" t="s">
        <v>20</v>
      </c>
    </row>
    <row r="30" spans="1:5">
      <c r="A30" s="9" t="s">
        <v>5826</v>
      </c>
      <c r="B30" s="9">
        <v>2011</v>
      </c>
      <c r="C30" s="40"/>
    </row>
    <row r="31" spans="1:5">
      <c r="A31" s="9" t="s">
        <v>5827</v>
      </c>
      <c r="B31" s="9">
        <v>2012</v>
      </c>
      <c r="C31" s="40" t="s">
        <v>19</v>
      </c>
    </row>
    <row r="32" spans="1:5">
      <c r="A32" s="9" t="s">
        <v>5828</v>
      </c>
      <c r="B32" s="9">
        <v>2014</v>
      </c>
      <c r="C32" s="40" t="s">
        <v>5829</v>
      </c>
      <c r="D32" s="9"/>
    </row>
    <row r="33" spans="1:7">
      <c r="A33" s="59" t="s">
        <v>5830</v>
      </c>
      <c r="B33" s="9">
        <v>2014</v>
      </c>
      <c r="C33" s="40"/>
      <c r="D33" s="9"/>
    </row>
    <row r="34" spans="1:7">
      <c r="A34" s="9" t="s">
        <v>5831</v>
      </c>
      <c r="B34" s="9">
        <v>2015</v>
      </c>
      <c r="C34" s="40" t="s">
        <v>5832</v>
      </c>
      <c r="D34" s="9" t="s">
        <v>8871</v>
      </c>
    </row>
    <row r="35" spans="1:7">
      <c r="A35" s="9" t="s">
        <v>5833</v>
      </c>
      <c r="B35" s="9">
        <v>2017</v>
      </c>
      <c r="C35" s="40" t="s">
        <v>5834</v>
      </c>
    </row>
    <row r="36" spans="1:7">
      <c r="A36" s="9" t="s">
        <v>5835</v>
      </c>
      <c r="B36" s="9">
        <v>2017</v>
      </c>
      <c r="C36" s="808">
        <v>44501</v>
      </c>
    </row>
    <row r="37" spans="1:7">
      <c r="A37" s="59" t="s">
        <v>5836</v>
      </c>
      <c r="B37" s="9">
        <v>2018</v>
      </c>
      <c r="C37" s="40" t="s">
        <v>5774</v>
      </c>
    </row>
    <row r="38" spans="1:7">
      <c r="A38" s="9" t="s">
        <v>5837</v>
      </c>
      <c r="B38" s="9">
        <v>2018</v>
      </c>
      <c r="C38" s="811">
        <v>43958</v>
      </c>
      <c r="D38" s="9" t="s">
        <v>8872</v>
      </c>
    </row>
    <row r="39" spans="1:7">
      <c r="A39" s="9" t="s">
        <v>9027</v>
      </c>
      <c r="B39" s="9">
        <v>2019</v>
      </c>
      <c r="C39" s="40" t="s">
        <v>26</v>
      </c>
    </row>
    <row r="40" spans="1:7">
      <c r="A40" s="9" t="s">
        <v>5838</v>
      </c>
      <c r="B40" s="9">
        <v>2019</v>
      </c>
      <c r="C40" s="40" t="s">
        <v>5839</v>
      </c>
    </row>
    <row r="41" spans="1:7">
      <c r="A41" s="9" t="s">
        <v>5840</v>
      </c>
      <c r="B41" s="9">
        <v>2019</v>
      </c>
      <c r="C41" s="808">
        <v>44531</v>
      </c>
    </row>
    <row r="42" spans="1:7">
      <c r="A42" s="9" t="s">
        <v>5841</v>
      </c>
      <c r="B42" s="9">
        <v>2020</v>
      </c>
      <c r="C42" s="9" t="s">
        <v>26</v>
      </c>
    </row>
    <row r="43" spans="1:7">
      <c r="A43" s="9" t="s">
        <v>5842</v>
      </c>
      <c r="B43" s="9">
        <v>2021</v>
      </c>
      <c r="C43" s="811">
        <v>44267</v>
      </c>
    </row>
    <row r="44" spans="1:7">
      <c r="A44" s="9" t="s">
        <v>5843</v>
      </c>
      <c r="B44" s="9">
        <v>2022</v>
      </c>
      <c r="C44" s="9" t="s">
        <v>5844</v>
      </c>
      <c r="G44" s="16"/>
    </row>
    <row r="45" spans="1:7">
      <c r="A45" t="s">
        <v>8869</v>
      </c>
      <c r="B45">
        <v>2024</v>
      </c>
      <c r="C45" t="s">
        <v>7077</v>
      </c>
      <c r="F45" s="36"/>
      <c r="G45" s="16"/>
    </row>
    <row r="46" spans="1:7">
      <c r="A46" t="s">
        <v>8870</v>
      </c>
      <c r="B46">
        <v>2024</v>
      </c>
      <c r="C46" s="1943">
        <v>45632</v>
      </c>
      <c r="G46" s="16"/>
    </row>
  </sheetData>
  <printOptions horizontalCentered="1" gridLines="1"/>
  <pageMargins left="0.7" right="0.7" top="0.75" bottom="0.75" header="0" footer="0"/>
  <pageSetup fitToHeight="0" pageOrder="overThenDown" orientation="landscape" cellComments="atEnd"/>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V56"/>
  <sheetViews>
    <sheetView workbookViewId="0"/>
  </sheetViews>
  <sheetFormatPr defaultColWidth="12.7109375" defaultRowHeight="12.75" customHeight="1"/>
  <cols>
    <col min="1" max="1" width="2.28515625" customWidth="1"/>
    <col min="2" max="2" width="19.85546875" customWidth="1"/>
    <col min="3" max="14" width="9.85546875" customWidth="1"/>
    <col min="15" max="15" width="9.28515625" customWidth="1"/>
    <col min="16" max="16" width="2.42578125" customWidth="1"/>
    <col min="17" max="17" width="8.28515625" customWidth="1"/>
    <col min="18" max="18" width="23.28515625" customWidth="1"/>
    <col min="19" max="19" width="5.28515625" customWidth="1"/>
    <col min="20" max="20" width="4.7109375" customWidth="1"/>
    <col min="21" max="21" width="6.28515625" customWidth="1"/>
  </cols>
  <sheetData>
    <row r="1" spans="1:22">
      <c r="B1" s="660"/>
      <c r="C1" s="660"/>
      <c r="D1" s="660"/>
      <c r="E1" s="660"/>
      <c r="F1" s="660"/>
      <c r="G1" s="660"/>
      <c r="H1" s="660"/>
      <c r="I1" s="660"/>
      <c r="J1" s="660"/>
      <c r="K1" s="660"/>
      <c r="L1" s="660"/>
      <c r="M1" s="660"/>
      <c r="N1" s="660"/>
      <c r="O1" s="660"/>
      <c r="P1" s="660"/>
      <c r="R1" s="9" t="s">
        <v>4386</v>
      </c>
      <c r="T1" s="9" t="s">
        <v>4387</v>
      </c>
    </row>
    <row r="2" spans="1:22">
      <c r="B2" s="660"/>
      <c r="C2" s="660"/>
      <c r="D2" s="660"/>
      <c r="E2" s="660"/>
      <c r="F2" s="660"/>
      <c r="G2" s="660"/>
      <c r="H2" s="660"/>
      <c r="I2" s="660"/>
      <c r="J2" s="660"/>
      <c r="K2" s="660"/>
      <c r="L2" s="660"/>
      <c r="M2" s="660"/>
      <c r="N2" s="660"/>
      <c r="O2" s="660"/>
      <c r="P2" s="660"/>
      <c r="V2" s="9" t="s">
        <v>4388</v>
      </c>
    </row>
    <row r="3" spans="1:22" ht="25.5">
      <c r="A3" s="714"/>
      <c r="B3" s="2126" t="s">
        <v>4389</v>
      </c>
      <c r="C3" s="2127"/>
      <c r="D3" s="2127"/>
      <c r="E3" s="2127"/>
      <c r="F3" s="2127"/>
      <c r="G3" s="2127"/>
      <c r="H3" s="2127"/>
      <c r="I3" s="2127"/>
      <c r="J3" s="2127"/>
      <c r="K3" s="2127"/>
      <c r="L3" s="2127"/>
      <c r="M3" s="2127"/>
      <c r="N3" s="2127"/>
      <c r="O3" s="2128"/>
      <c r="P3" s="661"/>
      <c r="R3" s="9" t="s">
        <v>4390</v>
      </c>
      <c r="S3" s="9">
        <v>2.99</v>
      </c>
      <c r="T3" s="9">
        <v>27</v>
      </c>
      <c r="U3" s="9" t="s">
        <v>116</v>
      </c>
      <c r="V3" s="9" t="s">
        <v>1114</v>
      </c>
    </row>
    <row r="4" spans="1:22" ht="25.5">
      <c r="A4" s="714"/>
      <c r="B4" s="662" t="s">
        <v>5845</v>
      </c>
      <c r="C4" s="663" t="s">
        <v>143</v>
      </c>
      <c r="D4" s="663" t="s">
        <v>26</v>
      </c>
      <c r="E4" s="663" t="s">
        <v>25</v>
      </c>
      <c r="F4" s="663" t="s">
        <v>24</v>
      </c>
      <c r="G4" s="663" t="s">
        <v>23</v>
      </c>
      <c r="H4" s="663" t="s">
        <v>22</v>
      </c>
      <c r="I4" s="663" t="s">
        <v>21</v>
      </c>
      <c r="J4" s="663" t="s">
        <v>20</v>
      </c>
      <c r="K4" s="663" t="s">
        <v>256</v>
      </c>
      <c r="L4" s="663" t="s">
        <v>18</v>
      </c>
      <c r="M4" s="663" t="s">
        <v>17</v>
      </c>
      <c r="N4" s="663" t="s">
        <v>86</v>
      </c>
      <c r="O4" s="664" t="s">
        <v>67</v>
      </c>
      <c r="P4" s="665"/>
      <c r="Q4" s="69" t="s">
        <v>4392</v>
      </c>
      <c r="R4" s="9" t="s">
        <v>4393</v>
      </c>
      <c r="S4" s="9">
        <v>9.9499999999999993</v>
      </c>
      <c r="T4" s="9">
        <v>28</v>
      </c>
      <c r="U4" s="9" t="s">
        <v>116</v>
      </c>
      <c r="V4" s="9" t="s">
        <v>4394</v>
      </c>
    </row>
    <row r="5" spans="1:22">
      <c r="A5" s="714"/>
      <c r="B5" s="666" t="s">
        <v>4395</v>
      </c>
      <c r="C5" s="667"/>
      <c r="D5" s="667"/>
      <c r="E5" s="667"/>
      <c r="F5" s="667"/>
      <c r="G5" s="667"/>
      <c r="H5" s="667"/>
      <c r="I5" s="667"/>
      <c r="J5" s="667"/>
      <c r="K5" s="667"/>
      <c r="L5" s="667"/>
      <c r="M5" s="667"/>
      <c r="N5" s="667"/>
      <c r="O5" s="668">
        <f>SUM(C5:N5)</f>
        <v>0</v>
      </c>
      <c r="P5" s="669"/>
      <c r="Q5" s="69"/>
      <c r="R5" s="670" t="s">
        <v>4396</v>
      </c>
      <c r="S5" s="9">
        <v>5.99</v>
      </c>
      <c r="U5" s="9" t="s">
        <v>116</v>
      </c>
      <c r="V5" s="9" t="s">
        <v>1114</v>
      </c>
    </row>
    <row r="6" spans="1:22" ht="21.75">
      <c r="A6" s="714"/>
      <c r="B6" s="666" t="s">
        <v>4397</v>
      </c>
      <c r="C6" s="671"/>
      <c r="D6" s="671"/>
      <c r="E6" s="671"/>
      <c r="F6" s="671"/>
      <c r="G6" s="671"/>
      <c r="H6" s="671"/>
      <c r="I6" s="671"/>
      <c r="J6" s="671"/>
      <c r="K6" s="671"/>
      <c r="L6" s="671"/>
      <c r="M6" s="671"/>
      <c r="N6" s="671"/>
      <c r="O6" s="668"/>
      <c r="P6" s="672"/>
      <c r="Q6" s="69"/>
      <c r="R6" s="673" t="s">
        <v>4398</v>
      </c>
      <c r="S6" s="9">
        <v>6.5</v>
      </c>
      <c r="T6" s="9">
        <v>26</v>
      </c>
      <c r="U6" s="9" t="s">
        <v>116</v>
      </c>
      <c r="V6" s="9" t="s">
        <v>1114</v>
      </c>
    </row>
    <row r="7" spans="1:22">
      <c r="A7" s="714"/>
      <c r="B7" s="674" t="s">
        <v>4399</v>
      </c>
      <c r="C7" s="675"/>
      <c r="D7" s="675"/>
      <c r="E7" s="675"/>
      <c r="F7" s="675"/>
      <c r="G7" s="675"/>
      <c r="H7" s="675"/>
      <c r="I7" s="675"/>
      <c r="J7" s="675"/>
      <c r="K7" s="675"/>
      <c r="L7" s="675"/>
      <c r="M7" s="676">
        <v>2331.1</v>
      </c>
      <c r="N7" s="675"/>
      <c r="O7" s="677">
        <f t="shared" ref="O7:O19" si="0">SUM(C7:N7)</f>
        <v>2331.1</v>
      </c>
      <c r="P7" s="672"/>
      <c r="Q7" s="678">
        <v>0</v>
      </c>
      <c r="R7" s="679" t="s">
        <v>4400</v>
      </c>
      <c r="S7" s="9">
        <v>4.9000000000000004</v>
      </c>
      <c r="T7" s="9">
        <v>26</v>
      </c>
      <c r="U7" s="9" t="s">
        <v>116</v>
      </c>
      <c r="V7" s="9" t="s">
        <v>1114</v>
      </c>
    </row>
    <row r="8" spans="1:22">
      <c r="A8" s="714"/>
      <c r="B8" s="680" t="s">
        <v>4401</v>
      </c>
      <c r="C8" s="680">
        <v>3.75</v>
      </c>
      <c r="D8" s="680">
        <v>3.75</v>
      </c>
      <c r="E8" s="680">
        <v>3.75</v>
      </c>
      <c r="F8" s="680">
        <v>3.75</v>
      </c>
      <c r="G8" s="680">
        <v>3.75</v>
      </c>
      <c r="H8" s="680">
        <v>3.75</v>
      </c>
      <c r="I8" s="680">
        <v>3.75</v>
      </c>
      <c r="J8" s="680">
        <v>3.75</v>
      </c>
      <c r="K8" s="680">
        <v>3.75</v>
      </c>
      <c r="L8" s="680">
        <v>3.75</v>
      </c>
      <c r="M8" s="680">
        <v>3.75</v>
      </c>
      <c r="N8" s="680">
        <v>3.75</v>
      </c>
      <c r="O8" s="677">
        <f t="shared" si="0"/>
        <v>45</v>
      </c>
      <c r="P8" s="681"/>
      <c r="Q8" s="682">
        <f t="shared" ref="Q8:Q16" si="1">AVERAGE(D8:L8)</f>
        <v>3.75</v>
      </c>
      <c r="R8" s="9" t="s">
        <v>4402</v>
      </c>
      <c r="S8" s="82">
        <v>15</v>
      </c>
      <c r="T8" s="9">
        <v>19</v>
      </c>
      <c r="U8" s="9" t="s">
        <v>116</v>
      </c>
      <c r="V8" s="9" t="s">
        <v>1114</v>
      </c>
    </row>
    <row r="9" spans="1:22" ht="22.5">
      <c r="A9" s="714"/>
      <c r="B9" s="683" t="s">
        <v>4403</v>
      </c>
      <c r="C9" s="683">
        <v>201.16</v>
      </c>
      <c r="D9" s="683">
        <v>180.05</v>
      </c>
      <c r="E9" s="683">
        <v>202.64</v>
      </c>
      <c r="F9" s="683">
        <v>94.62</v>
      </c>
      <c r="G9" s="683">
        <v>65.16</v>
      </c>
      <c r="H9" s="683">
        <v>66.239999999999995</v>
      </c>
      <c r="I9" s="683">
        <v>119.36</v>
      </c>
      <c r="J9" s="683">
        <v>105.42</v>
      </c>
      <c r="K9" s="683">
        <v>33.64</v>
      </c>
      <c r="L9" s="683">
        <v>30.39</v>
      </c>
      <c r="M9" s="683">
        <v>64.959999999999994</v>
      </c>
      <c r="N9" s="683">
        <v>116.12</v>
      </c>
      <c r="O9" s="677">
        <f t="shared" si="0"/>
        <v>1279.7600000000002</v>
      </c>
      <c r="P9" s="681"/>
      <c r="Q9" s="682">
        <f t="shared" si="1"/>
        <v>99.724444444444444</v>
      </c>
      <c r="R9" s="684" t="s">
        <v>4404</v>
      </c>
      <c r="S9" s="9" t="s">
        <v>3592</v>
      </c>
      <c r="T9" s="9">
        <v>13</v>
      </c>
      <c r="U9" s="9" t="s">
        <v>4405</v>
      </c>
    </row>
    <row r="10" spans="1:22" ht="25.5">
      <c r="A10" s="714"/>
      <c r="B10" s="675" t="s">
        <v>4406</v>
      </c>
      <c r="C10" s="675">
        <v>40.71</v>
      </c>
      <c r="D10" s="675">
        <v>33.58</v>
      </c>
      <c r="E10" s="675">
        <v>26.57</v>
      </c>
      <c r="F10" s="675">
        <v>12.22</v>
      </c>
      <c r="G10" s="675">
        <v>8.5</v>
      </c>
      <c r="H10" s="675">
        <v>8.6199999999999992</v>
      </c>
      <c r="I10" s="675">
        <v>16.149999999999999</v>
      </c>
      <c r="J10" s="675">
        <v>16.670000000000002</v>
      </c>
      <c r="K10" s="675">
        <v>4.9800000000000004</v>
      </c>
      <c r="L10" s="675">
        <v>4.55</v>
      </c>
      <c r="M10" s="675">
        <v>11.21</v>
      </c>
      <c r="N10" s="675">
        <v>21.54</v>
      </c>
      <c r="O10" s="677">
        <f t="shared" si="0"/>
        <v>205.29999999999998</v>
      </c>
      <c r="P10" s="681"/>
      <c r="Q10" s="682">
        <f t="shared" si="1"/>
        <v>14.648888888888893</v>
      </c>
      <c r="R10" s="9" t="s">
        <v>3888</v>
      </c>
      <c r="S10" s="9">
        <v>5.41</v>
      </c>
      <c r="T10" s="9">
        <v>13</v>
      </c>
      <c r="U10" s="9" t="s">
        <v>4407</v>
      </c>
      <c r="V10" s="9" t="s">
        <v>1114</v>
      </c>
    </row>
    <row r="11" spans="1:22" ht="25.5">
      <c r="A11" s="714"/>
      <c r="B11" s="685" t="s">
        <v>4408</v>
      </c>
      <c r="C11" s="685">
        <v>8.75</v>
      </c>
      <c r="D11" s="685">
        <v>8.75</v>
      </c>
      <c r="E11" s="685">
        <v>8.75</v>
      </c>
      <c r="F11" s="685">
        <v>8.75</v>
      </c>
      <c r="G11" s="685">
        <v>8.75</v>
      </c>
      <c r="H11" s="685">
        <v>8.75</v>
      </c>
      <c r="I11" s="685">
        <v>8.75</v>
      </c>
      <c r="J11" s="685">
        <v>8.75</v>
      </c>
      <c r="K11" s="685">
        <v>8.75</v>
      </c>
      <c r="L11" s="685">
        <v>8.75</v>
      </c>
      <c r="M11" s="685">
        <v>8.75</v>
      </c>
      <c r="N11" s="685">
        <v>8.75</v>
      </c>
      <c r="O11" s="677">
        <f t="shared" si="0"/>
        <v>105</v>
      </c>
      <c r="P11" s="681"/>
      <c r="Q11" s="682">
        <f t="shared" si="1"/>
        <v>8.75</v>
      </c>
      <c r="R11" s="9" t="s">
        <v>4409</v>
      </c>
      <c r="S11" s="9">
        <v>190</v>
      </c>
      <c r="T11" s="9">
        <v>12</v>
      </c>
      <c r="U11" s="3" t="s">
        <v>4405</v>
      </c>
      <c r="V11" s="9" t="s">
        <v>4410</v>
      </c>
    </row>
    <row r="12" spans="1:22">
      <c r="A12" s="714"/>
      <c r="B12" s="675" t="s">
        <v>4411</v>
      </c>
      <c r="C12" s="675">
        <v>25.85</v>
      </c>
      <c r="D12" s="675">
        <v>25.18</v>
      </c>
      <c r="E12" s="675">
        <v>25.18</v>
      </c>
      <c r="F12" s="675">
        <v>25.85</v>
      </c>
      <c r="G12" s="675">
        <v>25.85</v>
      </c>
      <c r="H12" s="675">
        <v>25.85</v>
      </c>
      <c r="I12" s="675">
        <v>25.85</v>
      </c>
      <c r="J12" s="675">
        <v>25.85</v>
      </c>
      <c r="K12" s="675">
        <v>25.85</v>
      </c>
      <c r="L12" s="675">
        <v>25.85</v>
      </c>
      <c r="M12" s="675">
        <v>25.85</v>
      </c>
      <c r="N12" s="675">
        <v>25.85</v>
      </c>
      <c r="O12" s="677">
        <f t="shared" si="0"/>
        <v>308.86</v>
      </c>
      <c r="P12" s="681"/>
      <c r="Q12" s="682">
        <f t="shared" si="1"/>
        <v>25.701111111111107</v>
      </c>
      <c r="R12" s="9" t="s">
        <v>4412</v>
      </c>
      <c r="S12" s="9">
        <v>10</v>
      </c>
      <c r="T12" s="9">
        <v>10</v>
      </c>
      <c r="U12" s="9" t="s">
        <v>116</v>
      </c>
      <c r="V12" s="9" t="s">
        <v>4413</v>
      </c>
    </row>
    <row r="13" spans="1:22">
      <c r="A13" s="714"/>
      <c r="B13" s="683" t="s">
        <v>4414</v>
      </c>
      <c r="C13" s="683">
        <v>20.65</v>
      </c>
      <c r="D13" s="683">
        <v>22.6</v>
      </c>
      <c r="E13" s="683">
        <v>20.85</v>
      </c>
      <c r="F13" s="683">
        <v>66.25</v>
      </c>
      <c r="G13" s="683">
        <v>49.8</v>
      </c>
      <c r="H13" s="683">
        <v>23.05</v>
      </c>
      <c r="I13" s="683">
        <v>25.45</v>
      </c>
      <c r="J13" s="683">
        <v>23.8</v>
      </c>
      <c r="K13" s="683">
        <v>21.55</v>
      </c>
      <c r="L13" s="683">
        <v>22.3</v>
      </c>
      <c r="M13" s="683">
        <v>23.05</v>
      </c>
      <c r="N13" s="683">
        <v>21.05</v>
      </c>
      <c r="O13" s="677">
        <f t="shared" si="0"/>
        <v>340.40000000000003</v>
      </c>
      <c r="P13" s="681"/>
      <c r="Q13" s="682">
        <f t="shared" si="1"/>
        <v>30.62777777777778</v>
      </c>
      <c r="R13" s="9" t="s">
        <v>4415</v>
      </c>
      <c r="S13" s="9">
        <v>120</v>
      </c>
      <c r="T13" s="9">
        <v>11</v>
      </c>
      <c r="U13" s="9" t="s">
        <v>116</v>
      </c>
      <c r="V13" s="9" t="s">
        <v>1114</v>
      </c>
    </row>
    <row r="14" spans="1:22" ht="25.5">
      <c r="A14" s="714"/>
      <c r="B14" s="675" t="s">
        <v>4416</v>
      </c>
      <c r="C14" s="675">
        <v>0.04</v>
      </c>
      <c r="D14" s="675">
        <v>0.09</v>
      </c>
      <c r="E14" s="675">
        <v>0.05</v>
      </c>
      <c r="F14" s="675">
        <v>0.54</v>
      </c>
      <c r="G14" s="675">
        <v>0.39</v>
      </c>
      <c r="H14" s="675">
        <v>0.1</v>
      </c>
      <c r="I14" s="675">
        <v>0.14000000000000001</v>
      </c>
      <c r="J14" s="675">
        <v>0.12</v>
      </c>
      <c r="K14" s="675">
        <v>7.0000000000000007E-2</v>
      </c>
      <c r="L14" s="675">
        <v>0.09</v>
      </c>
      <c r="M14" s="675">
        <v>0.1</v>
      </c>
      <c r="N14" s="675">
        <v>0.06</v>
      </c>
      <c r="O14" s="677">
        <f t="shared" si="0"/>
        <v>1.7900000000000005</v>
      </c>
      <c r="P14" s="681"/>
      <c r="Q14" s="682">
        <f t="shared" si="1"/>
        <v>0.17666666666666669</v>
      </c>
      <c r="R14" s="9" t="s">
        <v>135</v>
      </c>
      <c r="S14" s="9" t="s">
        <v>135</v>
      </c>
      <c r="T14" s="9" t="s">
        <v>135</v>
      </c>
      <c r="U14" s="9" t="s">
        <v>135</v>
      </c>
      <c r="V14" s="9" t="s">
        <v>135</v>
      </c>
    </row>
    <row r="15" spans="1:22">
      <c r="A15" s="714"/>
      <c r="B15" s="685" t="s">
        <v>4417</v>
      </c>
      <c r="C15" s="685">
        <v>4.84</v>
      </c>
      <c r="D15" s="685">
        <v>4.28</v>
      </c>
      <c r="E15" s="685">
        <v>4.58</v>
      </c>
      <c r="F15" s="685">
        <v>2.14</v>
      </c>
      <c r="G15" s="685">
        <v>1.48</v>
      </c>
      <c r="H15" s="685">
        <v>1.5</v>
      </c>
      <c r="I15" s="685">
        <v>2.72</v>
      </c>
      <c r="J15" s="685">
        <v>2.44</v>
      </c>
      <c r="K15" s="685">
        <v>0.78</v>
      </c>
      <c r="L15" s="685">
        <v>0.7</v>
      </c>
      <c r="M15" s="685">
        <v>1.52</v>
      </c>
      <c r="N15" s="685">
        <v>2.76</v>
      </c>
      <c r="O15" s="677">
        <f t="shared" si="0"/>
        <v>29.740000000000002</v>
      </c>
      <c r="P15" s="681"/>
      <c r="Q15" s="682">
        <f t="shared" si="1"/>
        <v>2.2911111111111113</v>
      </c>
    </row>
    <row r="16" spans="1:22" ht="25.5">
      <c r="A16" s="714"/>
      <c r="B16" s="686" t="s">
        <v>5846</v>
      </c>
      <c r="C16" s="686">
        <f t="shared" ref="C16:N16" si="2">SUM(C8:C15)</f>
        <v>305.75</v>
      </c>
      <c r="D16" s="686">
        <f t="shared" si="2"/>
        <v>278.27999999999997</v>
      </c>
      <c r="E16" s="686">
        <f t="shared" si="2"/>
        <v>292.37</v>
      </c>
      <c r="F16" s="686">
        <f t="shared" si="2"/>
        <v>214.11999999999998</v>
      </c>
      <c r="G16" s="686">
        <f t="shared" si="2"/>
        <v>163.67999999999998</v>
      </c>
      <c r="H16" s="686">
        <f t="shared" si="2"/>
        <v>137.86000000000001</v>
      </c>
      <c r="I16" s="686">
        <f t="shared" si="2"/>
        <v>202.16999999999996</v>
      </c>
      <c r="J16" s="686">
        <f t="shared" si="2"/>
        <v>186.8</v>
      </c>
      <c r="K16" s="686">
        <f t="shared" si="2"/>
        <v>99.36999999999999</v>
      </c>
      <c r="L16" s="686">
        <f t="shared" si="2"/>
        <v>96.38</v>
      </c>
      <c r="M16" s="686">
        <f t="shared" si="2"/>
        <v>139.19</v>
      </c>
      <c r="N16" s="686">
        <f t="shared" si="2"/>
        <v>199.88</v>
      </c>
      <c r="O16" s="677">
        <f t="shared" si="0"/>
        <v>2315.85</v>
      </c>
      <c r="P16" s="681"/>
      <c r="Q16" s="682">
        <f t="shared" si="1"/>
        <v>185.66999999999996</v>
      </c>
    </row>
    <row r="17" spans="1:19" ht="25.5">
      <c r="A17" s="714"/>
      <c r="B17" s="674" t="s">
        <v>4419</v>
      </c>
      <c r="C17" s="675">
        <v>243.96</v>
      </c>
      <c r="D17" s="675">
        <v>245.04</v>
      </c>
      <c r="E17" s="675">
        <v>336.85</v>
      </c>
      <c r="F17" s="675">
        <v>174.07</v>
      </c>
      <c r="G17" s="675">
        <v>139.75</v>
      </c>
      <c r="H17" s="675">
        <v>65.849999999999994</v>
      </c>
      <c r="I17" s="675">
        <v>39.29</v>
      </c>
      <c r="J17" s="675">
        <v>43.69</v>
      </c>
      <c r="K17" s="675">
        <v>28.21</v>
      </c>
      <c r="L17" s="675">
        <v>141.83000000000001</v>
      </c>
      <c r="M17" s="675">
        <v>203.88</v>
      </c>
      <c r="N17" s="675">
        <v>337.18</v>
      </c>
      <c r="O17" s="677">
        <f t="shared" si="0"/>
        <v>1999.6000000000001</v>
      </c>
      <c r="P17" s="672"/>
      <c r="Q17" s="682">
        <f>AVERAGE(C17:N17)</f>
        <v>166.63333333333335</v>
      </c>
    </row>
    <row r="18" spans="1:19" ht="25.5">
      <c r="A18" s="714"/>
      <c r="B18" s="674" t="s">
        <v>4420</v>
      </c>
      <c r="C18" s="687"/>
      <c r="D18" s="687"/>
      <c r="E18" s="687"/>
      <c r="F18" s="687"/>
      <c r="G18" s="687"/>
      <c r="H18" s="687"/>
      <c r="I18" s="687"/>
      <c r="J18" s="687"/>
      <c r="K18" s="687"/>
      <c r="L18" s="687"/>
      <c r="M18" s="688">
        <v>2877</v>
      </c>
      <c r="N18" s="687"/>
      <c r="O18" s="677">
        <f t="shared" si="0"/>
        <v>2877</v>
      </c>
      <c r="P18" s="672"/>
      <c r="Q18" s="682"/>
    </row>
    <row r="19" spans="1:19">
      <c r="A19" s="714"/>
      <c r="B19" s="666" t="s">
        <v>4421</v>
      </c>
      <c r="C19" s="677">
        <f t="shared" ref="C19:N19" si="3">SUM(C16:C18)</f>
        <v>549.71</v>
      </c>
      <c r="D19" s="677">
        <f t="shared" si="3"/>
        <v>523.31999999999994</v>
      </c>
      <c r="E19" s="677">
        <f t="shared" si="3"/>
        <v>629.22</v>
      </c>
      <c r="F19" s="677">
        <f t="shared" si="3"/>
        <v>388.18999999999994</v>
      </c>
      <c r="G19" s="677">
        <f t="shared" si="3"/>
        <v>303.42999999999995</v>
      </c>
      <c r="H19" s="677">
        <f t="shared" si="3"/>
        <v>203.71</v>
      </c>
      <c r="I19" s="677">
        <f t="shared" si="3"/>
        <v>241.45999999999995</v>
      </c>
      <c r="J19" s="677">
        <f t="shared" si="3"/>
        <v>230.49</v>
      </c>
      <c r="K19" s="677">
        <f t="shared" si="3"/>
        <v>127.57999999999998</v>
      </c>
      <c r="L19" s="677">
        <f t="shared" si="3"/>
        <v>238.21</v>
      </c>
      <c r="M19" s="677">
        <f t="shared" si="3"/>
        <v>3220.07</v>
      </c>
      <c r="N19" s="677">
        <f t="shared" si="3"/>
        <v>537.05999999999995</v>
      </c>
      <c r="O19" s="668">
        <f t="shared" si="0"/>
        <v>7192.4499999999989</v>
      </c>
      <c r="P19" s="669"/>
      <c r="Q19" s="682">
        <f>AVERAGE(D19:L19)</f>
        <v>320.62333333333328</v>
      </c>
    </row>
    <row r="20" spans="1:19">
      <c r="A20" s="714"/>
      <c r="B20" s="689" t="s">
        <v>1126</v>
      </c>
      <c r="C20" s="690">
        <f t="shared" ref="C20:N20" si="4">C19</f>
        <v>549.71</v>
      </c>
      <c r="D20" s="690">
        <f t="shared" si="4"/>
        <v>523.31999999999994</v>
      </c>
      <c r="E20" s="690">
        <f t="shared" si="4"/>
        <v>629.22</v>
      </c>
      <c r="F20" s="690">
        <f t="shared" si="4"/>
        <v>388.18999999999994</v>
      </c>
      <c r="G20" s="690">
        <f t="shared" si="4"/>
        <v>303.42999999999995</v>
      </c>
      <c r="H20" s="690">
        <f t="shared" si="4"/>
        <v>203.71</v>
      </c>
      <c r="I20" s="690">
        <f t="shared" si="4"/>
        <v>241.45999999999995</v>
      </c>
      <c r="J20" s="690">
        <f t="shared" si="4"/>
        <v>230.49</v>
      </c>
      <c r="K20" s="690">
        <f t="shared" si="4"/>
        <v>127.57999999999998</v>
      </c>
      <c r="L20" s="690">
        <f t="shared" si="4"/>
        <v>238.21</v>
      </c>
      <c r="M20" s="690">
        <f t="shared" si="4"/>
        <v>3220.07</v>
      </c>
      <c r="N20" s="690">
        <f t="shared" si="4"/>
        <v>537.05999999999995</v>
      </c>
      <c r="O20" s="690">
        <f>SUM(O7:O18)</f>
        <v>11839.4</v>
      </c>
      <c r="P20" s="691"/>
      <c r="Q20" s="682">
        <f>AVERAGE(D20:L20)</f>
        <v>320.62333333333328</v>
      </c>
    </row>
    <row r="21" spans="1:19">
      <c r="A21" s="715"/>
      <c r="B21" s="692"/>
      <c r="C21" s="693"/>
      <c r="D21" s="693"/>
      <c r="E21" s="693"/>
      <c r="F21" s="693"/>
      <c r="G21" s="693"/>
      <c r="H21" s="693"/>
      <c r="I21" s="693"/>
      <c r="J21" s="693"/>
      <c r="K21" s="693"/>
      <c r="L21" s="693"/>
      <c r="M21" s="693"/>
      <c r="N21" s="693"/>
      <c r="O21" s="693"/>
      <c r="P21" s="694"/>
    </row>
    <row r="22" spans="1:19" ht="25.5">
      <c r="B22" s="9"/>
      <c r="C22" s="9"/>
      <c r="D22" s="9"/>
      <c r="E22" s="9"/>
      <c r="F22" s="9"/>
      <c r="G22" s="9"/>
      <c r="H22" s="9"/>
      <c r="I22" s="9"/>
      <c r="J22" s="9"/>
      <c r="K22" s="9"/>
      <c r="L22" s="9"/>
      <c r="R22" s="9" t="s">
        <v>4422</v>
      </c>
      <c r="S22" s="695"/>
    </row>
    <row r="23" spans="1:19">
      <c r="R23" s="11">
        <f>M7*1.5/100</f>
        <v>34.966499999999996</v>
      </c>
    </row>
    <row r="24" spans="1:19">
      <c r="B24" s="660"/>
      <c r="C24" s="660"/>
      <c r="D24" s="660"/>
      <c r="E24" s="660"/>
      <c r="F24" s="660"/>
      <c r="G24" s="660"/>
      <c r="H24" s="660"/>
      <c r="I24" s="660"/>
      <c r="J24" s="660"/>
      <c r="K24" s="660"/>
      <c r="L24" s="660"/>
      <c r="M24" s="660"/>
      <c r="N24" s="660"/>
      <c r="O24" s="660"/>
      <c r="P24" s="660"/>
      <c r="S24" s="43"/>
    </row>
    <row r="25" spans="1:19">
      <c r="A25" s="714"/>
      <c r="B25" s="2126" t="s">
        <v>4423</v>
      </c>
      <c r="C25" s="2127"/>
      <c r="D25" s="2127"/>
      <c r="E25" s="2127"/>
      <c r="F25" s="2127"/>
      <c r="G25" s="2127"/>
      <c r="H25" s="2127"/>
      <c r="I25" s="2127"/>
      <c r="J25" s="2127"/>
      <c r="K25" s="2127"/>
      <c r="L25" s="2127"/>
      <c r="M25" s="2127"/>
      <c r="N25" s="2127"/>
      <c r="O25" s="2128"/>
      <c r="P25" s="661"/>
    </row>
    <row r="26" spans="1:19">
      <c r="A26" s="714"/>
      <c r="B26" s="662" t="s">
        <v>5845</v>
      </c>
      <c r="C26" s="663" t="s">
        <v>143</v>
      </c>
      <c r="D26" s="663" t="s">
        <v>26</v>
      </c>
      <c r="E26" s="663" t="s">
        <v>25</v>
      </c>
      <c r="F26" s="663" t="s">
        <v>24</v>
      </c>
      <c r="G26" s="663" t="s">
        <v>23</v>
      </c>
      <c r="H26" s="663" t="s">
        <v>22</v>
      </c>
      <c r="I26" s="663" t="s">
        <v>21</v>
      </c>
      <c r="J26" s="663" t="s">
        <v>20</v>
      </c>
      <c r="K26" s="663" t="s">
        <v>256</v>
      </c>
      <c r="L26" s="663" t="s">
        <v>18</v>
      </c>
      <c r="M26" s="663" t="s">
        <v>17</v>
      </c>
      <c r="N26" s="663" t="s">
        <v>86</v>
      </c>
      <c r="O26" s="664" t="s">
        <v>67</v>
      </c>
      <c r="P26" s="665"/>
    </row>
    <row r="27" spans="1:19">
      <c r="A27" s="714"/>
      <c r="B27" s="666" t="s">
        <v>4424</v>
      </c>
      <c r="C27" s="671"/>
      <c r="D27" s="671"/>
      <c r="E27" s="671"/>
      <c r="F27" s="671"/>
      <c r="G27" s="671"/>
      <c r="H27" s="671"/>
      <c r="I27" s="671"/>
      <c r="J27" s="671"/>
      <c r="K27" s="671"/>
      <c r="L27" s="671"/>
      <c r="M27" s="671"/>
      <c r="N27" s="671"/>
      <c r="O27" s="668"/>
      <c r="P27" s="672"/>
    </row>
    <row r="28" spans="1:19">
      <c r="A28" s="714"/>
      <c r="B28" s="674" t="s">
        <v>5056</v>
      </c>
      <c r="C28" s="685">
        <v>170</v>
      </c>
      <c r="D28" s="697"/>
      <c r="E28" s="697"/>
      <c r="F28" s="698"/>
      <c r="G28" s="697"/>
      <c r="H28" s="697"/>
      <c r="I28" s="697"/>
      <c r="J28" s="697"/>
      <c r="K28" s="697"/>
      <c r="L28" s="697"/>
      <c r="M28" s="697"/>
      <c r="N28" s="697"/>
      <c r="O28" s="668">
        <f>SUM(C28:N28)</f>
        <v>170</v>
      </c>
      <c r="P28" s="672"/>
    </row>
    <row r="29" spans="1:19">
      <c r="A29" s="714"/>
      <c r="B29" s="674" t="s">
        <v>4426</v>
      </c>
      <c r="C29" s="812">
        <v>100</v>
      </c>
      <c r="D29" s="697"/>
      <c r="E29" s="697"/>
      <c r="F29" s="698"/>
      <c r="G29" s="697"/>
      <c r="H29" s="697"/>
      <c r="I29" s="697"/>
      <c r="J29" s="697"/>
      <c r="K29" s="697"/>
      <c r="L29" s="697"/>
      <c r="M29" s="697"/>
      <c r="N29" s="697"/>
      <c r="O29" s="668">
        <f>SUM(C29:N29)</f>
        <v>100</v>
      </c>
      <c r="P29" s="672"/>
    </row>
    <row r="30" spans="1:19">
      <c r="A30" s="714"/>
      <c r="B30" s="674" t="s">
        <v>5057</v>
      </c>
      <c r="C30" s="812">
        <v>165</v>
      </c>
      <c r="D30" s="697"/>
      <c r="E30" s="697"/>
      <c r="F30" s="698"/>
      <c r="G30" s="697"/>
      <c r="H30" s="697"/>
      <c r="I30" s="697"/>
      <c r="J30" s="697"/>
      <c r="K30" s="697"/>
      <c r="L30" s="697"/>
      <c r="M30" s="697"/>
      <c r="N30" s="697"/>
      <c r="O30" s="668">
        <f>SUM(C30:N30)</f>
        <v>165</v>
      </c>
      <c r="P30" s="672"/>
    </row>
    <row r="31" spans="1:19">
      <c r="A31" s="714"/>
      <c r="B31" s="674" t="s">
        <v>4440</v>
      </c>
      <c r="C31" s="812">
        <v>165</v>
      </c>
      <c r="D31" s="697"/>
      <c r="E31" s="697"/>
      <c r="F31" s="698"/>
      <c r="G31" s="697"/>
      <c r="H31" s="697"/>
      <c r="I31" s="697"/>
      <c r="J31" s="697"/>
      <c r="K31" s="697"/>
      <c r="L31" s="697"/>
      <c r="M31" s="697"/>
      <c r="N31" s="697"/>
      <c r="O31" s="668">
        <f>SUM(J31:N31)</f>
        <v>0</v>
      </c>
      <c r="P31" s="672"/>
    </row>
    <row r="32" spans="1:19">
      <c r="A32" s="714"/>
      <c r="B32" s="674" t="s">
        <v>4429</v>
      </c>
      <c r="C32" s="772"/>
      <c r="D32" s="697"/>
      <c r="E32" s="697"/>
      <c r="F32" s="698"/>
      <c r="G32" s="697"/>
      <c r="H32" s="697"/>
      <c r="I32" s="697"/>
      <c r="J32" s="697"/>
      <c r="K32" s="697"/>
      <c r="L32" s="697"/>
      <c r="M32" s="697"/>
      <c r="N32" s="697"/>
      <c r="O32" s="668">
        <f>SUM(C32:N32)</f>
        <v>0</v>
      </c>
      <c r="P32" s="672"/>
    </row>
    <row r="33" spans="1:18" ht="25.5">
      <c r="A33" s="714"/>
      <c r="B33" s="674" t="s">
        <v>4441</v>
      </c>
      <c r="C33" s="685">
        <v>398</v>
      </c>
      <c r="D33" s="697"/>
      <c r="E33" s="702" t="s">
        <v>4430</v>
      </c>
      <c r="F33" s="698"/>
      <c r="G33" s="697"/>
      <c r="H33" s="697"/>
      <c r="I33" s="697"/>
      <c r="J33" s="697"/>
      <c r="K33" s="697"/>
      <c r="L33" s="697"/>
      <c r="M33" s="697"/>
      <c r="N33" s="697"/>
      <c r="O33" s="668">
        <f>SUM(C33:N33)</f>
        <v>398</v>
      </c>
      <c r="P33" s="672"/>
      <c r="Q33" s="2088" t="s">
        <v>4431</v>
      </c>
      <c r="R33" s="2087"/>
    </row>
    <row r="34" spans="1:18">
      <c r="A34" s="714"/>
      <c r="B34" s="703"/>
      <c r="C34" s="701"/>
      <c r="D34" s="697"/>
      <c r="E34" s="697"/>
      <c r="F34" s="698"/>
      <c r="G34" s="697"/>
      <c r="H34" s="697"/>
      <c r="I34" s="704"/>
      <c r="J34" s="697"/>
      <c r="K34" s="697"/>
      <c r="L34" s="697"/>
      <c r="M34" s="697"/>
      <c r="N34" s="697"/>
      <c r="O34" s="668">
        <f>SUM(C34:N34)</f>
        <v>0</v>
      </c>
      <c r="P34" s="672"/>
    </row>
    <row r="35" spans="1:18">
      <c r="A35" s="714"/>
      <c r="B35" s="674" t="s">
        <v>4432</v>
      </c>
      <c r="C35" s="685">
        <v>155</v>
      </c>
      <c r="D35" s="697"/>
      <c r="E35" s="697"/>
      <c r="F35" s="698"/>
      <c r="G35" s="697"/>
      <c r="H35" s="697"/>
      <c r="I35" s="697"/>
      <c r="J35" s="697"/>
      <c r="K35" s="697"/>
      <c r="L35" s="697"/>
      <c r="M35" s="697"/>
      <c r="N35" s="697"/>
      <c r="O35" s="668">
        <f>SUM(C35:N35)</f>
        <v>155</v>
      </c>
      <c r="P35" s="672"/>
    </row>
    <row r="36" spans="1:18">
      <c r="A36" s="714"/>
      <c r="B36" s="674"/>
      <c r="C36" s="772"/>
      <c r="D36" s="697"/>
      <c r="E36" s="697"/>
      <c r="F36" s="698"/>
      <c r="G36" s="697"/>
      <c r="H36" s="697"/>
      <c r="I36" s="697"/>
      <c r="J36" s="697"/>
      <c r="K36" s="697"/>
      <c r="L36" s="697"/>
      <c r="M36" s="697"/>
      <c r="N36" s="697"/>
      <c r="O36" s="668">
        <f>SUM(C36:N36)</f>
        <v>0</v>
      </c>
      <c r="P36" s="672"/>
    </row>
    <row r="37" spans="1:18">
      <c r="A37" s="714"/>
      <c r="B37" s="674" t="s">
        <v>4323</v>
      </c>
      <c r="C37" s="685">
        <v>60</v>
      </c>
      <c r="D37" s="705"/>
      <c r="E37" s="705"/>
      <c r="F37" s="706"/>
      <c r="G37" s="705"/>
      <c r="H37" s="705"/>
      <c r="I37" s="705"/>
      <c r="J37" s="705"/>
      <c r="K37" s="705"/>
      <c r="L37" s="705"/>
      <c r="M37" s="705"/>
      <c r="N37" s="705"/>
      <c r="O37" s="668"/>
      <c r="P37" s="672"/>
    </row>
    <row r="38" spans="1:18">
      <c r="A38" s="714"/>
      <c r="B38" s="674" t="s">
        <v>4433</v>
      </c>
      <c r="C38" s="772"/>
      <c r="D38" s="705"/>
      <c r="E38" s="705"/>
      <c r="F38" s="705"/>
      <c r="G38" s="705"/>
      <c r="H38" s="705"/>
      <c r="I38" s="705"/>
      <c r="J38" s="705"/>
      <c r="K38" s="705"/>
      <c r="L38" s="705"/>
      <c r="M38" s="705"/>
      <c r="N38" s="705">
        <f>72.06+23.24</f>
        <v>95.3</v>
      </c>
      <c r="O38" s="668"/>
      <c r="P38" s="672"/>
      <c r="Q38" s="707">
        <f>SUM(O28:O36)</f>
        <v>988</v>
      </c>
    </row>
    <row r="39" spans="1:18" ht="25.5">
      <c r="A39" s="714"/>
      <c r="B39" s="674" t="s">
        <v>4434</v>
      </c>
      <c r="C39" s="701">
        <v>-35</v>
      </c>
      <c r="D39" s="685">
        <v>-35</v>
      </c>
      <c r="E39" s="685">
        <v>-35</v>
      </c>
      <c r="F39" s="708">
        <v>-35</v>
      </c>
      <c r="G39" s="708">
        <v>-35</v>
      </c>
      <c r="H39" s="708">
        <v>-35</v>
      </c>
      <c r="I39" s="708">
        <v>-35</v>
      </c>
      <c r="J39" s="708">
        <v>-35</v>
      </c>
      <c r="K39" s="708">
        <v>-35</v>
      </c>
      <c r="L39" s="708">
        <v>-35</v>
      </c>
      <c r="M39" s="708">
        <v>-35</v>
      </c>
      <c r="N39" s="708">
        <v>-35</v>
      </c>
      <c r="O39" s="668">
        <f>SUM(C39:N39)</f>
        <v>-420</v>
      </c>
      <c r="P39" s="672"/>
    </row>
    <row r="40" spans="1:18">
      <c r="A40" s="715"/>
      <c r="B40" s="677" t="s">
        <v>4435</v>
      </c>
      <c r="C40" s="677">
        <f t="shared" ref="C40:O40" si="5">SUM(C28:C39)</f>
        <v>1178</v>
      </c>
      <c r="D40" s="677">
        <f t="shared" si="5"/>
        <v>-35</v>
      </c>
      <c r="E40" s="677">
        <f t="shared" si="5"/>
        <v>-35</v>
      </c>
      <c r="F40" s="677">
        <f t="shared" si="5"/>
        <v>-35</v>
      </c>
      <c r="G40" s="677">
        <f t="shared" si="5"/>
        <v>-35</v>
      </c>
      <c r="H40" s="677">
        <f t="shared" si="5"/>
        <v>-35</v>
      </c>
      <c r="I40" s="677">
        <f t="shared" si="5"/>
        <v>-35</v>
      </c>
      <c r="J40" s="677">
        <f t="shared" si="5"/>
        <v>-35</v>
      </c>
      <c r="K40" s="677">
        <f t="shared" si="5"/>
        <v>-35</v>
      </c>
      <c r="L40" s="677">
        <f t="shared" si="5"/>
        <v>-35</v>
      </c>
      <c r="M40" s="677">
        <f t="shared" si="5"/>
        <v>-35</v>
      </c>
      <c r="N40" s="677">
        <f t="shared" si="5"/>
        <v>60.3</v>
      </c>
      <c r="O40" s="677">
        <f t="shared" si="5"/>
        <v>568</v>
      </c>
      <c r="P40" s="691"/>
    </row>
    <row r="41" spans="1:18">
      <c r="A41" s="715" t="s">
        <v>135</v>
      </c>
      <c r="B41" s="709" t="s">
        <v>135</v>
      </c>
      <c r="C41" s="709"/>
      <c r="D41" s="709"/>
      <c r="E41" s="709"/>
      <c r="F41" s="709"/>
      <c r="G41" s="709"/>
      <c r="H41" s="709"/>
      <c r="I41" s="709"/>
      <c r="J41" s="709"/>
      <c r="K41" s="709"/>
      <c r="L41" s="709"/>
      <c r="M41" s="709"/>
      <c r="N41" s="709"/>
      <c r="O41" s="709"/>
      <c r="P41" s="710"/>
    </row>
    <row r="42" spans="1:18">
      <c r="B42" s="578"/>
      <c r="C42" s="578"/>
      <c r="D42" s="578"/>
      <c r="E42" s="578"/>
      <c r="F42" s="578"/>
      <c r="G42" s="578"/>
      <c r="H42" s="578"/>
      <c r="I42" s="578"/>
      <c r="J42" s="578"/>
      <c r="K42" s="578"/>
      <c r="L42" s="578"/>
      <c r="M42" s="2129" t="s">
        <v>4436</v>
      </c>
      <c r="N42" s="2087"/>
      <c r="O42" s="711">
        <f>800/12</f>
        <v>66.666666666666671</v>
      </c>
      <c r="P42" s="712"/>
    </row>
    <row r="43" spans="1:18">
      <c r="B43" s="660"/>
      <c r="C43" s="660"/>
      <c r="D43" s="660"/>
      <c r="E43" s="660"/>
      <c r="F43" s="660"/>
      <c r="G43" s="660"/>
      <c r="H43" s="660"/>
      <c r="I43" s="660"/>
      <c r="J43" s="660"/>
      <c r="K43" s="660"/>
      <c r="L43" s="660"/>
      <c r="M43" s="660"/>
      <c r="N43" s="660"/>
      <c r="O43" s="660"/>
      <c r="P43" s="660"/>
    </row>
    <row r="44" spans="1:18">
      <c r="B44" s="660"/>
      <c r="C44" s="660"/>
      <c r="D44" s="660"/>
      <c r="E44" s="660"/>
      <c r="F44" s="660"/>
      <c r="G44" s="660"/>
      <c r="H44" s="660"/>
      <c r="I44" s="660"/>
      <c r="J44" s="660"/>
      <c r="K44" s="660"/>
      <c r="L44" s="660"/>
      <c r="M44" s="660"/>
      <c r="N44" s="660"/>
      <c r="O44" s="660"/>
      <c r="P44" s="660"/>
    </row>
    <row r="47" spans="1:18">
      <c r="B47" s="2130"/>
      <c r="C47" s="2087"/>
      <c r="D47" s="2087"/>
      <c r="E47" s="2087"/>
      <c r="F47" s="2087"/>
      <c r="G47" s="2087"/>
      <c r="H47" s="2087"/>
      <c r="I47" s="2087"/>
      <c r="J47" s="2087"/>
      <c r="K47" s="2087"/>
      <c r="L47" s="2087"/>
      <c r="M47" s="2087"/>
      <c r="N47" s="2087"/>
      <c r="P47" s="712"/>
    </row>
    <row r="48" spans="1:18" ht="12.75" customHeight="1">
      <c r="B48" s="2087"/>
      <c r="C48" s="2087"/>
      <c r="D48" s="2087"/>
      <c r="E48" s="2087"/>
      <c r="F48" s="2087"/>
    </row>
    <row r="49" spans="2:16">
      <c r="B49" s="660"/>
      <c r="C49" s="660"/>
      <c r="D49" s="660"/>
      <c r="E49" s="660"/>
      <c r="F49" s="660"/>
      <c r="G49" s="660"/>
      <c r="H49" s="660"/>
      <c r="I49" s="660"/>
      <c r="J49" s="660"/>
      <c r="K49" s="660"/>
      <c r="L49" s="660"/>
      <c r="M49" s="660"/>
      <c r="N49" s="660"/>
      <c r="O49" s="660"/>
      <c r="P49" s="660"/>
    </row>
    <row r="53" spans="2:16">
      <c r="B53" s="3" t="s">
        <v>4442</v>
      </c>
    </row>
    <row r="54" spans="2:16">
      <c r="B54" s="253" t="s">
        <v>4443</v>
      </c>
      <c r="C54" s="9">
        <f>29.99*12</f>
        <v>359.88</v>
      </c>
    </row>
    <row r="55" spans="2:16" ht="25.5">
      <c r="B55" s="9" t="s">
        <v>4444</v>
      </c>
      <c r="C55" s="9">
        <v>39</v>
      </c>
    </row>
    <row r="56" spans="2:16">
      <c r="B56" s="9" t="s">
        <v>4445</v>
      </c>
      <c r="C56" s="9">
        <v>399</v>
      </c>
    </row>
  </sheetData>
  <mergeCells count="6">
    <mergeCell ref="B48:F48"/>
    <mergeCell ref="B3:O3"/>
    <mergeCell ref="B25:O25"/>
    <mergeCell ref="Q33:R33"/>
    <mergeCell ref="M42:N42"/>
    <mergeCell ref="B47:N47"/>
  </mergeCells>
  <hyperlinks>
    <hyperlink ref="B54" r:id="rId1" xr:uid="{00000000-0004-0000-1700-000000000000}"/>
  </hyperlinks>
  <pageMargins left="0.7" right="0.7" top="0.75" bottom="0.75" header="0.3" footer="0.3"/>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V56"/>
  <sheetViews>
    <sheetView workbookViewId="0"/>
  </sheetViews>
  <sheetFormatPr defaultColWidth="12.7109375" defaultRowHeight="12.75" customHeight="1"/>
  <cols>
    <col min="1" max="1" width="2.28515625" customWidth="1"/>
    <col min="2" max="2" width="19.85546875" customWidth="1"/>
    <col min="3" max="14" width="9.85546875" customWidth="1"/>
    <col min="15" max="15" width="9.28515625" customWidth="1"/>
    <col min="16" max="16" width="2.42578125" customWidth="1"/>
    <col min="17" max="17" width="8.28515625" customWidth="1"/>
    <col min="18" max="18" width="23.28515625" customWidth="1"/>
    <col min="19" max="19" width="5.28515625" customWidth="1"/>
    <col min="20" max="20" width="4.7109375" customWidth="1"/>
    <col min="21" max="21" width="6.28515625" customWidth="1"/>
  </cols>
  <sheetData>
    <row r="1" spans="1:22">
      <c r="B1" s="660"/>
      <c r="C1" s="660"/>
      <c r="D1" s="660"/>
      <c r="E1" s="660"/>
      <c r="F1" s="660"/>
      <c r="G1" s="660"/>
      <c r="H1" s="660"/>
      <c r="I1" s="660"/>
      <c r="J1" s="660"/>
      <c r="K1" s="660"/>
      <c r="L1" s="660"/>
      <c r="M1" s="660"/>
      <c r="N1" s="660"/>
      <c r="O1" s="660"/>
      <c r="P1" s="660"/>
      <c r="R1" s="9" t="s">
        <v>4386</v>
      </c>
      <c r="T1" s="9" t="s">
        <v>4387</v>
      </c>
    </row>
    <row r="2" spans="1:22">
      <c r="B2" s="660"/>
      <c r="C2" s="660"/>
      <c r="D2" s="660"/>
      <c r="E2" s="660"/>
      <c r="F2" s="660"/>
      <c r="G2" s="660"/>
      <c r="H2" s="660"/>
      <c r="I2" s="660"/>
      <c r="J2" s="660"/>
      <c r="K2" s="660"/>
      <c r="L2" s="660"/>
      <c r="M2" s="660"/>
      <c r="N2" s="660"/>
      <c r="O2" s="660"/>
      <c r="P2" s="660"/>
      <c r="V2" s="9" t="s">
        <v>4388</v>
      </c>
    </row>
    <row r="3" spans="1:22" ht="25.5">
      <c r="A3" s="714"/>
      <c r="B3" s="2126" t="s">
        <v>4389</v>
      </c>
      <c r="C3" s="2127"/>
      <c r="D3" s="2127"/>
      <c r="E3" s="2127"/>
      <c r="F3" s="2127"/>
      <c r="G3" s="2127"/>
      <c r="H3" s="2127"/>
      <c r="I3" s="2127"/>
      <c r="J3" s="2127"/>
      <c r="K3" s="2127"/>
      <c r="L3" s="2127"/>
      <c r="M3" s="2127"/>
      <c r="N3" s="2127"/>
      <c r="O3" s="2128"/>
      <c r="P3" s="661"/>
      <c r="R3" s="9" t="s">
        <v>4390</v>
      </c>
      <c r="S3" s="9">
        <v>2.99</v>
      </c>
      <c r="T3" s="9">
        <v>27</v>
      </c>
      <c r="U3" s="9" t="s">
        <v>116</v>
      </c>
      <c r="V3" s="9" t="s">
        <v>1114</v>
      </c>
    </row>
    <row r="4" spans="1:22" ht="25.5">
      <c r="A4" s="714"/>
      <c r="B4" s="662" t="s">
        <v>5054</v>
      </c>
      <c r="C4" s="663" t="s">
        <v>143</v>
      </c>
      <c r="D4" s="663" t="s">
        <v>26</v>
      </c>
      <c r="E4" s="663" t="s">
        <v>25</v>
      </c>
      <c r="F4" s="663" t="s">
        <v>24</v>
      </c>
      <c r="G4" s="663" t="s">
        <v>23</v>
      </c>
      <c r="H4" s="663" t="s">
        <v>22</v>
      </c>
      <c r="I4" s="663" t="s">
        <v>21</v>
      </c>
      <c r="J4" s="663" t="s">
        <v>20</v>
      </c>
      <c r="K4" s="663" t="s">
        <v>256</v>
      </c>
      <c r="L4" s="663" t="s">
        <v>18</v>
      </c>
      <c r="M4" s="663" t="s">
        <v>17</v>
      </c>
      <c r="N4" s="663" t="s">
        <v>86</v>
      </c>
      <c r="O4" s="664" t="s">
        <v>67</v>
      </c>
      <c r="P4" s="665"/>
      <c r="Q4" s="69" t="s">
        <v>4392</v>
      </c>
      <c r="R4" s="9" t="s">
        <v>4393</v>
      </c>
      <c r="S4" s="9">
        <v>9.9499999999999993</v>
      </c>
      <c r="T4" s="9">
        <v>28</v>
      </c>
      <c r="U4" s="9" t="s">
        <v>116</v>
      </c>
      <c r="V4" s="9" t="s">
        <v>4394</v>
      </c>
    </row>
    <row r="5" spans="1:22">
      <c r="A5" s="714"/>
      <c r="B5" s="666" t="s">
        <v>4395</v>
      </c>
      <c r="C5" s="667"/>
      <c r="D5" s="667"/>
      <c r="E5" s="667"/>
      <c r="F5" s="667"/>
      <c r="G5" s="667"/>
      <c r="H5" s="667"/>
      <c r="I5" s="667"/>
      <c r="J5" s="667"/>
      <c r="K5" s="667"/>
      <c r="L5" s="667"/>
      <c r="M5" s="667"/>
      <c r="N5" s="667"/>
      <c r="O5" s="668">
        <f>SUM(C5:N5)</f>
        <v>0</v>
      </c>
      <c r="P5" s="669"/>
      <c r="Q5" s="69"/>
      <c r="R5" s="670" t="s">
        <v>4396</v>
      </c>
      <c r="S5" s="9">
        <v>5.99</v>
      </c>
      <c r="U5" s="9" t="s">
        <v>116</v>
      </c>
      <c r="V5" s="9" t="s">
        <v>1114</v>
      </c>
    </row>
    <row r="6" spans="1:22" ht="21.75">
      <c r="A6" s="714"/>
      <c r="B6" s="666" t="s">
        <v>4397</v>
      </c>
      <c r="C6" s="671"/>
      <c r="D6" s="671"/>
      <c r="E6" s="671"/>
      <c r="F6" s="671"/>
      <c r="G6" s="671"/>
      <c r="H6" s="671"/>
      <c r="I6" s="671"/>
      <c r="J6" s="671"/>
      <c r="K6" s="671"/>
      <c r="L6" s="671"/>
      <c r="M6" s="671"/>
      <c r="N6" s="671"/>
      <c r="O6" s="668"/>
      <c r="P6" s="672"/>
      <c r="Q6" s="69"/>
      <c r="R6" s="673" t="s">
        <v>4398</v>
      </c>
      <c r="S6" s="9">
        <v>6.5</v>
      </c>
      <c r="T6" s="9">
        <v>26</v>
      </c>
      <c r="U6" s="9" t="s">
        <v>116</v>
      </c>
      <c r="V6" s="9" t="s">
        <v>1114</v>
      </c>
    </row>
    <row r="7" spans="1:22">
      <c r="A7" s="714"/>
      <c r="B7" s="674" t="s">
        <v>4399</v>
      </c>
      <c r="C7" s="675"/>
      <c r="D7" s="675"/>
      <c r="E7" s="675"/>
      <c r="F7" s="675"/>
      <c r="G7" s="675"/>
      <c r="H7" s="675"/>
      <c r="I7" s="675"/>
      <c r="J7" s="675"/>
      <c r="K7" s="675"/>
      <c r="L7" s="675"/>
      <c r="M7" s="676">
        <v>2331.1</v>
      </c>
      <c r="N7" s="675"/>
      <c r="O7" s="677">
        <f t="shared" ref="O7:O19" si="0">SUM(C7:N7)</f>
        <v>2331.1</v>
      </c>
      <c r="P7" s="672"/>
      <c r="Q7" s="678">
        <v>0</v>
      </c>
      <c r="R7" s="679" t="s">
        <v>4400</v>
      </c>
      <c r="S7" s="9">
        <v>4.9000000000000004</v>
      </c>
      <c r="T7" s="9">
        <v>26</v>
      </c>
      <c r="U7" s="9" t="s">
        <v>116</v>
      </c>
      <c r="V7" s="9" t="s">
        <v>1114</v>
      </c>
    </row>
    <row r="8" spans="1:22">
      <c r="A8" s="714"/>
      <c r="B8" s="680" t="s">
        <v>4401</v>
      </c>
      <c r="C8" s="680"/>
      <c r="D8" s="680"/>
      <c r="E8" s="680"/>
      <c r="F8" s="680"/>
      <c r="G8" s="680"/>
      <c r="H8" s="680"/>
      <c r="I8" s="680"/>
      <c r="J8" s="680"/>
      <c r="K8" s="680"/>
      <c r="L8" s="680"/>
      <c r="M8" s="680"/>
      <c r="N8" s="680"/>
      <c r="O8" s="677">
        <f t="shared" si="0"/>
        <v>0</v>
      </c>
      <c r="P8" s="681"/>
      <c r="Q8" s="682" t="e">
        <f t="shared" ref="Q8:Q17" si="1">AVERAGE(D8:L8)</f>
        <v>#DIV/0!</v>
      </c>
      <c r="R8" s="9" t="s">
        <v>4402</v>
      </c>
      <c r="S8" s="82">
        <v>15</v>
      </c>
      <c r="T8" s="9">
        <v>19</v>
      </c>
      <c r="U8" s="9" t="s">
        <v>116</v>
      </c>
      <c r="V8" s="9" t="s">
        <v>1114</v>
      </c>
    </row>
    <row r="9" spans="1:22" ht="22.5">
      <c r="A9" s="714"/>
      <c r="B9" s="683" t="s">
        <v>4403</v>
      </c>
      <c r="C9" s="683"/>
      <c r="D9" s="683"/>
      <c r="E9" s="683"/>
      <c r="F9" s="683"/>
      <c r="G9" s="683"/>
      <c r="H9" s="683"/>
      <c r="I9" s="683"/>
      <c r="J9" s="683"/>
      <c r="K9" s="683"/>
      <c r="L9" s="683"/>
      <c r="M9" s="683"/>
      <c r="N9" s="683"/>
      <c r="O9" s="677">
        <f t="shared" si="0"/>
        <v>0</v>
      </c>
      <c r="P9" s="681"/>
      <c r="Q9" s="682" t="e">
        <f t="shared" si="1"/>
        <v>#DIV/0!</v>
      </c>
      <c r="R9" s="684" t="s">
        <v>4404</v>
      </c>
      <c r="S9" s="9" t="s">
        <v>3592</v>
      </c>
      <c r="T9" s="9">
        <v>13</v>
      </c>
      <c r="U9" s="9" t="s">
        <v>4405</v>
      </c>
    </row>
    <row r="10" spans="1:22" ht="25.5">
      <c r="A10" s="714"/>
      <c r="B10" s="675" t="s">
        <v>4406</v>
      </c>
      <c r="C10" s="675"/>
      <c r="D10" s="675"/>
      <c r="E10" s="675"/>
      <c r="F10" s="675"/>
      <c r="G10" s="675"/>
      <c r="H10" s="675"/>
      <c r="I10" s="675"/>
      <c r="J10" s="675"/>
      <c r="K10" s="675"/>
      <c r="L10" s="675"/>
      <c r="M10" s="675"/>
      <c r="N10" s="675"/>
      <c r="O10" s="677">
        <f t="shared" si="0"/>
        <v>0</v>
      </c>
      <c r="P10" s="681"/>
      <c r="Q10" s="682" t="e">
        <f t="shared" si="1"/>
        <v>#DIV/0!</v>
      </c>
      <c r="R10" s="9" t="s">
        <v>3888</v>
      </c>
      <c r="S10" s="9">
        <v>5.41</v>
      </c>
      <c r="T10" s="9">
        <v>13</v>
      </c>
      <c r="U10" s="9" t="s">
        <v>4407</v>
      </c>
      <c r="V10" s="9" t="s">
        <v>1114</v>
      </c>
    </row>
    <row r="11" spans="1:22" ht="25.5">
      <c r="A11" s="714"/>
      <c r="B11" s="685" t="s">
        <v>4408</v>
      </c>
      <c r="C11" s="685"/>
      <c r="D11" s="685"/>
      <c r="E11" s="685"/>
      <c r="F11" s="685"/>
      <c r="G11" s="685"/>
      <c r="H11" s="685"/>
      <c r="I11" s="685"/>
      <c r="J11" s="685"/>
      <c r="K11" s="685"/>
      <c r="L11" s="685"/>
      <c r="M11" s="685"/>
      <c r="N11" s="685"/>
      <c r="O11" s="677">
        <f t="shared" si="0"/>
        <v>0</v>
      </c>
      <c r="P11" s="681"/>
      <c r="Q11" s="682" t="e">
        <f t="shared" si="1"/>
        <v>#DIV/0!</v>
      </c>
      <c r="R11" s="9" t="s">
        <v>4409</v>
      </c>
      <c r="S11" s="9">
        <v>190</v>
      </c>
      <c r="T11" s="9">
        <v>12</v>
      </c>
      <c r="U11" s="3" t="s">
        <v>4405</v>
      </c>
      <c r="V11" s="9" t="s">
        <v>4410</v>
      </c>
    </row>
    <row r="12" spans="1:22">
      <c r="A12" s="714"/>
      <c r="B12" s="675" t="s">
        <v>4411</v>
      </c>
      <c r="C12" s="675"/>
      <c r="D12" s="675"/>
      <c r="E12" s="675"/>
      <c r="F12" s="675"/>
      <c r="G12" s="675"/>
      <c r="H12" s="675"/>
      <c r="I12" s="675"/>
      <c r="J12" s="675"/>
      <c r="K12" s="675"/>
      <c r="L12" s="675"/>
      <c r="M12" s="675"/>
      <c r="N12" s="675"/>
      <c r="O12" s="677">
        <f t="shared" si="0"/>
        <v>0</v>
      </c>
      <c r="P12" s="681"/>
      <c r="Q12" s="682" t="e">
        <f t="shared" si="1"/>
        <v>#DIV/0!</v>
      </c>
      <c r="R12" s="9" t="s">
        <v>4412</v>
      </c>
      <c r="S12" s="9">
        <v>10</v>
      </c>
      <c r="T12" s="9">
        <v>10</v>
      </c>
      <c r="U12" s="9" t="s">
        <v>116</v>
      </c>
      <c r="V12" s="9" t="s">
        <v>4413</v>
      </c>
    </row>
    <row r="13" spans="1:22">
      <c r="A13" s="714"/>
      <c r="B13" s="683" t="s">
        <v>4414</v>
      </c>
      <c r="C13" s="683"/>
      <c r="D13" s="683"/>
      <c r="E13" s="683"/>
      <c r="F13" s="683"/>
      <c r="G13" s="683"/>
      <c r="H13" s="683"/>
      <c r="I13" s="683"/>
      <c r="J13" s="683"/>
      <c r="K13" s="683"/>
      <c r="L13" s="683"/>
      <c r="M13" s="683"/>
      <c r="N13" s="683"/>
      <c r="O13" s="677">
        <f t="shared" si="0"/>
        <v>0</v>
      </c>
      <c r="P13" s="681"/>
      <c r="Q13" s="682" t="e">
        <f t="shared" si="1"/>
        <v>#DIV/0!</v>
      </c>
      <c r="R13" s="9" t="s">
        <v>4415</v>
      </c>
      <c r="S13" s="9">
        <v>120</v>
      </c>
      <c r="T13" s="9">
        <v>11</v>
      </c>
      <c r="U13" s="9" t="s">
        <v>116</v>
      </c>
      <c r="V13" s="9" t="s">
        <v>1114</v>
      </c>
    </row>
    <row r="14" spans="1:22" ht="25.5">
      <c r="A14" s="714"/>
      <c r="B14" s="675" t="s">
        <v>4416</v>
      </c>
      <c r="C14" s="675"/>
      <c r="D14" s="675"/>
      <c r="E14" s="675"/>
      <c r="F14" s="675"/>
      <c r="G14" s="675"/>
      <c r="H14" s="675"/>
      <c r="I14" s="675"/>
      <c r="J14" s="675"/>
      <c r="K14" s="675"/>
      <c r="L14" s="675"/>
      <c r="M14" s="675"/>
      <c r="N14" s="675"/>
      <c r="O14" s="677">
        <f t="shared" si="0"/>
        <v>0</v>
      </c>
      <c r="P14" s="681"/>
      <c r="Q14" s="682" t="e">
        <f t="shared" si="1"/>
        <v>#DIV/0!</v>
      </c>
      <c r="R14" s="9" t="s">
        <v>135</v>
      </c>
      <c r="S14" s="9" t="s">
        <v>135</v>
      </c>
      <c r="T14" s="9" t="s">
        <v>135</v>
      </c>
      <c r="U14" s="9" t="s">
        <v>135</v>
      </c>
      <c r="V14" s="9" t="s">
        <v>135</v>
      </c>
    </row>
    <row r="15" spans="1:22">
      <c r="A15" s="714"/>
      <c r="B15" s="685" t="s">
        <v>4417</v>
      </c>
      <c r="C15" s="685"/>
      <c r="D15" s="685"/>
      <c r="E15" s="685"/>
      <c r="F15" s="685"/>
      <c r="G15" s="685"/>
      <c r="H15" s="685"/>
      <c r="I15" s="685"/>
      <c r="J15" s="685"/>
      <c r="K15" s="685"/>
      <c r="L15" s="685"/>
      <c r="M15" s="685"/>
      <c r="N15" s="685"/>
      <c r="O15" s="677">
        <f t="shared" si="0"/>
        <v>0</v>
      </c>
      <c r="P15" s="681"/>
      <c r="Q15" s="682" t="e">
        <f t="shared" si="1"/>
        <v>#DIV/0!</v>
      </c>
    </row>
    <row r="16" spans="1:22" ht="25.5">
      <c r="A16" s="714"/>
      <c r="B16" s="686" t="s">
        <v>5847</v>
      </c>
      <c r="C16" s="686">
        <f t="shared" ref="C16:N16" si="2">SUM(C8:C15)</f>
        <v>0</v>
      </c>
      <c r="D16" s="686">
        <f t="shared" si="2"/>
        <v>0</v>
      </c>
      <c r="E16" s="686">
        <f t="shared" si="2"/>
        <v>0</v>
      </c>
      <c r="F16" s="686">
        <f t="shared" si="2"/>
        <v>0</v>
      </c>
      <c r="G16" s="686">
        <f t="shared" si="2"/>
        <v>0</v>
      </c>
      <c r="H16" s="686">
        <f t="shared" si="2"/>
        <v>0</v>
      </c>
      <c r="I16" s="686">
        <f t="shared" si="2"/>
        <v>0</v>
      </c>
      <c r="J16" s="686">
        <f t="shared" si="2"/>
        <v>0</v>
      </c>
      <c r="K16" s="686">
        <f t="shared" si="2"/>
        <v>0</v>
      </c>
      <c r="L16" s="686">
        <f t="shared" si="2"/>
        <v>0</v>
      </c>
      <c r="M16" s="686">
        <f t="shared" si="2"/>
        <v>0</v>
      </c>
      <c r="N16" s="686">
        <f t="shared" si="2"/>
        <v>0</v>
      </c>
      <c r="O16" s="677">
        <f t="shared" si="0"/>
        <v>0</v>
      </c>
      <c r="P16" s="681"/>
      <c r="Q16" s="682">
        <f t="shared" si="1"/>
        <v>0</v>
      </c>
    </row>
    <row r="17" spans="1:19" ht="25.5">
      <c r="A17" s="714"/>
      <c r="B17" s="674" t="s">
        <v>4419</v>
      </c>
      <c r="C17" s="675">
        <v>207.01</v>
      </c>
      <c r="D17" s="675"/>
      <c r="E17" s="675"/>
      <c r="F17" s="675"/>
      <c r="G17" s="675"/>
      <c r="H17" s="675"/>
      <c r="I17" s="675"/>
      <c r="J17" s="675"/>
      <c r="K17" s="675"/>
      <c r="L17" s="675"/>
      <c r="M17" s="675"/>
      <c r="N17" s="675"/>
      <c r="O17" s="677">
        <f t="shared" si="0"/>
        <v>207.01</v>
      </c>
      <c r="P17" s="672"/>
      <c r="Q17" s="682" t="e">
        <f t="shared" si="1"/>
        <v>#DIV/0!</v>
      </c>
    </row>
    <row r="18" spans="1:19" ht="25.5">
      <c r="A18" s="714"/>
      <c r="B18" s="674" t="s">
        <v>4420</v>
      </c>
      <c r="C18" s="687"/>
      <c r="D18" s="687"/>
      <c r="E18" s="687"/>
      <c r="F18" s="687"/>
      <c r="G18" s="687"/>
      <c r="H18" s="687"/>
      <c r="I18" s="687"/>
      <c r="J18" s="687"/>
      <c r="K18" s="687"/>
      <c r="L18" s="687"/>
      <c r="M18" s="688">
        <v>2877</v>
      </c>
      <c r="N18" s="687"/>
      <c r="O18" s="677">
        <f t="shared" si="0"/>
        <v>2877</v>
      </c>
      <c r="P18" s="672"/>
      <c r="Q18" s="682"/>
    </row>
    <row r="19" spans="1:19">
      <c r="A19" s="714"/>
      <c r="B19" s="666" t="s">
        <v>4421</v>
      </c>
      <c r="C19" s="677">
        <f t="shared" ref="C19:N19" si="3">SUM(C16:C18)</f>
        <v>207.01</v>
      </c>
      <c r="D19" s="677">
        <f t="shared" si="3"/>
        <v>0</v>
      </c>
      <c r="E19" s="677">
        <f t="shared" si="3"/>
        <v>0</v>
      </c>
      <c r="F19" s="677">
        <f t="shared" si="3"/>
        <v>0</v>
      </c>
      <c r="G19" s="677">
        <f t="shared" si="3"/>
        <v>0</v>
      </c>
      <c r="H19" s="677">
        <f t="shared" si="3"/>
        <v>0</v>
      </c>
      <c r="I19" s="677">
        <f t="shared" si="3"/>
        <v>0</v>
      </c>
      <c r="J19" s="677">
        <f t="shared" si="3"/>
        <v>0</v>
      </c>
      <c r="K19" s="677">
        <f t="shared" si="3"/>
        <v>0</v>
      </c>
      <c r="L19" s="677">
        <f t="shared" si="3"/>
        <v>0</v>
      </c>
      <c r="M19" s="677">
        <f t="shared" si="3"/>
        <v>2877</v>
      </c>
      <c r="N19" s="677">
        <f t="shared" si="3"/>
        <v>0</v>
      </c>
      <c r="O19" s="668">
        <f t="shared" si="0"/>
        <v>3084.01</v>
      </c>
      <c r="P19" s="669"/>
      <c r="Q19" s="682">
        <f>AVERAGE(D19:L19)</f>
        <v>0</v>
      </c>
    </row>
    <row r="20" spans="1:19">
      <c r="A20" s="714"/>
      <c r="B20" s="689" t="s">
        <v>1126</v>
      </c>
      <c r="C20" s="690">
        <f t="shared" ref="C20:N20" si="4">C19</f>
        <v>207.01</v>
      </c>
      <c r="D20" s="690">
        <f t="shared" si="4"/>
        <v>0</v>
      </c>
      <c r="E20" s="690">
        <f t="shared" si="4"/>
        <v>0</v>
      </c>
      <c r="F20" s="690">
        <f t="shared" si="4"/>
        <v>0</v>
      </c>
      <c r="G20" s="690">
        <f t="shared" si="4"/>
        <v>0</v>
      </c>
      <c r="H20" s="690">
        <f t="shared" si="4"/>
        <v>0</v>
      </c>
      <c r="I20" s="690">
        <f t="shared" si="4"/>
        <v>0</v>
      </c>
      <c r="J20" s="690">
        <f t="shared" si="4"/>
        <v>0</v>
      </c>
      <c r="K20" s="690">
        <f t="shared" si="4"/>
        <v>0</v>
      </c>
      <c r="L20" s="690">
        <f t="shared" si="4"/>
        <v>0</v>
      </c>
      <c r="M20" s="690">
        <f t="shared" si="4"/>
        <v>2877</v>
      </c>
      <c r="N20" s="690">
        <f t="shared" si="4"/>
        <v>0</v>
      </c>
      <c r="O20" s="690">
        <f>SUM(O7:O18)</f>
        <v>5415.11</v>
      </c>
      <c r="P20" s="691"/>
      <c r="Q20" s="682">
        <f>AVERAGE(D20:L20)</f>
        <v>0</v>
      </c>
    </row>
    <row r="21" spans="1:19">
      <c r="A21" s="715"/>
      <c r="B21" s="692"/>
      <c r="C21" s="693"/>
      <c r="D21" s="693"/>
      <c r="E21" s="693"/>
      <c r="F21" s="693"/>
      <c r="G21" s="693"/>
      <c r="H21" s="693"/>
      <c r="I21" s="693"/>
      <c r="J21" s="693"/>
      <c r="K21" s="693"/>
      <c r="L21" s="693"/>
      <c r="M21" s="693"/>
      <c r="N21" s="693"/>
      <c r="O21" s="693"/>
      <c r="P21" s="694"/>
    </row>
    <row r="22" spans="1:19" ht="25.5">
      <c r="B22" s="9"/>
      <c r="C22" s="9"/>
      <c r="D22" s="9"/>
      <c r="E22" s="9"/>
      <c r="F22" s="9"/>
      <c r="G22" s="9"/>
      <c r="H22" s="9"/>
      <c r="I22" s="9"/>
      <c r="J22" s="9"/>
      <c r="K22" s="9"/>
      <c r="L22" s="9"/>
      <c r="R22" s="9" t="s">
        <v>4422</v>
      </c>
      <c r="S22" s="695"/>
    </row>
    <row r="23" spans="1:19">
      <c r="R23" s="11">
        <f>M7*1.5/100</f>
        <v>34.966499999999996</v>
      </c>
    </row>
    <row r="24" spans="1:19">
      <c r="B24" s="660"/>
      <c r="C24" s="660"/>
      <c r="D24" s="660"/>
      <c r="E24" s="660"/>
      <c r="F24" s="660"/>
      <c r="G24" s="660"/>
      <c r="H24" s="660"/>
      <c r="I24" s="660"/>
      <c r="J24" s="660"/>
      <c r="K24" s="660"/>
      <c r="L24" s="660"/>
      <c r="M24" s="660"/>
      <c r="N24" s="660"/>
      <c r="O24" s="660"/>
      <c r="P24" s="660"/>
      <c r="S24" s="43"/>
    </row>
    <row r="25" spans="1:19">
      <c r="A25" s="714"/>
      <c r="B25" s="2126" t="s">
        <v>4423</v>
      </c>
      <c r="C25" s="2127"/>
      <c r="D25" s="2127"/>
      <c r="E25" s="2127"/>
      <c r="F25" s="2127"/>
      <c r="G25" s="2127"/>
      <c r="H25" s="2127"/>
      <c r="I25" s="2127"/>
      <c r="J25" s="2127"/>
      <c r="K25" s="2127"/>
      <c r="L25" s="2127"/>
      <c r="M25" s="2127"/>
      <c r="N25" s="2127"/>
      <c r="O25" s="2128"/>
      <c r="P25" s="661"/>
    </row>
    <row r="26" spans="1:19">
      <c r="A26" s="714"/>
      <c r="B26" s="662" t="s">
        <v>5054</v>
      </c>
      <c r="C26" s="663" t="s">
        <v>143</v>
      </c>
      <c r="D26" s="663" t="s">
        <v>26</v>
      </c>
      <c r="E26" s="663" t="s">
        <v>25</v>
      </c>
      <c r="F26" s="663" t="s">
        <v>24</v>
      </c>
      <c r="G26" s="663" t="s">
        <v>23</v>
      </c>
      <c r="H26" s="663" t="s">
        <v>22</v>
      </c>
      <c r="I26" s="663" t="s">
        <v>21</v>
      </c>
      <c r="J26" s="663" t="s">
        <v>20</v>
      </c>
      <c r="K26" s="663" t="s">
        <v>256</v>
      </c>
      <c r="L26" s="663" t="s">
        <v>18</v>
      </c>
      <c r="M26" s="663" t="s">
        <v>17</v>
      </c>
      <c r="N26" s="663" t="s">
        <v>86</v>
      </c>
      <c r="O26" s="664" t="s">
        <v>67</v>
      </c>
      <c r="P26" s="665"/>
    </row>
    <row r="27" spans="1:19">
      <c r="A27" s="714"/>
      <c r="B27" s="666" t="s">
        <v>4424</v>
      </c>
      <c r="C27" s="671"/>
      <c r="D27" s="671"/>
      <c r="E27" s="671"/>
      <c r="F27" s="671"/>
      <c r="G27" s="671"/>
      <c r="H27" s="671"/>
      <c r="I27" s="671"/>
      <c r="J27" s="671"/>
      <c r="K27" s="671"/>
      <c r="L27" s="671"/>
      <c r="M27" s="671"/>
      <c r="N27" s="671"/>
      <c r="O27" s="668"/>
      <c r="P27" s="672"/>
    </row>
    <row r="28" spans="1:19">
      <c r="A28" s="714"/>
      <c r="B28" s="674" t="s">
        <v>5056</v>
      </c>
      <c r="C28" s="685">
        <v>170</v>
      </c>
      <c r="D28" s="697"/>
      <c r="E28" s="697"/>
      <c r="F28" s="698"/>
      <c r="G28" s="697"/>
      <c r="H28" s="697"/>
      <c r="I28" s="697"/>
      <c r="J28" s="697"/>
      <c r="K28" s="697"/>
      <c r="L28" s="697"/>
      <c r="M28" s="697"/>
      <c r="N28" s="697"/>
      <c r="O28" s="668">
        <f>SUM(C28:N28)</f>
        <v>170</v>
      </c>
      <c r="P28" s="672"/>
    </row>
    <row r="29" spans="1:19">
      <c r="A29" s="714"/>
      <c r="B29" s="674" t="s">
        <v>4426</v>
      </c>
      <c r="C29" s="812">
        <v>100</v>
      </c>
      <c r="D29" s="697"/>
      <c r="E29" s="697"/>
      <c r="F29" s="698"/>
      <c r="G29" s="697"/>
      <c r="H29" s="697"/>
      <c r="I29" s="697"/>
      <c r="J29" s="697"/>
      <c r="K29" s="697"/>
      <c r="L29" s="697"/>
      <c r="M29" s="697"/>
      <c r="N29" s="697"/>
      <c r="O29" s="668">
        <f>SUM(C29:N29)</f>
        <v>100</v>
      </c>
      <c r="P29" s="672"/>
    </row>
    <row r="30" spans="1:19">
      <c r="A30" s="714"/>
      <c r="B30" s="674" t="s">
        <v>5057</v>
      </c>
      <c r="C30" s="812">
        <v>165</v>
      </c>
      <c r="D30" s="697"/>
      <c r="E30" s="697"/>
      <c r="F30" s="698"/>
      <c r="G30" s="697"/>
      <c r="H30" s="697"/>
      <c r="I30" s="697"/>
      <c r="J30" s="697"/>
      <c r="K30" s="697"/>
      <c r="L30" s="697"/>
      <c r="M30" s="697"/>
      <c r="N30" s="697"/>
      <c r="O30" s="668">
        <f>SUM(C30:N30)</f>
        <v>165</v>
      </c>
      <c r="P30" s="672"/>
    </row>
    <row r="31" spans="1:19">
      <c r="A31" s="714"/>
      <c r="B31" s="674" t="s">
        <v>4440</v>
      </c>
      <c r="C31" s="812">
        <v>165</v>
      </c>
      <c r="D31" s="697"/>
      <c r="E31" s="697"/>
      <c r="F31" s="698"/>
      <c r="G31" s="697"/>
      <c r="H31" s="697"/>
      <c r="I31" s="697"/>
      <c r="J31" s="697"/>
      <c r="K31" s="697"/>
      <c r="L31" s="697"/>
      <c r="M31" s="697"/>
      <c r="N31" s="697"/>
      <c r="O31" s="668">
        <f>SUM(J31:N31)</f>
        <v>0</v>
      </c>
      <c r="P31" s="672"/>
    </row>
    <row r="32" spans="1:19">
      <c r="A32" s="714"/>
      <c r="B32" s="674" t="s">
        <v>4429</v>
      </c>
      <c r="C32" s="772"/>
      <c r="D32" s="697"/>
      <c r="E32" s="697"/>
      <c r="F32" s="698"/>
      <c r="G32" s="697"/>
      <c r="H32" s="697"/>
      <c r="I32" s="697"/>
      <c r="J32" s="697"/>
      <c r="K32" s="697"/>
      <c r="L32" s="697"/>
      <c r="M32" s="697"/>
      <c r="N32" s="697"/>
      <c r="O32" s="668">
        <f>SUM(C32:N32)</f>
        <v>0</v>
      </c>
      <c r="P32" s="672"/>
    </row>
    <row r="33" spans="1:18" ht="25.5">
      <c r="A33" s="714"/>
      <c r="B33" s="674" t="s">
        <v>4441</v>
      </c>
      <c r="C33" s="685">
        <v>398</v>
      </c>
      <c r="D33" s="697"/>
      <c r="E33" s="702" t="s">
        <v>4430</v>
      </c>
      <c r="F33" s="698"/>
      <c r="G33" s="697"/>
      <c r="H33" s="697"/>
      <c r="I33" s="697"/>
      <c r="J33" s="697"/>
      <c r="K33" s="697"/>
      <c r="L33" s="697"/>
      <c r="M33" s="697"/>
      <c r="N33" s="697"/>
      <c r="O33" s="668">
        <f>SUM(C33:N33)</f>
        <v>398</v>
      </c>
      <c r="P33" s="672"/>
      <c r="Q33" s="2088" t="s">
        <v>4431</v>
      </c>
      <c r="R33" s="2087"/>
    </row>
    <row r="34" spans="1:18">
      <c r="A34" s="714"/>
      <c r="B34" s="703"/>
      <c r="C34" s="701"/>
      <c r="D34" s="697"/>
      <c r="E34" s="697"/>
      <c r="F34" s="698"/>
      <c r="G34" s="697"/>
      <c r="H34" s="697"/>
      <c r="I34" s="704"/>
      <c r="J34" s="697"/>
      <c r="K34" s="697"/>
      <c r="L34" s="697"/>
      <c r="M34" s="697"/>
      <c r="N34" s="697"/>
      <c r="O34" s="668">
        <f>SUM(C34:N34)</f>
        <v>0</v>
      </c>
      <c r="P34" s="672"/>
    </row>
    <row r="35" spans="1:18">
      <c r="A35" s="714"/>
      <c r="B35" s="674" t="s">
        <v>4432</v>
      </c>
      <c r="C35" s="685">
        <v>155</v>
      </c>
      <c r="D35" s="697"/>
      <c r="E35" s="697"/>
      <c r="F35" s="698"/>
      <c r="G35" s="697"/>
      <c r="H35" s="697"/>
      <c r="I35" s="697"/>
      <c r="J35" s="697"/>
      <c r="K35" s="697"/>
      <c r="L35" s="697"/>
      <c r="M35" s="697"/>
      <c r="N35" s="697"/>
      <c r="O35" s="668">
        <f>SUM(C35:N35)</f>
        <v>155</v>
      </c>
      <c r="P35" s="672"/>
    </row>
    <row r="36" spans="1:18">
      <c r="A36" s="714"/>
      <c r="B36" s="674"/>
      <c r="C36" s="772"/>
      <c r="D36" s="697"/>
      <c r="E36" s="697"/>
      <c r="F36" s="698"/>
      <c r="G36" s="697"/>
      <c r="H36" s="697"/>
      <c r="I36" s="697"/>
      <c r="J36" s="697"/>
      <c r="K36" s="697"/>
      <c r="L36" s="697"/>
      <c r="M36" s="697"/>
      <c r="N36" s="697"/>
      <c r="O36" s="668">
        <f>SUM(C36:N36)</f>
        <v>0</v>
      </c>
      <c r="P36" s="672"/>
    </row>
    <row r="37" spans="1:18">
      <c r="A37" s="714"/>
      <c r="B37" s="674" t="s">
        <v>4323</v>
      </c>
      <c r="C37" s="685">
        <v>60</v>
      </c>
      <c r="D37" s="705"/>
      <c r="E37" s="705"/>
      <c r="F37" s="706"/>
      <c r="G37" s="705"/>
      <c r="H37" s="705"/>
      <c r="I37" s="705"/>
      <c r="J37" s="705"/>
      <c r="K37" s="705"/>
      <c r="L37" s="705"/>
      <c r="M37" s="705"/>
      <c r="N37" s="705"/>
      <c r="O37" s="668"/>
      <c r="P37" s="672"/>
    </row>
    <row r="38" spans="1:18">
      <c r="A38" s="714"/>
      <c r="B38" s="674" t="s">
        <v>4433</v>
      </c>
      <c r="C38" s="772"/>
      <c r="D38" s="705"/>
      <c r="E38" s="705"/>
      <c r="F38" s="705"/>
      <c r="G38" s="705"/>
      <c r="H38" s="705"/>
      <c r="I38" s="705"/>
      <c r="J38" s="705"/>
      <c r="K38" s="705"/>
      <c r="L38" s="705"/>
      <c r="M38" s="705"/>
      <c r="N38" s="705">
        <f>72.06+23.24</f>
        <v>95.3</v>
      </c>
      <c r="O38" s="668"/>
      <c r="P38" s="672"/>
      <c r="Q38" s="707">
        <f>SUM(O28:O36)</f>
        <v>988</v>
      </c>
    </row>
    <row r="39" spans="1:18" ht="25.5">
      <c r="A39" s="714"/>
      <c r="B39" s="674" t="s">
        <v>4434</v>
      </c>
      <c r="C39" s="701">
        <v>-35</v>
      </c>
      <c r="D39" s="685">
        <v>-35</v>
      </c>
      <c r="E39" s="685">
        <v>-35</v>
      </c>
      <c r="F39" s="708">
        <v>-35</v>
      </c>
      <c r="G39" s="708">
        <v>-35</v>
      </c>
      <c r="H39" s="708">
        <v>-35</v>
      </c>
      <c r="I39" s="708">
        <v>-35</v>
      </c>
      <c r="J39" s="708">
        <v>-35</v>
      </c>
      <c r="K39" s="708">
        <v>-35</v>
      </c>
      <c r="L39" s="708">
        <v>-35</v>
      </c>
      <c r="M39" s="708">
        <v>-35</v>
      </c>
      <c r="N39" s="708">
        <v>-35</v>
      </c>
      <c r="O39" s="668">
        <f>SUM(C39:N39)</f>
        <v>-420</v>
      </c>
      <c r="P39" s="672"/>
    </row>
    <row r="40" spans="1:18">
      <c r="A40" s="715"/>
      <c r="B40" s="677" t="s">
        <v>4435</v>
      </c>
      <c r="C40" s="677">
        <f t="shared" ref="C40:O40" si="5">SUM(C28:C39)</f>
        <v>1178</v>
      </c>
      <c r="D40" s="677">
        <f t="shared" si="5"/>
        <v>-35</v>
      </c>
      <c r="E40" s="677">
        <f t="shared" si="5"/>
        <v>-35</v>
      </c>
      <c r="F40" s="677">
        <f t="shared" si="5"/>
        <v>-35</v>
      </c>
      <c r="G40" s="677">
        <f t="shared" si="5"/>
        <v>-35</v>
      </c>
      <c r="H40" s="677">
        <f t="shared" si="5"/>
        <v>-35</v>
      </c>
      <c r="I40" s="677">
        <f t="shared" si="5"/>
        <v>-35</v>
      </c>
      <c r="J40" s="677">
        <f t="shared" si="5"/>
        <v>-35</v>
      </c>
      <c r="K40" s="677">
        <f t="shared" si="5"/>
        <v>-35</v>
      </c>
      <c r="L40" s="677">
        <f t="shared" si="5"/>
        <v>-35</v>
      </c>
      <c r="M40" s="677">
        <f t="shared" si="5"/>
        <v>-35</v>
      </c>
      <c r="N40" s="677">
        <f t="shared" si="5"/>
        <v>60.3</v>
      </c>
      <c r="O40" s="677">
        <f t="shared" si="5"/>
        <v>568</v>
      </c>
      <c r="P40" s="691"/>
    </row>
    <row r="41" spans="1:18">
      <c r="A41" s="715" t="s">
        <v>135</v>
      </c>
      <c r="B41" s="709" t="s">
        <v>135</v>
      </c>
      <c r="C41" s="709"/>
      <c r="D41" s="709"/>
      <c r="E41" s="709"/>
      <c r="F41" s="709"/>
      <c r="G41" s="709"/>
      <c r="H41" s="709"/>
      <c r="I41" s="709"/>
      <c r="J41" s="709"/>
      <c r="K41" s="709"/>
      <c r="L41" s="709"/>
      <c r="M41" s="709"/>
      <c r="N41" s="709"/>
      <c r="O41" s="709"/>
      <c r="P41" s="710"/>
    </row>
    <row r="42" spans="1:18">
      <c r="B42" s="578"/>
      <c r="C42" s="578"/>
      <c r="D42" s="578"/>
      <c r="E42" s="578"/>
      <c r="F42" s="578"/>
      <c r="G42" s="578"/>
      <c r="H42" s="578"/>
      <c r="I42" s="578"/>
      <c r="J42" s="578"/>
      <c r="K42" s="578"/>
      <c r="L42" s="578"/>
      <c r="M42" s="2129" t="s">
        <v>4436</v>
      </c>
      <c r="N42" s="2087"/>
      <c r="O42" s="711">
        <f>800/12</f>
        <v>66.666666666666671</v>
      </c>
      <c r="P42" s="712"/>
    </row>
    <row r="43" spans="1:18">
      <c r="B43" s="660"/>
      <c r="C43" s="660"/>
      <c r="D43" s="660"/>
      <c r="E43" s="660"/>
      <c r="F43" s="660"/>
      <c r="G43" s="660"/>
      <c r="H43" s="660"/>
      <c r="I43" s="660"/>
      <c r="J43" s="660"/>
      <c r="K43" s="660"/>
      <c r="L43" s="660"/>
      <c r="M43" s="660"/>
      <c r="N43" s="660"/>
      <c r="O43" s="660"/>
      <c r="P43" s="660"/>
    </row>
    <row r="44" spans="1:18">
      <c r="B44" s="660"/>
      <c r="C44" s="660"/>
      <c r="D44" s="660"/>
      <c r="E44" s="660"/>
      <c r="F44" s="660"/>
      <c r="G44" s="660"/>
      <c r="H44" s="660"/>
      <c r="I44" s="660"/>
      <c r="J44" s="660"/>
      <c r="K44" s="660"/>
      <c r="L44" s="660"/>
      <c r="M44" s="660"/>
      <c r="N44" s="660"/>
      <c r="O44" s="660"/>
      <c r="P44" s="660"/>
    </row>
    <row r="47" spans="1:18">
      <c r="B47" s="2130"/>
      <c r="C47" s="2087"/>
      <c r="D47" s="2087"/>
      <c r="E47" s="2087"/>
      <c r="F47" s="2087"/>
      <c r="G47" s="2087"/>
      <c r="H47" s="2087"/>
      <c r="I47" s="2087"/>
      <c r="J47" s="2087"/>
      <c r="K47" s="2087"/>
      <c r="L47" s="2087"/>
      <c r="M47" s="2087"/>
      <c r="N47" s="2087"/>
      <c r="P47" s="712"/>
    </row>
    <row r="48" spans="1:18" ht="12.75" customHeight="1">
      <c r="B48" s="2087"/>
      <c r="C48" s="2087"/>
      <c r="D48" s="2087"/>
      <c r="E48" s="2087"/>
      <c r="F48" s="2087"/>
    </row>
    <row r="49" spans="2:16">
      <c r="B49" s="660"/>
      <c r="C49" s="660"/>
      <c r="D49" s="660"/>
      <c r="E49" s="660"/>
      <c r="F49" s="660"/>
      <c r="G49" s="660"/>
      <c r="H49" s="660"/>
      <c r="I49" s="660"/>
      <c r="J49" s="660"/>
      <c r="K49" s="660"/>
      <c r="L49" s="660"/>
      <c r="M49" s="660"/>
      <c r="N49" s="660"/>
      <c r="O49" s="660"/>
      <c r="P49" s="660"/>
    </row>
    <row r="53" spans="2:16">
      <c r="B53" s="3" t="s">
        <v>4442</v>
      </c>
    </row>
    <row r="54" spans="2:16">
      <c r="B54" s="253" t="s">
        <v>4443</v>
      </c>
      <c r="C54" s="9">
        <f>29.99*12</f>
        <v>359.88</v>
      </c>
    </row>
    <row r="55" spans="2:16" ht="25.5">
      <c r="B55" s="9" t="s">
        <v>4444</v>
      </c>
      <c r="C55" s="9">
        <v>39</v>
      </c>
    </row>
    <row r="56" spans="2:16">
      <c r="B56" s="9" t="s">
        <v>4445</v>
      </c>
      <c r="C56" s="9">
        <v>399</v>
      </c>
    </row>
  </sheetData>
  <mergeCells count="6">
    <mergeCell ref="B48:F48"/>
    <mergeCell ref="B3:O3"/>
    <mergeCell ref="B25:O25"/>
    <mergeCell ref="Q33:R33"/>
    <mergeCell ref="M42:N42"/>
    <mergeCell ref="B47:N47"/>
  </mergeCells>
  <hyperlinks>
    <hyperlink ref="B54" r:id="rId1" xr:uid="{00000000-0004-0000-1800-000000000000}"/>
  </hyperlinks>
  <pageMargins left="0.7" right="0.7" top="0.75" bottom="0.75" header="0.3" footer="0.3"/>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pageSetUpPr fitToPage="1"/>
  </sheetPr>
  <dimension ref="A1:R1045"/>
  <sheetViews>
    <sheetView topLeftCell="C31" workbookViewId="0">
      <selection activeCell="M54" sqref="M54"/>
    </sheetView>
  </sheetViews>
  <sheetFormatPr defaultColWidth="12.7109375" defaultRowHeight="12.75" customHeight="1"/>
  <cols>
    <col min="1" max="1" width="27.28515625" customWidth="1"/>
    <col min="2" max="2" width="33.28515625" customWidth="1"/>
    <col min="3" max="3" width="19.7109375" customWidth="1"/>
    <col min="4" max="4" width="16.28515625" customWidth="1"/>
    <col min="5" max="5" width="8.42578125" customWidth="1"/>
    <col min="6" max="7" width="6" customWidth="1"/>
    <col min="8" max="8" width="37.7109375" customWidth="1"/>
    <col min="9" max="9" width="10.85546875" customWidth="1"/>
    <col min="10" max="10" width="8.28515625" customWidth="1"/>
    <col min="11" max="11" width="5.140625" customWidth="1"/>
    <col min="12" max="12" width="27.28515625" customWidth="1"/>
    <col min="13" max="13" width="38.28515625" customWidth="1"/>
    <col min="14" max="14" width="32" customWidth="1"/>
    <col min="15" max="15" width="25.7109375" customWidth="1"/>
    <col min="16" max="16" width="25.28515625" customWidth="1"/>
    <col min="17" max="17" width="32.7109375" customWidth="1"/>
  </cols>
  <sheetData>
    <row r="1" spans="1:17" ht="15">
      <c r="A1" s="813"/>
      <c r="B1" s="813"/>
      <c r="C1" s="813"/>
      <c r="D1" s="813"/>
      <c r="E1" s="3">
        <f>E148</f>
        <v>35</v>
      </c>
      <c r="F1" s="3">
        <f>F148</f>
        <v>88</v>
      </c>
      <c r="G1" s="9"/>
      <c r="H1" s="3" t="s">
        <v>5848</v>
      </c>
      <c r="I1" s="9">
        <v>6794.88</v>
      </c>
      <c r="L1" s="3"/>
      <c r="M1" s="3"/>
      <c r="N1" s="70"/>
      <c r="O1" s="447"/>
      <c r="P1" s="3"/>
      <c r="Q1" s="3"/>
    </row>
    <row r="2" spans="1:17" ht="25.5">
      <c r="A2" s="813" t="s">
        <v>5849</v>
      </c>
      <c r="B2" s="813" t="s">
        <v>5850</v>
      </c>
      <c r="C2" s="813" t="s">
        <v>5851</v>
      </c>
      <c r="D2" s="813" t="s">
        <v>5852</v>
      </c>
      <c r="E2" s="43" t="s">
        <v>5853</v>
      </c>
      <c r="F2" s="43" t="s">
        <v>5854</v>
      </c>
      <c r="G2" s="9"/>
      <c r="H2" s="3" t="s">
        <v>5855</v>
      </c>
      <c r="L2" s="3" t="s">
        <v>5856</v>
      </c>
      <c r="M2" s="3" t="s">
        <v>5857</v>
      </c>
      <c r="N2" s="70" t="s">
        <v>5858</v>
      </c>
      <c r="O2" s="447"/>
      <c r="P2" s="3" t="s">
        <v>5859</v>
      </c>
      <c r="Q2" s="3" t="s">
        <v>5860</v>
      </c>
    </row>
    <row r="3" spans="1:17" ht="15">
      <c r="A3" s="814">
        <v>44604</v>
      </c>
      <c r="B3" s="815" t="s">
        <v>5861</v>
      </c>
      <c r="C3" s="815" t="s">
        <v>5862</v>
      </c>
      <c r="D3" s="816">
        <v>0.875</v>
      </c>
      <c r="G3" s="9"/>
      <c r="H3" s="18" t="s">
        <v>5863</v>
      </c>
      <c r="I3" s="9">
        <v>6</v>
      </c>
      <c r="L3" s="59" t="s">
        <v>5864</v>
      </c>
      <c r="M3" s="445" t="s">
        <v>5865</v>
      </c>
      <c r="N3" s="59" t="s">
        <v>5866</v>
      </c>
      <c r="O3" s="40"/>
      <c r="P3" s="18" t="s">
        <v>5867</v>
      </c>
      <c r="Q3" s="18" t="s">
        <v>5868</v>
      </c>
    </row>
    <row r="4" spans="1:17" ht="25.5">
      <c r="A4" s="817">
        <v>44605</v>
      </c>
      <c r="B4" s="818" t="s">
        <v>5869</v>
      </c>
      <c r="C4" s="819">
        <v>0.29166666666666669</v>
      </c>
      <c r="D4" s="819">
        <v>0.625</v>
      </c>
      <c r="G4" s="9"/>
      <c r="H4" s="18" t="s">
        <v>5870</v>
      </c>
      <c r="I4" s="9">
        <v>6</v>
      </c>
      <c r="L4" s="59" t="s">
        <v>5871</v>
      </c>
      <c r="M4" s="445" t="s">
        <v>5872</v>
      </c>
      <c r="N4" s="59" t="s">
        <v>5873</v>
      </c>
      <c r="O4" s="40">
        <v>0.25</v>
      </c>
      <c r="P4" s="18" t="s">
        <v>5874</v>
      </c>
      <c r="Q4" s="289" t="s">
        <v>1652</v>
      </c>
    </row>
    <row r="5" spans="1:17" ht="15">
      <c r="A5" s="814">
        <v>44606</v>
      </c>
      <c r="B5" s="815" t="s">
        <v>5875</v>
      </c>
      <c r="C5" s="815"/>
      <c r="D5" s="815"/>
      <c r="H5" s="18" t="s">
        <v>5876</v>
      </c>
      <c r="I5" s="9">
        <v>1</v>
      </c>
      <c r="L5" s="59" t="s">
        <v>4933</v>
      </c>
      <c r="N5" s="59" t="s">
        <v>5877</v>
      </c>
      <c r="O5" s="40"/>
      <c r="P5" s="18" t="s">
        <v>5878</v>
      </c>
      <c r="Q5" s="18" t="s">
        <v>5879</v>
      </c>
    </row>
    <row r="6" spans="1:17" ht="12.75" customHeight="1">
      <c r="A6" s="817">
        <v>44607</v>
      </c>
      <c r="B6" s="818" t="s">
        <v>5880</v>
      </c>
      <c r="C6" s="819">
        <v>0.5</v>
      </c>
      <c r="D6" s="819">
        <v>0.83333333333333337</v>
      </c>
      <c r="G6" s="9"/>
      <c r="H6" s="18" t="s">
        <v>5881</v>
      </c>
      <c r="I6" s="9">
        <v>1</v>
      </c>
      <c r="L6" s="820" t="s">
        <v>5882</v>
      </c>
      <c r="M6" s="18" t="s">
        <v>5883</v>
      </c>
      <c r="N6" s="59" t="s">
        <v>5884</v>
      </c>
      <c r="O6" s="40">
        <v>0</v>
      </c>
      <c r="P6" s="18" t="s">
        <v>5885</v>
      </c>
      <c r="Q6" s="18" t="s">
        <v>5886</v>
      </c>
    </row>
    <row r="7" spans="1:17" ht="15">
      <c r="A7" s="814">
        <v>44608</v>
      </c>
      <c r="B7" s="815" t="s">
        <v>5887</v>
      </c>
      <c r="C7" s="816">
        <v>0.375</v>
      </c>
      <c r="D7" s="816">
        <v>0.75</v>
      </c>
      <c r="G7" s="9"/>
      <c r="H7" s="18" t="s">
        <v>5888</v>
      </c>
      <c r="I7" s="9">
        <v>1</v>
      </c>
      <c r="L7" s="59" t="s">
        <v>5889</v>
      </c>
      <c r="N7" s="59" t="s">
        <v>5890</v>
      </c>
      <c r="O7" s="40"/>
      <c r="P7" s="18" t="s">
        <v>5891</v>
      </c>
      <c r="Q7" s="18" t="s">
        <v>1623</v>
      </c>
    </row>
    <row r="8" spans="1:17" ht="15">
      <c r="A8" s="817">
        <v>44609</v>
      </c>
      <c r="B8" s="818" t="s">
        <v>5875</v>
      </c>
      <c r="C8" s="818"/>
      <c r="D8" s="818"/>
      <c r="H8" s="18" t="s">
        <v>5892</v>
      </c>
      <c r="I8" s="9">
        <v>7</v>
      </c>
      <c r="L8" s="821" t="s">
        <v>5893</v>
      </c>
      <c r="N8" s="59" t="s">
        <v>5894</v>
      </c>
      <c r="P8" s="18" t="s">
        <v>5895</v>
      </c>
      <c r="Q8" s="18" t="s">
        <v>5896</v>
      </c>
    </row>
    <row r="9" spans="1:17" ht="15">
      <c r="A9" s="814">
        <v>44610</v>
      </c>
      <c r="B9" s="815" t="s">
        <v>5897</v>
      </c>
      <c r="C9" s="816">
        <v>0.33333333333333331</v>
      </c>
      <c r="D9" s="816">
        <v>0.75</v>
      </c>
      <c r="G9" s="9"/>
      <c r="H9" s="18" t="s">
        <v>5898</v>
      </c>
      <c r="I9" s="9">
        <v>7</v>
      </c>
      <c r="L9" s="59" t="s">
        <v>5899</v>
      </c>
      <c r="N9" s="59" t="s">
        <v>5900</v>
      </c>
      <c r="O9" s="40"/>
      <c r="P9" s="18" t="s">
        <v>3127</v>
      </c>
      <c r="Q9" s="18" t="s">
        <v>5901</v>
      </c>
    </row>
    <row r="10" spans="1:17" ht="15">
      <c r="A10" s="822">
        <v>44611</v>
      </c>
      <c r="B10" s="823" t="s">
        <v>5875</v>
      </c>
      <c r="C10" s="823"/>
      <c r="D10" s="823"/>
      <c r="E10" s="9">
        <v>1</v>
      </c>
      <c r="H10" s="18" t="s">
        <v>5902</v>
      </c>
      <c r="I10" s="9">
        <v>7</v>
      </c>
      <c r="L10" s="821" t="s">
        <v>5903</v>
      </c>
      <c r="N10" s="59" t="s">
        <v>5904</v>
      </c>
      <c r="O10" s="40"/>
      <c r="P10" s="18" t="s">
        <v>5905</v>
      </c>
      <c r="Q10" s="18" t="s">
        <v>3105</v>
      </c>
    </row>
    <row r="11" spans="1:17" ht="25.5">
      <c r="A11" s="824">
        <v>44612</v>
      </c>
      <c r="B11" s="825" t="s">
        <v>5875</v>
      </c>
      <c r="C11" s="825"/>
      <c r="D11" s="825"/>
      <c r="E11" s="9">
        <v>1</v>
      </c>
      <c r="H11" s="18" t="s">
        <v>5906</v>
      </c>
      <c r="I11" s="9">
        <v>3</v>
      </c>
      <c r="N11" s="59" t="s">
        <v>5907</v>
      </c>
      <c r="O11" s="40"/>
      <c r="P11" s="18" t="s">
        <v>5908</v>
      </c>
      <c r="Q11" s="18" t="s">
        <v>5909</v>
      </c>
    </row>
    <row r="12" spans="1:17" ht="15">
      <c r="A12" s="822">
        <v>44613</v>
      </c>
      <c r="B12" s="823" t="s">
        <v>5910</v>
      </c>
      <c r="C12" s="826">
        <v>0.33333333333333331</v>
      </c>
      <c r="D12" s="826">
        <v>0.79166666666666663</v>
      </c>
      <c r="F12" s="9">
        <v>1</v>
      </c>
      <c r="G12" s="9"/>
      <c r="H12" s="18" t="s">
        <v>5911</v>
      </c>
      <c r="I12" s="9">
        <v>1</v>
      </c>
      <c r="M12" s="18" t="s">
        <v>5912</v>
      </c>
      <c r="N12" s="59" t="s">
        <v>5913</v>
      </c>
      <c r="O12" s="40"/>
      <c r="P12" s="18" t="s">
        <v>5914</v>
      </c>
      <c r="Q12" s="18" t="s">
        <v>5915</v>
      </c>
    </row>
    <row r="13" spans="1:17" ht="15">
      <c r="A13" s="824">
        <v>44614</v>
      </c>
      <c r="B13" s="825" t="s">
        <v>5916</v>
      </c>
      <c r="C13" s="825"/>
      <c r="D13" s="825"/>
      <c r="E13" s="9">
        <v>1</v>
      </c>
      <c r="H13" s="18" t="s">
        <v>1955</v>
      </c>
      <c r="I13" s="9">
        <v>1</v>
      </c>
      <c r="M13" s="18" t="s">
        <v>5917</v>
      </c>
      <c r="N13" s="59" t="s">
        <v>5918</v>
      </c>
      <c r="O13" s="40"/>
      <c r="P13" s="18" t="s">
        <v>5919</v>
      </c>
      <c r="Q13" s="18" t="s">
        <v>5920</v>
      </c>
    </row>
    <row r="14" spans="1:17" ht="15">
      <c r="A14" s="822">
        <v>44615</v>
      </c>
      <c r="B14" s="823" t="s">
        <v>5921</v>
      </c>
      <c r="C14" s="826">
        <v>0.33333333333333331</v>
      </c>
      <c r="D14" s="826">
        <v>0.875</v>
      </c>
      <c r="F14" s="9">
        <v>1</v>
      </c>
      <c r="G14" s="9"/>
      <c r="H14" s="18" t="s">
        <v>5922</v>
      </c>
      <c r="I14" s="9">
        <v>1</v>
      </c>
      <c r="L14" s="18" t="s">
        <v>5923</v>
      </c>
      <c r="M14" s="18" t="s">
        <v>5924</v>
      </c>
      <c r="N14" s="59" t="s">
        <v>5925</v>
      </c>
      <c r="O14" s="40"/>
      <c r="P14" s="18" t="s">
        <v>5865</v>
      </c>
      <c r="Q14" s="18" t="s">
        <v>5926</v>
      </c>
    </row>
    <row r="15" spans="1:17" ht="15">
      <c r="A15" s="824">
        <v>44616</v>
      </c>
      <c r="B15" s="825" t="s">
        <v>5927</v>
      </c>
      <c r="C15" s="825"/>
      <c r="D15" s="825"/>
      <c r="F15" s="9">
        <v>1</v>
      </c>
      <c r="G15" s="9"/>
      <c r="H15" s="18" t="s">
        <v>5928</v>
      </c>
      <c r="I15" s="9">
        <v>1</v>
      </c>
      <c r="L15" s="445" t="s">
        <v>5929</v>
      </c>
      <c r="M15" s="18" t="s">
        <v>5930</v>
      </c>
      <c r="N15" s="59" t="s">
        <v>5931</v>
      </c>
      <c r="O15" s="40"/>
    </row>
    <row r="16" spans="1:17" ht="15">
      <c r="A16" s="822">
        <v>44617</v>
      </c>
      <c r="B16" s="823" t="s">
        <v>5932</v>
      </c>
      <c r="C16" s="823"/>
      <c r="D16" s="823"/>
      <c r="E16" s="9">
        <v>1</v>
      </c>
      <c r="H16" s="18" t="s">
        <v>5933</v>
      </c>
      <c r="I16" s="9">
        <v>1</v>
      </c>
      <c r="L16" s="445" t="s">
        <v>5934</v>
      </c>
      <c r="M16" s="445" t="s">
        <v>5935</v>
      </c>
      <c r="N16" s="18" t="s">
        <v>5936</v>
      </c>
      <c r="O16" s="40"/>
      <c r="P16" s="3" t="s">
        <v>5937</v>
      </c>
    </row>
    <row r="17" spans="1:18" ht="15">
      <c r="A17" s="824">
        <v>44618</v>
      </c>
      <c r="B17" s="825" t="s">
        <v>5938</v>
      </c>
      <c r="C17" s="827">
        <v>0.33333333333333331</v>
      </c>
      <c r="D17" s="827">
        <v>0.875</v>
      </c>
      <c r="F17" s="9">
        <v>1</v>
      </c>
      <c r="G17" s="9"/>
      <c r="H17" s="18" t="s">
        <v>5939</v>
      </c>
      <c r="I17" s="9">
        <v>3</v>
      </c>
      <c r="M17" s="445" t="s">
        <v>5940</v>
      </c>
      <c r="N17" s="18" t="s">
        <v>5941</v>
      </c>
      <c r="P17" s="18" t="s">
        <v>5942</v>
      </c>
    </row>
    <row r="18" spans="1:18" ht="15">
      <c r="A18" s="822">
        <v>44619</v>
      </c>
      <c r="B18" s="823" t="s">
        <v>5943</v>
      </c>
      <c r="C18" s="826">
        <v>0.33333333333333331</v>
      </c>
      <c r="D18" s="826">
        <v>0.75</v>
      </c>
      <c r="F18" s="9">
        <v>1</v>
      </c>
      <c r="G18" s="9"/>
      <c r="H18" s="18" t="s">
        <v>5944</v>
      </c>
      <c r="I18" s="9">
        <v>1</v>
      </c>
      <c r="L18" s="3" t="s">
        <v>5945</v>
      </c>
      <c r="M18" s="445" t="s">
        <v>5946</v>
      </c>
      <c r="N18" s="18" t="s">
        <v>5947</v>
      </c>
      <c r="P18" s="18" t="s">
        <v>5948</v>
      </c>
    </row>
    <row r="19" spans="1:18" ht="15">
      <c r="A19" s="824">
        <v>44620</v>
      </c>
      <c r="B19" s="825" t="s">
        <v>5949</v>
      </c>
      <c r="C19" s="827">
        <v>0.33333333333333331</v>
      </c>
      <c r="D19" s="827">
        <v>0.75</v>
      </c>
      <c r="F19" s="9">
        <v>1</v>
      </c>
      <c r="G19" s="9"/>
      <c r="H19" s="18" t="s">
        <v>5950</v>
      </c>
      <c r="I19" s="9">
        <v>1</v>
      </c>
      <c r="L19" s="59" t="s">
        <v>5951</v>
      </c>
      <c r="M19" s="18" t="s">
        <v>5952</v>
      </c>
      <c r="N19" s="18" t="s">
        <v>5953</v>
      </c>
      <c r="Q19" s="3" t="s">
        <v>5937</v>
      </c>
    </row>
    <row r="20" spans="1:18" ht="15">
      <c r="A20" s="822">
        <v>44621</v>
      </c>
      <c r="B20" s="823" t="s">
        <v>5932</v>
      </c>
      <c r="C20" s="823"/>
      <c r="D20" s="823"/>
      <c r="E20" s="9">
        <v>1</v>
      </c>
      <c r="H20" s="18" t="s">
        <v>5954</v>
      </c>
      <c r="I20" s="9">
        <v>1</v>
      </c>
      <c r="L20" s="59" t="s">
        <v>5955</v>
      </c>
      <c r="M20" s="18" t="s">
        <v>5956</v>
      </c>
      <c r="N20" s="18" t="s">
        <v>5957</v>
      </c>
      <c r="P20" s="18" t="s">
        <v>5958</v>
      </c>
      <c r="Q20" s="18" t="s">
        <v>4923</v>
      </c>
    </row>
    <row r="21" spans="1:18" ht="25.5">
      <c r="A21" s="824">
        <v>44622</v>
      </c>
      <c r="B21" s="825" t="s">
        <v>5959</v>
      </c>
      <c r="C21" s="827">
        <v>0.33333333333333331</v>
      </c>
      <c r="D21" s="827">
        <v>0.75</v>
      </c>
      <c r="F21" s="9">
        <v>1</v>
      </c>
      <c r="G21" s="9"/>
      <c r="H21" s="18" t="s">
        <v>5960</v>
      </c>
      <c r="I21" s="9">
        <v>2</v>
      </c>
      <c r="L21" s="59" t="s">
        <v>5961</v>
      </c>
      <c r="M21" s="18" t="s">
        <v>5962</v>
      </c>
      <c r="N21" s="18" t="s">
        <v>5963</v>
      </c>
      <c r="P21" s="18" t="s">
        <v>5964</v>
      </c>
      <c r="Q21" s="18" t="s">
        <v>5965</v>
      </c>
    </row>
    <row r="22" spans="1:18" ht="15">
      <c r="A22" s="822">
        <v>44623</v>
      </c>
      <c r="B22" s="823" t="s">
        <v>5966</v>
      </c>
      <c r="C22" s="826">
        <v>0.45833333333333331</v>
      </c>
      <c r="D22" s="826">
        <v>0.95833333333333337</v>
      </c>
      <c r="F22" s="9">
        <v>1</v>
      </c>
      <c r="G22" s="9"/>
      <c r="H22" s="18" t="s">
        <v>5967</v>
      </c>
      <c r="I22" s="9">
        <v>2</v>
      </c>
      <c r="M22" s="18" t="s">
        <v>5968</v>
      </c>
      <c r="N22" s="18" t="s">
        <v>5969</v>
      </c>
      <c r="P22" s="18" t="s">
        <v>5970</v>
      </c>
      <c r="Q22" s="18" t="s">
        <v>4959</v>
      </c>
    </row>
    <row r="23" spans="1:18" ht="15">
      <c r="A23" s="824">
        <v>44624</v>
      </c>
      <c r="B23" s="825" t="s">
        <v>5971</v>
      </c>
      <c r="C23" s="827">
        <v>0.33333333333333331</v>
      </c>
      <c r="D23" s="825"/>
      <c r="F23" s="9">
        <v>1</v>
      </c>
      <c r="G23" s="9"/>
      <c r="H23" s="18" t="s">
        <v>5972</v>
      </c>
      <c r="L23" s="445" t="s">
        <v>5973</v>
      </c>
      <c r="M23" s="18" t="s">
        <v>894</v>
      </c>
      <c r="N23" s="821" t="s">
        <v>5974</v>
      </c>
      <c r="P23" s="18" t="s">
        <v>5975</v>
      </c>
      <c r="Q23" s="18" t="s">
        <v>5976</v>
      </c>
    </row>
    <row r="24" spans="1:18" ht="15">
      <c r="A24" s="824">
        <v>44625</v>
      </c>
      <c r="B24" s="825" t="s">
        <v>5971</v>
      </c>
      <c r="C24" s="825" t="s">
        <v>5862</v>
      </c>
      <c r="D24" s="827">
        <v>0.875</v>
      </c>
      <c r="L24" s="445" t="s">
        <v>5977</v>
      </c>
      <c r="M24" s="18" t="s">
        <v>5978</v>
      </c>
      <c r="N24" s="18" t="s">
        <v>5979</v>
      </c>
      <c r="P24" s="18" t="s">
        <v>5980</v>
      </c>
      <c r="Q24" s="18" t="s">
        <v>574</v>
      </c>
    </row>
    <row r="25" spans="1:18" ht="15">
      <c r="A25" s="822">
        <v>44626</v>
      </c>
      <c r="B25" s="823" t="s">
        <v>5981</v>
      </c>
      <c r="C25" s="826">
        <v>0.33333333333333331</v>
      </c>
      <c r="D25" s="826">
        <v>0.75</v>
      </c>
      <c r="F25" s="9">
        <v>1</v>
      </c>
      <c r="G25" s="9"/>
      <c r="H25" s="3" t="s">
        <v>5982</v>
      </c>
      <c r="M25" s="18" t="s">
        <v>5983</v>
      </c>
      <c r="N25" s="18" t="s">
        <v>5984</v>
      </c>
      <c r="P25" s="289" t="s">
        <v>5985</v>
      </c>
      <c r="Q25" s="18" t="s">
        <v>5986</v>
      </c>
    </row>
    <row r="26" spans="1:18" ht="15">
      <c r="A26" s="824">
        <v>44627</v>
      </c>
      <c r="B26" s="825" t="s">
        <v>5987</v>
      </c>
      <c r="C26" s="827">
        <v>0.375</v>
      </c>
      <c r="D26" s="827">
        <v>0.79166666666666663</v>
      </c>
      <c r="F26" s="9">
        <v>1</v>
      </c>
      <c r="G26" s="9"/>
      <c r="H26" s="18" t="s">
        <v>5988</v>
      </c>
      <c r="I26" s="18"/>
      <c r="M26" s="18" t="s">
        <v>5989</v>
      </c>
      <c r="N26" s="18" t="s">
        <v>5990</v>
      </c>
      <c r="O26" s="40"/>
      <c r="P26" s="18" t="s">
        <v>5991</v>
      </c>
      <c r="Q26" s="18" t="s">
        <v>5992</v>
      </c>
    </row>
    <row r="27" spans="1:18" ht="15">
      <c r="A27" s="822">
        <v>44628</v>
      </c>
      <c r="B27" s="823" t="s">
        <v>5993</v>
      </c>
      <c r="C27" s="826">
        <v>0.33333333333333331</v>
      </c>
      <c r="D27" s="826">
        <v>0.75</v>
      </c>
      <c r="F27" s="9">
        <v>1</v>
      </c>
      <c r="G27" s="9"/>
      <c r="H27" s="9" t="s">
        <v>5994</v>
      </c>
      <c r="I27" s="18"/>
      <c r="M27" s="18" t="s">
        <v>5995</v>
      </c>
      <c r="N27" s="18" t="s">
        <v>5996</v>
      </c>
      <c r="O27" s="40"/>
      <c r="P27" s="18" t="s">
        <v>5997</v>
      </c>
      <c r="Q27" s="18" t="s">
        <v>5998</v>
      </c>
    </row>
    <row r="28" spans="1:18" ht="15">
      <c r="A28" s="824">
        <v>44629</v>
      </c>
      <c r="B28" s="825" t="s">
        <v>5999</v>
      </c>
      <c r="C28" s="827">
        <v>0.29166666666666669</v>
      </c>
      <c r="D28" s="827">
        <v>0.75</v>
      </c>
      <c r="F28" s="9">
        <v>1</v>
      </c>
      <c r="G28" s="9"/>
      <c r="H28" s="18" t="s">
        <v>6000</v>
      </c>
      <c r="I28" s="18"/>
      <c r="L28" s="9" t="s">
        <v>6001</v>
      </c>
      <c r="M28" s="18" t="s">
        <v>6002</v>
      </c>
      <c r="N28" s="18" t="s">
        <v>6003</v>
      </c>
      <c r="O28" s="40"/>
      <c r="Q28" s="18" t="s">
        <v>6004</v>
      </c>
    </row>
    <row r="29" spans="1:18" ht="15">
      <c r="A29" s="822">
        <v>44630</v>
      </c>
      <c r="B29" s="823" t="s">
        <v>6005</v>
      </c>
      <c r="C29" s="826">
        <v>0.33333333333333331</v>
      </c>
      <c r="D29" s="826">
        <v>0.75</v>
      </c>
      <c r="F29" s="9">
        <v>1</v>
      </c>
      <c r="G29" s="9"/>
      <c r="H29" s="18" t="s">
        <v>6006</v>
      </c>
      <c r="I29" s="18"/>
      <c r="L29" s="9" t="s">
        <v>6007</v>
      </c>
      <c r="M29" s="828" t="s">
        <v>6008</v>
      </c>
      <c r="N29" s="18" t="s">
        <v>6009</v>
      </c>
      <c r="O29" s="447">
        <f>SUM(O2:O27)</f>
        <v>0.25</v>
      </c>
      <c r="P29" s="18" t="s">
        <v>6010</v>
      </c>
    </row>
    <row r="30" spans="1:18" s="2302" customFormat="1" ht="15">
      <c r="A30" s="2316">
        <v>44631</v>
      </c>
      <c r="B30" s="2317" t="s">
        <v>6011</v>
      </c>
      <c r="C30" s="2318">
        <v>0.375</v>
      </c>
      <c r="D30" s="2318">
        <v>0.79166666666666663</v>
      </c>
      <c r="F30" s="2312">
        <v>1</v>
      </c>
      <c r="G30" s="2312"/>
      <c r="H30" s="2312" t="s">
        <v>6012</v>
      </c>
      <c r="L30" s="2312" t="s">
        <v>6013</v>
      </c>
      <c r="N30" s="2313" t="s">
        <v>6014</v>
      </c>
      <c r="O30" s="1788"/>
      <c r="P30" s="2313" t="s">
        <v>6015</v>
      </c>
    </row>
    <row r="31" spans="1:18" ht="15">
      <c r="A31" s="822">
        <v>44632</v>
      </c>
      <c r="B31" s="823" t="s">
        <v>6016</v>
      </c>
      <c r="C31" s="826">
        <v>0.29166666666666669</v>
      </c>
      <c r="D31" s="823"/>
      <c r="F31" s="9">
        <v>1</v>
      </c>
      <c r="G31" s="9"/>
      <c r="H31" s="9" t="s">
        <v>6017</v>
      </c>
      <c r="L31" s="9" t="s">
        <v>6018</v>
      </c>
      <c r="N31" s="18" t="s">
        <v>6019</v>
      </c>
      <c r="O31" s="18"/>
      <c r="P31" s="18" t="s">
        <v>6020</v>
      </c>
      <c r="R31" s="12"/>
    </row>
    <row r="32" spans="1:18" ht="15">
      <c r="A32" s="824">
        <v>44633</v>
      </c>
      <c r="B32" s="825" t="s">
        <v>6016</v>
      </c>
      <c r="C32" s="825"/>
      <c r="D32" s="827">
        <v>0.79166666666666663</v>
      </c>
      <c r="H32" s="18" t="s">
        <v>6021</v>
      </c>
      <c r="N32" s="18" t="s">
        <v>6022</v>
      </c>
      <c r="O32" s="18"/>
      <c r="P32" s="18" t="s">
        <v>6023</v>
      </c>
      <c r="R32" s="829"/>
    </row>
    <row r="33" spans="1:18" ht="15">
      <c r="A33" s="822">
        <v>44634</v>
      </c>
      <c r="B33" s="823" t="s">
        <v>5932</v>
      </c>
      <c r="C33" s="823"/>
      <c r="D33" s="823"/>
      <c r="E33" s="9">
        <v>1</v>
      </c>
      <c r="H33" s="9" t="s">
        <v>6024</v>
      </c>
      <c r="L33" s="18" t="s">
        <v>6025</v>
      </c>
      <c r="N33" s="18" t="s">
        <v>6026</v>
      </c>
      <c r="O33" s="18"/>
      <c r="P33" s="18" t="s">
        <v>6027</v>
      </c>
      <c r="Q33" s="82" t="s">
        <v>6028</v>
      </c>
      <c r="R33" s="757">
        <v>7000</v>
      </c>
    </row>
    <row r="34" spans="1:18" ht="15">
      <c r="A34" s="824">
        <v>44635</v>
      </c>
      <c r="B34" s="825" t="s">
        <v>6029</v>
      </c>
      <c r="C34" s="827">
        <v>0.33333333333333331</v>
      </c>
      <c r="D34" s="827">
        <v>0.75</v>
      </c>
      <c r="F34" s="9">
        <v>1</v>
      </c>
      <c r="G34" s="9"/>
      <c r="H34" s="18" t="s">
        <v>3617</v>
      </c>
      <c r="J34" s="8">
        <v>44563</v>
      </c>
      <c r="K34" s="9">
        <v>37.799999999999997</v>
      </c>
      <c r="N34" s="445" t="s">
        <v>6030</v>
      </c>
      <c r="O34" s="18"/>
      <c r="P34" s="18" t="s">
        <v>6031</v>
      </c>
      <c r="Q34" s="82" t="s">
        <v>6032</v>
      </c>
      <c r="R34" s="757">
        <v>1000</v>
      </c>
    </row>
    <row r="35" spans="1:18" s="2302" customFormat="1" ht="15">
      <c r="A35" s="2309">
        <v>44636</v>
      </c>
      <c r="B35" s="2310" t="s">
        <v>5932</v>
      </c>
      <c r="C35" s="2310"/>
      <c r="D35" s="2310"/>
      <c r="E35" s="2312">
        <v>1</v>
      </c>
      <c r="H35" s="2313" t="s">
        <v>6033</v>
      </c>
      <c r="J35" s="2315">
        <v>44689</v>
      </c>
      <c r="K35" s="2312">
        <v>39.75</v>
      </c>
      <c r="M35" s="2307" t="s">
        <v>9003</v>
      </c>
      <c r="N35" s="2313" t="s">
        <v>6034</v>
      </c>
      <c r="O35" s="2313"/>
      <c r="P35" s="2313" t="s">
        <v>6035</v>
      </c>
      <c r="Q35" s="424" t="s">
        <v>4985</v>
      </c>
      <c r="R35" s="2314">
        <v>1200</v>
      </c>
    </row>
    <row r="36" spans="1:18" ht="15">
      <c r="A36" s="824">
        <v>44637</v>
      </c>
      <c r="B36" s="825" t="s">
        <v>6036</v>
      </c>
      <c r="C36" s="827">
        <v>0.33333333333333331</v>
      </c>
      <c r="D36" s="827">
        <v>0.75</v>
      </c>
      <c r="F36" s="9">
        <v>1</v>
      </c>
      <c r="G36" s="9"/>
      <c r="H36" s="18" t="s">
        <v>6037</v>
      </c>
      <c r="I36" s="18"/>
      <c r="K36" s="13">
        <f>K35/K34</f>
        <v>1.0515873015873016</v>
      </c>
      <c r="M36" s="760" t="s">
        <v>9004</v>
      </c>
      <c r="N36" s="18" t="s">
        <v>6038</v>
      </c>
      <c r="O36" s="18"/>
      <c r="P36" s="18" t="s">
        <v>6039</v>
      </c>
      <c r="Q36" s="82" t="s">
        <v>6040</v>
      </c>
      <c r="R36" s="757">
        <v>800</v>
      </c>
    </row>
    <row r="37" spans="1:18" ht="15">
      <c r="A37" s="822">
        <v>44638</v>
      </c>
      <c r="B37" s="823" t="s">
        <v>6041</v>
      </c>
      <c r="C37" s="826">
        <v>0.29166666666666669</v>
      </c>
      <c r="D37" s="826">
        <v>0.79166666666666663</v>
      </c>
      <c r="F37" s="9">
        <v>1</v>
      </c>
      <c r="G37" s="9"/>
      <c r="H37" s="9" t="s">
        <v>6042</v>
      </c>
      <c r="I37" s="18"/>
      <c r="K37" s="9">
        <f>K34/K35</f>
        <v>0.95094339622641499</v>
      </c>
      <c r="M37" s="760" t="s">
        <v>2619</v>
      </c>
      <c r="N37" s="18" t="s">
        <v>6043</v>
      </c>
      <c r="O37" s="18"/>
      <c r="P37" s="18" t="s">
        <v>6044</v>
      </c>
      <c r="Q37" s="82" t="s">
        <v>6045</v>
      </c>
      <c r="R37" s="757">
        <v>225</v>
      </c>
    </row>
    <row r="38" spans="1:18" ht="15">
      <c r="A38" s="824">
        <v>44639</v>
      </c>
      <c r="B38" s="825" t="s">
        <v>6046</v>
      </c>
      <c r="C38" s="827">
        <v>0.33333333333333331</v>
      </c>
      <c r="D38" s="827">
        <v>0.70833333333333337</v>
      </c>
      <c r="F38" s="9">
        <v>1</v>
      </c>
      <c r="G38" s="9"/>
      <c r="H38" s="18" t="s">
        <v>6047</v>
      </c>
      <c r="I38" s="18"/>
      <c r="M38" s="760" t="s">
        <v>9005</v>
      </c>
      <c r="N38" s="18" t="s">
        <v>6048</v>
      </c>
      <c r="O38" s="18"/>
      <c r="P38" s="18" t="s">
        <v>6049</v>
      </c>
      <c r="Q38" s="82" t="s">
        <v>6050</v>
      </c>
      <c r="R38" s="757">
        <v>450</v>
      </c>
    </row>
    <row r="39" spans="1:18" s="2302" customFormat="1" ht="15">
      <c r="A39" s="2309">
        <v>44640</v>
      </c>
      <c r="B39" s="2310" t="s">
        <v>6051</v>
      </c>
      <c r="C39" s="2311">
        <v>0.375</v>
      </c>
      <c r="D39" s="2311">
        <v>0.75</v>
      </c>
      <c r="F39" s="2312">
        <v>1</v>
      </c>
      <c r="G39" s="2312"/>
      <c r="H39" s="2312" t="s">
        <v>6052</v>
      </c>
      <c r="I39" s="2313"/>
      <c r="J39" s="2312" t="s">
        <v>6053</v>
      </c>
      <c r="M39" s="760" t="s">
        <v>9006</v>
      </c>
      <c r="N39" s="2313" t="s">
        <v>6054</v>
      </c>
      <c r="O39" s="2313"/>
      <c r="P39" s="2313" t="s">
        <v>6055</v>
      </c>
      <c r="Q39" s="424" t="s">
        <v>6056</v>
      </c>
      <c r="R39" s="2314">
        <v>1000</v>
      </c>
    </row>
    <row r="40" spans="1:18" ht="15">
      <c r="A40" s="824">
        <v>44641</v>
      </c>
      <c r="B40" s="825" t="s">
        <v>6057</v>
      </c>
      <c r="C40" s="827">
        <v>0.29166666666666669</v>
      </c>
      <c r="D40" s="827">
        <v>0.75</v>
      </c>
      <c r="F40" s="9">
        <v>1</v>
      </c>
      <c r="G40" s="9"/>
      <c r="H40" s="9" t="s">
        <v>6058</v>
      </c>
      <c r="I40" s="18"/>
      <c r="J40" s="9" t="s">
        <v>6059</v>
      </c>
      <c r="K40" s="9">
        <f>4*1.05</f>
        <v>4.2</v>
      </c>
      <c r="M40" s="760" t="s">
        <v>1623</v>
      </c>
      <c r="N40" s="18" t="s">
        <v>6060</v>
      </c>
      <c r="O40" s="18"/>
      <c r="P40" s="18" t="s">
        <v>6061</v>
      </c>
      <c r="R40" s="533">
        <f>SUM(R33:R39)</f>
        <v>11675</v>
      </c>
    </row>
    <row r="41" spans="1:18" s="2302" customFormat="1" ht="15">
      <c r="A41" s="2309">
        <v>44642</v>
      </c>
      <c r="B41" s="2310" t="s">
        <v>6062</v>
      </c>
      <c r="C41" s="2310"/>
      <c r="D41" s="2310"/>
      <c r="E41" s="2312">
        <v>1</v>
      </c>
      <c r="H41" s="2312"/>
      <c r="I41" s="2313"/>
      <c r="M41" s="760" t="s">
        <v>9007</v>
      </c>
      <c r="N41" s="2313" t="s">
        <v>6063</v>
      </c>
      <c r="O41" s="2313"/>
      <c r="P41" s="2313" t="s">
        <v>6064</v>
      </c>
    </row>
    <row r="42" spans="1:18" ht="15">
      <c r="A42" s="830">
        <v>44643</v>
      </c>
      <c r="B42" s="831" t="s">
        <v>6065</v>
      </c>
      <c r="C42" s="832" t="s">
        <v>6066</v>
      </c>
      <c r="D42" s="833">
        <v>0.79166666666666663</v>
      </c>
      <c r="F42" s="9">
        <v>1</v>
      </c>
      <c r="G42" s="9"/>
      <c r="M42" s="760" t="s">
        <v>9008</v>
      </c>
      <c r="N42" s="18"/>
      <c r="O42" s="18"/>
      <c r="P42" s="18"/>
    </row>
    <row r="43" spans="1:18" ht="15">
      <c r="A43" s="834">
        <v>44644</v>
      </c>
      <c r="B43" s="831" t="s">
        <v>6067</v>
      </c>
      <c r="C43" s="835"/>
      <c r="D43" s="836"/>
      <c r="E43" s="9">
        <v>1</v>
      </c>
      <c r="F43" s="9"/>
      <c r="G43" s="9"/>
      <c r="M43" s="760" t="s">
        <v>9009</v>
      </c>
      <c r="N43" s="18"/>
      <c r="O43" s="18"/>
      <c r="P43" s="18"/>
    </row>
    <row r="44" spans="1:18" ht="15">
      <c r="A44" s="830">
        <v>44645</v>
      </c>
      <c r="B44" s="831" t="s">
        <v>6067</v>
      </c>
      <c r="C44" s="833"/>
      <c r="D44" s="832"/>
      <c r="E44" s="9">
        <v>1</v>
      </c>
      <c r="F44" s="9"/>
      <c r="G44" s="9"/>
      <c r="M44" s="760" t="s">
        <v>9010</v>
      </c>
      <c r="N44" s="18"/>
      <c r="O44" s="18"/>
      <c r="P44" s="18"/>
    </row>
    <row r="45" spans="1:18" ht="15">
      <c r="A45" s="834">
        <v>44646</v>
      </c>
      <c r="B45" s="831" t="s">
        <v>6068</v>
      </c>
      <c r="C45" s="835">
        <v>0.375</v>
      </c>
      <c r="D45" s="835">
        <v>0.66666666666666663</v>
      </c>
      <c r="F45" s="9">
        <v>1</v>
      </c>
      <c r="G45" s="9"/>
      <c r="H45" s="82" t="s">
        <v>61</v>
      </c>
      <c r="I45" s="9">
        <v>180</v>
      </c>
      <c r="M45" s="760" t="s">
        <v>9011</v>
      </c>
      <c r="N45" s="18"/>
      <c r="O45" s="18"/>
      <c r="P45" s="18"/>
    </row>
    <row r="46" spans="1:18" ht="15">
      <c r="A46" s="830">
        <v>44647</v>
      </c>
      <c r="B46" s="831" t="s">
        <v>6067</v>
      </c>
      <c r="C46" s="833"/>
      <c r="D46" s="832"/>
      <c r="E46" s="9">
        <v>1</v>
      </c>
      <c r="F46" s="9"/>
      <c r="G46" s="9"/>
      <c r="H46" s="82" t="s">
        <v>6069</v>
      </c>
      <c r="I46" s="9">
        <v>43</v>
      </c>
      <c r="M46" s="760" t="s">
        <v>9012</v>
      </c>
      <c r="N46" s="18"/>
      <c r="O46" s="18"/>
      <c r="P46" s="18"/>
    </row>
    <row r="47" spans="1:18" ht="15">
      <c r="A47" s="834">
        <v>44648</v>
      </c>
      <c r="B47" s="831" t="s">
        <v>6067</v>
      </c>
      <c r="C47" s="835"/>
      <c r="D47" s="836"/>
      <c r="E47" s="9">
        <v>1</v>
      </c>
      <c r="F47" s="9"/>
      <c r="G47" s="9"/>
      <c r="H47" s="82" t="s">
        <v>6070</v>
      </c>
      <c r="I47" s="9">
        <f>I45-I46</f>
        <v>137</v>
      </c>
      <c r="M47" s="760" t="s">
        <v>9013</v>
      </c>
      <c r="N47" s="18"/>
      <c r="O47" s="18"/>
      <c r="P47" s="18"/>
    </row>
    <row r="48" spans="1:18" ht="15">
      <c r="A48" s="830">
        <v>44649</v>
      </c>
      <c r="B48" s="831" t="s">
        <v>6067</v>
      </c>
      <c r="C48" s="833"/>
      <c r="D48" s="832"/>
      <c r="E48" s="9">
        <v>1</v>
      </c>
      <c r="F48" s="9"/>
      <c r="G48" s="9"/>
      <c r="M48" s="760" t="s">
        <v>9014</v>
      </c>
      <c r="N48" s="18"/>
      <c r="O48" s="18"/>
      <c r="P48" s="18"/>
    </row>
    <row r="49" spans="1:16" ht="15">
      <c r="A49" s="834">
        <v>44650</v>
      </c>
      <c r="B49" s="831" t="s">
        <v>6067</v>
      </c>
      <c r="C49" s="835"/>
      <c r="D49" s="836"/>
      <c r="E49" s="9">
        <v>1</v>
      </c>
      <c r="F49" s="9"/>
      <c r="G49" s="9"/>
      <c r="M49" s="760" t="s">
        <v>9015</v>
      </c>
      <c r="N49" s="18"/>
      <c r="O49" s="18"/>
      <c r="P49" s="18"/>
    </row>
    <row r="50" spans="1:16" s="2302" customFormat="1" ht="15">
      <c r="A50" s="837">
        <v>44651</v>
      </c>
      <c r="B50" s="2319" t="s">
        <v>6071</v>
      </c>
      <c r="C50" s="2320" t="s">
        <v>1119</v>
      </c>
      <c r="D50" s="2321">
        <v>0.75</v>
      </c>
      <c r="F50" s="2312">
        <v>1</v>
      </c>
      <c r="G50" s="2312"/>
      <c r="M50" s="760" t="s">
        <v>9016</v>
      </c>
      <c r="N50" s="2313"/>
      <c r="O50" s="2313"/>
      <c r="P50" s="2313"/>
    </row>
    <row r="51" spans="1:16" ht="15">
      <c r="A51" s="834">
        <v>44652</v>
      </c>
      <c r="B51" s="831" t="s">
        <v>6067</v>
      </c>
      <c r="C51" s="835"/>
      <c r="D51" s="836"/>
      <c r="E51" s="9">
        <v>1</v>
      </c>
      <c r="F51" s="9"/>
      <c r="G51" s="9"/>
      <c r="M51" s="760" t="s">
        <v>1542</v>
      </c>
      <c r="N51" s="18"/>
      <c r="O51" s="18"/>
      <c r="P51" s="18"/>
    </row>
    <row r="52" spans="1:16" ht="15">
      <c r="A52" s="830">
        <v>44653</v>
      </c>
      <c r="B52" s="831" t="s">
        <v>6067</v>
      </c>
      <c r="C52" s="833"/>
      <c r="D52" s="832"/>
      <c r="E52" s="9">
        <v>1</v>
      </c>
      <c r="F52" s="9"/>
      <c r="G52" s="9"/>
      <c r="M52" s="760" t="s">
        <v>1566</v>
      </c>
      <c r="N52" s="18"/>
      <c r="O52" s="18"/>
      <c r="P52" s="18"/>
    </row>
    <row r="53" spans="1:16" ht="15">
      <c r="A53" s="838">
        <v>44654</v>
      </c>
      <c r="B53" s="815" t="s">
        <v>6072</v>
      </c>
      <c r="C53" s="839" t="s">
        <v>6073</v>
      </c>
      <c r="D53" s="840">
        <v>0.75</v>
      </c>
      <c r="F53" s="9">
        <v>1</v>
      </c>
      <c r="G53" s="9"/>
      <c r="M53" s="760" t="s">
        <v>9017</v>
      </c>
      <c r="N53" s="18"/>
      <c r="O53" s="18"/>
      <c r="P53" s="18"/>
    </row>
    <row r="54" spans="1:16" ht="15">
      <c r="A54" s="830">
        <v>44655</v>
      </c>
      <c r="B54" s="831" t="s">
        <v>6074</v>
      </c>
      <c r="C54" s="833">
        <v>0.29166666666666669</v>
      </c>
      <c r="D54" s="833">
        <v>0.625</v>
      </c>
      <c r="F54" s="9">
        <v>1</v>
      </c>
      <c r="G54" s="9"/>
      <c r="N54" s="18"/>
      <c r="O54" s="18"/>
      <c r="P54" s="18"/>
    </row>
    <row r="55" spans="1:16" s="2302" customFormat="1" ht="15">
      <c r="A55" s="834">
        <v>44656</v>
      </c>
      <c r="B55" s="2322" t="s">
        <v>6075</v>
      </c>
      <c r="C55" s="2323"/>
      <c r="D55" s="2324"/>
      <c r="E55" s="2312">
        <v>1</v>
      </c>
      <c r="F55" s="2312"/>
      <c r="G55" s="2312"/>
      <c r="N55" s="2313"/>
      <c r="O55" s="2313"/>
      <c r="P55" s="2313"/>
    </row>
    <row r="56" spans="1:16" ht="15">
      <c r="A56" s="830">
        <v>44657</v>
      </c>
      <c r="B56" s="841" t="s">
        <v>6076</v>
      </c>
      <c r="C56" s="833">
        <v>0.45833333333333331</v>
      </c>
      <c r="D56" s="833">
        <v>0.79166666666666663</v>
      </c>
      <c r="F56" s="9">
        <v>1</v>
      </c>
      <c r="G56" s="9"/>
      <c r="N56" s="18"/>
      <c r="O56" s="18"/>
      <c r="P56" s="18"/>
    </row>
    <row r="57" spans="1:16" ht="15">
      <c r="A57" s="838">
        <v>44658</v>
      </c>
      <c r="B57" s="815" t="s">
        <v>6077</v>
      </c>
      <c r="C57" s="839" t="s">
        <v>6073</v>
      </c>
      <c r="D57" s="840">
        <v>0.66666666666666663</v>
      </c>
      <c r="E57" s="18"/>
      <c r="F57" s="18">
        <v>1</v>
      </c>
      <c r="G57" s="9"/>
      <c r="N57" s="18"/>
      <c r="O57" s="18"/>
      <c r="P57" s="18"/>
    </row>
    <row r="58" spans="1:16" s="2302" customFormat="1" ht="15">
      <c r="A58" s="830">
        <v>44659</v>
      </c>
      <c r="B58" s="2322" t="s">
        <v>6075</v>
      </c>
      <c r="C58" s="2321"/>
      <c r="D58" s="2325"/>
      <c r="E58" s="2312">
        <v>1</v>
      </c>
      <c r="F58" s="2312"/>
      <c r="G58" s="2312"/>
      <c r="N58" s="2313"/>
      <c r="O58" s="2313"/>
      <c r="P58" s="2313"/>
    </row>
    <row r="59" spans="1:16" s="2302" customFormat="1" ht="15">
      <c r="A59" s="834">
        <v>44660</v>
      </c>
      <c r="B59" s="2322" t="s">
        <v>6075</v>
      </c>
      <c r="C59" s="2323"/>
      <c r="D59" s="2324"/>
      <c r="E59" s="2312">
        <v>1</v>
      </c>
      <c r="F59" s="2312"/>
      <c r="G59" s="2312"/>
      <c r="N59" s="2313"/>
      <c r="O59" s="2313"/>
      <c r="P59" s="2313"/>
    </row>
    <row r="60" spans="1:16" ht="15">
      <c r="A60" s="830">
        <v>44661</v>
      </c>
      <c r="B60" s="831" t="s">
        <v>6078</v>
      </c>
      <c r="C60" s="833">
        <v>0.25</v>
      </c>
      <c r="D60" s="833">
        <v>0.91666666666666663</v>
      </c>
      <c r="F60" s="9">
        <v>1</v>
      </c>
      <c r="G60" s="9"/>
      <c r="N60" s="18"/>
      <c r="O60" s="18"/>
      <c r="P60" s="18"/>
    </row>
    <row r="61" spans="1:16" ht="15">
      <c r="A61" s="834">
        <v>44662</v>
      </c>
      <c r="B61" s="831" t="s">
        <v>6079</v>
      </c>
      <c r="C61" s="835">
        <v>0.25</v>
      </c>
      <c r="D61" s="836"/>
      <c r="F61" s="9">
        <v>1</v>
      </c>
      <c r="G61" s="9"/>
      <c r="N61" s="18"/>
      <c r="O61" s="18"/>
      <c r="P61" s="18"/>
    </row>
    <row r="62" spans="1:16" ht="15">
      <c r="A62" s="830">
        <v>44663</v>
      </c>
      <c r="B62" s="831" t="s">
        <v>6079</v>
      </c>
      <c r="C62" s="833"/>
      <c r="D62" s="833">
        <v>0.75</v>
      </c>
      <c r="F62" s="9"/>
      <c r="G62" s="9"/>
      <c r="N62" s="18"/>
      <c r="O62" s="18"/>
      <c r="P62" s="18"/>
    </row>
    <row r="63" spans="1:16" s="2302" customFormat="1" ht="15">
      <c r="A63" s="834">
        <v>44664</v>
      </c>
      <c r="B63" s="2322" t="s">
        <v>6075</v>
      </c>
      <c r="C63" s="2323"/>
      <c r="D63" s="2324"/>
      <c r="E63" s="2312">
        <v>1</v>
      </c>
      <c r="F63" s="2312"/>
      <c r="G63" s="2312"/>
      <c r="N63" s="2313"/>
      <c r="O63" s="2313"/>
      <c r="P63" s="2313"/>
    </row>
    <row r="64" spans="1:16" ht="15">
      <c r="A64" s="830">
        <v>44665</v>
      </c>
      <c r="B64" s="831" t="s">
        <v>6080</v>
      </c>
      <c r="C64" s="833">
        <v>0.375</v>
      </c>
      <c r="D64" s="833">
        <v>0.75</v>
      </c>
      <c r="F64" s="9">
        <v>1</v>
      </c>
      <c r="G64" s="9"/>
      <c r="N64" s="18"/>
      <c r="O64" s="18"/>
      <c r="P64" s="18"/>
    </row>
    <row r="65" spans="1:16" ht="15">
      <c r="A65" s="834">
        <v>44666</v>
      </c>
      <c r="B65" s="831" t="s">
        <v>6081</v>
      </c>
      <c r="C65" s="835">
        <v>0.54166666666666663</v>
      </c>
      <c r="D65" s="836"/>
      <c r="F65" s="9">
        <v>1</v>
      </c>
      <c r="G65" s="9"/>
      <c r="N65" s="18"/>
      <c r="O65" s="18"/>
      <c r="P65" s="18"/>
    </row>
    <row r="66" spans="1:16" ht="15">
      <c r="A66" s="830">
        <v>44667</v>
      </c>
      <c r="B66" s="831" t="s">
        <v>6081</v>
      </c>
      <c r="C66" s="833"/>
      <c r="D66" s="833">
        <v>0.66666666666666663</v>
      </c>
      <c r="F66" s="9"/>
      <c r="G66" s="9"/>
      <c r="N66" s="18"/>
      <c r="O66" s="18"/>
      <c r="P66" s="18"/>
    </row>
    <row r="67" spans="1:16" ht="15">
      <c r="A67" s="834">
        <v>44668</v>
      </c>
      <c r="B67" s="831" t="s">
        <v>6082</v>
      </c>
      <c r="C67" s="835">
        <v>0.33333333333333331</v>
      </c>
      <c r="D67" s="835">
        <v>0.70833333333333337</v>
      </c>
      <c r="F67" s="9">
        <v>1</v>
      </c>
      <c r="G67" s="9"/>
      <c r="N67" s="18"/>
      <c r="O67" s="18"/>
      <c r="P67" s="18"/>
    </row>
    <row r="68" spans="1:16" ht="15">
      <c r="A68" s="830">
        <v>44669</v>
      </c>
      <c r="B68" s="831" t="s">
        <v>6083</v>
      </c>
      <c r="C68" s="832" t="s">
        <v>6084</v>
      </c>
      <c r="D68" s="832"/>
      <c r="F68" s="9">
        <v>1</v>
      </c>
      <c r="G68" s="9"/>
      <c r="N68" s="18"/>
      <c r="O68" s="18"/>
      <c r="P68" s="18"/>
    </row>
    <row r="69" spans="1:16" ht="15">
      <c r="A69" s="842">
        <v>44669</v>
      </c>
      <c r="B69" s="843" t="s">
        <v>6083</v>
      </c>
      <c r="C69" s="843" t="s">
        <v>5862</v>
      </c>
      <c r="D69" s="844">
        <v>0.875</v>
      </c>
      <c r="F69" s="9"/>
      <c r="G69" s="9"/>
      <c r="N69" s="18"/>
      <c r="O69" s="18"/>
      <c r="P69" s="18"/>
    </row>
    <row r="70" spans="1:16" ht="15">
      <c r="A70" s="822">
        <v>44670</v>
      </c>
      <c r="B70" s="823" t="s">
        <v>6085</v>
      </c>
      <c r="C70" s="826">
        <v>0.33333333333333331</v>
      </c>
      <c r="D70" s="826">
        <v>0.70833333333333337</v>
      </c>
      <c r="F70" s="9">
        <v>1</v>
      </c>
      <c r="G70" s="9"/>
      <c r="N70" s="18"/>
      <c r="O70" s="18"/>
      <c r="P70" s="18"/>
    </row>
    <row r="71" spans="1:16" ht="15">
      <c r="A71" s="842">
        <v>44671</v>
      </c>
      <c r="B71" s="843" t="s">
        <v>6086</v>
      </c>
      <c r="C71" s="844"/>
      <c r="D71" s="843"/>
      <c r="E71" s="9">
        <v>1</v>
      </c>
      <c r="F71" s="9"/>
      <c r="G71" s="9"/>
      <c r="N71" s="18"/>
      <c r="O71" s="18"/>
      <c r="P71" s="18"/>
    </row>
    <row r="72" spans="1:16" ht="15">
      <c r="A72" s="822">
        <v>44672</v>
      </c>
      <c r="B72" s="823" t="s">
        <v>6087</v>
      </c>
      <c r="C72" s="826">
        <v>0.29166666666666669</v>
      </c>
      <c r="D72" s="826">
        <v>0.70833333333333337</v>
      </c>
      <c r="F72" s="9">
        <v>1</v>
      </c>
      <c r="G72" s="9"/>
      <c r="N72" s="18"/>
      <c r="O72" s="18"/>
      <c r="P72" s="18"/>
    </row>
    <row r="73" spans="1:16" ht="15">
      <c r="A73" s="842">
        <v>44673</v>
      </c>
      <c r="B73" s="843" t="s">
        <v>6088</v>
      </c>
      <c r="C73" s="844">
        <v>0.33333333333333331</v>
      </c>
      <c r="D73" s="844">
        <v>0.75</v>
      </c>
      <c r="F73" s="9">
        <v>1</v>
      </c>
      <c r="G73" s="9"/>
      <c r="N73" s="18"/>
      <c r="O73" s="18"/>
      <c r="P73" s="18"/>
    </row>
    <row r="74" spans="1:16" ht="15">
      <c r="A74" s="822">
        <v>44674</v>
      </c>
      <c r="B74" s="823" t="s">
        <v>6089</v>
      </c>
      <c r="C74" s="826">
        <v>0.45833333333333331</v>
      </c>
      <c r="D74" s="826">
        <v>0.83333333333333337</v>
      </c>
      <c r="F74" s="9">
        <v>1</v>
      </c>
      <c r="G74" s="9"/>
      <c r="N74" s="18"/>
      <c r="O74" s="18"/>
      <c r="P74" s="18"/>
    </row>
    <row r="75" spans="1:16" ht="15">
      <c r="A75" s="842">
        <v>44675</v>
      </c>
      <c r="B75" s="843" t="s">
        <v>6090</v>
      </c>
      <c r="C75" s="844">
        <v>0.33333333333333331</v>
      </c>
      <c r="D75" s="844">
        <v>0.75</v>
      </c>
      <c r="F75" s="9">
        <v>1</v>
      </c>
      <c r="G75" s="9"/>
      <c r="N75" s="18"/>
      <c r="O75" s="18"/>
      <c r="P75" s="18"/>
    </row>
    <row r="76" spans="1:16" ht="15">
      <c r="A76" s="822">
        <v>44676</v>
      </c>
      <c r="B76" s="823" t="s">
        <v>6091</v>
      </c>
      <c r="C76" s="826">
        <v>0.375</v>
      </c>
      <c r="D76" s="826">
        <v>0.75</v>
      </c>
      <c r="F76" s="9">
        <v>1</v>
      </c>
      <c r="G76" s="9"/>
      <c r="N76" s="18"/>
      <c r="O76" s="18"/>
      <c r="P76" s="18"/>
    </row>
    <row r="77" spans="1:16" ht="19.5">
      <c r="A77" s="842">
        <v>44677</v>
      </c>
      <c r="B77" s="843" t="s">
        <v>6092</v>
      </c>
      <c r="C77" s="844">
        <v>0.33333333333333331</v>
      </c>
      <c r="D77" s="844">
        <v>0.75</v>
      </c>
      <c r="E77" s="845"/>
      <c r="F77" s="9">
        <v>1</v>
      </c>
      <c r="G77" s="9"/>
      <c r="N77" s="18"/>
      <c r="O77" s="18"/>
      <c r="P77" s="18"/>
    </row>
    <row r="78" spans="1:16" ht="15">
      <c r="A78" s="822">
        <v>44678</v>
      </c>
      <c r="B78" s="823" t="s">
        <v>6093</v>
      </c>
      <c r="C78" s="826">
        <v>0.29166666666666669</v>
      </c>
      <c r="D78" s="826">
        <v>0.75</v>
      </c>
      <c r="F78" s="9">
        <v>1</v>
      </c>
      <c r="G78" s="9"/>
      <c r="N78" s="18"/>
      <c r="O78" s="18"/>
      <c r="P78" s="18"/>
    </row>
    <row r="79" spans="1:16" ht="15">
      <c r="A79" s="842">
        <v>44679</v>
      </c>
      <c r="B79" s="843" t="s">
        <v>6094</v>
      </c>
      <c r="C79" s="844">
        <v>0.33333333333333331</v>
      </c>
      <c r="D79" s="844">
        <v>0.75</v>
      </c>
      <c r="F79" s="9">
        <v>1</v>
      </c>
      <c r="G79" s="9"/>
      <c r="N79" s="18"/>
      <c r="O79" s="18"/>
      <c r="P79" s="18"/>
    </row>
    <row r="80" spans="1:16" ht="15">
      <c r="A80" s="822">
        <v>44680</v>
      </c>
      <c r="B80" s="846" t="s">
        <v>6095</v>
      </c>
      <c r="C80" s="826">
        <v>0.29166666666666669</v>
      </c>
      <c r="D80" s="826">
        <v>0.79166666666666663</v>
      </c>
      <c r="F80" s="9">
        <v>1</v>
      </c>
      <c r="G80" s="9"/>
      <c r="N80" s="18"/>
      <c r="O80" s="18"/>
      <c r="P80" s="18"/>
    </row>
    <row r="81" spans="1:16" ht="15">
      <c r="A81" s="842">
        <v>44681</v>
      </c>
      <c r="B81" s="843" t="s">
        <v>6096</v>
      </c>
      <c r="C81" s="844">
        <v>0.33333333333333331</v>
      </c>
      <c r="D81" s="844">
        <v>0.75</v>
      </c>
      <c r="F81" s="9">
        <v>1</v>
      </c>
      <c r="G81" s="9"/>
      <c r="N81" s="18"/>
      <c r="O81" s="18"/>
      <c r="P81" s="18"/>
    </row>
    <row r="82" spans="1:16" ht="15">
      <c r="A82" s="822">
        <v>44682</v>
      </c>
      <c r="B82" s="823" t="s">
        <v>6097</v>
      </c>
      <c r="C82" s="826">
        <v>0.375</v>
      </c>
      <c r="D82" s="40"/>
      <c r="F82" s="9">
        <v>1</v>
      </c>
      <c r="G82" s="9"/>
      <c r="N82" s="18" t="s">
        <v>6098</v>
      </c>
      <c r="O82" s="18"/>
      <c r="P82" s="18" t="s">
        <v>6099</v>
      </c>
    </row>
    <row r="83" spans="1:16" ht="25.5">
      <c r="A83" s="824">
        <v>44683</v>
      </c>
      <c r="B83" s="825" t="s">
        <v>6097</v>
      </c>
      <c r="C83" s="825" t="s">
        <v>5862</v>
      </c>
      <c r="D83" s="827">
        <v>0.875</v>
      </c>
      <c r="N83" s="445" t="s">
        <v>6100</v>
      </c>
      <c r="O83" s="18"/>
      <c r="P83" s="18" t="s">
        <v>6101</v>
      </c>
    </row>
    <row r="84" spans="1:16" ht="15">
      <c r="A84" s="822">
        <v>44684</v>
      </c>
      <c r="B84" s="823" t="s">
        <v>6102</v>
      </c>
      <c r="C84" s="826">
        <v>0.375</v>
      </c>
      <c r="D84" s="826">
        <v>0.79166666666666663</v>
      </c>
      <c r="F84" s="9">
        <v>1</v>
      </c>
      <c r="G84" s="9"/>
      <c r="H84" s="151"/>
      <c r="N84" s="18" t="s">
        <v>6103</v>
      </c>
    </row>
    <row r="85" spans="1:16" ht="15">
      <c r="A85" s="824">
        <v>44685</v>
      </c>
      <c r="B85" s="825" t="s">
        <v>6104</v>
      </c>
      <c r="C85" s="827">
        <v>0.33333333333333331</v>
      </c>
      <c r="D85" s="827">
        <v>0.70833333333333337</v>
      </c>
      <c r="F85" s="9">
        <v>1</v>
      </c>
      <c r="G85" s="9"/>
      <c r="H85" s="8"/>
      <c r="I85" s="16"/>
      <c r="N85" s="445" t="s">
        <v>6105</v>
      </c>
      <c r="O85" s="3"/>
      <c r="P85" s="3" t="s">
        <v>6106</v>
      </c>
    </row>
    <row r="86" spans="1:16" ht="15">
      <c r="A86" s="822">
        <v>44686</v>
      </c>
      <c r="B86" s="823" t="s">
        <v>6107</v>
      </c>
      <c r="C86" s="826">
        <v>0.375</v>
      </c>
      <c r="D86" s="826">
        <v>0.75</v>
      </c>
      <c r="F86" s="9">
        <v>1</v>
      </c>
      <c r="G86" s="9"/>
      <c r="H86" s="8"/>
      <c r="I86" s="16"/>
      <c r="N86" s="445" t="s">
        <v>6108</v>
      </c>
      <c r="O86" s="18"/>
      <c r="P86" s="18" t="s">
        <v>6109</v>
      </c>
    </row>
    <row r="87" spans="1:16" ht="15">
      <c r="A87" s="824">
        <v>44687</v>
      </c>
      <c r="B87" s="825" t="s">
        <v>6110</v>
      </c>
      <c r="C87" s="827">
        <v>0.33333333333333331</v>
      </c>
      <c r="D87" s="825"/>
      <c r="F87" s="9">
        <v>1</v>
      </c>
      <c r="G87" s="9"/>
      <c r="H87" s="8"/>
      <c r="I87" s="16"/>
      <c r="N87" s="445" t="s">
        <v>6111</v>
      </c>
      <c r="O87" s="18"/>
      <c r="P87" s="18" t="s">
        <v>6112</v>
      </c>
    </row>
    <row r="88" spans="1:16" ht="15">
      <c r="A88" s="822">
        <v>44688</v>
      </c>
      <c r="B88" s="823" t="s">
        <v>6110</v>
      </c>
      <c r="C88" s="823"/>
      <c r="D88" s="826">
        <v>0.70833333333333337</v>
      </c>
      <c r="H88" s="8"/>
      <c r="I88" s="16"/>
      <c r="N88" s="445" t="s">
        <v>6113</v>
      </c>
      <c r="O88" s="18"/>
      <c r="P88" s="18" t="s">
        <v>6114</v>
      </c>
    </row>
    <row r="89" spans="1:16" ht="15">
      <c r="A89" s="824">
        <v>44689</v>
      </c>
      <c r="B89" s="825" t="s">
        <v>6115</v>
      </c>
      <c r="C89" s="827">
        <v>0.33333333333333331</v>
      </c>
      <c r="D89" s="827">
        <v>0.75</v>
      </c>
      <c r="F89" s="9">
        <v>1</v>
      </c>
      <c r="G89" s="9"/>
      <c r="H89" s="8"/>
      <c r="I89" s="16"/>
      <c r="N89" s="445" t="s">
        <v>6116</v>
      </c>
      <c r="O89" s="18"/>
      <c r="P89" s="18" t="s">
        <v>6117</v>
      </c>
    </row>
    <row r="90" spans="1:16" ht="15">
      <c r="A90" s="822">
        <v>44690</v>
      </c>
      <c r="B90" s="823" t="s">
        <v>6067</v>
      </c>
      <c r="C90" s="823"/>
      <c r="D90" s="823"/>
      <c r="E90" s="9">
        <v>1</v>
      </c>
      <c r="H90" s="8"/>
      <c r="I90" s="16"/>
      <c r="N90" s="445" t="s">
        <v>6118</v>
      </c>
      <c r="O90" s="18"/>
      <c r="P90" s="18" t="s">
        <v>6119</v>
      </c>
    </row>
    <row r="91" spans="1:16" ht="25.5">
      <c r="A91" s="824">
        <v>44691</v>
      </c>
      <c r="B91" s="847" t="s">
        <v>6120</v>
      </c>
      <c r="C91" s="827">
        <v>0.29166666666666669</v>
      </c>
      <c r="D91" s="827">
        <v>0.75</v>
      </c>
      <c r="F91" s="9">
        <v>1</v>
      </c>
      <c r="G91" s="9"/>
      <c r="I91" s="16"/>
      <c r="N91" s="18" t="s">
        <v>6121</v>
      </c>
      <c r="O91" s="9"/>
      <c r="P91" s="9" t="s">
        <v>6122</v>
      </c>
    </row>
    <row r="92" spans="1:16" ht="15">
      <c r="A92" s="822">
        <v>44692</v>
      </c>
      <c r="B92" s="823" t="s">
        <v>6123</v>
      </c>
      <c r="C92" s="823"/>
      <c r="D92" s="823"/>
      <c r="E92" s="9">
        <v>1</v>
      </c>
      <c r="I92" s="16"/>
      <c r="N92" s="18" t="s">
        <v>6124</v>
      </c>
      <c r="O92" s="18"/>
      <c r="P92" s="18" t="s">
        <v>5011</v>
      </c>
    </row>
    <row r="93" spans="1:16" ht="15">
      <c r="A93" s="824">
        <v>44693</v>
      </c>
      <c r="B93" s="825" t="s">
        <v>6125</v>
      </c>
      <c r="C93" s="827">
        <v>0.33333333333333331</v>
      </c>
      <c r="D93" s="827">
        <v>0.70833333333333337</v>
      </c>
      <c r="F93" s="9">
        <v>1</v>
      </c>
      <c r="G93" s="9"/>
      <c r="I93" s="16"/>
      <c r="N93" s="445" t="s">
        <v>6126</v>
      </c>
      <c r="O93" s="18"/>
      <c r="P93" s="18" t="s">
        <v>6127</v>
      </c>
    </row>
    <row r="94" spans="1:16" ht="15">
      <c r="A94" s="822">
        <v>44694</v>
      </c>
      <c r="B94" s="823" t="s">
        <v>6128</v>
      </c>
      <c r="C94" s="826">
        <v>0.29166666666666669</v>
      </c>
      <c r="D94" s="826">
        <v>0.66666666666666663</v>
      </c>
      <c r="F94" s="9">
        <v>1</v>
      </c>
      <c r="G94" s="9"/>
      <c r="H94" s="43"/>
      <c r="I94" s="34"/>
      <c r="M94" s="3" t="s">
        <v>5858</v>
      </c>
      <c r="N94" s="445" t="s">
        <v>6129</v>
      </c>
    </row>
    <row r="95" spans="1:16" ht="15">
      <c r="A95" s="824">
        <v>44695</v>
      </c>
      <c r="B95" s="825" t="s">
        <v>6130</v>
      </c>
      <c r="C95" s="825"/>
      <c r="D95" s="825"/>
      <c r="E95" s="9">
        <v>1</v>
      </c>
      <c r="M95" s="9" t="s">
        <v>5866</v>
      </c>
    </row>
    <row r="96" spans="1:16" ht="15">
      <c r="A96" s="822">
        <v>44696</v>
      </c>
      <c r="B96" s="823" t="s">
        <v>6131</v>
      </c>
      <c r="C96" s="826">
        <v>0.5</v>
      </c>
      <c r="D96" s="826">
        <v>0.83333333333333337</v>
      </c>
      <c r="F96" s="9">
        <v>1</v>
      </c>
      <c r="G96" s="9"/>
      <c r="M96" s="9" t="s">
        <v>5873</v>
      </c>
      <c r="N96" s="445" t="s">
        <v>6132</v>
      </c>
    </row>
    <row r="97" spans="1:16" ht="15">
      <c r="A97" s="824">
        <v>44697</v>
      </c>
      <c r="B97" s="825" t="s">
        <v>6133</v>
      </c>
      <c r="C97" s="827">
        <v>0.33333333333333331</v>
      </c>
      <c r="D97" s="827">
        <v>0.70833333333333337</v>
      </c>
      <c r="F97" s="9">
        <v>1</v>
      </c>
      <c r="G97" s="9"/>
      <c r="M97" s="9" t="s">
        <v>5877</v>
      </c>
      <c r="N97" s="445" t="s">
        <v>6134</v>
      </c>
    </row>
    <row r="98" spans="1:16" ht="15">
      <c r="A98" s="822">
        <v>44698</v>
      </c>
      <c r="B98" s="823" t="s">
        <v>6135</v>
      </c>
      <c r="C98" s="826">
        <v>0.45833333333333331</v>
      </c>
      <c r="D98" s="40"/>
      <c r="F98" s="9">
        <v>1</v>
      </c>
      <c r="G98" s="9"/>
      <c r="M98" s="9" t="s">
        <v>5884</v>
      </c>
      <c r="N98" s="445" t="s">
        <v>6136</v>
      </c>
    </row>
    <row r="99" spans="1:16" ht="25.5">
      <c r="A99" s="824">
        <v>44699</v>
      </c>
      <c r="B99" s="825" t="s">
        <v>6135</v>
      </c>
      <c r="C99" s="825" t="s">
        <v>5862</v>
      </c>
      <c r="D99" s="827">
        <v>0.875</v>
      </c>
      <c r="N99" s="18" t="s">
        <v>6137</v>
      </c>
      <c r="O99" s="9"/>
      <c r="P99" s="9" t="s">
        <v>6138</v>
      </c>
    </row>
    <row r="100" spans="1:16" ht="15">
      <c r="A100" s="822">
        <v>44700</v>
      </c>
      <c r="B100" s="825" t="s">
        <v>6135</v>
      </c>
      <c r="C100" s="848" t="s">
        <v>135</v>
      </c>
      <c r="D100" s="849">
        <v>0.70833333333333337</v>
      </c>
      <c r="G100" s="9"/>
      <c r="M100" s="9" t="s">
        <v>5894</v>
      </c>
      <c r="N100" s="18" t="s">
        <v>6139</v>
      </c>
      <c r="O100" s="9"/>
      <c r="P100" s="9" t="s">
        <v>6140</v>
      </c>
    </row>
    <row r="101" spans="1:16" ht="15">
      <c r="A101" s="824">
        <v>44701</v>
      </c>
      <c r="B101" s="850" t="s">
        <v>6141</v>
      </c>
      <c r="C101" s="851">
        <v>0.29166666666666669</v>
      </c>
      <c r="D101" s="851">
        <v>0.79166666666666663</v>
      </c>
      <c r="E101" s="9" t="s">
        <v>135</v>
      </c>
      <c r="F101" s="9">
        <v>1</v>
      </c>
      <c r="M101" s="9" t="s">
        <v>5900</v>
      </c>
      <c r="O101" s="9"/>
      <c r="P101" s="9" t="s">
        <v>5004</v>
      </c>
    </row>
    <row r="102" spans="1:16" ht="15">
      <c r="A102" s="822">
        <v>44702</v>
      </c>
      <c r="B102" s="848" t="s">
        <v>6142</v>
      </c>
      <c r="C102" s="849">
        <v>0.25</v>
      </c>
      <c r="D102" s="849">
        <v>0.91666666666666663</v>
      </c>
      <c r="F102" s="9">
        <v>1</v>
      </c>
      <c r="G102" s="9"/>
      <c r="M102" s="9" t="s">
        <v>5904</v>
      </c>
      <c r="O102" s="9"/>
      <c r="P102" s="9" t="s">
        <v>5868</v>
      </c>
    </row>
    <row r="103" spans="1:16" ht="15">
      <c r="A103" s="824">
        <v>44703</v>
      </c>
      <c r="B103" s="850" t="s">
        <v>6143</v>
      </c>
      <c r="C103" s="827"/>
      <c r="D103" s="827"/>
      <c r="E103" s="9">
        <v>1</v>
      </c>
      <c r="G103" s="9"/>
      <c r="M103" s="9" t="s">
        <v>5907</v>
      </c>
    </row>
    <row r="104" spans="1:16" ht="15">
      <c r="A104" s="822">
        <v>44704</v>
      </c>
      <c r="B104" s="848" t="s">
        <v>6144</v>
      </c>
      <c r="C104" s="849">
        <v>0.29166666666666669</v>
      </c>
      <c r="D104" s="849">
        <v>0.79166666666666663</v>
      </c>
      <c r="F104" s="9">
        <v>1</v>
      </c>
      <c r="G104" s="9"/>
      <c r="M104" s="9" t="s">
        <v>5913</v>
      </c>
    </row>
    <row r="105" spans="1:16" ht="15">
      <c r="A105" s="824">
        <v>44705</v>
      </c>
      <c r="B105" s="850" t="s">
        <v>6145</v>
      </c>
      <c r="C105" s="851">
        <v>0.29166666666666669</v>
      </c>
      <c r="D105" s="851">
        <v>0.66666666666666663</v>
      </c>
      <c r="F105" s="9">
        <v>1</v>
      </c>
      <c r="G105" s="9"/>
      <c r="M105" s="9" t="s">
        <v>5918</v>
      </c>
    </row>
    <row r="106" spans="1:16" ht="15">
      <c r="A106" s="822">
        <v>44706</v>
      </c>
      <c r="B106" s="848" t="s">
        <v>6146</v>
      </c>
      <c r="C106" s="849">
        <v>0.41666666666666669</v>
      </c>
      <c r="D106" s="849">
        <v>0.70833333333333337</v>
      </c>
      <c r="F106" s="9">
        <v>1</v>
      </c>
      <c r="G106" s="9"/>
      <c r="M106" s="9" t="s">
        <v>5925</v>
      </c>
    </row>
    <row r="107" spans="1:16" ht="15">
      <c r="A107" s="824">
        <v>44707</v>
      </c>
      <c r="B107" s="850" t="s">
        <v>6147</v>
      </c>
      <c r="C107" s="851">
        <v>0.54166666666666663</v>
      </c>
      <c r="D107" s="851">
        <v>0.875</v>
      </c>
      <c r="F107" s="9">
        <v>1</v>
      </c>
      <c r="M107" s="9" t="s">
        <v>5931</v>
      </c>
      <c r="O107" s="9" t="s">
        <v>6148</v>
      </c>
      <c r="P107" s="9" t="s">
        <v>6149</v>
      </c>
    </row>
    <row r="108" spans="1:16" ht="15">
      <c r="A108" s="822">
        <v>44708</v>
      </c>
      <c r="B108" s="848" t="s">
        <v>6150</v>
      </c>
      <c r="C108" s="849">
        <v>0.29166666666666669</v>
      </c>
      <c r="D108" s="849">
        <v>0.75</v>
      </c>
      <c r="F108" s="9">
        <v>1</v>
      </c>
      <c r="O108" s="9" t="s">
        <v>6151</v>
      </c>
      <c r="P108" s="9" t="s">
        <v>6152</v>
      </c>
    </row>
    <row r="109" spans="1:16" ht="15.75">
      <c r="A109" s="824">
        <v>44709</v>
      </c>
      <c r="B109" s="850" t="s">
        <v>6153</v>
      </c>
      <c r="C109" s="851">
        <v>0.33333333333333331</v>
      </c>
      <c r="D109" s="851">
        <v>0.79166666666666663</v>
      </c>
      <c r="F109" s="9">
        <v>1</v>
      </c>
      <c r="G109" s="9"/>
      <c r="O109" s="852" t="s">
        <v>6154</v>
      </c>
      <c r="P109" s="9" t="s">
        <v>6155</v>
      </c>
    </row>
    <row r="110" spans="1:16" ht="15">
      <c r="A110" s="822">
        <v>44710</v>
      </c>
      <c r="B110" s="823" t="s">
        <v>6156</v>
      </c>
      <c r="C110" s="826">
        <v>0.41666666666666669</v>
      </c>
      <c r="D110" s="40"/>
      <c r="F110" s="9">
        <v>1</v>
      </c>
      <c r="G110" s="9"/>
    </row>
    <row r="111" spans="1:16" ht="15">
      <c r="A111" s="824">
        <v>44711</v>
      </c>
      <c r="B111" s="825" t="s">
        <v>6156</v>
      </c>
      <c r="C111" s="825" t="s">
        <v>5862</v>
      </c>
      <c r="D111" s="827">
        <v>0.70833333333333337</v>
      </c>
    </row>
    <row r="112" spans="1:16" ht="15">
      <c r="A112" s="822">
        <v>44712</v>
      </c>
      <c r="B112" s="823" t="s">
        <v>6157</v>
      </c>
      <c r="C112" s="826">
        <v>0.33333333333333331</v>
      </c>
      <c r="D112" s="826">
        <v>0.70833333333333337</v>
      </c>
      <c r="F112" s="9">
        <v>1</v>
      </c>
    </row>
    <row r="113" spans="1:16" ht="15">
      <c r="A113" s="824">
        <v>44713</v>
      </c>
      <c r="B113" s="825" t="s">
        <v>6158</v>
      </c>
      <c r="C113" s="827">
        <v>0.375</v>
      </c>
      <c r="D113" s="827">
        <v>0.75</v>
      </c>
      <c r="F113" s="9">
        <v>1</v>
      </c>
      <c r="G113" s="9"/>
    </row>
    <row r="114" spans="1:16" ht="15">
      <c r="A114" s="822">
        <v>44714</v>
      </c>
      <c r="B114" s="823" t="s">
        <v>6159</v>
      </c>
      <c r="C114" s="826">
        <v>0.33333333333333331</v>
      </c>
      <c r="D114" s="826">
        <v>0.91666666666666663</v>
      </c>
      <c r="F114" s="9">
        <v>1</v>
      </c>
      <c r="G114" s="9"/>
    </row>
    <row r="115" spans="1:16" ht="15">
      <c r="A115" s="824">
        <v>44715</v>
      </c>
      <c r="B115" s="825" t="s">
        <v>6160</v>
      </c>
      <c r="C115" s="825"/>
      <c r="D115" s="825"/>
    </row>
    <row r="116" spans="1:16" ht="15">
      <c r="A116" s="822">
        <v>44716</v>
      </c>
      <c r="B116" s="823" t="s">
        <v>6161</v>
      </c>
      <c r="C116" s="826">
        <v>0.33333333333333331</v>
      </c>
      <c r="D116" s="826">
        <v>0.75</v>
      </c>
      <c r="F116" s="9">
        <v>1</v>
      </c>
      <c r="G116" s="9"/>
    </row>
    <row r="117" spans="1:16" ht="15">
      <c r="A117" s="824">
        <v>44717</v>
      </c>
      <c r="B117" s="825" t="s">
        <v>6162</v>
      </c>
      <c r="C117" s="827">
        <v>0.29166666666666669</v>
      </c>
      <c r="D117" s="827">
        <v>0.75</v>
      </c>
      <c r="F117" s="9">
        <v>1</v>
      </c>
      <c r="G117" s="9"/>
      <c r="L117" s="853"/>
      <c r="M117" s="853"/>
      <c r="N117" s="853"/>
      <c r="O117" s="853"/>
      <c r="P117" s="853"/>
    </row>
    <row r="118" spans="1:16" ht="15">
      <c r="A118" s="822">
        <v>44718</v>
      </c>
      <c r="B118" s="823" t="s">
        <v>6163</v>
      </c>
      <c r="C118" s="826">
        <v>0.33333333333333331</v>
      </c>
      <c r="D118" s="826">
        <v>0.91666666666666663</v>
      </c>
      <c r="E118" s="9" t="s">
        <v>135</v>
      </c>
      <c r="F118" s="9">
        <v>1</v>
      </c>
      <c r="G118" s="9"/>
    </row>
    <row r="119" spans="1:16" ht="25.5">
      <c r="A119" s="824">
        <v>44719</v>
      </c>
      <c r="B119" s="854" t="s">
        <v>6164</v>
      </c>
      <c r="C119" s="825"/>
      <c r="D119" s="825"/>
      <c r="E119" s="9">
        <v>1</v>
      </c>
      <c r="H119" s="855"/>
      <c r="I119" s="855"/>
      <c r="J119" s="855"/>
      <c r="K119" s="855"/>
      <c r="L119" s="855"/>
      <c r="M119" s="855"/>
    </row>
    <row r="120" spans="1:16" ht="15">
      <c r="A120" s="822">
        <v>44720</v>
      </c>
      <c r="B120" s="823" t="s">
        <v>6165</v>
      </c>
      <c r="C120" s="826">
        <v>0.29166666666666669</v>
      </c>
      <c r="D120" s="826">
        <v>0.66666666666666663</v>
      </c>
      <c r="F120" s="9">
        <v>1</v>
      </c>
      <c r="G120" s="9"/>
      <c r="H120" s="25"/>
      <c r="I120" s="25"/>
      <c r="J120" s="25"/>
      <c r="K120" s="25"/>
      <c r="L120" s="25"/>
      <c r="M120" s="856"/>
      <c r="N120" s="40"/>
    </row>
    <row r="121" spans="1:16" ht="15">
      <c r="A121" s="824">
        <v>44721</v>
      </c>
      <c r="B121" s="825" t="s">
        <v>6166</v>
      </c>
      <c r="C121" s="827">
        <v>0.16666666666666666</v>
      </c>
      <c r="D121" s="825"/>
      <c r="F121" s="9">
        <v>1</v>
      </c>
      <c r="G121" s="9"/>
      <c r="H121" s="857"/>
      <c r="I121" s="857"/>
      <c r="J121" s="858"/>
      <c r="K121" s="856"/>
      <c r="L121" s="856"/>
      <c r="M121" s="856"/>
      <c r="N121" s="40"/>
    </row>
    <row r="122" spans="1:16" ht="15">
      <c r="A122" s="822">
        <v>44722</v>
      </c>
      <c r="B122" s="823" t="s">
        <v>6166</v>
      </c>
      <c r="C122" s="823"/>
      <c r="D122" s="826">
        <v>0.83333333333333337</v>
      </c>
      <c r="H122" s="857"/>
      <c r="I122" s="857"/>
      <c r="J122" s="858"/>
      <c r="K122" s="856"/>
      <c r="L122" s="856"/>
      <c r="M122" s="856"/>
      <c r="N122" s="40"/>
    </row>
    <row r="123" spans="1:16" ht="15">
      <c r="A123" s="814">
        <v>44723</v>
      </c>
      <c r="B123" s="815" t="s">
        <v>6167</v>
      </c>
      <c r="C123" s="816">
        <v>0.45833333333333331</v>
      </c>
      <c r="D123" s="816">
        <v>0.79166666666666663</v>
      </c>
      <c r="F123" s="9">
        <v>1</v>
      </c>
      <c r="G123" s="9"/>
      <c r="H123" s="857"/>
      <c r="I123" s="857"/>
      <c r="J123" s="859"/>
      <c r="K123" s="856"/>
      <c r="L123" s="856"/>
      <c r="M123" s="856"/>
      <c r="N123" s="40"/>
    </row>
    <row r="124" spans="1:16" ht="15">
      <c r="A124" s="822">
        <v>44724</v>
      </c>
      <c r="B124" s="823" t="s">
        <v>6168</v>
      </c>
      <c r="C124" s="826">
        <v>0.33333333333333331</v>
      </c>
      <c r="D124" s="826">
        <v>0.75</v>
      </c>
      <c r="F124" s="9">
        <v>1</v>
      </c>
      <c r="G124" s="9"/>
      <c r="H124" s="857"/>
      <c r="I124" s="857"/>
      <c r="J124" s="860"/>
      <c r="K124" s="856"/>
      <c r="L124" s="856"/>
      <c r="M124" s="856"/>
      <c r="N124" s="40"/>
    </row>
    <row r="125" spans="1:16" ht="15">
      <c r="A125" s="824">
        <v>44725</v>
      </c>
      <c r="B125" s="825" t="s">
        <v>6067</v>
      </c>
      <c r="C125" s="825"/>
      <c r="D125" s="825"/>
      <c r="E125" s="9">
        <v>1</v>
      </c>
      <c r="H125" s="857"/>
      <c r="I125" s="857"/>
      <c r="J125" s="860"/>
      <c r="K125" s="856"/>
      <c r="L125" s="856"/>
      <c r="M125" s="856"/>
      <c r="N125" s="40"/>
    </row>
    <row r="126" spans="1:16" ht="30">
      <c r="A126" s="822">
        <v>44726</v>
      </c>
      <c r="B126" s="823" t="s">
        <v>6169</v>
      </c>
      <c r="C126" s="823" t="s">
        <v>6170</v>
      </c>
      <c r="D126" s="40"/>
      <c r="F126" s="9">
        <v>1</v>
      </c>
      <c r="G126" s="9"/>
      <c r="H126" s="857"/>
      <c r="I126" s="857"/>
      <c r="J126" s="858"/>
      <c r="K126" s="856"/>
      <c r="L126" s="856"/>
      <c r="M126" s="856"/>
      <c r="N126" s="40"/>
    </row>
    <row r="127" spans="1:16" ht="15">
      <c r="A127" s="822">
        <v>44727</v>
      </c>
      <c r="B127" s="822" t="s">
        <v>6171</v>
      </c>
      <c r="C127" s="40"/>
      <c r="D127" s="40"/>
      <c r="F127" s="9">
        <v>1</v>
      </c>
      <c r="G127" s="9"/>
      <c r="H127" s="857"/>
      <c r="I127" s="857"/>
      <c r="J127" s="858"/>
      <c r="K127" s="856"/>
      <c r="L127" s="856"/>
      <c r="M127" s="856"/>
      <c r="N127" s="40"/>
    </row>
    <row r="128" spans="1:16" ht="18.75">
      <c r="A128" s="824">
        <v>44728</v>
      </c>
      <c r="B128" s="824" t="s">
        <v>6172</v>
      </c>
      <c r="C128" s="40"/>
      <c r="D128" s="40"/>
      <c r="F128" s="9">
        <v>1</v>
      </c>
      <c r="G128" s="9"/>
      <c r="H128" s="857"/>
      <c r="I128" s="857"/>
      <c r="J128" s="858"/>
      <c r="K128" s="856"/>
      <c r="L128" s="856"/>
      <c r="M128" s="856"/>
      <c r="N128" s="40"/>
      <c r="O128" s="861" t="s">
        <v>6173</v>
      </c>
    </row>
    <row r="129" spans="1:15" ht="15">
      <c r="A129" s="822">
        <v>44729</v>
      </c>
      <c r="B129" s="822" t="s">
        <v>6143</v>
      </c>
      <c r="C129" s="40"/>
      <c r="D129" s="40"/>
      <c r="E129" s="9">
        <v>1</v>
      </c>
      <c r="H129" s="857"/>
      <c r="I129" s="857"/>
      <c r="J129" s="858"/>
      <c r="K129" s="856"/>
      <c r="L129" s="856"/>
      <c r="M129" s="856"/>
      <c r="N129" s="40"/>
      <c r="O129" s="18" t="s">
        <v>6174</v>
      </c>
    </row>
    <row r="130" spans="1:15" ht="15">
      <c r="A130" s="824">
        <v>44730</v>
      </c>
      <c r="B130" s="824" t="s">
        <v>6163</v>
      </c>
      <c r="C130" s="40"/>
      <c r="D130" s="40"/>
      <c r="F130" s="9">
        <v>1</v>
      </c>
      <c r="G130" s="9"/>
      <c r="H130" s="857"/>
      <c r="I130" s="857"/>
      <c r="J130" s="858"/>
      <c r="K130" s="856"/>
      <c r="L130" s="856"/>
      <c r="M130" s="856"/>
      <c r="N130" s="40"/>
      <c r="O130" s="18" t="s">
        <v>6175</v>
      </c>
    </row>
    <row r="131" spans="1:15" ht="15">
      <c r="A131" s="822">
        <v>44731</v>
      </c>
      <c r="B131" s="822" t="s">
        <v>6176</v>
      </c>
      <c r="C131" s="40"/>
      <c r="D131" s="40"/>
      <c r="F131" s="9">
        <v>1</v>
      </c>
      <c r="G131" s="9"/>
      <c r="H131" s="857"/>
      <c r="I131" s="857"/>
      <c r="J131" s="858"/>
      <c r="K131" s="856"/>
      <c r="L131" s="856"/>
      <c r="M131" s="856"/>
      <c r="N131" s="40"/>
      <c r="O131" s="18" t="s">
        <v>6177</v>
      </c>
    </row>
    <row r="132" spans="1:15" ht="15">
      <c r="A132" s="822">
        <v>44732</v>
      </c>
      <c r="B132" s="822" t="s">
        <v>6176</v>
      </c>
      <c r="C132" s="40"/>
      <c r="D132" s="40"/>
      <c r="H132" s="857"/>
      <c r="I132" s="857"/>
      <c r="J132" s="858"/>
      <c r="K132" s="856"/>
      <c r="L132" s="856"/>
      <c r="M132" s="856"/>
      <c r="N132" s="40"/>
      <c r="O132" s="18" t="s">
        <v>6178</v>
      </c>
    </row>
    <row r="133" spans="1:15" ht="15">
      <c r="A133" s="824">
        <v>44733</v>
      </c>
      <c r="B133" s="824" t="s">
        <v>6179</v>
      </c>
      <c r="C133" s="40"/>
      <c r="D133" s="40"/>
      <c r="F133" s="9">
        <v>1</v>
      </c>
      <c r="G133" s="9"/>
      <c r="H133" s="857"/>
      <c r="I133" s="857"/>
      <c r="J133" s="858"/>
      <c r="K133" s="856"/>
      <c r="L133" s="856"/>
      <c r="M133" s="856"/>
      <c r="N133" s="40"/>
      <c r="O133" s="18" t="s">
        <v>6180</v>
      </c>
    </row>
    <row r="134" spans="1:15" ht="15">
      <c r="A134" s="822">
        <v>44734</v>
      </c>
      <c r="B134" s="822" t="s">
        <v>6179</v>
      </c>
      <c r="C134" s="40"/>
      <c r="D134" s="40"/>
      <c r="H134" s="857"/>
      <c r="I134" s="857"/>
      <c r="J134" s="858"/>
      <c r="K134" s="856"/>
      <c r="L134" s="856"/>
      <c r="M134" s="856"/>
      <c r="N134" s="40"/>
      <c r="O134" s="18" t="s">
        <v>6181</v>
      </c>
    </row>
    <row r="135" spans="1:15" ht="15">
      <c r="A135" s="824">
        <v>44735</v>
      </c>
      <c r="B135" s="824" t="s">
        <v>6143</v>
      </c>
      <c r="C135" s="40"/>
      <c r="D135" s="40"/>
      <c r="E135" s="9">
        <v>1</v>
      </c>
      <c r="H135" s="857"/>
      <c r="I135" s="857"/>
      <c r="J135" s="858"/>
      <c r="K135" s="856"/>
      <c r="L135" s="856"/>
      <c r="M135" s="856"/>
      <c r="N135" s="40"/>
      <c r="O135" s="18" t="s">
        <v>6182</v>
      </c>
    </row>
    <row r="136" spans="1:15" ht="15">
      <c r="A136" s="822">
        <v>44736</v>
      </c>
      <c r="B136" s="822" t="s">
        <v>6183</v>
      </c>
      <c r="C136" s="40" t="s">
        <v>6184</v>
      </c>
      <c r="D136" s="40"/>
      <c r="F136" s="9">
        <v>1</v>
      </c>
      <c r="G136" s="9"/>
      <c r="H136" s="857"/>
      <c r="I136" s="857"/>
      <c r="J136" s="858"/>
      <c r="K136" s="856"/>
      <c r="L136" s="856"/>
      <c r="M136" s="856"/>
      <c r="N136" s="40"/>
      <c r="O136" s="18" t="s">
        <v>6185</v>
      </c>
    </row>
    <row r="137" spans="1:15" ht="15">
      <c r="A137" s="817">
        <v>44737</v>
      </c>
      <c r="B137" s="817" t="s">
        <v>6186</v>
      </c>
      <c r="C137" s="40" t="s">
        <v>6073</v>
      </c>
      <c r="D137" s="40"/>
      <c r="F137" s="9">
        <v>1</v>
      </c>
      <c r="G137" s="9"/>
      <c r="H137" s="857"/>
      <c r="I137" s="857"/>
      <c r="J137" s="858"/>
      <c r="K137" s="856"/>
      <c r="L137" s="856"/>
      <c r="M137" s="856"/>
      <c r="N137" s="40"/>
      <c r="O137" s="18" t="s">
        <v>6187</v>
      </c>
    </row>
    <row r="138" spans="1:15" ht="15">
      <c r="A138" s="824">
        <v>44738</v>
      </c>
      <c r="B138" s="824" t="s">
        <v>6188</v>
      </c>
      <c r="C138" s="40"/>
      <c r="D138" s="40"/>
      <c r="F138" s="9">
        <v>1</v>
      </c>
      <c r="G138" s="9"/>
      <c r="H138" s="857"/>
      <c r="I138" s="857"/>
      <c r="J138" s="858"/>
      <c r="K138" s="856"/>
      <c r="L138" s="856"/>
      <c r="M138" s="856"/>
      <c r="N138" s="40"/>
      <c r="O138" s="18" t="s">
        <v>6189</v>
      </c>
    </row>
    <row r="139" spans="1:15" ht="15">
      <c r="A139" s="822">
        <v>44739</v>
      </c>
      <c r="B139" s="822" t="s">
        <v>6143</v>
      </c>
      <c r="C139" s="40"/>
      <c r="D139" s="40"/>
      <c r="E139" s="9">
        <v>1</v>
      </c>
      <c r="H139" s="857"/>
      <c r="I139" s="857"/>
      <c r="J139" s="859"/>
      <c r="K139" s="856"/>
      <c r="L139" s="856"/>
      <c r="M139" s="856"/>
      <c r="N139" s="40"/>
      <c r="O139" s="18" t="s">
        <v>6190</v>
      </c>
    </row>
    <row r="140" spans="1:15" ht="15">
      <c r="A140" s="824">
        <v>44740</v>
      </c>
      <c r="B140" s="824" t="s">
        <v>6143</v>
      </c>
      <c r="C140" s="40"/>
      <c r="D140" s="40"/>
      <c r="E140" s="9">
        <v>1</v>
      </c>
      <c r="H140" s="857"/>
      <c r="I140" s="857"/>
      <c r="J140" s="859"/>
      <c r="K140" s="856"/>
      <c r="L140" s="856"/>
      <c r="M140" s="856"/>
      <c r="N140" s="40"/>
      <c r="O140" s="18" t="s">
        <v>6191</v>
      </c>
    </row>
    <row r="141" spans="1:15" ht="15">
      <c r="A141" s="822">
        <v>44741</v>
      </c>
      <c r="B141" s="822" t="s">
        <v>6143</v>
      </c>
      <c r="C141" s="40"/>
      <c r="D141" s="40"/>
      <c r="E141" s="9">
        <v>1</v>
      </c>
      <c r="H141" s="857"/>
      <c r="I141" s="857"/>
      <c r="J141" s="859"/>
      <c r="K141" s="856"/>
      <c r="L141" s="856"/>
      <c r="M141" s="856"/>
      <c r="N141" s="40"/>
      <c r="O141" s="18" t="s">
        <v>6192</v>
      </c>
    </row>
    <row r="142" spans="1:15" ht="15">
      <c r="A142" s="822">
        <v>44742</v>
      </c>
      <c r="B142" s="822" t="s">
        <v>6143</v>
      </c>
      <c r="C142" s="40"/>
      <c r="D142" s="40"/>
      <c r="E142" s="9">
        <v>1</v>
      </c>
      <c r="H142" s="857"/>
      <c r="I142" s="857"/>
      <c r="J142" s="858"/>
      <c r="K142" s="856"/>
      <c r="L142" s="856"/>
      <c r="M142" s="856"/>
      <c r="N142" s="40"/>
      <c r="O142" s="18" t="s">
        <v>4772</v>
      </c>
    </row>
    <row r="143" spans="1:15" ht="15">
      <c r="A143" s="824">
        <v>44743</v>
      </c>
      <c r="B143" s="824" t="s">
        <v>6143</v>
      </c>
      <c r="C143" s="40"/>
      <c r="D143" s="40"/>
      <c r="E143" s="9">
        <v>1</v>
      </c>
      <c r="H143" s="857"/>
      <c r="I143" s="857"/>
      <c r="J143" s="858"/>
      <c r="K143" s="856"/>
      <c r="L143" s="856"/>
      <c r="M143" s="856"/>
      <c r="N143" s="40"/>
      <c r="O143" s="18" t="s">
        <v>6193</v>
      </c>
    </row>
    <row r="144" spans="1:15" ht="15">
      <c r="A144" s="822">
        <v>44744</v>
      </c>
      <c r="B144" s="822" t="s">
        <v>6194</v>
      </c>
      <c r="C144" s="40"/>
      <c r="D144" s="40"/>
      <c r="F144" s="9">
        <v>1</v>
      </c>
      <c r="G144" s="9"/>
      <c r="H144" s="857"/>
      <c r="I144" s="857"/>
      <c r="J144" s="858"/>
      <c r="K144" s="856"/>
      <c r="L144" s="856"/>
      <c r="M144" s="856"/>
      <c r="N144" s="40"/>
      <c r="O144" s="18" t="s">
        <v>6191</v>
      </c>
    </row>
    <row r="145" spans="1:15" ht="15">
      <c r="A145" s="824">
        <v>44745</v>
      </c>
      <c r="B145" s="824" t="s">
        <v>6143</v>
      </c>
      <c r="C145" s="40"/>
      <c r="D145" s="40"/>
      <c r="E145" s="9">
        <v>1</v>
      </c>
      <c r="H145" s="857"/>
      <c r="I145" s="857"/>
      <c r="J145" s="858"/>
      <c r="K145" s="856"/>
      <c r="L145" s="856"/>
      <c r="M145" s="856"/>
      <c r="N145" s="40"/>
      <c r="O145" s="18" t="s">
        <v>6195</v>
      </c>
    </row>
    <row r="146" spans="1:15" ht="15">
      <c r="A146" s="822">
        <v>44746</v>
      </c>
      <c r="B146" s="822" t="s">
        <v>6196</v>
      </c>
      <c r="C146" s="40"/>
      <c r="D146" s="40"/>
      <c r="F146" s="9">
        <v>1</v>
      </c>
      <c r="G146" s="9"/>
      <c r="H146" s="857"/>
      <c r="I146" s="857"/>
      <c r="J146" s="858"/>
      <c r="K146" s="856"/>
      <c r="L146" s="856"/>
      <c r="M146" s="856"/>
      <c r="N146" s="40"/>
      <c r="O146" s="18" t="s">
        <v>6197</v>
      </c>
    </row>
    <row r="147" spans="1:15" ht="30">
      <c r="A147" s="822">
        <v>44747</v>
      </c>
      <c r="B147" s="822" t="s">
        <v>6196</v>
      </c>
      <c r="C147" s="823" t="s">
        <v>6170</v>
      </c>
      <c r="D147" s="40"/>
      <c r="H147" s="857"/>
      <c r="I147" s="857"/>
      <c r="J147" s="858"/>
      <c r="K147" s="856"/>
      <c r="L147" s="856"/>
      <c r="M147" s="856"/>
      <c r="N147" s="40"/>
      <c r="O147" s="18" t="s">
        <v>6198</v>
      </c>
    </row>
    <row r="148" spans="1:15" ht="25.5">
      <c r="A148" s="40"/>
      <c r="B148" s="40"/>
      <c r="C148" s="40"/>
      <c r="D148" s="40"/>
      <c r="E148" s="9">
        <f>SUM(E2:E147)</f>
        <v>35</v>
      </c>
      <c r="F148" s="9">
        <f>SUM(F2:F147)</f>
        <v>88</v>
      </c>
      <c r="H148" s="857"/>
      <c r="I148" s="857"/>
      <c r="J148" s="858"/>
      <c r="K148" s="856"/>
      <c r="L148" s="856"/>
      <c r="M148" s="856"/>
      <c r="N148" s="40"/>
      <c r="O148" s="18" t="s">
        <v>6199</v>
      </c>
    </row>
    <row r="149" spans="1:15">
      <c r="A149" s="862"/>
      <c r="B149" s="862"/>
      <c r="C149" s="862"/>
      <c r="D149" s="862"/>
      <c r="E149" s="863"/>
      <c r="F149" s="863"/>
      <c r="G149" s="863"/>
      <c r="H149" s="857"/>
      <c r="I149" s="857"/>
      <c r="J149" s="858"/>
      <c r="K149" s="856"/>
      <c r="L149" s="856"/>
      <c r="M149" s="856"/>
      <c r="N149" s="40"/>
      <c r="O149" s="18" t="s">
        <v>1958</v>
      </c>
    </row>
    <row r="150" spans="1:15" ht="25.5">
      <c r="A150" s="864"/>
      <c r="B150" s="864"/>
      <c r="C150" s="864"/>
      <c r="D150" s="864"/>
      <c r="E150" s="865"/>
      <c r="F150" s="865"/>
      <c r="G150" s="865"/>
      <c r="H150" s="857"/>
      <c r="I150" s="857"/>
      <c r="J150" s="858"/>
      <c r="K150" s="856"/>
      <c r="L150" s="856"/>
      <c r="M150" s="856"/>
      <c r="N150" s="40"/>
      <c r="O150" s="18" t="s">
        <v>6200</v>
      </c>
    </row>
    <row r="151" spans="1:15">
      <c r="A151" s="862"/>
      <c r="B151" s="862"/>
      <c r="C151" s="862"/>
      <c r="D151" s="862"/>
      <c r="E151" s="863"/>
      <c r="F151" s="863"/>
      <c r="G151" s="863"/>
      <c r="H151" s="857"/>
      <c r="I151" s="857"/>
      <c r="J151" s="858"/>
      <c r="K151" s="856"/>
      <c r="L151" s="856"/>
      <c r="M151" s="856"/>
      <c r="N151" s="40"/>
      <c r="O151" s="18" t="s">
        <v>6201</v>
      </c>
    </row>
    <row r="152" spans="1:15">
      <c r="A152" s="864"/>
      <c r="B152" s="864"/>
      <c r="C152" s="864"/>
      <c r="D152" s="864"/>
      <c r="E152" s="865"/>
      <c r="F152" s="865"/>
      <c r="G152" s="865"/>
      <c r="H152" s="857"/>
      <c r="I152" s="857"/>
      <c r="J152" s="859"/>
      <c r="K152" s="856"/>
      <c r="L152" s="856"/>
      <c r="M152" s="856"/>
      <c r="N152" s="40"/>
      <c r="O152" s="18" t="s">
        <v>6202</v>
      </c>
    </row>
    <row r="153" spans="1:15">
      <c r="A153" s="862"/>
      <c r="B153" s="862"/>
      <c r="C153" s="862"/>
      <c r="D153" s="862"/>
      <c r="E153" s="863"/>
      <c r="F153" s="863"/>
      <c r="G153" s="863"/>
      <c r="H153" s="857"/>
      <c r="I153" s="857"/>
      <c r="J153" s="860"/>
      <c r="K153" s="856"/>
      <c r="L153" s="856"/>
      <c r="M153" s="856"/>
      <c r="N153" s="40"/>
      <c r="O153" s="18" t="s">
        <v>6203</v>
      </c>
    </row>
    <row r="154" spans="1:15">
      <c r="A154" s="864"/>
      <c r="B154" s="864"/>
      <c r="C154" s="864"/>
      <c r="D154" s="864"/>
      <c r="E154" s="865"/>
      <c r="F154" s="865"/>
      <c r="G154" s="865"/>
      <c r="H154" s="857"/>
      <c r="I154" s="857"/>
      <c r="J154" s="860"/>
      <c r="K154" s="856"/>
      <c r="L154" s="856"/>
      <c r="M154" s="856"/>
      <c r="N154" s="40"/>
      <c r="O154" s="445" t="s">
        <v>6204</v>
      </c>
    </row>
    <row r="155" spans="1:15">
      <c r="A155" s="862"/>
      <c r="B155" s="862"/>
      <c r="C155" s="862"/>
      <c r="D155" s="862"/>
      <c r="E155" s="863"/>
      <c r="F155" s="863"/>
      <c r="G155" s="863"/>
      <c r="H155" s="857"/>
      <c r="I155" s="857"/>
      <c r="J155" s="858"/>
      <c r="K155" s="856"/>
      <c r="L155" s="856"/>
      <c r="M155" s="856"/>
      <c r="N155" s="40"/>
      <c r="O155" s="445" t="s">
        <v>6205</v>
      </c>
    </row>
    <row r="156" spans="1:15">
      <c r="A156" s="864"/>
      <c r="B156" s="864"/>
      <c r="C156" s="864"/>
      <c r="D156" s="864"/>
      <c r="E156" s="865"/>
      <c r="F156" s="865"/>
      <c r="G156" s="865"/>
      <c r="H156" s="857"/>
      <c r="I156" s="857"/>
      <c r="J156" s="858"/>
      <c r="K156" s="856"/>
      <c r="L156" s="856"/>
      <c r="M156" s="856"/>
      <c r="N156" s="40"/>
      <c r="O156" s="18" t="s">
        <v>6206</v>
      </c>
    </row>
    <row r="157" spans="1:15">
      <c r="A157" s="862"/>
      <c r="B157" s="862"/>
      <c r="C157" s="862"/>
      <c r="D157" s="862"/>
      <c r="E157" s="863"/>
      <c r="F157" s="863"/>
      <c r="G157" s="863"/>
      <c r="H157" s="857"/>
      <c r="I157" s="857"/>
      <c r="J157" s="858"/>
      <c r="K157" s="856"/>
      <c r="L157" s="856"/>
      <c r="M157" s="856"/>
      <c r="N157" s="40"/>
      <c r="O157" s="18" t="s">
        <v>6207</v>
      </c>
    </row>
    <row r="158" spans="1:15">
      <c r="A158" s="864"/>
      <c r="B158" s="864"/>
      <c r="C158" s="864"/>
      <c r="D158" s="864"/>
      <c r="E158" s="865"/>
      <c r="F158" s="865"/>
      <c r="G158" s="865"/>
      <c r="H158" s="857"/>
      <c r="I158" s="857"/>
      <c r="J158" s="858"/>
      <c r="K158" s="856"/>
      <c r="L158" s="856"/>
      <c r="M158" s="856"/>
      <c r="N158" s="40"/>
      <c r="O158" s="18" t="s">
        <v>6208</v>
      </c>
    </row>
    <row r="159" spans="1:15" ht="26.25">
      <c r="A159" s="866"/>
      <c r="B159" s="866"/>
      <c r="C159" s="866"/>
      <c r="D159" s="866"/>
      <c r="E159" s="867"/>
      <c r="F159" s="867"/>
      <c r="G159" s="867"/>
      <c r="H159" s="868"/>
      <c r="I159" s="868"/>
      <c r="J159" s="868"/>
      <c r="K159" s="869"/>
      <c r="L159" s="869"/>
      <c r="M159" s="869"/>
      <c r="O159" s="18" t="s">
        <v>6209</v>
      </c>
    </row>
    <row r="160" spans="1:15" ht="25.5">
      <c r="A160" s="40"/>
      <c r="B160" s="40"/>
      <c r="C160" s="40"/>
      <c r="D160" s="40"/>
      <c r="O160" s="18" t="s">
        <v>6210</v>
      </c>
    </row>
    <row r="161" spans="1:15">
      <c r="A161" s="40"/>
      <c r="B161" s="40"/>
      <c r="C161" s="40"/>
      <c r="D161" s="40"/>
      <c r="E161" s="9"/>
      <c r="F161" s="9"/>
      <c r="G161" s="9"/>
      <c r="H161" s="9" t="s">
        <v>6211</v>
      </c>
      <c r="I161" s="9">
        <v>1</v>
      </c>
      <c r="O161" s="18" t="s">
        <v>6212</v>
      </c>
    </row>
    <row r="162" spans="1:15">
      <c r="A162" s="40"/>
      <c r="B162" s="40"/>
      <c r="C162" s="40"/>
      <c r="D162" s="40"/>
      <c r="E162" s="9"/>
      <c r="F162" s="9"/>
      <c r="G162" s="9"/>
      <c r="H162" s="9" t="s">
        <v>6213</v>
      </c>
      <c r="I162" s="9">
        <v>2</v>
      </c>
      <c r="O162" s="18" t="s">
        <v>6214</v>
      </c>
    </row>
    <row r="163" spans="1:15">
      <c r="A163" s="40"/>
      <c r="B163" s="40"/>
      <c r="C163" s="40"/>
      <c r="D163" s="40"/>
      <c r="E163" s="9"/>
      <c r="F163" s="9"/>
      <c r="G163" s="9"/>
      <c r="H163" s="9" t="s">
        <v>6215</v>
      </c>
      <c r="I163" s="9">
        <v>3</v>
      </c>
      <c r="O163" s="18" t="s">
        <v>6216</v>
      </c>
    </row>
    <row r="164" spans="1:15">
      <c r="A164" s="40"/>
      <c r="B164" s="40"/>
      <c r="C164" s="40"/>
      <c r="D164" s="40"/>
      <c r="E164" s="9"/>
      <c r="F164" s="9"/>
      <c r="G164" s="9"/>
      <c r="H164" s="9" t="s">
        <v>6217</v>
      </c>
      <c r="I164" s="9">
        <v>4</v>
      </c>
      <c r="O164" s="18" t="s">
        <v>6218</v>
      </c>
    </row>
    <row r="165" spans="1:15">
      <c r="A165" s="40"/>
      <c r="B165" s="40"/>
      <c r="C165" s="40"/>
      <c r="D165" s="40"/>
      <c r="E165" s="9"/>
      <c r="F165" s="9"/>
      <c r="G165" s="9"/>
      <c r="H165" s="9" t="s">
        <v>6219</v>
      </c>
      <c r="I165" s="9">
        <v>5</v>
      </c>
      <c r="O165" s="18" t="s">
        <v>6220</v>
      </c>
    </row>
    <row r="166" spans="1:15">
      <c r="A166" s="40"/>
      <c r="B166" s="40"/>
      <c r="C166" s="40"/>
      <c r="D166" s="40"/>
      <c r="E166" s="9"/>
      <c r="F166" s="9"/>
      <c r="G166" s="9"/>
      <c r="H166" s="9" t="s">
        <v>6221</v>
      </c>
      <c r="I166" s="9">
        <v>6</v>
      </c>
      <c r="O166" s="18" t="s">
        <v>5909</v>
      </c>
    </row>
    <row r="167" spans="1:15">
      <c r="A167" s="40"/>
      <c r="B167" s="40"/>
      <c r="C167" s="40"/>
      <c r="D167" s="40"/>
      <c r="E167" s="9"/>
      <c r="F167" s="9"/>
      <c r="G167" s="9"/>
      <c r="H167" s="9" t="s">
        <v>6222</v>
      </c>
      <c r="I167" s="9">
        <v>7</v>
      </c>
      <c r="O167" s="18" t="s">
        <v>6223</v>
      </c>
    </row>
    <row r="168" spans="1:15">
      <c r="A168" s="40"/>
      <c r="B168" s="40"/>
      <c r="C168" s="40"/>
      <c r="D168" s="40"/>
      <c r="E168" s="9"/>
      <c r="F168" s="9"/>
      <c r="G168" s="9"/>
      <c r="H168" s="9" t="s">
        <v>6224</v>
      </c>
      <c r="I168" s="9">
        <v>8</v>
      </c>
    </row>
    <row r="169" spans="1:15">
      <c r="A169" s="40"/>
      <c r="B169" s="40"/>
      <c r="C169" s="40"/>
      <c r="D169" s="40"/>
      <c r="E169" s="9"/>
      <c r="F169" s="9"/>
      <c r="G169" s="9"/>
      <c r="H169" s="9" t="s">
        <v>6225</v>
      </c>
      <c r="I169" s="9">
        <v>9</v>
      </c>
    </row>
    <row r="170" spans="1:15">
      <c r="A170" s="40"/>
      <c r="B170" s="40"/>
      <c r="C170" s="40"/>
      <c r="D170" s="40"/>
      <c r="E170" s="9"/>
      <c r="F170" s="9"/>
      <c r="G170" s="9"/>
      <c r="H170" s="9" t="s">
        <v>6226</v>
      </c>
      <c r="I170" s="9">
        <v>10</v>
      </c>
    </row>
    <row r="171" spans="1:15">
      <c r="A171" s="40"/>
      <c r="B171" s="40"/>
      <c r="C171" s="40"/>
      <c r="D171" s="40"/>
      <c r="E171" s="9"/>
      <c r="F171" s="9"/>
      <c r="G171" s="9"/>
      <c r="H171" s="9" t="s">
        <v>4583</v>
      </c>
      <c r="I171" s="9">
        <v>11</v>
      </c>
    </row>
    <row r="172" spans="1:15">
      <c r="A172" s="40"/>
      <c r="B172" s="40"/>
      <c r="C172" s="40"/>
      <c r="D172" s="40"/>
      <c r="E172" s="9"/>
      <c r="F172" s="9"/>
      <c r="G172" s="9"/>
      <c r="H172" s="9" t="s">
        <v>6227</v>
      </c>
      <c r="I172" s="9">
        <v>12</v>
      </c>
    </row>
    <row r="173" spans="1:15">
      <c r="A173" s="40"/>
      <c r="B173" s="40"/>
      <c r="C173" s="40"/>
      <c r="D173" s="40"/>
      <c r="E173" s="9"/>
      <c r="F173" s="9"/>
      <c r="G173" s="9"/>
      <c r="H173" s="9" t="s">
        <v>6228</v>
      </c>
      <c r="I173" s="9">
        <v>13</v>
      </c>
    </row>
    <row r="174" spans="1:15">
      <c r="A174" s="40"/>
      <c r="B174" s="40"/>
      <c r="C174" s="40"/>
      <c r="D174" s="40"/>
      <c r="E174" s="9"/>
      <c r="F174" s="9"/>
      <c r="G174" s="9"/>
      <c r="H174" s="9" t="s">
        <v>6229</v>
      </c>
      <c r="I174" s="9">
        <v>14</v>
      </c>
    </row>
    <row r="175" spans="1:15">
      <c r="A175" s="40"/>
      <c r="B175" s="40"/>
      <c r="C175" s="40"/>
      <c r="D175" s="40"/>
      <c r="E175" s="9"/>
      <c r="F175" s="9"/>
      <c r="G175" s="9"/>
      <c r="H175" s="9" t="s">
        <v>6230</v>
      </c>
      <c r="I175" s="9">
        <v>15</v>
      </c>
    </row>
    <row r="176" spans="1:15">
      <c r="A176" s="40"/>
      <c r="B176" s="40"/>
      <c r="C176" s="40"/>
      <c r="D176" s="40"/>
      <c r="E176" s="9"/>
      <c r="F176" s="9"/>
      <c r="G176" s="9"/>
      <c r="H176" s="9" t="s">
        <v>6231</v>
      </c>
      <c r="I176" s="9">
        <v>16</v>
      </c>
    </row>
    <row r="177" spans="1:9">
      <c r="A177" s="40"/>
      <c r="B177" s="40"/>
      <c r="C177" s="40"/>
      <c r="D177" s="40"/>
      <c r="E177" s="9"/>
      <c r="F177" s="9"/>
      <c r="G177" s="9"/>
      <c r="H177" s="9" t="s">
        <v>6232</v>
      </c>
      <c r="I177" s="9">
        <v>17</v>
      </c>
    </row>
    <row r="178" spans="1:9">
      <c r="A178" s="40"/>
      <c r="B178" s="40"/>
      <c r="C178" s="40"/>
      <c r="D178" s="40"/>
      <c r="E178" s="9"/>
      <c r="F178" s="9"/>
      <c r="G178" s="9"/>
      <c r="H178" s="9" t="s">
        <v>6233</v>
      </c>
      <c r="I178" s="9">
        <v>18</v>
      </c>
    </row>
    <row r="179" spans="1:9">
      <c r="A179" s="40"/>
      <c r="B179" s="40"/>
      <c r="C179" s="40"/>
      <c r="D179" s="40"/>
      <c r="E179" s="9"/>
      <c r="F179" s="9"/>
      <c r="G179" s="9"/>
      <c r="H179" s="9" t="s">
        <v>6234</v>
      </c>
      <c r="I179" s="9">
        <v>19</v>
      </c>
    </row>
    <row r="180" spans="1:9">
      <c r="A180" s="40"/>
      <c r="B180" s="40"/>
      <c r="C180" s="40"/>
      <c r="D180" s="40"/>
      <c r="E180" s="9"/>
      <c r="F180" s="9"/>
      <c r="G180" s="9"/>
      <c r="H180" s="9" t="s">
        <v>6235</v>
      </c>
      <c r="I180" s="9">
        <v>20</v>
      </c>
    </row>
    <row r="181" spans="1:9">
      <c r="A181" s="40"/>
      <c r="B181" s="40"/>
      <c r="C181" s="40"/>
      <c r="D181" s="40"/>
      <c r="E181" s="9"/>
      <c r="F181" s="9"/>
      <c r="G181" s="9"/>
      <c r="H181" s="9" t="s">
        <v>6236</v>
      </c>
      <c r="I181" s="9">
        <v>21</v>
      </c>
    </row>
    <row r="182" spans="1:9">
      <c r="A182" s="40"/>
      <c r="B182" s="40"/>
      <c r="C182" s="40"/>
      <c r="D182" s="40"/>
      <c r="E182" s="9"/>
      <c r="F182" s="9"/>
      <c r="G182" s="9"/>
      <c r="H182" s="9" t="s">
        <v>6237</v>
      </c>
      <c r="I182" s="9">
        <v>22</v>
      </c>
    </row>
    <row r="183" spans="1:9">
      <c r="A183" s="40"/>
      <c r="B183" s="40"/>
      <c r="C183" s="40"/>
      <c r="D183" s="40"/>
      <c r="E183" s="9"/>
      <c r="F183" s="9"/>
      <c r="G183" s="9"/>
      <c r="H183" s="9" t="s">
        <v>6238</v>
      </c>
      <c r="I183" s="9">
        <v>23</v>
      </c>
    </row>
    <row r="184" spans="1:9">
      <c r="A184" s="40"/>
      <c r="B184" s="40"/>
      <c r="C184" s="40"/>
      <c r="D184" s="40"/>
      <c r="E184" s="9"/>
      <c r="F184" s="9"/>
      <c r="G184" s="9"/>
      <c r="H184" s="9" t="s">
        <v>6239</v>
      </c>
      <c r="I184" s="9">
        <v>24</v>
      </c>
    </row>
    <row r="185" spans="1:9">
      <c r="A185" s="40"/>
      <c r="B185" s="40"/>
      <c r="C185" s="40"/>
      <c r="D185" s="40"/>
      <c r="E185" s="9"/>
      <c r="F185" s="9"/>
      <c r="G185" s="9"/>
      <c r="H185" s="9" t="s">
        <v>6240</v>
      </c>
      <c r="I185" s="9">
        <v>25</v>
      </c>
    </row>
    <row r="186" spans="1:9">
      <c r="A186" s="40"/>
      <c r="B186" s="40"/>
      <c r="C186" s="40"/>
      <c r="D186" s="40"/>
      <c r="E186" s="9"/>
      <c r="F186" s="9"/>
      <c r="G186" s="9"/>
      <c r="H186" s="9" t="s">
        <v>6241</v>
      </c>
      <c r="I186" s="9">
        <v>26</v>
      </c>
    </row>
    <row r="187" spans="1:9">
      <c r="A187" s="40"/>
      <c r="B187" s="40"/>
      <c r="C187" s="40"/>
      <c r="D187" s="40"/>
      <c r="E187" s="9"/>
      <c r="F187" s="9"/>
      <c r="G187" s="9"/>
      <c r="H187" s="9" t="s">
        <v>6242</v>
      </c>
      <c r="I187" s="9">
        <v>27</v>
      </c>
    </row>
    <row r="188" spans="1:9">
      <c r="A188" s="40"/>
      <c r="B188" s="40"/>
      <c r="C188" s="40"/>
      <c r="D188" s="40"/>
      <c r="E188" s="9"/>
      <c r="F188" s="9"/>
      <c r="G188" s="9"/>
      <c r="H188" s="9" t="s">
        <v>6243</v>
      </c>
      <c r="I188" s="9">
        <v>28</v>
      </c>
    </row>
    <row r="189" spans="1:9">
      <c r="A189" s="40"/>
      <c r="B189" s="40"/>
      <c r="C189" s="40"/>
      <c r="D189" s="40"/>
      <c r="E189" s="9"/>
      <c r="F189" s="9"/>
      <c r="G189" s="9"/>
      <c r="H189" s="9" t="s">
        <v>6244</v>
      </c>
      <c r="I189" s="9">
        <v>29</v>
      </c>
    </row>
    <row r="190" spans="1:9">
      <c r="A190" s="40"/>
      <c r="B190" s="40"/>
      <c r="C190" s="40"/>
      <c r="D190" s="40"/>
      <c r="E190" s="9"/>
      <c r="F190" s="9"/>
      <c r="G190" s="9"/>
      <c r="H190" s="9" t="s">
        <v>6245</v>
      </c>
      <c r="I190" s="9">
        <v>30</v>
      </c>
    </row>
    <row r="191" spans="1:9">
      <c r="A191" s="40"/>
      <c r="B191" s="40"/>
      <c r="C191" s="40"/>
      <c r="D191" s="40"/>
      <c r="E191" s="9"/>
      <c r="F191" s="9"/>
      <c r="G191" s="9"/>
      <c r="H191" s="9" t="s">
        <v>6246</v>
      </c>
      <c r="I191" s="9">
        <v>31</v>
      </c>
    </row>
    <row r="192" spans="1:9">
      <c r="A192" s="40"/>
      <c r="B192" s="40"/>
      <c r="C192" s="40"/>
      <c r="D192" s="40"/>
      <c r="E192" s="9"/>
      <c r="F192" s="9"/>
      <c r="G192" s="9"/>
      <c r="H192" s="9" t="s">
        <v>6247</v>
      </c>
      <c r="I192" s="9">
        <v>32</v>
      </c>
    </row>
    <row r="193" spans="1:9">
      <c r="A193" s="40"/>
      <c r="B193" s="40"/>
      <c r="C193" s="40"/>
      <c r="D193" s="40"/>
      <c r="E193" s="9"/>
      <c r="F193" s="9"/>
      <c r="G193" s="9"/>
      <c r="H193" s="9" t="s">
        <v>6248</v>
      </c>
      <c r="I193" s="9">
        <v>33</v>
      </c>
    </row>
    <row r="194" spans="1:9">
      <c r="A194" s="40"/>
      <c r="B194" s="40"/>
      <c r="C194" s="40"/>
      <c r="D194" s="40"/>
      <c r="E194" s="9"/>
      <c r="F194" s="9"/>
      <c r="G194" s="9"/>
      <c r="H194" s="9" t="s">
        <v>6249</v>
      </c>
      <c r="I194" s="9">
        <v>34</v>
      </c>
    </row>
    <row r="195" spans="1:9">
      <c r="A195" s="40"/>
      <c r="B195" s="40"/>
      <c r="C195" s="40"/>
      <c r="D195" s="40"/>
      <c r="E195" s="9"/>
      <c r="F195" s="9"/>
      <c r="G195" s="9"/>
      <c r="H195" s="9" t="s">
        <v>6250</v>
      </c>
      <c r="I195" s="9">
        <v>35</v>
      </c>
    </row>
    <row r="196" spans="1:9">
      <c r="A196" s="40"/>
      <c r="B196" s="40"/>
      <c r="C196" s="40"/>
      <c r="D196" s="40"/>
      <c r="E196" s="9"/>
      <c r="F196" s="9"/>
      <c r="G196" s="9"/>
      <c r="H196" s="9" t="s">
        <v>6251</v>
      </c>
      <c r="I196" s="9">
        <v>36</v>
      </c>
    </row>
    <row r="197" spans="1:9">
      <c r="A197" s="40"/>
      <c r="B197" s="40"/>
      <c r="C197" s="40"/>
      <c r="D197" s="40"/>
      <c r="E197" s="9"/>
      <c r="F197" s="9"/>
      <c r="G197" s="9"/>
      <c r="H197" s="9" t="s">
        <v>6252</v>
      </c>
      <c r="I197" s="9">
        <v>37</v>
      </c>
    </row>
    <row r="198" spans="1:9">
      <c r="A198" s="40"/>
      <c r="B198" s="40"/>
      <c r="C198" s="40"/>
      <c r="D198" s="40"/>
      <c r="E198" s="9"/>
      <c r="F198" s="9"/>
      <c r="G198" s="9"/>
      <c r="H198" s="9" t="s">
        <v>6253</v>
      </c>
      <c r="I198" s="9">
        <v>38</v>
      </c>
    </row>
    <row r="199" spans="1:9">
      <c r="A199" s="40"/>
      <c r="B199" s="40"/>
      <c r="C199" s="40"/>
      <c r="D199" s="40"/>
      <c r="E199" s="9"/>
      <c r="F199" s="9"/>
      <c r="G199" s="9"/>
      <c r="H199" s="9" t="s">
        <v>6254</v>
      </c>
      <c r="I199" s="9">
        <v>39</v>
      </c>
    </row>
    <row r="200" spans="1:9">
      <c r="A200" s="40"/>
      <c r="B200" s="40"/>
      <c r="C200" s="40"/>
      <c r="D200" s="40"/>
      <c r="E200" s="9"/>
      <c r="F200" s="9"/>
      <c r="G200" s="9"/>
      <c r="H200" s="9" t="s">
        <v>6255</v>
      </c>
      <c r="I200" s="9">
        <v>40</v>
      </c>
    </row>
    <row r="201" spans="1:9">
      <c r="A201" s="40"/>
      <c r="B201" s="40"/>
      <c r="C201" s="40"/>
      <c r="D201" s="40"/>
      <c r="E201" s="9"/>
      <c r="F201" s="9"/>
      <c r="G201" s="9"/>
      <c r="H201" s="9" t="s">
        <v>6256</v>
      </c>
      <c r="I201" s="9">
        <v>41</v>
      </c>
    </row>
    <row r="202" spans="1:9">
      <c r="A202" s="40"/>
      <c r="B202" s="40"/>
      <c r="C202" s="40"/>
      <c r="D202" s="40"/>
      <c r="E202" s="9"/>
      <c r="F202" s="9"/>
      <c r="G202" s="9"/>
      <c r="H202" s="9" t="s">
        <v>6257</v>
      </c>
      <c r="I202" s="9">
        <v>42</v>
      </c>
    </row>
    <row r="203" spans="1:9">
      <c r="A203" s="40"/>
      <c r="B203" s="40"/>
      <c r="C203" s="40"/>
      <c r="D203" s="40"/>
      <c r="E203" s="9"/>
      <c r="F203" s="9"/>
      <c r="G203" s="9"/>
      <c r="H203" s="9" t="s">
        <v>6258</v>
      </c>
      <c r="I203" s="9">
        <v>43</v>
      </c>
    </row>
    <row r="204" spans="1:9">
      <c r="A204" s="40"/>
      <c r="B204" s="40"/>
      <c r="C204" s="40"/>
      <c r="D204" s="40"/>
      <c r="E204" s="9"/>
      <c r="F204" s="9"/>
      <c r="G204" s="9"/>
      <c r="H204" s="9" t="s">
        <v>6259</v>
      </c>
      <c r="I204" s="9">
        <v>44</v>
      </c>
    </row>
    <row r="205" spans="1:9">
      <c r="A205" s="40"/>
      <c r="B205" s="40"/>
      <c r="C205" s="40"/>
      <c r="D205" s="40"/>
      <c r="E205" s="9"/>
      <c r="F205" s="9"/>
      <c r="G205" s="9"/>
      <c r="H205" s="9" t="s">
        <v>6260</v>
      </c>
      <c r="I205" s="9">
        <v>45</v>
      </c>
    </row>
    <row r="206" spans="1:9">
      <c r="A206" s="40"/>
      <c r="B206" s="40"/>
      <c r="C206" s="40"/>
      <c r="D206" s="40"/>
      <c r="E206" s="9"/>
      <c r="F206" s="9"/>
      <c r="G206" s="9"/>
      <c r="H206" s="9" t="s">
        <v>6261</v>
      </c>
      <c r="I206" s="9">
        <v>46</v>
      </c>
    </row>
    <row r="207" spans="1:9">
      <c r="A207" s="40"/>
      <c r="B207" s="40"/>
      <c r="C207" s="40"/>
      <c r="D207" s="40"/>
      <c r="E207" s="9"/>
      <c r="F207" s="9"/>
      <c r="G207" s="9"/>
      <c r="H207" s="9" t="s">
        <v>6262</v>
      </c>
      <c r="I207" s="9">
        <v>47</v>
      </c>
    </row>
    <row r="208" spans="1:9">
      <c r="A208" s="40"/>
      <c r="B208" s="40"/>
      <c r="C208" s="40"/>
      <c r="D208" s="40"/>
      <c r="E208" s="9"/>
      <c r="F208" s="9"/>
      <c r="G208" s="9"/>
      <c r="H208" s="9" t="s">
        <v>6263</v>
      </c>
      <c r="I208" s="9">
        <v>48</v>
      </c>
    </row>
    <row r="209" spans="1:15">
      <c r="A209" s="40"/>
      <c r="B209" s="40"/>
      <c r="C209" s="40"/>
      <c r="D209" s="40"/>
      <c r="E209" s="9"/>
      <c r="F209" s="9"/>
      <c r="G209" s="9"/>
      <c r="H209" s="9" t="s">
        <v>6264</v>
      </c>
      <c r="I209" s="9">
        <v>49</v>
      </c>
    </row>
    <row r="210" spans="1:15" ht="15">
      <c r="A210" s="40"/>
      <c r="B210" s="40"/>
      <c r="C210" s="40"/>
      <c r="D210" s="40"/>
      <c r="E210" s="9"/>
      <c r="F210" s="9"/>
      <c r="G210" s="9"/>
      <c r="H210" s="9" t="s">
        <v>6265</v>
      </c>
      <c r="I210" s="9">
        <v>50</v>
      </c>
      <c r="L210" s="870"/>
      <c r="M210" s="870"/>
      <c r="N210" s="870"/>
      <c r="O210" s="870"/>
    </row>
    <row r="211" spans="1:15" ht="15">
      <c r="A211" s="40"/>
      <c r="B211" s="40"/>
      <c r="C211" s="40"/>
      <c r="D211" s="40"/>
      <c r="E211" s="9"/>
      <c r="F211" s="9"/>
      <c r="G211" s="9"/>
      <c r="H211" s="9" t="s">
        <v>6266</v>
      </c>
      <c r="I211" s="9">
        <v>51</v>
      </c>
      <c r="L211" s="871"/>
      <c r="M211" s="872"/>
      <c r="N211" s="872"/>
      <c r="O211" s="873"/>
    </row>
    <row r="212" spans="1:15" ht="15">
      <c r="A212" s="40"/>
      <c r="B212" s="40"/>
      <c r="C212" s="40"/>
      <c r="D212" s="40"/>
      <c r="E212" s="9"/>
      <c r="F212" s="9"/>
      <c r="G212" s="9"/>
      <c r="H212" s="9" t="s">
        <v>6267</v>
      </c>
      <c r="I212" s="9">
        <v>52</v>
      </c>
      <c r="L212" s="871"/>
      <c r="M212" s="872"/>
      <c r="N212" s="873"/>
      <c r="O212" s="873"/>
    </row>
    <row r="213" spans="1:15" ht="15">
      <c r="A213" s="40"/>
      <c r="B213" s="40"/>
      <c r="C213" s="40"/>
      <c r="D213" s="40"/>
      <c r="E213" s="9"/>
      <c r="F213" s="9"/>
      <c r="G213" s="9"/>
      <c r="H213" s="9"/>
      <c r="I213" s="9"/>
      <c r="L213" s="871"/>
      <c r="M213" s="872"/>
      <c r="N213" s="872"/>
      <c r="O213" s="872"/>
    </row>
    <row r="214" spans="1:15" ht="15">
      <c r="A214" s="40"/>
      <c r="B214" s="40"/>
      <c r="C214" s="40"/>
      <c r="D214" s="40"/>
      <c r="E214" s="9"/>
      <c r="F214" s="9"/>
      <c r="G214" s="9"/>
      <c r="H214" s="9" t="s">
        <v>6268</v>
      </c>
      <c r="I214" s="9">
        <v>53</v>
      </c>
      <c r="L214" s="871"/>
      <c r="M214" s="872"/>
      <c r="N214" s="873"/>
      <c r="O214" s="873"/>
    </row>
    <row r="215" spans="1:15" ht="15">
      <c r="A215" s="40"/>
      <c r="B215" s="40"/>
      <c r="C215" s="40"/>
      <c r="D215" s="40"/>
      <c r="E215" s="9"/>
      <c r="F215" s="9"/>
      <c r="G215" s="9"/>
      <c r="H215" s="9" t="s">
        <v>6269</v>
      </c>
      <c r="I215" s="9">
        <v>54</v>
      </c>
      <c r="L215" s="871"/>
      <c r="M215" s="872"/>
      <c r="N215" s="873"/>
      <c r="O215" s="873"/>
    </row>
    <row r="216" spans="1:15" ht="15">
      <c r="A216" s="40"/>
      <c r="B216" s="40"/>
      <c r="C216" s="40"/>
      <c r="D216" s="40"/>
      <c r="E216" s="9"/>
      <c r="F216" s="9"/>
      <c r="G216" s="9"/>
      <c r="H216" s="9" t="s">
        <v>6270</v>
      </c>
      <c r="I216" s="9">
        <v>55</v>
      </c>
      <c r="L216" s="871"/>
      <c r="M216" s="872"/>
      <c r="N216" s="872"/>
      <c r="O216" s="872"/>
    </row>
    <row r="217" spans="1:15" ht="15">
      <c r="A217" s="40"/>
      <c r="B217" s="40"/>
      <c r="C217" s="40"/>
      <c r="D217" s="40"/>
      <c r="L217" s="871"/>
      <c r="M217" s="872"/>
      <c r="N217" s="873"/>
      <c r="O217" s="873"/>
    </row>
    <row r="218" spans="1:15" ht="15">
      <c r="A218" s="40"/>
      <c r="B218" s="40"/>
      <c r="C218" s="40"/>
      <c r="D218" s="40"/>
      <c r="L218" s="871"/>
      <c r="M218" s="872"/>
      <c r="N218" s="872"/>
      <c r="O218" s="872"/>
    </row>
    <row r="219" spans="1:15" ht="15">
      <c r="A219" s="40"/>
      <c r="B219" s="40"/>
      <c r="C219" s="40"/>
      <c r="D219" s="40"/>
      <c r="L219" s="871"/>
      <c r="M219" s="872"/>
      <c r="N219" s="872"/>
      <c r="O219" s="872"/>
    </row>
    <row r="220" spans="1:15" ht="15">
      <c r="A220" s="40"/>
      <c r="B220" s="40"/>
      <c r="C220" s="40"/>
      <c r="D220" s="40"/>
      <c r="L220" s="871"/>
      <c r="M220" s="872"/>
      <c r="N220" s="873"/>
      <c r="O220" s="873"/>
    </row>
    <row r="221" spans="1:15" ht="15">
      <c r="A221" s="40"/>
      <c r="B221" s="40"/>
      <c r="C221" s="40"/>
      <c r="D221" s="40"/>
      <c r="L221" s="871"/>
      <c r="M221" s="872"/>
      <c r="N221" s="872"/>
      <c r="O221" s="872"/>
    </row>
    <row r="222" spans="1:15" ht="15">
      <c r="A222" s="40"/>
      <c r="B222" s="40"/>
      <c r="C222" s="40"/>
      <c r="D222" s="40"/>
      <c r="L222" s="871"/>
      <c r="M222" s="872"/>
      <c r="N222" s="873"/>
      <c r="O222" s="873"/>
    </row>
    <row r="223" spans="1:15" ht="15">
      <c r="A223" s="40"/>
      <c r="B223" s="40"/>
      <c r="C223" s="40"/>
      <c r="D223" s="40"/>
      <c r="L223" s="871"/>
      <c r="M223" s="872"/>
      <c r="N223" s="872"/>
      <c r="O223" s="872"/>
    </row>
    <row r="224" spans="1:15" ht="15">
      <c r="A224" s="40"/>
      <c r="B224" s="40"/>
      <c r="C224" s="40"/>
      <c r="D224" s="40"/>
      <c r="L224" s="871"/>
      <c r="M224" s="872"/>
      <c r="N224" s="872"/>
      <c r="O224" s="872"/>
    </row>
    <row r="225" spans="1:15" ht="15">
      <c r="A225" s="40"/>
      <c r="B225" s="40"/>
      <c r="C225" s="40"/>
      <c r="D225" s="40"/>
      <c r="L225" s="871"/>
      <c r="M225" s="872"/>
      <c r="N225" s="873"/>
      <c r="O225" s="873"/>
    </row>
    <row r="226" spans="1:15" ht="15">
      <c r="A226" s="40"/>
      <c r="B226" s="40"/>
      <c r="C226" s="40"/>
      <c r="D226" s="40"/>
      <c r="L226" s="871"/>
      <c r="M226" s="872"/>
      <c r="N226" s="873"/>
      <c r="O226" s="873"/>
    </row>
    <row r="227" spans="1:15" ht="15">
      <c r="A227" s="40"/>
      <c r="B227" s="40"/>
      <c r="C227" s="40"/>
      <c r="D227" s="40"/>
      <c r="L227" s="871"/>
      <c r="M227" s="872"/>
      <c r="N227" s="873"/>
      <c r="O227" s="873"/>
    </row>
    <row r="228" spans="1:15" ht="15">
      <c r="A228" s="40"/>
      <c r="B228" s="40"/>
      <c r="C228" s="40"/>
      <c r="D228" s="40"/>
      <c r="L228" s="871"/>
      <c r="M228" s="872"/>
      <c r="N228" s="872"/>
      <c r="O228" s="872"/>
    </row>
    <row r="229" spans="1:15" ht="15">
      <c r="A229" s="40"/>
      <c r="B229" s="40"/>
      <c r="C229" s="40"/>
      <c r="D229" s="40"/>
      <c r="L229" s="871"/>
      <c r="M229" s="872"/>
      <c r="N229" s="873"/>
      <c r="O229" s="873"/>
    </row>
    <row r="230" spans="1:15" ht="15">
      <c r="A230" s="40"/>
      <c r="B230" s="40"/>
      <c r="C230" s="40"/>
      <c r="D230" s="40"/>
      <c r="L230" s="871"/>
      <c r="M230" s="872"/>
      <c r="N230" s="873"/>
      <c r="O230" s="873"/>
    </row>
    <row r="231" spans="1:15" ht="15">
      <c r="A231" s="40"/>
      <c r="B231" s="40"/>
      <c r="C231" s="40"/>
      <c r="D231" s="40"/>
      <c r="L231" s="871"/>
      <c r="M231" s="872"/>
      <c r="N231" s="873"/>
      <c r="O231" s="872"/>
    </row>
    <row r="232" spans="1:15" ht="15">
      <c r="A232" s="40"/>
      <c r="B232" s="40"/>
      <c r="C232" s="40"/>
      <c r="D232" s="40"/>
      <c r="L232" s="871"/>
      <c r="M232" s="872"/>
      <c r="N232" s="872"/>
      <c r="O232" s="873"/>
    </row>
    <row r="233" spans="1:15" ht="15">
      <c r="A233" s="40"/>
      <c r="B233" s="40"/>
      <c r="C233" s="40"/>
      <c r="D233" s="40"/>
      <c r="L233" s="871"/>
      <c r="M233" s="872"/>
      <c r="N233" s="873"/>
      <c r="O233" s="873"/>
    </row>
    <row r="234" spans="1:15" ht="15">
      <c r="A234" s="40"/>
      <c r="B234" s="40"/>
      <c r="C234" s="40"/>
      <c r="D234" s="40"/>
      <c r="L234" s="871"/>
      <c r="M234" s="872"/>
      <c r="N234" s="873"/>
      <c r="O234" s="873"/>
    </row>
    <row r="235" spans="1:15" ht="15">
      <c r="A235" s="40"/>
      <c r="B235" s="40"/>
      <c r="C235" s="40"/>
      <c r="D235" s="40"/>
      <c r="L235" s="871"/>
      <c r="M235" s="872"/>
      <c r="N235" s="873"/>
      <c r="O235" s="873"/>
    </row>
    <row r="236" spans="1:15" ht="15">
      <c r="A236" s="40"/>
      <c r="B236" s="40"/>
      <c r="C236" s="40"/>
      <c r="D236" s="40"/>
      <c r="L236" s="871"/>
      <c r="M236" s="872"/>
      <c r="N236" s="873"/>
      <c r="O236" s="873"/>
    </row>
    <row r="237" spans="1:15" ht="15">
      <c r="A237" s="40"/>
      <c r="B237" s="40"/>
      <c r="C237" s="40"/>
      <c r="D237" s="40"/>
      <c r="L237" s="871"/>
      <c r="M237" s="872"/>
      <c r="N237" s="873"/>
      <c r="O237" s="873"/>
    </row>
    <row r="238" spans="1:15" ht="15">
      <c r="A238" s="40"/>
      <c r="B238" s="40"/>
      <c r="C238" s="40"/>
      <c r="D238" s="40"/>
      <c r="L238" s="871"/>
      <c r="M238" s="872"/>
      <c r="N238" s="873"/>
      <c r="O238" s="873"/>
    </row>
    <row r="239" spans="1:15" ht="15">
      <c r="A239" s="40"/>
      <c r="B239" s="40"/>
      <c r="C239" s="40"/>
      <c r="D239" s="40"/>
      <c r="L239" s="871"/>
      <c r="M239" s="872"/>
      <c r="N239" s="873"/>
      <c r="O239" s="872"/>
    </row>
    <row r="240" spans="1:15" ht="15">
      <c r="A240" s="40"/>
      <c r="B240" s="40"/>
      <c r="C240" s="40"/>
      <c r="D240" s="40"/>
      <c r="L240" s="871"/>
      <c r="M240" s="872"/>
      <c r="N240" s="872"/>
      <c r="O240" s="873"/>
    </row>
    <row r="241" spans="1:15" ht="15">
      <c r="A241" s="40"/>
      <c r="B241" s="40"/>
      <c r="C241" s="40"/>
      <c r="D241" s="40"/>
      <c r="L241" s="871"/>
      <c r="M241" s="872"/>
      <c r="N241" s="872"/>
      <c r="O241" s="872"/>
    </row>
    <row r="242" spans="1:15" ht="15">
      <c r="A242" s="40"/>
      <c r="B242" s="40"/>
      <c r="C242" s="40"/>
      <c r="D242" s="40"/>
      <c r="L242" s="871"/>
      <c r="M242" s="872"/>
      <c r="N242" s="873"/>
      <c r="O242" s="873"/>
    </row>
    <row r="243" spans="1:15" ht="15">
      <c r="A243" s="40"/>
      <c r="B243" s="40"/>
      <c r="C243" s="40"/>
      <c r="D243" s="40"/>
      <c r="L243" s="871"/>
      <c r="M243" s="872"/>
      <c r="N243" s="872"/>
      <c r="O243" s="872"/>
    </row>
    <row r="244" spans="1:15" ht="15">
      <c r="A244" s="40"/>
      <c r="B244" s="40"/>
      <c r="C244" s="40"/>
      <c r="D244" s="40"/>
      <c r="L244" s="871"/>
      <c r="M244" s="872"/>
      <c r="N244" s="873"/>
      <c r="O244" s="873"/>
    </row>
    <row r="245" spans="1:15" ht="15">
      <c r="A245" s="40"/>
      <c r="B245" s="40"/>
      <c r="C245" s="40"/>
      <c r="D245" s="40"/>
      <c r="L245" s="871"/>
      <c r="M245" s="872"/>
      <c r="N245" s="873"/>
      <c r="O245" s="873"/>
    </row>
    <row r="246" spans="1:15" ht="15">
      <c r="A246" s="40"/>
      <c r="B246" s="40"/>
      <c r="C246" s="40"/>
      <c r="D246" s="40"/>
      <c r="L246" s="871"/>
      <c r="M246" s="872"/>
      <c r="N246" s="873"/>
      <c r="O246" s="873"/>
    </row>
    <row r="247" spans="1:15" ht="15">
      <c r="A247" s="40"/>
      <c r="B247" s="40"/>
      <c r="C247" s="40"/>
      <c r="D247" s="40"/>
      <c r="L247" s="871"/>
      <c r="M247" s="872"/>
      <c r="N247" s="873"/>
      <c r="O247" s="873"/>
    </row>
    <row r="248" spans="1:15" ht="15">
      <c r="A248" s="40"/>
      <c r="B248" s="40"/>
      <c r="C248" s="40"/>
      <c r="D248" s="40"/>
      <c r="L248" s="871"/>
      <c r="M248" s="872"/>
      <c r="N248" s="873"/>
      <c r="O248" s="873"/>
    </row>
    <row r="249" spans="1:15" ht="15">
      <c r="A249" s="40"/>
      <c r="B249" s="40"/>
      <c r="C249" s="40"/>
      <c r="D249" s="40"/>
      <c r="L249" s="871"/>
      <c r="M249" s="872"/>
      <c r="N249" s="872"/>
      <c r="O249" s="872"/>
    </row>
    <row r="250" spans="1:15" ht="15">
      <c r="A250" s="40"/>
      <c r="B250" s="40"/>
      <c r="C250" s="40"/>
      <c r="D250" s="40"/>
      <c r="L250" s="871"/>
      <c r="M250" s="872"/>
      <c r="N250" s="873"/>
      <c r="O250" s="25"/>
    </row>
    <row r="251" spans="1:15" ht="15">
      <c r="A251" s="40"/>
      <c r="B251" s="40"/>
      <c r="C251" s="40"/>
      <c r="D251" s="40"/>
      <c r="L251" s="871"/>
      <c r="M251" s="872"/>
      <c r="N251" s="872"/>
      <c r="O251" s="873"/>
    </row>
    <row r="252" spans="1:15" ht="15">
      <c r="A252" s="40"/>
      <c r="B252" s="40"/>
      <c r="C252" s="40"/>
      <c r="D252" s="40"/>
      <c r="L252" s="871"/>
      <c r="M252" s="872"/>
      <c r="N252" s="873"/>
      <c r="O252" s="873"/>
    </row>
    <row r="253" spans="1:15" ht="15">
      <c r="A253" s="40"/>
      <c r="B253" s="40"/>
      <c r="C253" s="40"/>
      <c r="D253" s="40"/>
      <c r="L253" s="871"/>
      <c r="M253" s="872"/>
      <c r="N253" s="873"/>
      <c r="O253" s="873"/>
    </row>
    <row r="254" spans="1:15" ht="15">
      <c r="A254" s="40"/>
      <c r="B254" s="40"/>
      <c r="C254" s="40"/>
      <c r="D254" s="40"/>
      <c r="L254" s="871"/>
      <c r="M254" s="872"/>
      <c r="N254" s="873"/>
      <c r="O254" s="873"/>
    </row>
    <row r="255" spans="1:15" ht="15">
      <c r="A255" s="40"/>
      <c r="B255" s="40"/>
      <c r="C255" s="40"/>
      <c r="D255" s="40"/>
      <c r="L255" s="871"/>
      <c r="M255" s="872"/>
      <c r="N255" s="873"/>
      <c r="O255" s="872"/>
    </row>
    <row r="256" spans="1:15" ht="15">
      <c r="A256" s="40"/>
      <c r="B256" s="40"/>
      <c r="C256" s="40"/>
      <c r="D256" s="40"/>
      <c r="L256" s="871"/>
      <c r="M256" s="872"/>
      <c r="N256" s="872"/>
      <c r="O256" s="873"/>
    </row>
    <row r="257" spans="1:15" ht="15">
      <c r="A257" s="40"/>
      <c r="B257" s="40"/>
      <c r="C257" s="40"/>
      <c r="D257" s="40"/>
      <c r="L257" s="871"/>
      <c r="M257" s="872"/>
      <c r="N257" s="873"/>
      <c r="O257" s="873"/>
    </row>
    <row r="258" spans="1:15" ht="15">
      <c r="A258" s="40"/>
      <c r="B258" s="40"/>
      <c r="C258" s="40"/>
      <c r="D258" s="40"/>
      <c r="L258" s="871"/>
      <c r="M258" s="872"/>
      <c r="N258" s="872"/>
      <c r="O258" s="872"/>
    </row>
    <row r="259" spans="1:15" ht="15">
      <c r="A259" s="40"/>
      <c r="B259" s="40"/>
      <c r="C259" s="40"/>
      <c r="D259" s="40"/>
      <c r="L259" s="871"/>
      <c r="M259" s="872"/>
      <c r="N259" s="873"/>
      <c r="O259" s="873"/>
    </row>
    <row r="260" spans="1:15" ht="15">
      <c r="A260" s="40"/>
      <c r="B260" s="40"/>
      <c r="C260" s="40"/>
      <c r="D260" s="40"/>
      <c r="L260" s="871"/>
      <c r="M260" s="872"/>
      <c r="N260" s="872"/>
      <c r="O260" s="872"/>
    </row>
    <row r="261" spans="1:15" ht="15">
      <c r="A261" s="40"/>
      <c r="B261" s="40"/>
      <c r="C261" s="40"/>
      <c r="D261" s="40"/>
      <c r="L261" s="871"/>
      <c r="M261" s="872"/>
      <c r="N261" s="873"/>
      <c r="O261" s="873"/>
    </row>
    <row r="262" spans="1:15" ht="15">
      <c r="A262" s="40"/>
      <c r="B262" s="40"/>
      <c r="C262" s="40"/>
      <c r="D262" s="40"/>
      <c r="L262" s="871"/>
      <c r="M262" s="872"/>
      <c r="N262" s="873"/>
      <c r="O262" s="873"/>
    </row>
    <row r="263" spans="1:15" ht="15">
      <c r="A263" s="40"/>
      <c r="B263" s="40"/>
      <c r="C263" s="40"/>
      <c r="D263" s="40"/>
      <c r="L263" s="871"/>
      <c r="M263" s="872"/>
      <c r="N263" s="872"/>
      <c r="O263" s="872"/>
    </row>
    <row r="264" spans="1:15" ht="15">
      <c r="A264" s="40"/>
      <c r="B264" s="40"/>
      <c r="C264" s="40"/>
      <c r="D264" s="40"/>
      <c r="L264" s="871"/>
      <c r="M264" s="872"/>
      <c r="N264" s="873"/>
      <c r="O264" s="873"/>
    </row>
    <row r="265" spans="1:15" ht="15">
      <c r="A265" s="40"/>
      <c r="B265" s="40"/>
      <c r="C265" s="40"/>
      <c r="D265" s="40"/>
      <c r="L265" s="871"/>
      <c r="M265" s="872"/>
      <c r="N265" s="873"/>
      <c r="O265" s="873"/>
    </row>
    <row r="266" spans="1:15" ht="15">
      <c r="A266" s="40"/>
      <c r="B266" s="40"/>
      <c r="C266" s="40"/>
      <c r="D266" s="40"/>
      <c r="L266" s="871"/>
      <c r="M266" s="872"/>
      <c r="N266" s="873"/>
      <c r="O266" s="25"/>
    </row>
    <row r="267" spans="1:15" ht="15">
      <c r="A267" s="40"/>
      <c r="B267" s="40"/>
      <c r="C267" s="40"/>
      <c r="D267" s="40"/>
      <c r="L267" s="871"/>
      <c r="M267" s="872"/>
      <c r="N267" s="872"/>
      <c r="O267" s="873"/>
    </row>
    <row r="268" spans="1:15" ht="15">
      <c r="A268" s="40"/>
      <c r="B268" s="40"/>
      <c r="C268" s="40"/>
      <c r="D268" s="40"/>
      <c r="L268" s="871"/>
      <c r="M268" s="872"/>
      <c r="N268" s="873"/>
      <c r="O268" s="873"/>
    </row>
    <row r="269" spans="1:15" ht="15">
      <c r="A269" s="40"/>
      <c r="B269" s="40"/>
      <c r="C269" s="40"/>
      <c r="D269" s="40"/>
      <c r="L269" s="871"/>
      <c r="M269" s="872"/>
      <c r="N269" s="872"/>
      <c r="O269" s="872"/>
    </row>
    <row r="270" spans="1:15" ht="15">
      <c r="A270" s="40"/>
      <c r="B270" s="40"/>
      <c r="C270" s="40"/>
      <c r="D270" s="40"/>
      <c r="L270" s="871"/>
      <c r="M270" s="872"/>
      <c r="N270" s="873"/>
      <c r="O270" s="873"/>
    </row>
    <row r="271" spans="1:15" ht="15">
      <c r="A271" s="40"/>
      <c r="B271" s="40"/>
      <c r="C271" s="40"/>
      <c r="D271" s="40"/>
      <c r="L271" s="871"/>
      <c r="M271" s="872"/>
      <c r="N271" s="873"/>
      <c r="O271" s="873"/>
    </row>
    <row r="272" spans="1:15" ht="15">
      <c r="A272" s="40"/>
      <c r="B272" s="40"/>
      <c r="C272" s="40"/>
      <c r="D272" s="40"/>
      <c r="L272" s="871"/>
      <c r="M272" s="872"/>
      <c r="N272" s="873"/>
      <c r="O272" s="873"/>
    </row>
    <row r="273" spans="1:15" ht="15">
      <c r="A273" s="40"/>
      <c r="B273" s="40"/>
      <c r="C273" s="40"/>
      <c r="D273" s="40"/>
      <c r="L273" s="871"/>
      <c r="M273" s="872"/>
      <c r="N273" s="873"/>
      <c r="O273" s="873"/>
    </row>
    <row r="274" spans="1:15" ht="15">
      <c r="A274" s="40"/>
      <c r="B274" s="40"/>
      <c r="C274" s="40"/>
      <c r="D274" s="40"/>
      <c r="L274" s="871"/>
      <c r="M274" s="872"/>
      <c r="N274" s="873"/>
      <c r="O274" s="872"/>
    </row>
    <row r="275" spans="1:15" ht="15">
      <c r="A275" s="40"/>
      <c r="B275" s="40"/>
      <c r="C275" s="40"/>
      <c r="D275" s="40"/>
      <c r="L275" s="871"/>
      <c r="M275" s="872"/>
      <c r="N275" s="872"/>
      <c r="O275" s="872"/>
    </row>
    <row r="276" spans="1:15" ht="15">
      <c r="A276" s="40"/>
      <c r="B276" s="40"/>
      <c r="C276" s="40"/>
      <c r="D276" s="40"/>
      <c r="L276" s="871"/>
      <c r="M276" s="872"/>
      <c r="N276" s="872"/>
      <c r="O276" s="873"/>
    </row>
    <row r="277" spans="1:15" ht="15">
      <c r="A277" s="40"/>
      <c r="B277" s="40"/>
      <c r="C277" s="40"/>
      <c r="D277" s="40"/>
      <c r="L277" s="871"/>
      <c r="M277" s="872"/>
      <c r="N277" s="873"/>
      <c r="O277" s="873"/>
    </row>
    <row r="278" spans="1:15" ht="15">
      <c r="A278" s="40"/>
      <c r="B278" s="40"/>
      <c r="C278" s="40"/>
      <c r="D278" s="40"/>
      <c r="L278" s="871"/>
      <c r="M278" s="872"/>
      <c r="N278" s="873"/>
      <c r="O278" s="25"/>
    </row>
    <row r="279" spans="1:15" ht="15">
      <c r="A279" s="40"/>
      <c r="B279" s="40"/>
      <c r="C279" s="40"/>
      <c r="D279" s="40"/>
      <c r="L279" s="871"/>
      <c r="M279" s="872"/>
      <c r="N279" s="872"/>
      <c r="O279" s="873"/>
    </row>
    <row r="280" spans="1:15" ht="15">
      <c r="A280" s="40"/>
      <c r="B280" s="40"/>
      <c r="C280" s="40"/>
      <c r="D280" s="40"/>
      <c r="L280" s="871"/>
      <c r="M280" s="872"/>
      <c r="N280" s="873"/>
      <c r="O280" s="873"/>
    </row>
    <row r="281" spans="1:15" ht="15">
      <c r="A281" s="40"/>
      <c r="B281" s="40"/>
      <c r="C281" s="40"/>
      <c r="D281" s="40"/>
      <c r="L281" s="871"/>
      <c r="M281" s="872"/>
      <c r="N281" s="873"/>
      <c r="O281" s="873"/>
    </row>
    <row r="282" spans="1:15" ht="15">
      <c r="A282" s="40"/>
      <c r="B282" s="40"/>
      <c r="C282" s="40"/>
      <c r="D282" s="40"/>
      <c r="L282" s="871"/>
      <c r="M282" s="872"/>
      <c r="N282" s="873"/>
      <c r="O282" s="873"/>
    </row>
    <row r="283" spans="1:15" ht="15">
      <c r="A283" s="40"/>
      <c r="B283" s="40"/>
      <c r="C283" s="40"/>
      <c r="D283" s="40"/>
      <c r="L283" s="871"/>
      <c r="M283" s="872"/>
      <c r="N283" s="872"/>
      <c r="O283" s="872"/>
    </row>
    <row r="284" spans="1:15" ht="15">
      <c r="A284" s="40"/>
      <c r="B284" s="40"/>
      <c r="C284" s="40"/>
      <c r="D284" s="40"/>
      <c r="L284" s="871"/>
      <c r="M284" s="872"/>
      <c r="N284" s="873"/>
      <c r="O284" s="873"/>
    </row>
    <row r="285" spans="1:15" ht="15">
      <c r="A285" s="40"/>
      <c r="B285" s="40"/>
      <c r="C285" s="40"/>
      <c r="D285" s="40"/>
      <c r="L285" s="871"/>
      <c r="M285" s="872"/>
      <c r="N285" s="873"/>
      <c r="O285" s="873"/>
    </row>
    <row r="286" spans="1:15" ht="15">
      <c r="A286" s="40"/>
      <c r="B286" s="40"/>
      <c r="C286" s="40"/>
      <c r="D286" s="40"/>
      <c r="L286" s="871"/>
      <c r="M286" s="872"/>
      <c r="N286" s="873"/>
      <c r="O286" s="873"/>
    </row>
    <row r="287" spans="1:15" ht="15">
      <c r="A287" s="40"/>
      <c r="B287" s="40"/>
      <c r="C287" s="40"/>
      <c r="D287" s="40"/>
      <c r="L287" s="871"/>
      <c r="M287" s="874"/>
      <c r="N287" s="872"/>
      <c r="O287" s="872"/>
    </row>
    <row r="288" spans="1:15" ht="15">
      <c r="A288" s="40"/>
      <c r="B288" s="40"/>
      <c r="C288" s="40"/>
      <c r="D288" s="40"/>
      <c r="L288" s="871"/>
      <c r="M288" s="872"/>
      <c r="N288" s="873"/>
      <c r="O288" s="873"/>
    </row>
    <row r="289" spans="1:15" ht="15">
      <c r="A289" s="40"/>
      <c r="B289" s="40"/>
      <c r="C289" s="40"/>
      <c r="D289" s="40"/>
      <c r="L289" s="871"/>
      <c r="M289" s="872"/>
      <c r="N289" s="873"/>
      <c r="O289" s="872"/>
    </row>
    <row r="290" spans="1:15" ht="15">
      <c r="A290" s="40"/>
      <c r="B290" s="40"/>
      <c r="C290" s="40"/>
      <c r="D290" s="40"/>
      <c r="L290" s="871"/>
      <c r="M290" s="872"/>
      <c r="N290" s="872"/>
      <c r="O290" s="873"/>
    </row>
    <row r="291" spans="1:15" ht="15">
      <c r="A291" s="40"/>
      <c r="B291" s="40"/>
      <c r="C291" s="40"/>
      <c r="D291" s="40"/>
      <c r="L291" s="871"/>
      <c r="M291" s="872"/>
      <c r="N291" s="873"/>
      <c r="O291" s="873"/>
    </row>
    <row r="292" spans="1:15" ht="15">
      <c r="A292" s="40"/>
      <c r="B292" s="40"/>
      <c r="C292" s="40"/>
      <c r="D292" s="40"/>
      <c r="L292" s="871"/>
      <c r="M292" s="872"/>
      <c r="N292" s="873"/>
      <c r="O292" s="873"/>
    </row>
    <row r="293" spans="1:15" ht="15">
      <c r="A293" s="40"/>
      <c r="B293" s="40"/>
      <c r="C293" s="40"/>
      <c r="D293" s="40"/>
      <c r="L293" s="871"/>
      <c r="M293" s="872"/>
      <c r="N293" s="872"/>
      <c r="O293" s="872"/>
    </row>
    <row r="294" spans="1:15" ht="15">
      <c r="A294" s="40"/>
      <c r="B294" s="40"/>
      <c r="C294" s="40"/>
      <c r="D294" s="40"/>
      <c r="L294" s="871"/>
      <c r="M294" s="872"/>
      <c r="N294" s="872"/>
      <c r="O294" s="25"/>
    </row>
    <row r="295" spans="1:15" ht="15">
      <c r="A295" s="40"/>
      <c r="B295" s="40"/>
      <c r="C295" s="40"/>
      <c r="D295" s="40"/>
      <c r="L295" s="871"/>
      <c r="M295" s="871"/>
      <c r="N295" s="25"/>
      <c r="O295" s="25"/>
    </row>
    <row r="296" spans="1:15" ht="15">
      <c r="A296" s="40"/>
      <c r="B296" s="40"/>
      <c r="C296" s="40"/>
      <c r="D296" s="40"/>
      <c r="L296" s="871"/>
      <c r="M296" s="871"/>
      <c r="N296" s="25"/>
      <c r="O296" s="25"/>
    </row>
    <row r="297" spans="1:15" ht="15">
      <c r="A297" s="40"/>
      <c r="B297" s="40"/>
      <c r="C297" s="40"/>
      <c r="D297" s="40"/>
      <c r="L297" s="871"/>
      <c r="M297" s="871"/>
      <c r="N297" s="25"/>
      <c r="O297" s="25"/>
    </row>
    <row r="298" spans="1:15" ht="15">
      <c r="A298" s="40"/>
      <c r="B298" s="40"/>
      <c r="C298" s="40"/>
      <c r="D298" s="40"/>
      <c r="L298" s="871"/>
      <c r="M298" s="871"/>
      <c r="N298" s="25"/>
      <c r="O298" s="25"/>
    </row>
    <row r="299" spans="1:15" ht="15">
      <c r="A299" s="40"/>
      <c r="B299" s="40"/>
      <c r="C299" s="40"/>
      <c r="D299" s="40"/>
      <c r="L299" s="871"/>
      <c r="M299" s="871"/>
      <c r="N299" s="25"/>
      <c r="O299" s="25"/>
    </row>
    <row r="300" spans="1:15" ht="15">
      <c r="A300" s="40"/>
      <c r="B300" s="40"/>
      <c r="C300" s="40"/>
      <c r="D300" s="40"/>
      <c r="L300" s="871"/>
      <c r="M300" s="871"/>
      <c r="N300" s="25"/>
      <c r="O300" s="25"/>
    </row>
    <row r="301" spans="1:15" ht="15">
      <c r="A301" s="40"/>
      <c r="B301" s="40"/>
      <c r="C301" s="40"/>
      <c r="D301" s="40"/>
      <c r="L301" s="871"/>
      <c r="M301" s="871"/>
      <c r="N301" s="25"/>
      <c r="O301" s="25"/>
    </row>
    <row r="302" spans="1:15" ht="15">
      <c r="A302" s="40"/>
      <c r="B302" s="40"/>
      <c r="C302" s="40"/>
      <c r="D302" s="40"/>
      <c r="L302" s="871"/>
      <c r="M302" s="871"/>
      <c r="N302" s="25"/>
      <c r="O302" s="25"/>
    </row>
    <row r="303" spans="1:15" ht="15">
      <c r="A303" s="40"/>
      <c r="B303" s="40"/>
      <c r="C303" s="40"/>
      <c r="D303" s="40"/>
      <c r="L303" s="871"/>
      <c r="M303" s="871"/>
      <c r="N303" s="25"/>
      <c r="O303" s="25"/>
    </row>
    <row r="304" spans="1:15" ht="15">
      <c r="A304" s="40"/>
      <c r="B304" s="40"/>
      <c r="C304" s="40"/>
      <c r="D304" s="40"/>
      <c r="L304" s="871"/>
      <c r="M304" s="871"/>
      <c r="N304" s="25"/>
      <c r="O304" s="25"/>
    </row>
    <row r="305" spans="1:15" ht="15">
      <c r="A305" s="40"/>
      <c r="B305" s="40"/>
      <c r="C305" s="40"/>
      <c r="D305" s="40"/>
      <c r="L305" s="871"/>
      <c r="M305" s="871"/>
      <c r="N305" s="25"/>
      <c r="O305" s="25"/>
    </row>
    <row r="306" spans="1:15" ht="15">
      <c r="A306" s="40"/>
      <c r="B306" s="40"/>
      <c r="C306" s="40"/>
      <c r="D306" s="40"/>
      <c r="L306" s="871"/>
      <c r="M306" s="871"/>
      <c r="N306" s="25"/>
      <c r="O306" s="25"/>
    </row>
    <row r="307" spans="1:15" ht="15">
      <c r="A307" s="40"/>
      <c r="B307" s="40"/>
      <c r="C307" s="40"/>
      <c r="D307" s="40"/>
      <c r="L307" s="871"/>
      <c r="M307" s="871"/>
      <c r="N307" s="25"/>
      <c r="O307" s="25"/>
    </row>
    <row r="308" spans="1:15" ht="15">
      <c r="A308" s="40"/>
      <c r="B308" s="40"/>
      <c r="C308" s="40"/>
      <c r="D308" s="40"/>
      <c r="L308" s="871"/>
      <c r="M308" s="871"/>
      <c r="N308" s="25"/>
      <c r="O308" s="25"/>
    </row>
    <row r="309" spans="1:15" ht="15">
      <c r="A309" s="40"/>
      <c r="B309" s="40"/>
      <c r="C309" s="40"/>
      <c r="D309" s="40"/>
      <c r="L309" s="871"/>
      <c r="M309" s="871"/>
      <c r="N309" s="25"/>
      <c r="O309" s="25"/>
    </row>
    <row r="310" spans="1:15" ht="15">
      <c r="A310" s="40"/>
      <c r="B310" s="40"/>
      <c r="C310" s="40"/>
      <c r="D310" s="40"/>
      <c r="L310" s="871"/>
      <c r="M310" s="871"/>
      <c r="N310" s="25"/>
      <c r="O310" s="25"/>
    </row>
    <row r="311" spans="1:15" ht="15">
      <c r="A311" s="40"/>
      <c r="B311" s="40"/>
      <c r="C311" s="40"/>
      <c r="D311" s="40"/>
      <c r="L311" s="871"/>
      <c r="M311" s="871"/>
      <c r="N311" s="25"/>
      <c r="O311" s="25"/>
    </row>
    <row r="312" spans="1:15" ht="15">
      <c r="A312" s="40"/>
      <c r="B312" s="40"/>
      <c r="C312" s="40"/>
      <c r="D312" s="40"/>
      <c r="L312" s="871"/>
      <c r="M312" s="871"/>
      <c r="N312" s="25"/>
      <c r="O312" s="25"/>
    </row>
    <row r="313" spans="1:15" ht="15">
      <c r="A313" s="40"/>
      <c r="B313" s="40"/>
      <c r="C313" s="40"/>
      <c r="D313" s="40"/>
      <c r="L313" s="871"/>
      <c r="M313" s="871"/>
      <c r="N313" s="25"/>
      <c r="O313" s="25"/>
    </row>
    <row r="314" spans="1:15" ht="15">
      <c r="A314" s="40"/>
      <c r="B314" s="40"/>
      <c r="C314" s="40"/>
      <c r="D314" s="40"/>
      <c r="L314" s="871"/>
      <c r="M314" s="871"/>
      <c r="N314" s="25"/>
      <c r="O314" s="25"/>
    </row>
    <row r="315" spans="1:15" ht="15">
      <c r="A315" s="40"/>
      <c r="B315" s="40"/>
      <c r="C315" s="40"/>
      <c r="D315" s="40"/>
      <c r="L315" s="871"/>
      <c r="M315" s="871"/>
      <c r="N315" s="872"/>
      <c r="O315" s="25"/>
    </row>
    <row r="316" spans="1:15">
      <c r="A316" s="40"/>
      <c r="B316" s="40"/>
      <c r="C316" s="40"/>
      <c r="D316" s="40"/>
    </row>
    <row r="317" spans="1:15">
      <c r="A317" s="40"/>
      <c r="B317" s="40"/>
      <c r="C317" s="40"/>
      <c r="D317" s="40"/>
    </row>
    <row r="318" spans="1:15">
      <c r="A318" s="40"/>
      <c r="B318" s="40"/>
      <c r="C318" s="40"/>
      <c r="D318" s="40"/>
    </row>
    <row r="319" spans="1:15">
      <c r="A319" s="40"/>
      <c r="B319" s="40"/>
      <c r="C319" s="40"/>
      <c r="D319" s="40"/>
    </row>
    <row r="320" spans="1:15">
      <c r="A320" s="40"/>
      <c r="B320" s="40"/>
      <c r="C320" s="40"/>
      <c r="D320" s="40"/>
    </row>
    <row r="321" spans="1:4">
      <c r="A321" s="40"/>
      <c r="B321" s="40"/>
      <c r="C321" s="40"/>
      <c r="D321" s="40"/>
    </row>
    <row r="322" spans="1:4">
      <c r="A322" s="40"/>
      <c r="B322" s="40"/>
      <c r="C322" s="40"/>
      <c r="D322" s="40"/>
    </row>
    <row r="323" spans="1:4">
      <c r="A323" s="40"/>
      <c r="B323" s="40"/>
      <c r="C323" s="40"/>
      <c r="D323" s="40"/>
    </row>
    <row r="324" spans="1:4">
      <c r="A324" s="40"/>
      <c r="B324" s="40"/>
      <c r="C324" s="40"/>
      <c r="D324" s="40"/>
    </row>
    <row r="325" spans="1:4">
      <c r="A325" s="40"/>
      <c r="B325" s="40"/>
      <c r="C325" s="40"/>
      <c r="D325" s="40"/>
    </row>
    <row r="326" spans="1:4">
      <c r="A326" s="40"/>
      <c r="B326" s="40"/>
      <c r="C326" s="40"/>
      <c r="D326" s="40"/>
    </row>
    <row r="327" spans="1:4">
      <c r="A327" s="40"/>
      <c r="B327" s="40"/>
      <c r="C327" s="40"/>
      <c r="D327" s="40"/>
    </row>
    <row r="328" spans="1:4">
      <c r="A328" s="40"/>
      <c r="B328" s="40"/>
      <c r="C328" s="40"/>
      <c r="D328" s="40"/>
    </row>
    <row r="329" spans="1:4">
      <c r="A329" s="40"/>
      <c r="B329" s="40"/>
      <c r="C329" s="40"/>
      <c r="D329" s="40"/>
    </row>
    <row r="330" spans="1:4">
      <c r="A330" s="40"/>
      <c r="B330" s="40"/>
      <c r="C330" s="40"/>
      <c r="D330" s="40"/>
    </row>
    <row r="331" spans="1:4">
      <c r="A331" s="40"/>
      <c r="B331" s="40"/>
      <c r="C331" s="40"/>
      <c r="D331" s="40"/>
    </row>
    <row r="332" spans="1:4">
      <c r="A332" s="40"/>
      <c r="B332" s="40"/>
      <c r="C332" s="40"/>
      <c r="D332" s="40"/>
    </row>
    <row r="333" spans="1:4">
      <c r="A333" s="40"/>
      <c r="B333" s="40"/>
      <c r="C333" s="40"/>
      <c r="D333" s="40"/>
    </row>
    <row r="334" spans="1:4">
      <c r="A334" s="40"/>
      <c r="B334" s="40"/>
      <c r="C334" s="40"/>
      <c r="D334" s="40"/>
    </row>
    <row r="335" spans="1:4">
      <c r="A335" s="40"/>
      <c r="B335" s="40"/>
      <c r="C335" s="40"/>
      <c r="D335" s="40"/>
    </row>
    <row r="336" spans="1:4">
      <c r="A336" s="40"/>
      <c r="B336" s="40"/>
      <c r="C336" s="40"/>
      <c r="D336" s="40"/>
    </row>
    <row r="337" spans="1:4">
      <c r="A337" s="40"/>
      <c r="B337" s="40"/>
      <c r="C337" s="40"/>
      <c r="D337" s="40"/>
    </row>
    <row r="338" spans="1:4">
      <c r="A338" s="40"/>
      <c r="B338" s="40"/>
      <c r="C338" s="40"/>
      <c r="D338" s="40"/>
    </row>
    <row r="339" spans="1:4">
      <c r="A339" s="40"/>
      <c r="B339" s="40"/>
      <c r="C339" s="40"/>
      <c r="D339" s="40"/>
    </row>
    <row r="340" spans="1:4">
      <c r="A340" s="40"/>
      <c r="B340" s="40"/>
      <c r="C340" s="40"/>
      <c r="D340" s="40"/>
    </row>
    <row r="341" spans="1:4">
      <c r="A341" s="40"/>
      <c r="B341" s="40"/>
      <c r="C341" s="40"/>
      <c r="D341" s="40"/>
    </row>
    <row r="342" spans="1:4">
      <c r="A342" s="40"/>
      <c r="B342" s="40"/>
      <c r="C342" s="40"/>
      <c r="D342" s="40"/>
    </row>
    <row r="343" spans="1:4">
      <c r="A343" s="40"/>
      <c r="B343" s="40"/>
      <c r="C343" s="40"/>
      <c r="D343" s="40"/>
    </row>
    <row r="344" spans="1:4">
      <c r="A344" s="40"/>
      <c r="B344" s="40"/>
      <c r="C344" s="40"/>
      <c r="D344" s="40"/>
    </row>
    <row r="345" spans="1:4">
      <c r="A345" s="40"/>
      <c r="B345" s="40"/>
      <c r="C345" s="40"/>
      <c r="D345" s="40"/>
    </row>
    <row r="346" spans="1:4">
      <c r="A346" s="40"/>
      <c r="B346" s="40"/>
      <c r="C346" s="40"/>
      <c r="D346" s="40"/>
    </row>
    <row r="347" spans="1:4">
      <c r="A347" s="40"/>
      <c r="B347" s="40"/>
      <c r="C347" s="40"/>
      <c r="D347" s="40"/>
    </row>
    <row r="348" spans="1:4">
      <c r="A348" s="40"/>
      <c r="B348" s="40"/>
      <c r="C348" s="40"/>
      <c r="D348" s="40"/>
    </row>
    <row r="349" spans="1:4">
      <c r="A349" s="40"/>
      <c r="B349" s="40"/>
      <c r="C349" s="40"/>
      <c r="D349" s="40"/>
    </row>
    <row r="350" spans="1:4">
      <c r="A350" s="40"/>
      <c r="B350" s="40"/>
      <c r="C350" s="40"/>
      <c r="D350" s="40"/>
    </row>
    <row r="351" spans="1:4">
      <c r="A351" s="40"/>
      <c r="B351" s="40"/>
      <c r="C351" s="40"/>
      <c r="D351" s="40"/>
    </row>
    <row r="352" spans="1:4">
      <c r="A352" s="40"/>
      <c r="B352" s="40"/>
      <c r="C352" s="40"/>
      <c r="D352" s="40"/>
    </row>
    <row r="353" spans="1:4">
      <c r="A353" s="40"/>
      <c r="B353" s="40"/>
      <c r="C353" s="40"/>
      <c r="D353" s="40"/>
    </row>
    <row r="354" spans="1:4">
      <c r="A354" s="40"/>
      <c r="B354" s="40"/>
      <c r="C354" s="40"/>
      <c r="D354" s="40"/>
    </row>
    <row r="355" spans="1:4">
      <c r="A355" s="40"/>
      <c r="B355" s="40"/>
      <c r="C355" s="40"/>
      <c r="D355" s="40"/>
    </row>
    <row r="356" spans="1:4">
      <c r="A356" s="40"/>
      <c r="B356" s="40"/>
      <c r="C356" s="40"/>
      <c r="D356" s="40"/>
    </row>
    <row r="357" spans="1:4">
      <c r="A357" s="40"/>
      <c r="B357" s="40"/>
      <c r="C357" s="40"/>
      <c r="D357" s="40"/>
    </row>
    <row r="358" spans="1:4">
      <c r="A358" s="40"/>
      <c r="B358" s="40"/>
      <c r="C358" s="40"/>
      <c r="D358" s="40"/>
    </row>
    <row r="359" spans="1:4">
      <c r="A359" s="40"/>
      <c r="B359" s="40"/>
      <c r="C359" s="40"/>
      <c r="D359" s="40"/>
    </row>
    <row r="360" spans="1:4">
      <c r="A360" s="40"/>
      <c r="B360" s="40"/>
      <c r="C360" s="40"/>
      <c r="D360" s="40"/>
    </row>
    <row r="361" spans="1:4">
      <c r="A361" s="40"/>
      <c r="B361" s="40"/>
      <c r="C361" s="40"/>
      <c r="D361" s="40"/>
    </row>
    <row r="362" spans="1:4">
      <c r="A362" s="40"/>
      <c r="B362" s="40"/>
      <c r="C362" s="40"/>
      <c r="D362" s="40"/>
    </row>
    <row r="363" spans="1:4">
      <c r="A363" s="40"/>
      <c r="B363" s="40"/>
      <c r="C363" s="40"/>
      <c r="D363" s="40"/>
    </row>
    <row r="364" spans="1:4">
      <c r="A364" s="40"/>
      <c r="B364" s="40"/>
      <c r="C364" s="40"/>
      <c r="D364" s="40"/>
    </row>
    <row r="365" spans="1:4">
      <c r="A365" s="40"/>
      <c r="B365" s="40"/>
      <c r="C365" s="40"/>
      <c r="D365" s="40"/>
    </row>
    <row r="366" spans="1:4">
      <c r="A366" s="40"/>
      <c r="B366" s="40"/>
      <c r="C366" s="40"/>
      <c r="D366" s="40"/>
    </row>
    <row r="367" spans="1:4">
      <c r="A367" s="40"/>
      <c r="B367" s="40"/>
      <c r="C367" s="40"/>
      <c r="D367" s="40"/>
    </row>
    <row r="368" spans="1:4">
      <c r="A368" s="40"/>
      <c r="B368" s="40"/>
      <c r="C368" s="40"/>
      <c r="D368" s="40"/>
    </row>
    <row r="369" spans="1:4">
      <c r="A369" s="40"/>
      <c r="B369" s="40"/>
      <c r="C369" s="40"/>
      <c r="D369" s="40"/>
    </row>
    <row r="370" spans="1:4">
      <c r="A370" s="40"/>
      <c r="B370" s="40"/>
      <c r="C370" s="40"/>
      <c r="D370" s="40"/>
    </row>
    <row r="371" spans="1:4">
      <c r="A371" s="40"/>
      <c r="B371" s="40"/>
      <c r="C371" s="40"/>
      <c r="D371" s="40"/>
    </row>
    <row r="372" spans="1:4">
      <c r="A372" s="40"/>
      <c r="B372" s="40"/>
      <c r="C372" s="40"/>
      <c r="D372" s="40"/>
    </row>
    <row r="373" spans="1:4">
      <c r="A373" s="40"/>
      <c r="B373" s="40"/>
      <c r="C373" s="40"/>
      <c r="D373" s="40"/>
    </row>
    <row r="374" spans="1:4">
      <c r="A374" s="40"/>
      <c r="B374" s="40"/>
      <c r="C374" s="40"/>
      <c r="D374" s="40"/>
    </row>
    <row r="375" spans="1:4">
      <c r="A375" s="40"/>
      <c r="B375" s="40"/>
      <c r="C375" s="40"/>
      <c r="D375" s="40"/>
    </row>
    <row r="376" spans="1:4">
      <c r="A376" s="40"/>
      <c r="B376" s="40"/>
      <c r="C376" s="40"/>
      <c r="D376" s="40"/>
    </row>
    <row r="377" spans="1:4">
      <c r="A377" s="40"/>
      <c r="B377" s="40"/>
      <c r="C377" s="40"/>
      <c r="D377" s="40"/>
    </row>
    <row r="378" spans="1:4">
      <c r="A378" s="40"/>
      <c r="B378" s="40"/>
      <c r="C378" s="40"/>
      <c r="D378" s="40"/>
    </row>
    <row r="379" spans="1:4">
      <c r="A379" s="40"/>
      <c r="B379" s="40"/>
      <c r="C379" s="40"/>
      <c r="D379" s="40"/>
    </row>
    <row r="380" spans="1:4">
      <c r="A380" s="40"/>
      <c r="B380" s="40"/>
      <c r="C380" s="40"/>
      <c r="D380" s="40"/>
    </row>
    <row r="381" spans="1:4">
      <c r="A381" s="40"/>
      <c r="B381" s="40"/>
      <c r="C381" s="40"/>
      <c r="D381" s="40"/>
    </row>
    <row r="382" spans="1:4">
      <c r="A382" s="40"/>
      <c r="B382" s="40"/>
      <c r="C382" s="40"/>
      <c r="D382" s="40"/>
    </row>
    <row r="383" spans="1:4">
      <c r="A383" s="40"/>
      <c r="B383" s="40"/>
      <c r="C383" s="40"/>
      <c r="D383" s="40"/>
    </row>
    <row r="384" spans="1:4">
      <c r="A384" s="40"/>
      <c r="B384" s="40"/>
      <c r="C384" s="40"/>
      <c r="D384" s="40"/>
    </row>
    <row r="385" spans="1:4">
      <c r="A385" s="40"/>
      <c r="B385" s="40"/>
      <c r="C385" s="40"/>
      <c r="D385" s="40"/>
    </row>
    <row r="386" spans="1:4">
      <c r="A386" s="40"/>
      <c r="B386" s="40"/>
      <c r="C386" s="40"/>
      <c r="D386" s="40"/>
    </row>
    <row r="387" spans="1:4">
      <c r="A387" s="40"/>
      <c r="B387" s="40"/>
      <c r="C387" s="40"/>
      <c r="D387" s="40"/>
    </row>
    <row r="388" spans="1:4">
      <c r="A388" s="40"/>
      <c r="B388" s="40"/>
      <c r="C388" s="40"/>
      <c r="D388" s="40"/>
    </row>
    <row r="389" spans="1:4">
      <c r="A389" s="40"/>
      <c r="B389" s="40"/>
      <c r="C389" s="40"/>
      <c r="D389" s="40"/>
    </row>
    <row r="390" spans="1:4">
      <c r="A390" s="40"/>
      <c r="B390" s="40"/>
      <c r="C390" s="40"/>
      <c r="D390" s="40"/>
    </row>
    <row r="391" spans="1:4">
      <c r="A391" s="40"/>
      <c r="B391" s="40"/>
      <c r="C391" s="40"/>
      <c r="D391" s="40"/>
    </row>
    <row r="392" spans="1:4">
      <c r="A392" s="40"/>
      <c r="B392" s="40"/>
      <c r="C392" s="40"/>
      <c r="D392" s="40"/>
    </row>
    <row r="393" spans="1:4">
      <c r="A393" s="40"/>
      <c r="B393" s="40"/>
      <c r="C393" s="40"/>
      <c r="D393" s="40"/>
    </row>
    <row r="394" spans="1:4">
      <c r="A394" s="40"/>
      <c r="B394" s="40"/>
      <c r="C394" s="40"/>
      <c r="D394" s="40"/>
    </row>
    <row r="395" spans="1:4">
      <c r="A395" s="40"/>
      <c r="B395" s="40"/>
      <c r="C395" s="40"/>
      <c r="D395" s="40"/>
    </row>
    <row r="396" spans="1:4">
      <c r="A396" s="40"/>
      <c r="B396" s="40"/>
      <c r="C396" s="40"/>
      <c r="D396" s="40"/>
    </row>
    <row r="397" spans="1:4">
      <c r="A397" s="40"/>
      <c r="B397" s="40"/>
      <c r="C397" s="40"/>
      <c r="D397" s="40"/>
    </row>
    <row r="398" spans="1:4">
      <c r="A398" s="40"/>
      <c r="B398" s="40"/>
      <c r="C398" s="40"/>
      <c r="D398" s="40"/>
    </row>
    <row r="399" spans="1:4">
      <c r="A399" s="40"/>
      <c r="B399" s="40"/>
      <c r="C399" s="40"/>
      <c r="D399" s="40"/>
    </row>
    <row r="400" spans="1:4">
      <c r="A400" s="40"/>
      <c r="B400" s="40"/>
      <c r="C400" s="40"/>
      <c r="D400" s="40"/>
    </row>
    <row r="401" spans="1:4">
      <c r="A401" s="40"/>
      <c r="B401" s="40"/>
      <c r="C401" s="40"/>
      <c r="D401" s="40"/>
    </row>
    <row r="402" spans="1:4">
      <c r="A402" s="40"/>
      <c r="B402" s="40"/>
      <c r="C402" s="40"/>
      <c r="D402" s="40"/>
    </row>
    <row r="403" spans="1:4">
      <c r="A403" s="40"/>
      <c r="B403" s="40"/>
      <c r="C403" s="40"/>
      <c r="D403" s="40"/>
    </row>
    <row r="404" spans="1:4">
      <c r="A404" s="40"/>
      <c r="B404" s="40"/>
      <c r="C404" s="40"/>
      <c r="D404" s="40"/>
    </row>
    <row r="405" spans="1:4">
      <c r="A405" s="40"/>
      <c r="B405" s="40"/>
      <c r="C405" s="40"/>
      <c r="D405" s="40"/>
    </row>
    <row r="406" spans="1:4">
      <c r="A406" s="40"/>
      <c r="B406" s="40"/>
      <c r="C406" s="40"/>
      <c r="D406" s="40"/>
    </row>
    <row r="407" spans="1:4">
      <c r="A407" s="40"/>
      <c r="B407" s="40"/>
      <c r="C407" s="40"/>
      <c r="D407" s="40"/>
    </row>
    <row r="408" spans="1:4">
      <c r="A408" s="40"/>
      <c r="B408" s="40"/>
      <c r="C408" s="40"/>
      <c r="D408" s="40"/>
    </row>
    <row r="409" spans="1:4">
      <c r="A409" s="40"/>
      <c r="B409" s="40"/>
      <c r="C409" s="40"/>
      <c r="D409" s="40"/>
    </row>
    <row r="410" spans="1:4">
      <c r="A410" s="40"/>
      <c r="B410" s="40"/>
      <c r="C410" s="40"/>
      <c r="D410" s="40"/>
    </row>
    <row r="411" spans="1:4">
      <c r="A411" s="40"/>
      <c r="B411" s="40"/>
      <c r="C411" s="40"/>
      <c r="D411" s="40"/>
    </row>
    <row r="412" spans="1:4">
      <c r="A412" s="40"/>
      <c r="B412" s="40"/>
      <c r="C412" s="40"/>
      <c r="D412" s="40"/>
    </row>
    <row r="413" spans="1:4">
      <c r="A413" s="40"/>
      <c r="B413" s="40"/>
      <c r="C413" s="40"/>
      <c r="D413" s="40"/>
    </row>
    <row r="414" spans="1:4">
      <c r="A414" s="40"/>
      <c r="B414" s="40"/>
      <c r="C414" s="40"/>
      <c r="D414" s="40"/>
    </row>
    <row r="415" spans="1:4">
      <c r="A415" s="40"/>
      <c r="B415" s="40"/>
      <c r="C415" s="40"/>
      <c r="D415" s="40"/>
    </row>
    <row r="416" spans="1:4">
      <c r="A416" s="40"/>
      <c r="B416" s="40"/>
      <c r="C416" s="40"/>
      <c r="D416" s="40"/>
    </row>
    <row r="417" spans="1:4">
      <c r="A417" s="40"/>
      <c r="B417" s="40"/>
      <c r="C417" s="40"/>
      <c r="D417" s="40"/>
    </row>
    <row r="418" spans="1:4">
      <c r="A418" s="40"/>
      <c r="B418" s="40"/>
      <c r="C418" s="40"/>
      <c r="D418" s="40"/>
    </row>
    <row r="419" spans="1:4">
      <c r="A419" s="40"/>
      <c r="B419" s="40"/>
      <c r="C419" s="40"/>
      <c r="D419" s="40"/>
    </row>
    <row r="420" spans="1:4">
      <c r="A420" s="40"/>
      <c r="B420" s="40"/>
      <c r="C420" s="40"/>
      <c r="D420" s="40"/>
    </row>
    <row r="421" spans="1:4">
      <c r="A421" s="40"/>
      <c r="B421" s="40"/>
      <c r="C421" s="40"/>
      <c r="D421" s="40"/>
    </row>
    <row r="422" spans="1:4">
      <c r="A422" s="40"/>
      <c r="B422" s="40"/>
      <c r="C422" s="40"/>
      <c r="D422" s="40"/>
    </row>
    <row r="423" spans="1:4">
      <c r="A423" s="40"/>
      <c r="B423" s="40"/>
      <c r="C423" s="40"/>
      <c r="D423" s="40"/>
    </row>
    <row r="424" spans="1:4">
      <c r="A424" s="40"/>
      <c r="B424" s="40"/>
      <c r="C424" s="40"/>
      <c r="D424" s="40"/>
    </row>
    <row r="425" spans="1:4">
      <c r="A425" s="40"/>
      <c r="B425" s="40"/>
      <c r="C425" s="40"/>
      <c r="D425" s="40"/>
    </row>
    <row r="426" spans="1:4">
      <c r="A426" s="40"/>
      <c r="B426" s="40"/>
      <c r="C426" s="40"/>
      <c r="D426" s="40"/>
    </row>
    <row r="427" spans="1:4">
      <c r="A427" s="40"/>
      <c r="B427" s="40"/>
      <c r="C427" s="40"/>
      <c r="D427" s="40"/>
    </row>
    <row r="428" spans="1:4">
      <c r="A428" s="40"/>
      <c r="B428" s="40"/>
      <c r="C428" s="40"/>
      <c r="D428" s="40"/>
    </row>
    <row r="429" spans="1:4">
      <c r="A429" s="40"/>
      <c r="B429" s="40"/>
      <c r="C429" s="40"/>
      <c r="D429" s="40"/>
    </row>
    <row r="430" spans="1:4">
      <c r="A430" s="40"/>
      <c r="B430" s="40"/>
      <c r="C430" s="40"/>
      <c r="D430" s="40"/>
    </row>
    <row r="431" spans="1:4">
      <c r="A431" s="40"/>
      <c r="B431" s="40"/>
      <c r="C431" s="40"/>
      <c r="D431" s="40"/>
    </row>
    <row r="432" spans="1:4">
      <c r="A432" s="40"/>
      <c r="B432" s="40"/>
      <c r="C432" s="40"/>
      <c r="D432" s="40"/>
    </row>
    <row r="433" spans="1:4">
      <c r="A433" s="40"/>
      <c r="B433" s="40"/>
      <c r="C433" s="40"/>
      <c r="D433" s="40"/>
    </row>
    <row r="434" spans="1:4">
      <c r="A434" s="40"/>
      <c r="B434" s="40"/>
      <c r="C434" s="40"/>
      <c r="D434" s="40"/>
    </row>
    <row r="435" spans="1:4">
      <c r="A435" s="40"/>
      <c r="B435" s="40"/>
      <c r="C435" s="40"/>
      <c r="D435" s="40"/>
    </row>
    <row r="436" spans="1:4">
      <c r="A436" s="40"/>
      <c r="B436" s="40"/>
      <c r="C436" s="40"/>
      <c r="D436" s="40"/>
    </row>
    <row r="437" spans="1:4">
      <c r="A437" s="40"/>
      <c r="B437" s="40"/>
      <c r="C437" s="40"/>
      <c r="D437" s="40"/>
    </row>
    <row r="438" spans="1:4">
      <c r="A438" s="40"/>
      <c r="B438" s="40"/>
      <c r="C438" s="40"/>
      <c r="D438" s="40"/>
    </row>
    <row r="439" spans="1:4">
      <c r="A439" s="40"/>
      <c r="B439" s="40"/>
      <c r="C439" s="40"/>
      <c r="D439" s="40"/>
    </row>
    <row r="440" spans="1:4">
      <c r="A440" s="40"/>
      <c r="B440" s="40"/>
      <c r="C440" s="40"/>
      <c r="D440" s="40"/>
    </row>
    <row r="441" spans="1:4">
      <c r="A441" s="40"/>
      <c r="B441" s="40"/>
      <c r="C441" s="40"/>
      <c r="D441" s="40"/>
    </row>
    <row r="442" spans="1:4">
      <c r="A442" s="40"/>
      <c r="B442" s="40"/>
      <c r="C442" s="40"/>
      <c r="D442" s="40"/>
    </row>
    <row r="443" spans="1:4">
      <c r="A443" s="40"/>
      <c r="B443" s="40"/>
      <c r="C443" s="40"/>
      <c r="D443" s="40"/>
    </row>
    <row r="444" spans="1:4">
      <c r="A444" s="40"/>
      <c r="B444" s="40"/>
      <c r="C444" s="40"/>
      <c r="D444" s="40"/>
    </row>
    <row r="445" spans="1:4">
      <c r="A445" s="40"/>
      <c r="B445" s="40"/>
      <c r="C445" s="40"/>
      <c r="D445" s="40"/>
    </row>
    <row r="446" spans="1:4">
      <c r="A446" s="40"/>
      <c r="B446" s="40"/>
      <c r="C446" s="40"/>
      <c r="D446" s="40"/>
    </row>
    <row r="447" spans="1:4">
      <c r="A447" s="40"/>
      <c r="B447" s="40"/>
      <c r="C447" s="40"/>
      <c r="D447" s="40"/>
    </row>
    <row r="448" spans="1:4">
      <c r="A448" s="40"/>
      <c r="B448" s="40"/>
      <c r="C448" s="40"/>
      <c r="D448" s="40"/>
    </row>
    <row r="449" spans="1:4">
      <c r="A449" s="40"/>
      <c r="B449" s="40"/>
      <c r="C449" s="40"/>
      <c r="D449" s="40"/>
    </row>
    <row r="450" spans="1:4">
      <c r="A450" s="40"/>
      <c r="B450" s="40"/>
      <c r="C450" s="40"/>
      <c r="D450" s="40"/>
    </row>
    <row r="451" spans="1:4">
      <c r="A451" s="40"/>
      <c r="B451" s="40"/>
      <c r="C451" s="40"/>
      <c r="D451" s="40"/>
    </row>
    <row r="452" spans="1:4">
      <c r="A452" s="40"/>
      <c r="B452" s="40"/>
      <c r="C452" s="40"/>
      <c r="D452" s="40"/>
    </row>
    <row r="453" spans="1:4">
      <c r="A453" s="40"/>
      <c r="B453" s="40"/>
      <c r="C453" s="40"/>
      <c r="D453" s="40"/>
    </row>
    <row r="454" spans="1:4">
      <c r="A454" s="40"/>
      <c r="B454" s="40"/>
      <c r="C454" s="40"/>
      <c r="D454" s="40"/>
    </row>
    <row r="455" spans="1:4">
      <c r="A455" s="40"/>
      <c r="B455" s="40"/>
      <c r="C455" s="40"/>
      <c r="D455" s="40"/>
    </row>
    <row r="456" spans="1:4">
      <c r="A456" s="40"/>
      <c r="B456" s="40"/>
      <c r="C456" s="40"/>
      <c r="D456" s="40"/>
    </row>
    <row r="457" spans="1:4">
      <c r="A457" s="40"/>
      <c r="B457" s="40"/>
      <c r="C457" s="40"/>
      <c r="D457" s="40"/>
    </row>
    <row r="458" spans="1:4">
      <c r="A458" s="40"/>
      <c r="B458" s="40"/>
      <c r="C458" s="40"/>
      <c r="D458" s="40"/>
    </row>
    <row r="459" spans="1:4">
      <c r="A459" s="40"/>
      <c r="B459" s="40"/>
      <c r="C459" s="40"/>
      <c r="D459" s="40"/>
    </row>
    <row r="460" spans="1:4">
      <c r="A460" s="40"/>
      <c r="B460" s="40"/>
      <c r="C460" s="40"/>
      <c r="D460" s="40"/>
    </row>
    <row r="461" spans="1:4">
      <c r="A461" s="40"/>
      <c r="B461" s="40"/>
      <c r="C461" s="40"/>
      <c r="D461" s="40"/>
    </row>
    <row r="462" spans="1:4">
      <c r="A462" s="40"/>
      <c r="B462" s="40"/>
      <c r="C462" s="40"/>
      <c r="D462" s="40"/>
    </row>
    <row r="463" spans="1:4">
      <c r="A463" s="40"/>
      <c r="B463" s="40"/>
      <c r="C463" s="40"/>
      <c r="D463" s="40"/>
    </row>
    <row r="464" spans="1:4">
      <c r="A464" s="40"/>
      <c r="B464" s="40"/>
      <c r="C464" s="40"/>
      <c r="D464" s="40"/>
    </row>
    <row r="465" spans="1:4">
      <c r="A465" s="40"/>
      <c r="B465" s="40"/>
      <c r="C465" s="40"/>
      <c r="D465" s="40"/>
    </row>
    <row r="466" spans="1:4">
      <c r="A466" s="40"/>
      <c r="B466" s="40"/>
      <c r="C466" s="40"/>
      <c r="D466" s="40"/>
    </row>
    <row r="467" spans="1:4">
      <c r="A467" s="40"/>
      <c r="B467" s="40"/>
      <c r="C467" s="40"/>
      <c r="D467" s="40"/>
    </row>
    <row r="468" spans="1:4">
      <c r="A468" s="40"/>
      <c r="B468" s="40"/>
      <c r="C468" s="40"/>
      <c r="D468" s="40"/>
    </row>
    <row r="469" spans="1:4">
      <c r="A469" s="40"/>
      <c r="B469" s="40"/>
      <c r="C469" s="40"/>
      <c r="D469" s="40"/>
    </row>
    <row r="470" spans="1:4">
      <c r="A470" s="40"/>
      <c r="B470" s="40"/>
      <c r="C470" s="40"/>
      <c r="D470" s="40"/>
    </row>
    <row r="471" spans="1:4">
      <c r="A471" s="40"/>
      <c r="B471" s="40"/>
      <c r="C471" s="40"/>
      <c r="D471" s="40"/>
    </row>
    <row r="472" spans="1:4">
      <c r="A472" s="40"/>
      <c r="B472" s="40"/>
      <c r="C472" s="40"/>
      <c r="D472" s="40"/>
    </row>
    <row r="473" spans="1:4">
      <c r="A473" s="40"/>
      <c r="B473" s="40"/>
      <c r="C473" s="40"/>
      <c r="D473" s="40"/>
    </row>
    <row r="474" spans="1:4">
      <c r="A474" s="40"/>
      <c r="B474" s="40"/>
      <c r="C474" s="40"/>
      <c r="D474" s="40"/>
    </row>
    <row r="475" spans="1:4">
      <c r="A475" s="40"/>
      <c r="B475" s="40"/>
      <c r="C475" s="40"/>
      <c r="D475" s="40"/>
    </row>
    <row r="476" spans="1:4">
      <c r="A476" s="40"/>
      <c r="B476" s="40"/>
      <c r="C476" s="40"/>
      <c r="D476" s="40"/>
    </row>
    <row r="477" spans="1:4">
      <c r="A477" s="40"/>
      <c r="B477" s="40"/>
      <c r="C477" s="40"/>
      <c r="D477" s="40"/>
    </row>
    <row r="478" spans="1:4">
      <c r="A478" s="40"/>
      <c r="B478" s="40"/>
      <c r="C478" s="40"/>
      <c r="D478" s="40"/>
    </row>
    <row r="479" spans="1:4">
      <c r="A479" s="40"/>
      <c r="B479" s="40"/>
      <c r="C479" s="40"/>
      <c r="D479" s="40"/>
    </row>
    <row r="480" spans="1:4">
      <c r="A480" s="40"/>
      <c r="B480" s="40"/>
      <c r="C480" s="40"/>
      <c r="D480" s="40"/>
    </row>
    <row r="481" spans="1:4">
      <c r="A481" s="40"/>
      <c r="B481" s="40"/>
      <c r="C481" s="40"/>
      <c r="D481" s="40"/>
    </row>
    <row r="482" spans="1:4">
      <c r="A482" s="40"/>
      <c r="B482" s="40"/>
      <c r="C482" s="40"/>
      <c r="D482" s="40"/>
    </row>
    <row r="483" spans="1:4">
      <c r="A483" s="40"/>
      <c r="B483" s="40"/>
      <c r="C483" s="40"/>
      <c r="D483" s="40"/>
    </row>
    <row r="484" spans="1:4">
      <c r="A484" s="40"/>
      <c r="B484" s="40"/>
      <c r="C484" s="40"/>
      <c r="D484" s="40"/>
    </row>
    <row r="485" spans="1:4">
      <c r="A485" s="40"/>
      <c r="B485" s="40"/>
      <c r="C485" s="40"/>
      <c r="D485" s="40"/>
    </row>
    <row r="486" spans="1:4">
      <c r="A486" s="40"/>
      <c r="B486" s="40"/>
      <c r="C486" s="40"/>
      <c r="D486" s="40"/>
    </row>
    <row r="487" spans="1:4">
      <c r="A487" s="40"/>
      <c r="B487" s="40"/>
      <c r="C487" s="40"/>
      <c r="D487" s="40"/>
    </row>
    <row r="488" spans="1:4">
      <c r="A488" s="40"/>
      <c r="B488" s="40"/>
      <c r="C488" s="40"/>
      <c r="D488" s="40"/>
    </row>
    <row r="489" spans="1:4">
      <c r="A489" s="40"/>
      <c r="B489" s="40"/>
      <c r="C489" s="40"/>
      <c r="D489" s="40"/>
    </row>
    <row r="490" spans="1:4">
      <c r="A490" s="40"/>
      <c r="B490" s="40"/>
      <c r="C490" s="40"/>
      <c r="D490" s="40"/>
    </row>
    <row r="491" spans="1:4">
      <c r="A491" s="40"/>
      <c r="B491" s="40"/>
      <c r="C491" s="40"/>
      <c r="D491" s="40"/>
    </row>
    <row r="492" spans="1:4">
      <c r="A492" s="40"/>
      <c r="B492" s="40"/>
      <c r="C492" s="40"/>
      <c r="D492" s="40"/>
    </row>
    <row r="493" spans="1:4">
      <c r="A493" s="40"/>
      <c r="B493" s="40"/>
      <c r="C493" s="40"/>
      <c r="D493" s="40"/>
    </row>
    <row r="494" spans="1:4">
      <c r="A494" s="40"/>
      <c r="B494" s="40"/>
      <c r="C494" s="40"/>
      <c r="D494" s="40"/>
    </row>
    <row r="495" spans="1:4">
      <c r="A495" s="40"/>
      <c r="B495" s="40"/>
      <c r="C495" s="40"/>
      <c r="D495" s="40"/>
    </row>
    <row r="496" spans="1:4">
      <c r="A496" s="40"/>
      <c r="B496" s="40"/>
      <c r="C496" s="40"/>
      <c r="D496" s="40"/>
    </row>
    <row r="497" spans="1:4">
      <c r="A497" s="40"/>
      <c r="B497" s="40"/>
      <c r="C497" s="40"/>
      <c r="D497" s="40"/>
    </row>
    <row r="498" spans="1:4">
      <c r="A498" s="40"/>
      <c r="B498" s="40"/>
      <c r="C498" s="40"/>
      <c r="D498" s="40"/>
    </row>
    <row r="499" spans="1:4">
      <c r="A499" s="40"/>
      <c r="B499" s="40"/>
      <c r="C499" s="40"/>
      <c r="D499" s="40"/>
    </row>
    <row r="500" spans="1:4">
      <c r="A500" s="40"/>
      <c r="B500" s="40"/>
      <c r="C500" s="40"/>
      <c r="D500" s="40"/>
    </row>
    <row r="501" spans="1:4">
      <c r="A501" s="40"/>
      <c r="B501" s="40"/>
      <c r="C501" s="40"/>
      <c r="D501" s="40"/>
    </row>
    <row r="502" spans="1:4">
      <c r="A502" s="40"/>
      <c r="B502" s="40"/>
      <c r="C502" s="40"/>
      <c r="D502" s="40"/>
    </row>
    <row r="503" spans="1:4">
      <c r="A503" s="40"/>
      <c r="B503" s="40"/>
      <c r="C503" s="40"/>
      <c r="D503" s="40"/>
    </row>
    <row r="504" spans="1:4">
      <c r="A504" s="40"/>
      <c r="B504" s="40"/>
      <c r="C504" s="40"/>
      <c r="D504" s="40"/>
    </row>
    <row r="505" spans="1:4">
      <c r="A505" s="40"/>
      <c r="B505" s="40"/>
      <c r="C505" s="40"/>
      <c r="D505" s="40"/>
    </row>
    <row r="506" spans="1:4">
      <c r="A506" s="40"/>
      <c r="B506" s="40"/>
      <c r="C506" s="40"/>
      <c r="D506" s="40"/>
    </row>
    <row r="507" spans="1:4">
      <c r="A507" s="40"/>
      <c r="B507" s="40"/>
      <c r="C507" s="40"/>
      <c r="D507" s="40"/>
    </row>
    <row r="508" spans="1:4">
      <c r="A508" s="40"/>
      <c r="B508" s="40"/>
      <c r="C508" s="40"/>
      <c r="D508" s="40"/>
    </row>
    <row r="509" spans="1:4">
      <c r="A509" s="40"/>
      <c r="B509" s="40"/>
      <c r="C509" s="40"/>
      <c r="D509" s="40"/>
    </row>
    <row r="510" spans="1:4">
      <c r="A510" s="40"/>
      <c r="B510" s="40"/>
      <c r="C510" s="40"/>
      <c r="D510" s="40"/>
    </row>
    <row r="511" spans="1:4">
      <c r="A511" s="40"/>
      <c r="B511" s="40"/>
      <c r="C511" s="40"/>
      <c r="D511" s="40"/>
    </row>
    <row r="512" spans="1:4">
      <c r="A512" s="40"/>
      <c r="B512" s="40"/>
      <c r="C512" s="40"/>
      <c r="D512" s="40"/>
    </row>
    <row r="513" spans="1:4">
      <c r="A513" s="40"/>
      <c r="B513" s="40"/>
      <c r="C513" s="40"/>
      <c r="D513" s="40"/>
    </row>
    <row r="514" spans="1:4">
      <c r="A514" s="40"/>
      <c r="B514" s="40"/>
      <c r="C514" s="40"/>
      <c r="D514" s="40"/>
    </row>
    <row r="515" spans="1:4">
      <c r="A515" s="40"/>
      <c r="B515" s="40"/>
      <c r="C515" s="40"/>
      <c r="D515" s="40"/>
    </row>
    <row r="516" spans="1:4">
      <c r="A516" s="40"/>
      <c r="B516" s="40"/>
      <c r="C516" s="40"/>
      <c r="D516" s="40"/>
    </row>
    <row r="517" spans="1:4">
      <c r="A517" s="40"/>
      <c r="B517" s="40"/>
      <c r="C517" s="40"/>
      <c r="D517" s="40"/>
    </row>
    <row r="518" spans="1:4">
      <c r="A518" s="40"/>
      <c r="B518" s="40"/>
      <c r="C518" s="40"/>
      <c r="D518" s="40"/>
    </row>
    <row r="519" spans="1:4">
      <c r="A519" s="40"/>
      <c r="B519" s="40"/>
      <c r="C519" s="40"/>
      <c r="D519" s="40"/>
    </row>
    <row r="520" spans="1:4">
      <c r="A520" s="40"/>
      <c r="B520" s="40"/>
      <c r="C520" s="40"/>
      <c r="D520" s="40"/>
    </row>
    <row r="521" spans="1:4">
      <c r="A521" s="40"/>
      <c r="B521" s="40"/>
      <c r="C521" s="40"/>
      <c r="D521" s="40"/>
    </row>
    <row r="522" spans="1:4">
      <c r="A522" s="40"/>
      <c r="B522" s="40"/>
      <c r="C522" s="40"/>
      <c r="D522" s="40"/>
    </row>
    <row r="523" spans="1:4">
      <c r="A523" s="40"/>
      <c r="B523" s="40"/>
      <c r="C523" s="40"/>
      <c r="D523" s="40"/>
    </row>
    <row r="524" spans="1:4">
      <c r="A524" s="40"/>
      <c r="B524" s="40"/>
      <c r="C524" s="40"/>
      <c r="D524" s="40"/>
    </row>
    <row r="525" spans="1:4">
      <c r="A525" s="40"/>
      <c r="B525" s="40"/>
      <c r="C525" s="40"/>
      <c r="D525" s="40"/>
    </row>
    <row r="526" spans="1:4">
      <c r="A526" s="40"/>
      <c r="B526" s="40"/>
      <c r="C526" s="40"/>
      <c r="D526" s="40"/>
    </row>
    <row r="527" spans="1:4">
      <c r="A527" s="40"/>
      <c r="B527" s="40"/>
      <c r="C527" s="40"/>
      <c r="D527" s="40"/>
    </row>
    <row r="528" spans="1:4">
      <c r="A528" s="40"/>
      <c r="B528" s="40"/>
      <c r="C528" s="40"/>
      <c r="D528" s="40"/>
    </row>
    <row r="529" spans="1:4">
      <c r="A529" s="40"/>
      <c r="B529" s="40"/>
      <c r="C529" s="40"/>
      <c r="D529" s="40"/>
    </row>
    <row r="530" spans="1:4">
      <c r="A530" s="40"/>
      <c r="B530" s="40"/>
      <c r="C530" s="40"/>
      <c r="D530" s="40"/>
    </row>
    <row r="531" spans="1:4">
      <c r="A531" s="40"/>
      <c r="B531" s="40"/>
      <c r="C531" s="40"/>
      <c r="D531" s="40"/>
    </row>
    <row r="532" spans="1:4">
      <c r="A532" s="40"/>
      <c r="B532" s="40"/>
      <c r="C532" s="40"/>
      <c r="D532" s="40"/>
    </row>
    <row r="533" spans="1:4">
      <c r="A533" s="40"/>
      <c r="B533" s="40"/>
      <c r="C533" s="40"/>
      <c r="D533" s="40"/>
    </row>
    <row r="534" spans="1:4">
      <c r="A534" s="40"/>
      <c r="B534" s="40"/>
      <c r="C534" s="40"/>
      <c r="D534" s="40"/>
    </row>
    <row r="535" spans="1:4">
      <c r="A535" s="40"/>
      <c r="B535" s="40"/>
      <c r="C535" s="40"/>
      <c r="D535" s="40"/>
    </row>
    <row r="536" spans="1:4">
      <c r="A536" s="40"/>
      <c r="B536" s="40"/>
      <c r="C536" s="40"/>
      <c r="D536" s="40"/>
    </row>
    <row r="537" spans="1:4">
      <c r="A537" s="40"/>
      <c r="B537" s="40"/>
      <c r="C537" s="40"/>
      <c r="D537" s="40"/>
    </row>
    <row r="538" spans="1:4">
      <c r="A538" s="40"/>
      <c r="B538" s="40"/>
      <c r="C538" s="40"/>
      <c r="D538" s="40"/>
    </row>
    <row r="539" spans="1:4">
      <c r="A539" s="40"/>
      <c r="B539" s="40"/>
      <c r="C539" s="40"/>
      <c r="D539" s="40"/>
    </row>
    <row r="540" spans="1:4">
      <c r="A540" s="40"/>
      <c r="B540" s="40"/>
      <c r="C540" s="40"/>
      <c r="D540" s="40"/>
    </row>
    <row r="541" spans="1:4">
      <c r="A541" s="40"/>
      <c r="B541" s="40"/>
      <c r="C541" s="40"/>
      <c r="D541" s="40"/>
    </row>
    <row r="542" spans="1:4">
      <c r="A542" s="40"/>
      <c r="B542" s="40"/>
      <c r="C542" s="40"/>
      <c r="D542" s="40"/>
    </row>
    <row r="543" spans="1:4">
      <c r="A543" s="40"/>
      <c r="B543" s="40"/>
      <c r="C543" s="40"/>
      <c r="D543" s="40"/>
    </row>
    <row r="544" spans="1:4">
      <c r="A544" s="40"/>
      <c r="B544" s="40"/>
      <c r="C544" s="40"/>
      <c r="D544" s="40"/>
    </row>
    <row r="545" spans="1:4">
      <c r="A545" s="40"/>
      <c r="B545" s="40"/>
      <c r="C545" s="40"/>
      <c r="D545" s="40"/>
    </row>
    <row r="546" spans="1:4">
      <c r="A546" s="40"/>
      <c r="B546" s="40"/>
      <c r="C546" s="40"/>
      <c r="D546" s="40"/>
    </row>
    <row r="547" spans="1:4">
      <c r="A547" s="40"/>
      <c r="B547" s="40"/>
      <c r="C547" s="40"/>
      <c r="D547" s="40"/>
    </row>
    <row r="548" spans="1:4">
      <c r="A548" s="40"/>
      <c r="B548" s="40"/>
      <c r="C548" s="40"/>
      <c r="D548" s="40"/>
    </row>
    <row r="549" spans="1:4">
      <c r="A549" s="40"/>
      <c r="B549" s="40"/>
      <c r="C549" s="40"/>
      <c r="D549" s="40"/>
    </row>
    <row r="550" spans="1:4">
      <c r="A550" s="40"/>
      <c r="B550" s="40"/>
      <c r="C550" s="40"/>
      <c r="D550" s="40"/>
    </row>
    <row r="551" spans="1:4">
      <c r="A551" s="40"/>
      <c r="B551" s="40"/>
      <c r="C551" s="40"/>
      <c r="D551" s="40"/>
    </row>
    <row r="552" spans="1:4">
      <c r="A552" s="40"/>
      <c r="B552" s="40"/>
      <c r="C552" s="40"/>
      <c r="D552" s="40"/>
    </row>
    <row r="553" spans="1:4">
      <c r="A553" s="40"/>
      <c r="B553" s="40"/>
      <c r="C553" s="40"/>
      <c r="D553" s="40"/>
    </row>
    <row r="554" spans="1:4">
      <c r="A554" s="40"/>
      <c r="B554" s="40"/>
      <c r="C554" s="40"/>
      <c r="D554" s="40"/>
    </row>
    <row r="555" spans="1:4">
      <c r="A555" s="40"/>
      <c r="B555" s="40"/>
      <c r="C555" s="40"/>
      <c r="D555" s="40"/>
    </row>
    <row r="556" spans="1:4">
      <c r="A556" s="40"/>
      <c r="B556" s="40"/>
      <c r="C556" s="40"/>
      <c r="D556" s="40"/>
    </row>
    <row r="557" spans="1:4">
      <c r="A557" s="40"/>
      <c r="B557" s="40"/>
      <c r="C557" s="40"/>
      <c r="D557" s="40"/>
    </row>
    <row r="558" spans="1:4">
      <c r="A558" s="40"/>
      <c r="B558" s="40"/>
      <c r="C558" s="40"/>
      <c r="D558" s="40"/>
    </row>
    <row r="559" spans="1:4">
      <c r="A559" s="40"/>
      <c r="B559" s="40"/>
      <c r="C559" s="40"/>
      <c r="D559" s="40"/>
    </row>
    <row r="560" spans="1:4">
      <c r="A560" s="40"/>
      <c r="B560" s="40"/>
      <c r="C560" s="40"/>
      <c r="D560" s="40"/>
    </row>
    <row r="561" spans="1:4">
      <c r="A561" s="40"/>
      <c r="B561" s="40"/>
      <c r="C561" s="40"/>
      <c r="D561" s="40"/>
    </row>
    <row r="562" spans="1:4">
      <c r="A562" s="40"/>
      <c r="B562" s="40"/>
      <c r="C562" s="40"/>
      <c r="D562" s="40"/>
    </row>
    <row r="563" spans="1:4">
      <c r="A563" s="40"/>
      <c r="B563" s="40"/>
      <c r="C563" s="40"/>
      <c r="D563" s="40"/>
    </row>
    <row r="564" spans="1:4">
      <c r="A564" s="40"/>
      <c r="B564" s="40"/>
      <c r="C564" s="40"/>
      <c r="D564" s="40"/>
    </row>
    <row r="565" spans="1:4">
      <c r="A565" s="40"/>
      <c r="B565" s="40"/>
      <c r="C565" s="40"/>
      <c r="D565" s="40"/>
    </row>
    <row r="566" spans="1:4">
      <c r="A566" s="40"/>
      <c r="B566" s="40"/>
      <c r="C566" s="40"/>
      <c r="D566" s="40"/>
    </row>
    <row r="567" spans="1:4">
      <c r="A567" s="40"/>
      <c r="B567" s="40"/>
      <c r="C567" s="40"/>
      <c r="D567" s="40"/>
    </row>
    <row r="568" spans="1:4">
      <c r="A568" s="40"/>
      <c r="B568" s="40"/>
      <c r="C568" s="40"/>
      <c r="D568" s="40"/>
    </row>
    <row r="569" spans="1:4">
      <c r="A569" s="40"/>
      <c r="B569" s="40"/>
      <c r="C569" s="40"/>
      <c r="D569" s="40"/>
    </row>
    <row r="570" spans="1:4">
      <c r="A570" s="40"/>
      <c r="B570" s="40"/>
      <c r="C570" s="40"/>
      <c r="D570" s="40"/>
    </row>
    <row r="571" spans="1:4">
      <c r="A571" s="40"/>
      <c r="B571" s="40"/>
      <c r="C571" s="40"/>
      <c r="D571" s="40"/>
    </row>
    <row r="572" spans="1:4">
      <c r="A572" s="40"/>
      <c r="B572" s="40"/>
      <c r="C572" s="40"/>
      <c r="D572" s="40"/>
    </row>
    <row r="573" spans="1:4">
      <c r="A573" s="40"/>
      <c r="B573" s="40"/>
      <c r="C573" s="40"/>
      <c r="D573" s="40"/>
    </row>
    <row r="574" spans="1:4">
      <c r="A574" s="40"/>
      <c r="B574" s="40"/>
      <c r="C574" s="40"/>
      <c r="D574" s="40"/>
    </row>
    <row r="575" spans="1:4">
      <c r="A575" s="40"/>
      <c r="B575" s="40"/>
      <c r="C575" s="40"/>
      <c r="D575" s="40"/>
    </row>
    <row r="576" spans="1:4">
      <c r="A576" s="40"/>
      <c r="B576" s="40"/>
      <c r="C576" s="40"/>
      <c r="D576" s="40"/>
    </row>
    <row r="577" spans="1:4">
      <c r="A577" s="40"/>
      <c r="B577" s="40"/>
      <c r="C577" s="40"/>
      <c r="D577" s="40"/>
    </row>
    <row r="578" spans="1:4">
      <c r="A578" s="40"/>
      <c r="B578" s="40"/>
      <c r="C578" s="40"/>
      <c r="D578" s="40"/>
    </row>
    <row r="579" spans="1:4">
      <c r="A579" s="40"/>
      <c r="B579" s="40"/>
      <c r="C579" s="40"/>
      <c r="D579" s="40"/>
    </row>
    <row r="580" spans="1:4">
      <c r="A580" s="40"/>
      <c r="B580" s="40"/>
      <c r="C580" s="40"/>
      <c r="D580" s="40"/>
    </row>
    <row r="581" spans="1:4">
      <c r="A581" s="40"/>
      <c r="B581" s="40"/>
      <c r="C581" s="40"/>
      <c r="D581" s="40"/>
    </row>
    <row r="582" spans="1:4">
      <c r="A582" s="40"/>
      <c r="B582" s="40"/>
      <c r="C582" s="40"/>
      <c r="D582" s="40"/>
    </row>
    <row r="583" spans="1:4">
      <c r="A583" s="40"/>
      <c r="B583" s="40"/>
      <c r="C583" s="40"/>
      <c r="D583" s="40"/>
    </row>
    <row r="584" spans="1:4">
      <c r="A584" s="40"/>
      <c r="B584" s="40"/>
      <c r="C584" s="40"/>
      <c r="D584" s="40"/>
    </row>
    <row r="585" spans="1:4">
      <c r="A585" s="40"/>
      <c r="B585" s="40"/>
      <c r="C585" s="40"/>
      <c r="D585" s="40"/>
    </row>
    <row r="586" spans="1:4">
      <c r="A586" s="40"/>
      <c r="B586" s="40"/>
      <c r="C586" s="40"/>
      <c r="D586" s="40"/>
    </row>
    <row r="587" spans="1:4">
      <c r="A587" s="40"/>
      <c r="B587" s="40"/>
      <c r="C587" s="40"/>
      <c r="D587" s="40"/>
    </row>
    <row r="588" spans="1:4">
      <c r="A588" s="40"/>
      <c r="B588" s="40"/>
      <c r="C588" s="40"/>
      <c r="D588" s="40"/>
    </row>
    <row r="589" spans="1:4">
      <c r="A589" s="40"/>
      <c r="B589" s="40"/>
      <c r="C589" s="40"/>
      <c r="D589" s="40"/>
    </row>
    <row r="590" spans="1:4">
      <c r="A590" s="40"/>
      <c r="B590" s="40"/>
      <c r="C590" s="40"/>
      <c r="D590" s="40"/>
    </row>
    <row r="591" spans="1:4">
      <c r="A591" s="40"/>
      <c r="B591" s="40"/>
      <c r="C591" s="40"/>
      <c r="D591" s="40"/>
    </row>
    <row r="592" spans="1:4">
      <c r="A592" s="40"/>
      <c r="B592" s="40"/>
      <c r="C592" s="40"/>
      <c r="D592" s="40"/>
    </row>
    <row r="593" spans="1:4">
      <c r="A593" s="40"/>
      <c r="B593" s="40"/>
      <c r="C593" s="40"/>
      <c r="D593" s="40"/>
    </row>
    <row r="594" spans="1:4">
      <c r="A594" s="40"/>
      <c r="B594" s="40"/>
      <c r="C594" s="40"/>
      <c r="D594" s="40"/>
    </row>
    <row r="595" spans="1:4">
      <c r="A595" s="40"/>
      <c r="B595" s="40"/>
      <c r="C595" s="40"/>
      <c r="D595" s="40"/>
    </row>
    <row r="596" spans="1:4">
      <c r="A596" s="40"/>
      <c r="B596" s="40"/>
      <c r="C596" s="40"/>
      <c r="D596" s="40"/>
    </row>
    <row r="597" spans="1:4">
      <c r="A597" s="40"/>
      <c r="B597" s="40"/>
      <c r="C597" s="40"/>
      <c r="D597" s="40"/>
    </row>
    <row r="598" spans="1:4">
      <c r="A598" s="40"/>
      <c r="B598" s="40"/>
      <c r="C598" s="40"/>
      <c r="D598" s="40"/>
    </row>
    <row r="599" spans="1:4">
      <c r="A599" s="40"/>
      <c r="B599" s="40"/>
      <c r="C599" s="40"/>
      <c r="D599" s="40"/>
    </row>
    <row r="600" spans="1:4">
      <c r="A600" s="40"/>
      <c r="B600" s="40"/>
      <c r="C600" s="40"/>
      <c r="D600" s="40"/>
    </row>
    <row r="601" spans="1:4">
      <c r="A601" s="40"/>
      <c r="B601" s="40"/>
      <c r="C601" s="40"/>
      <c r="D601" s="40"/>
    </row>
    <row r="602" spans="1:4">
      <c r="A602" s="40"/>
      <c r="B602" s="40"/>
      <c r="C602" s="40"/>
      <c r="D602" s="40"/>
    </row>
    <row r="603" spans="1:4">
      <c r="A603" s="40"/>
      <c r="B603" s="40"/>
      <c r="C603" s="40"/>
      <c r="D603" s="40"/>
    </row>
    <row r="604" spans="1:4">
      <c r="A604" s="40"/>
      <c r="B604" s="40"/>
      <c r="C604" s="40"/>
      <c r="D604" s="40"/>
    </row>
    <row r="605" spans="1:4">
      <c r="A605" s="40"/>
      <c r="B605" s="40"/>
      <c r="C605" s="40"/>
      <c r="D605" s="40"/>
    </row>
    <row r="606" spans="1:4">
      <c r="A606" s="40"/>
      <c r="B606" s="40"/>
      <c r="C606" s="40"/>
      <c r="D606" s="40"/>
    </row>
    <row r="607" spans="1:4">
      <c r="A607" s="40"/>
      <c r="B607" s="40"/>
      <c r="C607" s="40"/>
      <c r="D607" s="40"/>
    </row>
    <row r="608" spans="1:4">
      <c r="A608" s="40"/>
      <c r="B608" s="40"/>
      <c r="C608" s="40"/>
      <c r="D608" s="40"/>
    </row>
    <row r="609" spans="1:4">
      <c r="A609" s="40"/>
      <c r="B609" s="40"/>
      <c r="C609" s="40"/>
      <c r="D609" s="40"/>
    </row>
    <row r="610" spans="1:4">
      <c r="A610" s="40"/>
      <c r="B610" s="40"/>
      <c r="C610" s="40"/>
      <c r="D610" s="40"/>
    </row>
    <row r="611" spans="1:4">
      <c r="A611" s="40"/>
      <c r="B611" s="40"/>
      <c r="C611" s="40"/>
      <c r="D611" s="40"/>
    </row>
    <row r="612" spans="1:4">
      <c r="A612" s="40"/>
      <c r="B612" s="40"/>
      <c r="C612" s="40"/>
      <c r="D612" s="40"/>
    </row>
    <row r="613" spans="1:4">
      <c r="A613" s="40"/>
      <c r="B613" s="40"/>
      <c r="C613" s="40"/>
      <c r="D613" s="40"/>
    </row>
    <row r="614" spans="1:4">
      <c r="A614" s="40"/>
      <c r="B614" s="40"/>
      <c r="C614" s="40"/>
      <c r="D614" s="40"/>
    </row>
    <row r="615" spans="1:4">
      <c r="A615" s="40"/>
      <c r="B615" s="40"/>
      <c r="C615" s="40"/>
      <c r="D615" s="40"/>
    </row>
    <row r="616" spans="1:4">
      <c r="A616" s="40"/>
      <c r="B616" s="40"/>
      <c r="C616" s="40"/>
      <c r="D616" s="40"/>
    </row>
    <row r="617" spans="1:4">
      <c r="A617" s="40"/>
      <c r="B617" s="40"/>
      <c r="C617" s="40"/>
      <c r="D617" s="40"/>
    </row>
    <row r="618" spans="1:4">
      <c r="A618" s="40"/>
      <c r="B618" s="40"/>
      <c r="C618" s="40"/>
      <c r="D618" s="40"/>
    </row>
    <row r="619" spans="1:4">
      <c r="A619" s="40"/>
      <c r="B619" s="40"/>
      <c r="C619" s="40"/>
      <c r="D619" s="40"/>
    </row>
    <row r="620" spans="1:4">
      <c r="A620" s="40"/>
      <c r="B620" s="40"/>
      <c r="C620" s="40"/>
      <c r="D620" s="40"/>
    </row>
    <row r="621" spans="1:4">
      <c r="A621" s="40"/>
      <c r="B621" s="40"/>
      <c r="C621" s="40"/>
      <c r="D621" s="40"/>
    </row>
    <row r="622" spans="1:4">
      <c r="A622" s="40"/>
      <c r="B622" s="40"/>
      <c r="C622" s="40"/>
      <c r="D622" s="40"/>
    </row>
    <row r="623" spans="1:4">
      <c r="A623" s="40"/>
      <c r="B623" s="40"/>
      <c r="C623" s="40"/>
      <c r="D623" s="40"/>
    </row>
    <row r="624" spans="1:4">
      <c r="A624" s="40"/>
      <c r="B624" s="40"/>
      <c r="C624" s="40"/>
      <c r="D624" s="40"/>
    </row>
    <row r="625" spans="1:4">
      <c r="A625" s="40"/>
      <c r="B625" s="40"/>
      <c r="C625" s="40"/>
      <c r="D625" s="40"/>
    </row>
    <row r="626" spans="1:4">
      <c r="A626" s="40"/>
      <c r="B626" s="40"/>
      <c r="C626" s="40"/>
      <c r="D626" s="40"/>
    </row>
    <row r="627" spans="1:4">
      <c r="A627" s="40"/>
      <c r="B627" s="40"/>
      <c r="C627" s="40"/>
      <c r="D627" s="40"/>
    </row>
    <row r="628" spans="1:4">
      <c r="A628" s="40"/>
      <c r="B628" s="40"/>
      <c r="C628" s="40"/>
      <c r="D628" s="40"/>
    </row>
    <row r="629" spans="1:4">
      <c r="A629" s="40"/>
      <c r="B629" s="40"/>
      <c r="C629" s="40"/>
      <c r="D629" s="40"/>
    </row>
    <row r="630" spans="1:4">
      <c r="A630" s="40"/>
      <c r="B630" s="40"/>
      <c r="C630" s="40"/>
      <c r="D630" s="40"/>
    </row>
    <row r="631" spans="1:4">
      <c r="A631" s="40"/>
      <c r="B631" s="40"/>
      <c r="C631" s="40"/>
      <c r="D631" s="40"/>
    </row>
    <row r="632" spans="1:4">
      <c r="A632" s="40"/>
      <c r="B632" s="40"/>
      <c r="C632" s="40"/>
      <c r="D632" s="40"/>
    </row>
    <row r="633" spans="1:4">
      <c r="A633" s="40"/>
      <c r="B633" s="40"/>
      <c r="C633" s="40"/>
      <c r="D633" s="40"/>
    </row>
    <row r="634" spans="1:4">
      <c r="A634" s="40"/>
      <c r="B634" s="40"/>
      <c r="C634" s="40"/>
      <c r="D634" s="40"/>
    </row>
    <row r="635" spans="1:4">
      <c r="A635" s="40"/>
      <c r="B635" s="40"/>
      <c r="C635" s="40"/>
      <c r="D635" s="40"/>
    </row>
    <row r="636" spans="1:4">
      <c r="A636" s="40"/>
      <c r="B636" s="40"/>
      <c r="C636" s="40"/>
      <c r="D636" s="40"/>
    </row>
    <row r="637" spans="1:4">
      <c r="A637" s="40"/>
      <c r="B637" s="40"/>
      <c r="C637" s="40"/>
      <c r="D637" s="40"/>
    </row>
    <row r="638" spans="1:4">
      <c r="A638" s="40"/>
      <c r="B638" s="40"/>
      <c r="C638" s="40"/>
      <c r="D638" s="40"/>
    </row>
    <row r="639" spans="1:4">
      <c r="A639" s="40"/>
      <c r="B639" s="40"/>
      <c r="C639" s="40"/>
      <c r="D639" s="40"/>
    </row>
    <row r="640" spans="1:4">
      <c r="A640" s="40"/>
      <c r="B640" s="40"/>
      <c r="C640" s="40"/>
      <c r="D640" s="40"/>
    </row>
    <row r="641" spans="1:4">
      <c r="A641" s="40"/>
      <c r="B641" s="40"/>
      <c r="C641" s="40"/>
      <c r="D641" s="40"/>
    </row>
    <row r="642" spans="1:4">
      <c r="A642" s="40"/>
      <c r="B642" s="40"/>
      <c r="C642" s="40"/>
      <c r="D642" s="40"/>
    </row>
    <row r="643" spans="1:4">
      <c r="A643" s="40"/>
      <c r="B643" s="40"/>
      <c r="C643" s="40"/>
      <c r="D643" s="40"/>
    </row>
    <row r="644" spans="1:4">
      <c r="A644" s="40"/>
      <c r="B644" s="40"/>
      <c r="C644" s="40"/>
      <c r="D644" s="40"/>
    </row>
    <row r="645" spans="1:4">
      <c r="A645" s="40"/>
      <c r="B645" s="40"/>
      <c r="C645" s="40"/>
      <c r="D645" s="40"/>
    </row>
    <row r="646" spans="1:4">
      <c r="A646" s="40"/>
      <c r="B646" s="40"/>
      <c r="C646" s="40"/>
      <c r="D646" s="40"/>
    </row>
    <row r="647" spans="1:4">
      <c r="A647" s="40"/>
      <c r="B647" s="40"/>
      <c r="C647" s="40"/>
      <c r="D647" s="40"/>
    </row>
    <row r="648" spans="1:4">
      <c r="A648" s="40"/>
      <c r="B648" s="40"/>
      <c r="C648" s="40"/>
      <c r="D648" s="40"/>
    </row>
    <row r="649" spans="1:4">
      <c r="A649" s="40"/>
      <c r="B649" s="40"/>
      <c r="C649" s="40"/>
      <c r="D649" s="40"/>
    </row>
    <row r="650" spans="1:4">
      <c r="A650" s="40"/>
      <c r="B650" s="40"/>
      <c r="C650" s="40"/>
      <c r="D650" s="40"/>
    </row>
    <row r="651" spans="1:4">
      <c r="A651" s="40"/>
      <c r="B651" s="40"/>
      <c r="C651" s="40"/>
      <c r="D651" s="40"/>
    </row>
    <row r="652" spans="1:4">
      <c r="A652" s="40"/>
      <c r="B652" s="40"/>
      <c r="C652" s="40"/>
      <c r="D652" s="40"/>
    </row>
    <row r="653" spans="1:4">
      <c r="A653" s="40"/>
      <c r="B653" s="40"/>
      <c r="C653" s="40"/>
      <c r="D653" s="40"/>
    </row>
    <row r="654" spans="1:4">
      <c r="A654" s="40"/>
      <c r="B654" s="40"/>
      <c r="C654" s="40"/>
      <c r="D654" s="40"/>
    </row>
    <row r="655" spans="1:4">
      <c r="A655" s="40"/>
      <c r="B655" s="40"/>
      <c r="C655" s="40"/>
      <c r="D655" s="40"/>
    </row>
    <row r="656" spans="1:4">
      <c r="A656" s="40"/>
      <c r="B656" s="40"/>
      <c r="C656" s="40"/>
      <c r="D656" s="40"/>
    </row>
    <row r="657" spans="1:4">
      <c r="A657" s="40"/>
      <c r="B657" s="40"/>
      <c r="C657" s="40"/>
      <c r="D657" s="40"/>
    </row>
    <row r="658" spans="1:4">
      <c r="A658" s="40"/>
      <c r="B658" s="40"/>
      <c r="C658" s="40"/>
      <c r="D658" s="40"/>
    </row>
    <row r="659" spans="1:4">
      <c r="A659" s="40"/>
      <c r="B659" s="40"/>
      <c r="C659" s="40"/>
      <c r="D659" s="40"/>
    </row>
    <row r="660" spans="1:4">
      <c r="A660" s="40"/>
      <c r="B660" s="40"/>
      <c r="C660" s="40"/>
      <c r="D660" s="40"/>
    </row>
    <row r="661" spans="1:4">
      <c r="A661" s="40"/>
      <c r="B661" s="40"/>
      <c r="C661" s="40"/>
      <c r="D661" s="40"/>
    </row>
    <row r="662" spans="1:4">
      <c r="A662" s="40"/>
      <c r="B662" s="40"/>
      <c r="C662" s="40"/>
      <c r="D662" s="40"/>
    </row>
    <row r="663" spans="1:4">
      <c r="A663" s="40"/>
      <c r="B663" s="40"/>
      <c r="C663" s="40"/>
      <c r="D663" s="40"/>
    </row>
    <row r="664" spans="1:4">
      <c r="A664" s="40"/>
      <c r="B664" s="40"/>
      <c r="C664" s="40"/>
      <c r="D664" s="40"/>
    </row>
    <row r="665" spans="1:4">
      <c r="A665" s="40"/>
      <c r="B665" s="40"/>
      <c r="C665" s="40"/>
      <c r="D665" s="40"/>
    </row>
    <row r="666" spans="1:4">
      <c r="A666" s="40"/>
      <c r="B666" s="40"/>
      <c r="C666" s="40"/>
      <c r="D666" s="40"/>
    </row>
    <row r="667" spans="1:4">
      <c r="A667" s="40"/>
      <c r="B667" s="40"/>
      <c r="C667" s="40"/>
      <c r="D667" s="40"/>
    </row>
    <row r="668" spans="1:4">
      <c r="A668" s="40"/>
      <c r="B668" s="40"/>
      <c r="C668" s="40"/>
      <c r="D668" s="40"/>
    </row>
    <row r="669" spans="1:4">
      <c r="A669" s="40"/>
      <c r="B669" s="40"/>
      <c r="C669" s="40"/>
      <c r="D669" s="40"/>
    </row>
    <row r="670" spans="1:4">
      <c r="A670" s="40"/>
      <c r="B670" s="40"/>
      <c r="C670" s="40"/>
      <c r="D670" s="40"/>
    </row>
    <row r="671" spans="1:4">
      <c r="A671" s="40"/>
      <c r="B671" s="40"/>
      <c r="C671" s="40"/>
      <c r="D671" s="40"/>
    </row>
    <row r="672" spans="1:4">
      <c r="A672" s="40"/>
      <c r="B672" s="40"/>
      <c r="C672" s="40"/>
      <c r="D672" s="40"/>
    </row>
    <row r="673" spans="1:4">
      <c r="A673" s="40"/>
      <c r="B673" s="40"/>
      <c r="C673" s="40"/>
      <c r="D673" s="40"/>
    </row>
    <row r="674" spans="1:4">
      <c r="A674" s="40"/>
      <c r="B674" s="40"/>
      <c r="C674" s="40"/>
      <c r="D674" s="40"/>
    </row>
    <row r="675" spans="1:4">
      <c r="A675" s="40"/>
      <c r="B675" s="40"/>
      <c r="C675" s="40"/>
      <c r="D675" s="40"/>
    </row>
    <row r="676" spans="1:4">
      <c r="A676" s="40"/>
      <c r="B676" s="40"/>
      <c r="C676" s="40"/>
      <c r="D676" s="40"/>
    </row>
    <row r="677" spans="1:4">
      <c r="A677" s="40"/>
      <c r="B677" s="40"/>
      <c r="C677" s="40"/>
      <c r="D677" s="40"/>
    </row>
    <row r="678" spans="1:4">
      <c r="A678" s="40"/>
      <c r="B678" s="40"/>
      <c r="C678" s="40"/>
      <c r="D678" s="40"/>
    </row>
    <row r="679" spans="1:4">
      <c r="A679" s="40"/>
      <c r="B679" s="40"/>
      <c r="C679" s="40"/>
      <c r="D679" s="40"/>
    </row>
    <row r="680" spans="1:4">
      <c r="A680" s="40"/>
      <c r="B680" s="40"/>
      <c r="C680" s="40"/>
      <c r="D680" s="40"/>
    </row>
    <row r="681" spans="1:4">
      <c r="A681" s="40"/>
      <c r="B681" s="40"/>
      <c r="C681" s="40"/>
      <c r="D681" s="40"/>
    </row>
    <row r="682" spans="1:4">
      <c r="A682" s="40"/>
      <c r="B682" s="40"/>
      <c r="C682" s="40"/>
      <c r="D682" s="40"/>
    </row>
    <row r="683" spans="1:4">
      <c r="A683" s="40"/>
      <c r="B683" s="40"/>
      <c r="C683" s="40"/>
      <c r="D683" s="40"/>
    </row>
    <row r="684" spans="1:4">
      <c r="A684" s="40"/>
      <c r="B684" s="40"/>
      <c r="C684" s="40"/>
      <c r="D684" s="40"/>
    </row>
    <row r="685" spans="1:4">
      <c r="A685" s="40"/>
      <c r="B685" s="40"/>
      <c r="C685" s="40"/>
      <c r="D685" s="40"/>
    </row>
    <row r="686" spans="1:4">
      <c r="A686" s="40"/>
      <c r="B686" s="40"/>
      <c r="C686" s="40"/>
      <c r="D686" s="40"/>
    </row>
    <row r="687" spans="1:4">
      <c r="A687" s="40"/>
      <c r="B687" s="40"/>
      <c r="C687" s="40"/>
      <c r="D687" s="40"/>
    </row>
    <row r="688" spans="1:4">
      <c r="A688" s="40"/>
      <c r="B688" s="40"/>
      <c r="C688" s="40"/>
      <c r="D688" s="40"/>
    </row>
    <row r="689" spans="1:4">
      <c r="A689" s="40"/>
      <c r="B689" s="40"/>
      <c r="C689" s="40"/>
      <c r="D689" s="40"/>
    </row>
    <row r="690" spans="1:4">
      <c r="A690" s="40"/>
      <c r="B690" s="40"/>
      <c r="C690" s="40"/>
      <c r="D690" s="40"/>
    </row>
    <row r="691" spans="1:4">
      <c r="A691" s="40"/>
      <c r="B691" s="40"/>
      <c r="C691" s="40"/>
      <c r="D691" s="40"/>
    </row>
    <row r="692" spans="1:4">
      <c r="A692" s="40"/>
      <c r="B692" s="40"/>
      <c r="C692" s="40"/>
      <c r="D692" s="40"/>
    </row>
    <row r="693" spans="1:4">
      <c r="A693" s="40"/>
      <c r="B693" s="40"/>
      <c r="C693" s="40"/>
      <c r="D693" s="40"/>
    </row>
    <row r="694" spans="1:4">
      <c r="A694" s="40"/>
      <c r="B694" s="40"/>
      <c r="C694" s="40"/>
      <c r="D694" s="40"/>
    </row>
    <row r="695" spans="1:4">
      <c r="A695" s="40"/>
      <c r="B695" s="40"/>
      <c r="C695" s="40"/>
      <c r="D695" s="40"/>
    </row>
    <row r="696" spans="1:4">
      <c r="A696" s="40"/>
      <c r="B696" s="40"/>
      <c r="C696" s="40"/>
      <c r="D696" s="40"/>
    </row>
    <row r="697" spans="1:4">
      <c r="A697" s="40"/>
      <c r="B697" s="40"/>
      <c r="C697" s="40"/>
      <c r="D697" s="40"/>
    </row>
    <row r="698" spans="1:4">
      <c r="A698" s="40"/>
      <c r="B698" s="40"/>
      <c r="C698" s="40"/>
      <c r="D698" s="40"/>
    </row>
    <row r="699" spans="1:4">
      <c r="A699" s="40"/>
      <c r="B699" s="40"/>
      <c r="C699" s="40"/>
      <c r="D699" s="40"/>
    </row>
    <row r="700" spans="1:4">
      <c r="A700" s="40"/>
      <c r="B700" s="40"/>
      <c r="C700" s="40"/>
      <c r="D700" s="40"/>
    </row>
    <row r="701" spans="1:4">
      <c r="A701" s="40"/>
      <c r="B701" s="40"/>
      <c r="C701" s="40"/>
      <c r="D701" s="40"/>
    </row>
    <row r="702" spans="1:4">
      <c r="A702" s="40"/>
      <c r="B702" s="40"/>
      <c r="C702" s="40"/>
      <c r="D702" s="40"/>
    </row>
    <row r="703" spans="1:4">
      <c r="A703" s="40"/>
      <c r="B703" s="40"/>
      <c r="C703" s="40"/>
      <c r="D703" s="40"/>
    </row>
    <row r="704" spans="1:4">
      <c r="A704" s="40"/>
      <c r="B704" s="40"/>
      <c r="C704" s="40"/>
      <c r="D704" s="40"/>
    </row>
    <row r="705" spans="1:4">
      <c r="A705" s="40"/>
      <c r="B705" s="40"/>
      <c r="C705" s="40"/>
      <c r="D705" s="40"/>
    </row>
    <row r="706" spans="1:4">
      <c r="A706" s="40"/>
      <c r="B706" s="40"/>
      <c r="C706" s="40"/>
      <c r="D706" s="40"/>
    </row>
    <row r="707" spans="1:4">
      <c r="A707" s="40"/>
      <c r="B707" s="40"/>
      <c r="C707" s="40"/>
      <c r="D707" s="40"/>
    </row>
    <row r="708" spans="1:4">
      <c r="A708" s="40"/>
      <c r="B708" s="40"/>
      <c r="C708" s="40"/>
      <c r="D708" s="40"/>
    </row>
    <row r="709" spans="1:4">
      <c r="A709" s="40"/>
      <c r="B709" s="40"/>
      <c r="C709" s="40"/>
      <c r="D709" s="40"/>
    </row>
    <row r="710" spans="1:4">
      <c r="A710" s="40"/>
      <c r="B710" s="40"/>
      <c r="C710" s="40"/>
      <c r="D710" s="40"/>
    </row>
    <row r="711" spans="1:4">
      <c r="A711" s="40"/>
      <c r="B711" s="40"/>
      <c r="C711" s="40"/>
      <c r="D711" s="40"/>
    </row>
    <row r="712" spans="1:4">
      <c r="A712" s="40"/>
      <c r="B712" s="40"/>
      <c r="C712" s="40"/>
      <c r="D712" s="40"/>
    </row>
    <row r="713" spans="1:4">
      <c r="A713" s="40"/>
      <c r="B713" s="40"/>
      <c r="C713" s="40"/>
      <c r="D713" s="40"/>
    </row>
    <row r="714" spans="1:4">
      <c r="A714" s="40"/>
      <c r="B714" s="40"/>
      <c r="C714" s="40"/>
      <c r="D714" s="40"/>
    </row>
    <row r="715" spans="1:4">
      <c r="A715" s="40"/>
      <c r="B715" s="40"/>
      <c r="C715" s="40"/>
      <c r="D715" s="40"/>
    </row>
    <row r="716" spans="1:4">
      <c r="A716" s="40"/>
      <c r="B716" s="40"/>
      <c r="C716" s="40"/>
      <c r="D716" s="40"/>
    </row>
    <row r="717" spans="1:4">
      <c r="A717" s="40"/>
      <c r="B717" s="40"/>
      <c r="C717" s="40"/>
      <c r="D717" s="40"/>
    </row>
    <row r="718" spans="1:4">
      <c r="A718" s="40"/>
      <c r="B718" s="40"/>
      <c r="C718" s="40"/>
      <c r="D718" s="40"/>
    </row>
    <row r="719" spans="1:4">
      <c r="A719" s="40"/>
      <c r="B719" s="40"/>
      <c r="C719" s="40"/>
      <c r="D719" s="40"/>
    </row>
    <row r="720" spans="1:4">
      <c r="A720" s="40"/>
      <c r="B720" s="40"/>
      <c r="C720" s="40"/>
      <c r="D720" s="40"/>
    </row>
    <row r="721" spans="1:4">
      <c r="A721" s="40"/>
      <c r="B721" s="40"/>
      <c r="C721" s="40"/>
      <c r="D721" s="40"/>
    </row>
    <row r="722" spans="1:4">
      <c r="A722" s="40"/>
      <c r="B722" s="40"/>
      <c r="C722" s="40"/>
      <c r="D722" s="40"/>
    </row>
    <row r="723" spans="1:4">
      <c r="A723" s="40"/>
      <c r="B723" s="40"/>
      <c r="C723" s="40"/>
      <c r="D723" s="40"/>
    </row>
    <row r="724" spans="1:4">
      <c r="A724" s="40"/>
      <c r="B724" s="40"/>
      <c r="C724" s="40"/>
      <c r="D724" s="40"/>
    </row>
    <row r="725" spans="1:4">
      <c r="A725" s="40"/>
      <c r="B725" s="40"/>
      <c r="C725" s="40"/>
      <c r="D725" s="40"/>
    </row>
    <row r="726" spans="1:4">
      <c r="A726" s="40"/>
      <c r="B726" s="40"/>
      <c r="C726" s="40"/>
      <c r="D726" s="40"/>
    </row>
    <row r="727" spans="1:4">
      <c r="A727" s="40"/>
      <c r="B727" s="40"/>
      <c r="C727" s="40"/>
      <c r="D727" s="40"/>
    </row>
    <row r="728" spans="1:4">
      <c r="A728" s="40"/>
      <c r="B728" s="40"/>
      <c r="C728" s="40"/>
      <c r="D728" s="40"/>
    </row>
    <row r="729" spans="1:4">
      <c r="A729" s="40"/>
      <c r="B729" s="40"/>
      <c r="C729" s="40"/>
      <c r="D729" s="40"/>
    </row>
    <row r="730" spans="1:4">
      <c r="A730" s="40"/>
      <c r="B730" s="40"/>
      <c r="C730" s="40"/>
      <c r="D730" s="40"/>
    </row>
    <row r="731" spans="1:4">
      <c r="A731" s="40"/>
      <c r="B731" s="40"/>
      <c r="C731" s="40"/>
      <c r="D731" s="40"/>
    </row>
    <row r="732" spans="1:4">
      <c r="A732" s="40"/>
      <c r="B732" s="40"/>
      <c r="C732" s="40"/>
      <c r="D732" s="40"/>
    </row>
    <row r="733" spans="1:4">
      <c r="A733" s="40"/>
      <c r="B733" s="40"/>
      <c r="C733" s="40"/>
      <c r="D733" s="40"/>
    </row>
    <row r="734" spans="1:4">
      <c r="A734" s="40"/>
      <c r="B734" s="40"/>
      <c r="C734" s="40"/>
      <c r="D734" s="40"/>
    </row>
    <row r="735" spans="1:4">
      <c r="A735" s="40"/>
      <c r="B735" s="40"/>
      <c r="C735" s="40"/>
      <c r="D735" s="40"/>
    </row>
    <row r="736" spans="1:4">
      <c r="A736" s="40"/>
      <c r="B736" s="40"/>
      <c r="C736" s="40"/>
      <c r="D736" s="40"/>
    </row>
    <row r="737" spans="1:4">
      <c r="A737" s="40"/>
      <c r="B737" s="40"/>
      <c r="C737" s="40"/>
      <c r="D737" s="40"/>
    </row>
    <row r="738" spans="1:4">
      <c r="A738" s="40"/>
      <c r="B738" s="40"/>
      <c r="C738" s="40"/>
      <c r="D738" s="40"/>
    </row>
    <row r="739" spans="1:4">
      <c r="A739" s="40"/>
      <c r="B739" s="40"/>
      <c r="C739" s="40"/>
      <c r="D739" s="40"/>
    </row>
    <row r="740" spans="1:4">
      <c r="A740" s="40"/>
      <c r="B740" s="40"/>
      <c r="C740" s="40"/>
      <c r="D740" s="40"/>
    </row>
    <row r="741" spans="1:4">
      <c r="A741" s="40"/>
      <c r="B741" s="40"/>
      <c r="C741" s="40"/>
      <c r="D741" s="40"/>
    </row>
    <row r="742" spans="1:4">
      <c r="A742" s="40"/>
      <c r="B742" s="40"/>
      <c r="C742" s="40"/>
      <c r="D742" s="40"/>
    </row>
    <row r="743" spans="1:4">
      <c r="A743" s="40"/>
      <c r="B743" s="40"/>
      <c r="C743" s="40"/>
      <c r="D743" s="40"/>
    </row>
    <row r="744" spans="1:4">
      <c r="A744" s="40"/>
      <c r="B744" s="40"/>
      <c r="C744" s="40"/>
      <c r="D744" s="40"/>
    </row>
    <row r="745" spans="1:4">
      <c r="A745" s="40"/>
      <c r="B745" s="40"/>
      <c r="C745" s="40"/>
      <c r="D745" s="40"/>
    </row>
    <row r="746" spans="1:4">
      <c r="A746" s="40"/>
      <c r="B746" s="40"/>
      <c r="C746" s="40"/>
      <c r="D746" s="40"/>
    </row>
    <row r="747" spans="1:4">
      <c r="A747" s="40"/>
      <c r="B747" s="40"/>
      <c r="C747" s="40"/>
      <c r="D747" s="40"/>
    </row>
    <row r="748" spans="1:4">
      <c r="A748" s="40"/>
      <c r="B748" s="40"/>
      <c r="C748" s="40"/>
      <c r="D748" s="40"/>
    </row>
    <row r="749" spans="1:4">
      <c r="A749" s="40"/>
      <c r="B749" s="40"/>
      <c r="C749" s="40"/>
      <c r="D749" s="40"/>
    </row>
    <row r="750" spans="1:4">
      <c r="A750" s="40"/>
      <c r="B750" s="40"/>
      <c r="C750" s="40"/>
      <c r="D750" s="40"/>
    </row>
    <row r="751" spans="1:4">
      <c r="A751" s="40"/>
      <c r="B751" s="40"/>
      <c r="C751" s="40"/>
      <c r="D751" s="40"/>
    </row>
    <row r="752" spans="1:4">
      <c r="A752" s="40"/>
      <c r="B752" s="40"/>
      <c r="C752" s="40"/>
      <c r="D752" s="40"/>
    </row>
    <row r="753" spans="1:4">
      <c r="A753" s="40"/>
      <c r="B753" s="40"/>
      <c r="C753" s="40"/>
      <c r="D753" s="40"/>
    </row>
    <row r="754" spans="1:4">
      <c r="A754" s="40"/>
      <c r="B754" s="40"/>
      <c r="C754" s="40"/>
      <c r="D754" s="40"/>
    </row>
    <row r="755" spans="1:4">
      <c r="A755" s="40"/>
      <c r="B755" s="40"/>
      <c r="C755" s="40"/>
      <c r="D755" s="40"/>
    </row>
    <row r="756" spans="1:4">
      <c r="A756" s="40"/>
      <c r="B756" s="40"/>
      <c r="C756" s="40"/>
      <c r="D756" s="40"/>
    </row>
    <row r="757" spans="1:4">
      <c r="A757" s="40"/>
      <c r="B757" s="40"/>
      <c r="C757" s="40"/>
      <c r="D757" s="40"/>
    </row>
    <row r="758" spans="1:4">
      <c r="A758" s="40"/>
      <c r="B758" s="40"/>
      <c r="C758" s="40"/>
      <c r="D758" s="40"/>
    </row>
    <row r="759" spans="1:4">
      <c r="A759" s="40"/>
      <c r="B759" s="40"/>
      <c r="C759" s="40"/>
      <c r="D759" s="40"/>
    </row>
    <row r="760" spans="1:4">
      <c r="A760" s="40"/>
      <c r="B760" s="40"/>
      <c r="C760" s="40"/>
      <c r="D760" s="40"/>
    </row>
    <row r="761" spans="1:4">
      <c r="A761" s="40"/>
      <c r="B761" s="40"/>
      <c r="C761" s="40"/>
      <c r="D761" s="40"/>
    </row>
    <row r="762" spans="1:4">
      <c r="A762" s="40"/>
      <c r="B762" s="40"/>
      <c r="C762" s="40"/>
      <c r="D762" s="40"/>
    </row>
    <row r="763" spans="1:4">
      <c r="A763" s="40"/>
      <c r="B763" s="40"/>
      <c r="C763" s="40"/>
      <c r="D763" s="40"/>
    </row>
    <row r="764" spans="1:4">
      <c r="A764" s="40"/>
      <c r="B764" s="40"/>
      <c r="C764" s="40"/>
      <c r="D764" s="40"/>
    </row>
    <row r="765" spans="1:4">
      <c r="A765" s="40"/>
      <c r="B765" s="40"/>
      <c r="C765" s="40"/>
      <c r="D765" s="40"/>
    </row>
    <row r="766" spans="1:4">
      <c r="A766" s="40"/>
      <c r="B766" s="40"/>
      <c r="C766" s="40"/>
      <c r="D766" s="40"/>
    </row>
    <row r="767" spans="1:4">
      <c r="A767" s="40"/>
      <c r="B767" s="40"/>
      <c r="C767" s="40"/>
      <c r="D767" s="40"/>
    </row>
    <row r="768" spans="1:4">
      <c r="A768" s="40"/>
      <c r="B768" s="40"/>
      <c r="C768" s="40"/>
      <c r="D768" s="40"/>
    </row>
    <row r="769" spans="1:4">
      <c r="A769" s="40"/>
      <c r="B769" s="40"/>
      <c r="C769" s="40"/>
      <c r="D769" s="40"/>
    </row>
    <row r="770" spans="1:4">
      <c r="A770" s="40"/>
      <c r="B770" s="40"/>
      <c r="C770" s="40"/>
      <c r="D770" s="40"/>
    </row>
    <row r="771" spans="1:4">
      <c r="A771" s="40"/>
      <c r="B771" s="40"/>
      <c r="C771" s="40"/>
      <c r="D771" s="40"/>
    </row>
    <row r="772" spans="1:4">
      <c r="A772" s="40"/>
      <c r="B772" s="40"/>
      <c r="C772" s="40"/>
      <c r="D772" s="40"/>
    </row>
    <row r="773" spans="1:4">
      <c r="A773" s="40"/>
      <c r="B773" s="40"/>
      <c r="C773" s="40"/>
      <c r="D773" s="40"/>
    </row>
    <row r="774" spans="1:4">
      <c r="A774" s="40"/>
      <c r="B774" s="40"/>
      <c r="C774" s="40"/>
      <c r="D774" s="40"/>
    </row>
    <row r="775" spans="1:4">
      <c r="A775" s="40"/>
      <c r="B775" s="40"/>
      <c r="C775" s="40"/>
      <c r="D775" s="40"/>
    </row>
    <row r="776" spans="1:4">
      <c r="A776" s="40"/>
      <c r="B776" s="40"/>
      <c r="C776" s="40"/>
      <c r="D776" s="40"/>
    </row>
    <row r="777" spans="1:4">
      <c r="A777" s="40"/>
      <c r="B777" s="40"/>
      <c r="C777" s="40"/>
      <c r="D777" s="40"/>
    </row>
    <row r="778" spans="1:4">
      <c r="A778" s="40"/>
      <c r="B778" s="40"/>
      <c r="C778" s="40"/>
      <c r="D778" s="40"/>
    </row>
    <row r="779" spans="1:4">
      <c r="A779" s="40"/>
      <c r="B779" s="40"/>
      <c r="C779" s="40"/>
      <c r="D779" s="40"/>
    </row>
    <row r="780" spans="1:4">
      <c r="A780" s="40"/>
      <c r="B780" s="40"/>
      <c r="C780" s="40"/>
      <c r="D780" s="40"/>
    </row>
    <row r="781" spans="1:4">
      <c r="A781" s="40"/>
      <c r="B781" s="40"/>
      <c r="C781" s="40"/>
      <c r="D781" s="40"/>
    </row>
    <row r="782" spans="1:4">
      <c r="A782" s="40"/>
      <c r="B782" s="40"/>
      <c r="C782" s="40"/>
      <c r="D782" s="40"/>
    </row>
    <row r="783" spans="1:4">
      <c r="A783" s="40"/>
      <c r="B783" s="40"/>
      <c r="C783" s="40"/>
      <c r="D783" s="40"/>
    </row>
    <row r="784" spans="1:4">
      <c r="A784" s="40"/>
      <c r="B784" s="40"/>
      <c r="C784" s="40"/>
      <c r="D784" s="40"/>
    </row>
    <row r="785" spans="1:4">
      <c r="A785" s="40"/>
      <c r="B785" s="40"/>
      <c r="C785" s="40"/>
      <c r="D785" s="40"/>
    </row>
    <row r="786" spans="1:4">
      <c r="A786" s="40"/>
      <c r="B786" s="40"/>
      <c r="C786" s="40"/>
      <c r="D786" s="40"/>
    </row>
    <row r="787" spans="1:4">
      <c r="A787" s="40"/>
      <c r="B787" s="40"/>
      <c r="C787" s="40"/>
      <c r="D787" s="40"/>
    </row>
    <row r="788" spans="1:4">
      <c r="A788" s="40"/>
      <c r="B788" s="40"/>
      <c r="C788" s="40"/>
      <c r="D788" s="40"/>
    </row>
    <row r="789" spans="1:4">
      <c r="A789" s="40"/>
      <c r="B789" s="40"/>
      <c r="C789" s="40"/>
      <c r="D789" s="40"/>
    </row>
    <row r="790" spans="1:4">
      <c r="A790" s="40"/>
      <c r="B790" s="40"/>
      <c r="C790" s="40"/>
      <c r="D790" s="40"/>
    </row>
    <row r="791" spans="1:4">
      <c r="A791" s="40"/>
      <c r="B791" s="40"/>
      <c r="C791" s="40"/>
      <c r="D791" s="40"/>
    </row>
    <row r="792" spans="1:4">
      <c r="A792" s="40"/>
      <c r="B792" s="40"/>
      <c r="C792" s="40"/>
      <c r="D792" s="40"/>
    </row>
    <row r="793" spans="1:4">
      <c r="A793" s="40"/>
      <c r="B793" s="40"/>
      <c r="C793" s="40"/>
      <c r="D793" s="40"/>
    </row>
    <row r="794" spans="1:4">
      <c r="A794" s="40"/>
      <c r="B794" s="40"/>
      <c r="C794" s="40"/>
      <c r="D794" s="40"/>
    </row>
    <row r="795" spans="1:4">
      <c r="A795" s="40"/>
      <c r="B795" s="40"/>
      <c r="C795" s="40"/>
      <c r="D795" s="40"/>
    </row>
    <row r="796" spans="1:4">
      <c r="A796" s="40"/>
      <c r="B796" s="40"/>
      <c r="C796" s="40"/>
      <c r="D796" s="40"/>
    </row>
    <row r="797" spans="1:4">
      <c r="A797" s="40"/>
      <c r="B797" s="40"/>
      <c r="C797" s="40"/>
      <c r="D797" s="40"/>
    </row>
    <row r="798" spans="1:4">
      <c r="A798" s="40"/>
      <c r="B798" s="40"/>
      <c r="C798" s="40"/>
      <c r="D798" s="40"/>
    </row>
    <row r="799" spans="1:4">
      <c r="A799" s="40"/>
      <c r="B799" s="40"/>
      <c r="C799" s="40"/>
      <c r="D799" s="40"/>
    </row>
    <row r="800" spans="1:4">
      <c r="A800" s="40"/>
      <c r="B800" s="40"/>
      <c r="C800" s="40"/>
      <c r="D800" s="40"/>
    </row>
    <row r="801" spans="1:4">
      <c r="A801" s="40"/>
      <c r="B801" s="40"/>
      <c r="C801" s="40"/>
      <c r="D801" s="40"/>
    </row>
    <row r="802" spans="1:4">
      <c r="A802" s="40"/>
      <c r="B802" s="40"/>
      <c r="C802" s="40"/>
      <c r="D802" s="40"/>
    </row>
    <row r="803" spans="1:4">
      <c r="A803" s="40"/>
      <c r="B803" s="40"/>
      <c r="C803" s="40"/>
      <c r="D803" s="40"/>
    </row>
    <row r="804" spans="1:4">
      <c r="A804" s="40"/>
      <c r="B804" s="40"/>
      <c r="C804" s="40"/>
      <c r="D804" s="40"/>
    </row>
    <row r="805" spans="1:4">
      <c r="A805" s="40"/>
      <c r="B805" s="40"/>
      <c r="C805" s="40"/>
      <c r="D805" s="40"/>
    </row>
    <row r="806" spans="1:4">
      <c r="A806" s="40"/>
      <c r="B806" s="40"/>
      <c r="C806" s="40"/>
      <c r="D806" s="40"/>
    </row>
    <row r="807" spans="1:4">
      <c r="A807" s="40"/>
      <c r="B807" s="40"/>
      <c r="C807" s="40"/>
      <c r="D807" s="40"/>
    </row>
    <row r="808" spans="1:4">
      <c r="A808" s="40"/>
      <c r="B808" s="40"/>
      <c r="C808" s="40"/>
      <c r="D808" s="40"/>
    </row>
    <row r="809" spans="1:4">
      <c r="A809" s="40"/>
      <c r="B809" s="40"/>
      <c r="C809" s="40"/>
      <c r="D809" s="40"/>
    </row>
    <row r="810" spans="1:4">
      <c r="A810" s="40"/>
      <c r="B810" s="40"/>
      <c r="C810" s="40"/>
      <c r="D810" s="40"/>
    </row>
    <row r="811" spans="1:4">
      <c r="A811" s="40"/>
      <c r="B811" s="40"/>
      <c r="C811" s="40"/>
      <c r="D811" s="40"/>
    </row>
    <row r="812" spans="1:4">
      <c r="A812" s="40"/>
      <c r="B812" s="40"/>
      <c r="C812" s="40"/>
      <c r="D812" s="40"/>
    </row>
    <row r="813" spans="1:4">
      <c r="A813" s="40"/>
      <c r="B813" s="40"/>
      <c r="C813" s="40"/>
      <c r="D813" s="40"/>
    </row>
    <row r="814" spans="1:4">
      <c r="A814" s="40"/>
      <c r="B814" s="40"/>
      <c r="C814" s="40"/>
      <c r="D814" s="40"/>
    </row>
    <row r="815" spans="1:4">
      <c r="A815" s="40"/>
      <c r="B815" s="40"/>
      <c r="C815" s="40"/>
      <c r="D815" s="40"/>
    </row>
    <row r="816" spans="1:4">
      <c r="A816" s="40"/>
      <c r="B816" s="40"/>
      <c r="C816" s="40"/>
      <c r="D816" s="40"/>
    </row>
    <row r="817" spans="1:4">
      <c r="A817" s="40"/>
      <c r="B817" s="40"/>
      <c r="C817" s="40"/>
      <c r="D817" s="40"/>
    </row>
    <row r="818" spans="1:4">
      <c r="A818" s="40"/>
      <c r="B818" s="40"/>
      <c r="C818" s="40"/>
      <c r="D818" s="40"/>
    </row>
    <row r="819" spans="1:4">
      <c r="A819" s="40"/>
      <c r="B819" s="40"/>
      <c r="C819" s="40"/>
      <c r="D819" s="40"/>
    </row>
    <row r="820" spans="1:4">
      <c r="A820" s="40"/>
      <c r="B820" s="40"/>
      <c r="C820" s="40"/>
      <c r="D820" s="40"/>
    </row>
    <row r="821" spans="1:4">
      <c r="A821" s="40"/>
      <c r="B821" s="40"/>
      <c r="C821" s="40"/>
      <c r="D821" s="40"/>
    </row>
    <row r="822" spans="1:4">
      <c r="A822" s="40"/>
      <c r="B822" s="40"/>
      <c r="C822" s="40"/>
      <c r="D822" s="40"/>
    </row>
    <row r="823" spans="1:4">
      <c r="A823" s="40"/>
      <c r="B823" s="40"/>
      <c r="C823" s="40"/>
      <c r="D823" s="40"/>
    </row>
    <row r="824" spans="1:4">
      <c r="A824" s="40"/>
      <c r="B824" s="40"/>
      <c r="C824" s="40"/>
      <c r="D824" s="40"/>
    </row>
    <row r="825" spans="1:4">
      <c r="A825" s="40"/>
      <c r="B825" s="40"/>
      <c r="C825" s="40"/>
      <c r="D825" s="40"/>
    </row>
    <row r="826" spans="1:4">
      <c r="A826" s="40"/>
      <c r="B826" s="40"/>
      <c r="C826" s="40"/>
      <c r="D826" s="40"/>
    </row>
    <row r="827" spans="1:4">
      <c r="A827" s="40"/>
      <c r="B827" s="40"/>
      <c r="C827" s="40"/>
      <c r="D827" s="40"/>
    </row>
    <row r="828" spans="1:4">
      <c r="A828" s="40"/>
      <c r="B828" s="40"/>
      <c r="C828" s="40"/>
      <c r="D828" s="40"/>
    </row>
    <row r="829" spans="1:4">
      <c r="A829" s="40"/>
      <c r="B829" s="40"/>
      <c r="C829" s="40"/>
      <c r="D829" s="40"/>
    </row>
    <row r="830" spans="1:4">
      <c r="A830" s="40"/>
      <c r="B830" s="40"/>
      <c r="C830" s="40"/>
      <c r="D830" s="40"/>
    </row>
    <row r="831" spans="1:4">
      <c r="A831" s="40"/>
      <c r="B831" s="40"/>
      <c r="C831" s="40"/>
      <c r="D831" s="40"/>
    </row>
    <row r="832" spans="1:4">
      <c r="A832" s="40"/>
      <c r="B832" s="40"/>
      <c r="C832" s="40"/>
      <c r="D832" s="40"/>
    </row>
    <row r="833" spans="1:4">
      <c r="A833" s="40"/>
      <c r="B833" s="40"/>
      <c r="C833" s="40"/>
      <c r="D833" s="40"/>
    </row>
    <row r="834" spans="1:4">
      <c r="A834" s="40"/>
      <c r="B834" s="40"/>
      <c r="C834" s="40"/>
      <c r="D834" s="40"/>
    </row>
    <row r="835" spans="1:4">
      <c r="A835" s="40"/>
      <c r="B835" s="40"/>
      <c r="C835" s="40"/>
      <c r="D835" s="40"/>
    </row>
    <row r="836" spans="1:4">
      <c r="A836" s="40"/>
      <c r="B836" s="40"/>
      <c r="C836" s="40"/>
      <c r="D836" s="40"/>
    </row>
    <row r="837" spans="1:4">
      <c r="A837" s="40"/>
      <c r="B837" s="40"/>
      <c r="C837" s="40"/>
      <c r="D837" s="40"/>
    </row>
    <row r="838" spans="1:4">
      <c r="A838" s="40"/>
      <c r="B838" s="40"/>
      <c r="C838" s="40"/>
      <c r="D838" s="40"/>
    </row>
    <row r="839" spans="1:4">
      <c r="A839" s="40"/>
      <c r="B839" s="40"/>
      <c r="C839" s="40"/>
      <c r="D839" s="40"/>
    </row>
    <row r="840" spans="1:4">
      <c r="A840" s="40"/>
      <c r="B840" s="40"/>
      <c r="C840" s="40"/>
      <c r="D840" s="40"/>
    </row>
    <row r="841" spans="1:4">
      <c r="A841" s="40"/>
      <c r="B841" s="40"/>
      <c r="C841" s="40"/>
      <c r="D841" s="40"/>
    </row>
    <row r="842" spans="1:4">
      <c r="A842" s="40"/>
      <c r="B842" s="40"/>
      <c r="C842" s="40"/>
      <c r="D842" s="40"/>
    </row>
    <row r="843" spans="1:4">
      <c r="A843" s="40"/>
      <c r="B843" s="40"/>
      <c r="C843" s="40"/>
      <c r="D843" s="40"/>
    </row>
    <row r="844" spans="1:4">
      <c r="A844" s="40"/>
      <c r="B844" s="40"/>
      <c r="C844" s="40"/>
      <c r="D844" s="40"/>
    </row>
    <row r="845" spans="1:4">
      <c r="A845" s="40"/>
      <c r="B845" s="40"/>
      <c r="C845" s="40"/>
      <c r="D845" s="40"/>
    </row>
    <row r="846" spans="1:4">
      <c r="A846" s="40"/>
      <c r="B846" s="40"/>
      <c r="C846" s="40"/>
      <c r="D846" s="40"/>
    </row>
    <row r="847" spans="1:4">
      <c r="A847" s="40"/>
      <c r="B847" s="40"/>
      <c r="C847" s="40"/>
      <c r="D847" s="40"/>
    </row>
    <row r="848" spans="1:4">
      <c r="A848" s="40"/>
      <c r="B848" s="40"/>
      <c r="C848" s="40"/>
      <c r="D848" s="40"/>
    </row>
    <row r="849" spans="1:4">
      <c r="A849" s="40"/>
      <c r="B849" s="40"/>
      <c r="C849" s="40"/>
      <c r="D849" s="40"/>
    </row>
    <row r="850" spans="1:4">
      <c r="A850" s="40"/>
      <c r="B850" s="40"/>
      <c r="C850" s="40"/>
      <c r="D850" s="40"/>
    </row>
    <row r="851" spans="1:4">
      <c r="A851" s="40"/>
      <c r="B851" s="40"/>
      <c r="C851" s="40"/>
      <c r="D851" s="40"/>
    </row>
    <row r="852" spans="1:4">
      <c r="A852" s="40"/>
      <c r="B852" s="40"/>
      <c r="C852" s="40"/>
      <c r="D852" s="40"/>
    </row>
    <row r="853" spans="1:4">
      <c r="A853" s="40"/>
      <c r="B853" s="40"/>
      <c r="C853" s="40"/>
      <c r="D853" s="40"/>
    </row>
    <row r="854" spans="1:4">
      <c r="A854" s="40"/>
      <c r="B854" s="40"/>
      <c r="C854" s="40"/>
      <c r="D854" s="40"/>
    </row>
    <row r="855" spans="1:4">
      <c r="A855" s="40"/>
      <c r="B855" s="40"/>
      <c r="C855" s="40"/>
      <c r="D855" s="40"/>
    </row>
    <row r="856" spans="1:4">
      <c r="A856" s="40"/>
      <c r="B856" s="40"/>
      <c r="C856" s="40"/>
      <c r="D856" s="40"/>
    </row>
    <row r="857" spans="1:4">
      <c r="A857" s="40"/>
      <c r="B857" s="40"/>
      <c r="C857" s="40"/>
      <c r="D857" s="40"/>
    </row>
    <row r="858" spans="1:4">
      <c r="A858" s="40"/>
      <c r="B858" s="40"/>
      <c r="C858" s="40"/>
      <c r="D858" s="40"/>
    </row>
    <row r="859" spans="1:4">
      <c r="A859" s="40"/>
      <c r="B859" s="40"/>
      <c r="C859" s="40"/>
      <c r="D859" s="40"/>
    </row>
    <row r="860" spans="1:4">
      <c r="A860" s="40"/>
      <c r="B860" s="40"/>
      <c r="C860" s="40"/>
      <c r="D860" s="40"/>
    </row>
    <row r="861" spans="1:4">
      <c r="A861" s="40"/>
      <c r="B861" s="40"/>
      <c r="C861" s="40"/>
      <c r="D861" s="40"/>
    </row>
    <row r="862" spans="1:4">
      <c r="A862" s="40"/>
      <c r="B862" s="40"/>
      <c r="C862" s="40"/>
      <c r="D862" s="40"/>
    </row>
    <row r="863" spans="1:4">
      <c r="A863" s="40"/>
      <c r="B863" s="40"/>
      <c r="C863" s="40"/>
      <c r="D863" s="40"/>
    </row>
    <row r="864" spans="1:4">
      <c r="A864" s="40"/>
      <c r="B864" s="40"/>
      <c r="C864" s="40"/>
      <c r="D864" s="40"/>
    </row>
    <row r="865" spans="1:4">
      <c r="A865" s="40"/>
      <c r="B865" s="40"/>
      <c r="C865" s="40"/>
      <c r="D865" s="40"/>
    </row>
    <row r="866" spans="1:4">
      <c r="A866" s="40"/>
      <c r="B866" s="40"/>
      <c r="C866" s="40"/>
      <c r="D866" s="40"/>
    </row>
    <row r="867" spans="1:4">
      <c r="A867" s="40"/>
      <c r="B867" s="40"/>
      <c r="C867" s="40"/>
      <c r="D867" s="40"/>
    </row>
    <row r="868" spans="1:4">
      <c r="A868" s="40"/>
      <c r="B868" s="40"/>
      <c r="C868" s="40"/>
      <c r="D868" s="40"/>
    </row>
    <row r="869" spans="1:4">
      <c r="A869" s="40"/>
      <c r="B869" s="40"/>
      <c r="C869" s="40"/>
      <c r="D869" s="40"/>
    </row>
    <row r="870" spans="1:4">
      <c r="A870" s="40"/>
      <c r="B870" s="40"/>
      <c r="C870" s="40"/>
      <c r="D870" s="40"/>
    </row>
    <row r="871" spans="1:4">
      <c r="A871" s="40"/>
      <c r="B871" s="40"/>
      <c r="C871" s="40"/>
      <c r="D871" s="40"/>
    </row>
    <row r="872" spans="1:4">
      <c r="A872" s="40"/>
      <c r="B872" s="40"/>
      <c r="C872" s="40"/>
      <c r="D872" s="40"/>
    </row>
    <row r="873" spans="1:4">
      <c r="A873" s="40"/>
      <c r="B873" s="40"/>
      <c r="C873" s="40"/>
      <c r="D873" s="40"/>
    </row>
    <row r="874" spans="1:4">
      <c r="A874" s="40"/>
      <c r="B874" s="40"/>
      <c r="C874" s="40"/>
      <c r="D874" s="40"/>
    </row>
    <row r="875" spans="1:4">
      <c r="A875" s="40"/>
      <c r="B875" s="40"/>
      <c r="C875" s="40"/>
      <c r="D875" s="40"/>
    </row>
    <row r="876" spans="1:4">
      <c r="A876" s="40"/>
      <c r="B876" s="40"/>
      <c r="C876" s="40"/>
      <c r="D876" s="40"/>
    </row>
    <row r="877" spans="1:4">
      <c r="A877" s="40"/>
      <c r="B877" s="40"/>
      <c r="C877" s="40"/>
      <c r="D877" s="40"/>
    </row>
    <row r="878" spans="1:4">
      <c r="A878" s="40"/>
      <c r="B878" s="40"/>
      <c r="C878" s="40"/>
      <c r="D878" s="40"/>
    </row>
    <row r="879" spans="1:4">
      <c r="A879" s="40"/>
      <c r="B879" s="40"/>
      <c r="C879" s="40"/>
      <c r="D879" s="40"/>
    </row>
    <row r="880" spans="1:4">
      <c r="A880" s="40"/>
      <c r="B880" s="40"/>
      <c r="C880" s="40"/>
      <c r="D880" s="40"/>
    </row>
    <row r="881" spans="1:4">
      <c r="A881" s="40"/>
      <c r="B881" s="40"/>
      <c r="C881" s="40"/>
      <c r="D881" s="40"/>
    </row>
    <row r="882" spans="1:4">
      <c r="A882" s="40"/>
      <c r="B882" s="40"/>
      <c r="C882" s="40"/>
      <c r="D882" s="40"/>
    </row>
    <row r="883" spans="1:4">
      <c r="A883" s="40"/>
      <c r="B883" s="40"/>
      <c r="C883" s="40"/>
      <c r="D883" s="40"/>
    </row>
    <row r="884" spans="1:4">
      <c r="A884" s="40"/>
      <c r="B884" s="40"/>
      <c r="C884" s="40"/>
      <c r="D884" s="40"/>
    </row>
    <row r="885" spans="1:4">
      <c r="A885" s="40"/>
      <c r="B885" s="40"/>
      <c r="C885" s="40"/>
      <c r="D885" s="40"/>
    </row>
    <row r="886" spans="1:4">
      <c r="A886" s="40"/>
      <c r="B886" s="40"/>
      <c r="C886" s="40"/>
      <c r="D886" s="40"/>
    </row>
    <row r="887" spans="1:4">
      <c r="A887" s="40"/>
      <c r="B887" s="40"/>
      <c r="C887" s="40"/>
      <c r="D887" s="40"/>
    </row>
    <row r="888" spans="1:4">
      <c r="A888" s="40"/>
      <c r="B888" s="40"/>
      <c r="C888" s="40"/>
      <c r="D888" s="40"/>
    </row>
    <row r="889" spans="1:4">
      <c r="A889" s="40"/>
      <c r="B889" s="40"/>
      <c r="C889" s="40"/>
      <c r="D889" s="40"/>
    </row>
    <row r="890" spans="1:4">
      <c r="A890" s="40"/>
      <c r="B890" s="40"/>
      <c r="C890" s="40"/>
      <c r="D890" s="40"/>
    </row>
    <row r="891" spans="1:4">
      <c r="A891" s="40"/>
      <c r="B891" s="40"/>
      <c r="C891" s="40"/>
      <c r="D891" s="40"/>
    </row>
    <row r="892" spans="1:4">
      <c r="A892" s="40"/>
      <c r="B892" s="40"/>
      <c r="C892" s="40"/>
      <c r="D892" s="40"/>
    </row>
    <row r="893" spans="1:4">
      <c r="A893" s="40"/>
      <c r="B893" s="40"/>
      <c r="C893" s="40"/>
      <c r="D893" s="40"/>
    </row>
    <row r="894" spans="1:4">
      <c r="A894" s="40"/>
      <c r="B894" s="40"/>
      <c r="C894" s="40"/>
      <c r="D894" s="40"/>
    </row>
    <row r="895" spans="1:4">
      <c r="A895" s="40"/>
      <c r="B895" s="40"/>
      <c r="C895" s="40"/>
      <c r="D895" s="40"/>
    </row>
    <row r="896" spans="1:4">
      <c r="A896" s="40"/>
      <c r="B896" s="40"/>
      <c r="C896" s="40"/>
      <c r="D896" s="40"/>
    </row>
    <row r="897" spans="1:4">
      <c r="A897" s="40"/>
      <c r="B897" s="40"/>
      <c r="C897" s="40"/>
      <c r="D897" s="40"/>
    </row>
    <row r="898" spans="1:4">
      <c r="A898" s="40"/>
      <c r="B898" s="40"/>
      <c r="C898" s="40"/>
      <c r="D898" s="40"/>
    </row>
    <row r="899" spans="1:4">
      <c r="A899" s="40"/>
      <c r="B899" s="40"/>
      <c r="C899" s="40"/>
      <c r="D899" s="40"/>
    </row>
    <row r="900" spans="1:4">
      <c r="A900" s="40"/>
      <c r="B900" s="40"/>
      <c r="C900" s="40"/>
      <c r="D900" s="40"/>
    </row>
    <row r="901" spans="1:4">
      <c r="A901" s="40"/>
      <c r="B901" s="40"/>
      <c r="C901" s="40"/>
      <c r="D901" s="40"/>
    </row>
    <row r="902" spans="1:4">
      <c r="A902" s="40"/>
      <c r="B902" s="40"/>
      <c r="C902" s="40"/>
      <c r="D902" s="40"/>
    </row>
    <row r="903" spans="1:4">
      <c r="A903" s="40"/>
      <c r="B903" s="40"/>
      <c r="C903" s="40"/>
      <c r="D903" s="40"/>
    </row>
    <row r="904" spans="1:4">
      <c r="A904" s="40"/>
      <c r="B904" s="40"/>
      <c r="C904" s="40"/>
      <c r="D904" s="40"/>
    </row>
    <row r="905" spans="1:4">
      <c r="A905" s="40"/>
      <c r="B905" s="40"/>
      <c r="C905" s="40"/>
      <c r="D905" s="40"/>
    </row>
    <row r="906" spans="1:4">
      <c r="A906" s="40"/>
      <c r="B906" s="40"/>
      <c r="C906" s="40"/>
      <c r="D906" s="40"/>
    </row>
    <row r="907" spans="1:4">
      <c r="A907" s="40"/>
      <c r="B907" s="40"/>
      <c r="C907" s="40"/>
      <c r="D907" s="40"/>
    </row>
    <row r="908" spans="1:4">
      <c r="A908" s="40"/>
      <c r="B908" s="40"/>
      <c r="C908" s="40"/>
      <c r="D908" s="40"/>
    </row>
    <row r="909" spans="1:4">
      <c r="A909" s="40"/>
      <c r="B909" s="40"/>
      <c r="C909" s="40"/>
      <c r="D909" s="40"/>
    </row>
    <row r="910" spans="1:4">
      <c r="A910" s="40"/>
      <c r="B910" s="40"/>
      <c r="C910" s="40"/>
      <c r="D910" s="40"/>
    </row>
    <row r="911" spans="1:4">
      <c r="A911" s="40"/>
      <c r="B911" s="40"/>
      <c r="C911" s="40"/>
      <c r="D911" s="40"/>
    </row>
    <row r="912" spans="1:4">
      <c r="A912" s="40"/>
      <c r="B912" s="40"/>
      <c r="C912" s="40"/>
      <c r="D912" s="40"/>
    </row>
    <row r="913" spans="1:4">
      <c r="A913" s="40"/>
      <c r="B913" s="40"/>
      <c r="C913" s="40"/>
      <c r="D913" s="40"/>
    </row>
    <row r="914" spans="1:4">
      <c r="A914" s="40"/>
      <c r="B914" s="40"/>
      <c r="C914" s="40"/>
      <c r="D914" s="40"/>
    </row>
    <row r="915" spans="1:4">
      <c r="A915" s="40"/>
      <c r="B915" s="40"/>
      <c r="C915" s="40"/>
      <c r="D915" s="40"/>
    </row>
    <row r="916" spans="1:4">
      <c r="A916" s="40"/>
      <c r="B916" s="40"/>
      <c r="C916" s="40"/>
      <c r="D916" s="40"/>
    </row>
    <row r="917" spans="1:4">
      <c r="A917" s="40"/>
      <c r="B917" s="40"/>
      <c r="C917" s="40"/>
      <c r="D917" s="40"/>
    </row>
    <row r="918" spans="1:4">
      <c r="A918" s="40"/>
      <c r="B918" s="40"/>
      <c r="C918" s="40"/>
      <c r="D918" s="40"/>
    </row>
    <row r="919" spans="1:4">
      <c r="A919" s="40"/>
      <c r="B919" s="40"/>
      <c r="C919" s="40"/>
      <c r="D919" s="40"/>
    </row>
    <row r="920" spans="1:4">
      <c r="A920" s="40"/>
      <c r="B920" s="40"/>
      <c r="C920" s="40"/>
      <c r="D920" s="40"/>
    </row>
    <row r="921" spans="1:4">
      <c r="A921" s="40"/>
      <c r="B921" s="40"/>
      <c r="C921" s="40"/>
      <c r="D921" s="40"/>
    </row>
    <row r="922" spans="1:4">
      <c r="A922" s="40"/>
      <c r="B922" s="40"/>
      <c r="C922" s="40"/>
      <c r="D922" s="40"/>
    </row>
    <row r="923" spans="1:4">
      <c r="A923" s="40"/>
      <c r="B923" s="40"/>
      <c r="C923" s="40"/>
      <c r="D923" s="40"/>
    </row>
    <row r="924" spans="1:4">
      <c r="A924" s="40"/>
      <c r="B924" s="40"/>
      <c r="C924" s="40"/>
      <c r="D924" s="40"/>
    </row>
    <row r="925" spans="1:4">
      <c r="A925" s="40"/>
      <c r="B925" s="40"/>
      <c r="C925" s="40"/>
      <c r="D925" s="40"/>
    </row>
    <row r="926" spans="1:4">
      <c r="A926" s="40"/>
      <c r="B926" s="40"/>
      <c r="C926" s="40"/>
      <c r="D926" s="40"/>
    </row>
    <row r="927" spans="1:4">
      <c r="A927" s="40"/>
      <c r="B927" s="40"/>
      <c r="C927" s="40"/>
      <c r="D927" s="40"/>
    </row>
    <row r="928" spans="1:4">
      <c r="A928" s="40"/>
      <c r="B928" s="40"/>
      <c r="C928" s="40"/>
      <c r="D928" s="40"/>
    </row>
    <row r="929" spans="1:4">
      <c r="A929" s="40"/>
      <c r="B929" s="40"/>
      <c r="C929" s="40"/>
      <c r="D929" s="40"/>
    </row>
    <row r="930" spans="1:4">
      <c r="A930" s="40"/>
      <c r="B930" s="40"/>
      <c r="C930" s="40"/>
      <c r="D930" s="40"/>
    </row>
    <row r="931" spans="1:4">
      <c r="A931" s="40"/>
      <c r="B931" s="40"/>
      <c r="C931" s="40"/>
      <c r="D931" s="40"/>
    </row>
    <row r="932" spans="1:4">
      <c r="A932" s="40"/>
      <c r="B932" s="40"/>
      <c r="C932" s="40"/>
      <c r="D932" s="40"/>
    </row>
    <row r="933" spans="1:4">
      <c r="A933" s="40"/>
      <c r="B933" s="40"/>
      <c r="C933" s="40"/>
      <c r="D933" s="40"/>
    </row>
    <row r="934" spans="1:4">
      <c r="A934" s="40"/>
      <c r="B934" s="40"/>
      <c r="C934" s="40"/>
      <c r="D934" s="40"/>
    </row>
    <row r="935" spans="1:4">
      <c r="A935" s="40"/>
      <c r="B935" s="40"/>
      <c r="C935" s="40"/>
      <c r="D935" s="40"/>
    </row>
    <row r="936" spans="1:4">
      <c r="A936" s="40"/>
      <c r="B936" s="40"/>
      <c r="C936" s="40"/>
      <c r="D936" s="40"/>
    </row>
    <row r="937" spans="1:4">
      <c r="A937" s="40"/>
      <c r="B937" s="40"/>
      <c r="C937" s="40"/>
      <c r="D937" s="40"/>
    </row>
    <row r="938" spans="1:4">
      <c r="A938" s="40"/>
      <c r="B938" s="40"/>
      <c r="C938" s="40"/>
      <c r="D938" s="40"/>
    </row>
    <row r="939" spans="1:4">
      <c r="A939" s="40"/>
      <c r="B939" s="40"/>
      <c r="C939" s="40"/>
      <c r="D939" s="40"/>
    </row>
    <row r="940" spans="1:4">
      <c r="A940" s="40"/>
      <c r="B940" s="40"/>
      <c r="C940" s="40"/>
      <c r="D940" s="40"/>
    </row>
    <row r="941" spans="1:4">
      <c r="A941" s="40"/>
      <c r="B941" s="40"/>
      <c r="C941" s="40"/>
      <c r="D941" s="40"/>
    </row>
    <row r="942" spans="1:4">
      <c r="A942" s="40"/>
      <c r="B942" s="40"/>
      <c r="C942" s="40"/>
      <c r="D942" s="40"/>
    </row>
    <row r="943" spans="1:4">
      <c r="A943" s="40"/>
      <c r="B943" s="40"/>
      <c r="C943" s="40"/>
      <c r="D943" s="40"/>
    </row>
    <row r="944" spans="1:4">
      <c r="A944" s="40"/>
      <c r="B944" s="40"/>
      <c r="C944" s="40"/>
      <c r="D944" s="40"/>
    </row>
    <row r="945" spans="1:4">
      <c r="A945" s="40"/>
      <c r="B945" s="40"/>
      <c r="C945" s="40"/>
      <c r="D945" s="40"/>
    </row>
    <row r="946" spans="1:4">
      <c r="A946" s="40"/>
      <c r="B946" s="40"/>
      <c r="C946" s="40"/>
      <c r="D946" s="40"/>
    </row>
    <row r="947" spans="1:4">
      <c r="A947" s="40"/>
      <c r="B947" s="40"/>
      <c r="C947" s="40"/>
      <c r="D947" s="40"/>
    </row>
    <row r="948" spans="1:4">
      <c r="A948" s="40"/>
      <c r="B948" s="40"/>
      <c r="C948" s="40"/>
      <c r="D948" s="40"/>
    </row>
    <row r="949" spans="1:4">
      <c r="A949" s="40"/>
      <c r="B949" s="40"/>
      <c r="C949" s="40"/>
      <c r="D949" s="40"/>
    </row>
    <row r="950" spans="1:4">
      <c r="A950" s="40"/>
      <c r="B950" s="40"/>
      <c r="C950" s="40"/>
      <c r="D950" s="40"/>
    </row>
    <row r="951" spans="1:4">
      <c r="A951" s="40"/>
      <c r="B951" s="40"/>
      <c r="C951" s="40"/>
      <c r="D951" s="40"/>
    </row>
    <row r="952" spans="1:4">
      <c r="A952" s="40"/>
      <c r="B952" s="40"/>
      <c r="C952" s="40"/>
      <c r="D952" s="40"/>
    </row>
    <row r="953" spans="1:4">
      <c r="A953" s="40"/>
      <c r="B953" s="40"/>
      <c r="C953" s="40"/>
      <c r="D953" s="40"/>
    </row>
    <row r="954" spans="1:4">
      <c r="A954" s="40"/>
      <c r="B954" s="40"/>
      <c r="C954" s="40"/>
      <c r="D954" s="40"/>
    </row>
    <row r="955" spans="1:4">
      <c r="A955" s="40"/>
      <c r="B955" s="40"/>
      <c r="C955" s="40"/>
      <c r="D955" s="40"/>
    </row>
    <row r="956" spans="1:4">
      <c r="A956" s="40"/>
      <c r="B956" s="40"/>
      <c r="C956" s="40"/>
      <c r="D956" s="40"/>
    </row>
    <row r="957" spans="1:4">
      <c r="A957" s="40"/>
      <c r="B957" s="40"/>
      <c r="C957" s="40"/>
      <c r="D957" s="40"/>
    </row>
    <row r="958" spans="1:4">
      <c r="A958" s="40"/>
      <c r="B958" s="40"/>
      <c r="C958" s="40"/>
      <c r="D958" s="40"/>
    </row>
    <row r="959" spans="1:4">
      <c r="A959" s="40"/>
      <c r="B959" s="40"/>
      <c r="C959" s="40"/>
      <c r="D959" s="40"/>
    </row>
    <row r="960" spans="1:4">
      <c r="A960" s="40"/>
      <c r="B960" s="40"/>
      <c r="C960" s="40"/>
      <c r="D960" s="40"/>
    </row>
    <row r="961" spans="1:4">
      <c r="A961" s="40"/>
      <c r="B961" s="40"/>
      <c r="C961" s="40"/>
      <c r="D961" s="40"/>
    </row>
    <row r="962" spans="1:4">
      <c r="A962" s="40"/>
      <c r="B962" s="40"/>
      <c r="C962" s="40"/>
      <c r="D962" s="40"/>
    </row>
    <row r="963" spans="1:4">
      <c r="A963" s="40"/>
      <c r="B963" s="40"/>
      <c r="C963" s="40"/>
      <c r="D963" s="40"/>
    </row>
    <row r="964" spans="1:4">
      <c r="A964" s="40"/>
      <c r="B964" s="40"/>
      <c r="C964" s="40"/>
      <c r="D964" s="40"/>
    </row>
    <row r="965" spans="1:4">
      <c r="A965" s="40"/>
      <c r="B965" s="40"/>
      <c r="C965" s="40"/>
      <c r="D965" s="40"/>
    </row>
    <row r="966" spans="1:4">
      <c r="A966" s="40"/>
      <c r="B966" s="40"/>
      <c r="C966" s="40"/>
      <c r="D966" s="40"/>
    </row>
    <row r="967" spans="1:4">
      <c r="A967" s="40"/>
      <c r="B967" s="40"/>
      <c r="C967" s="40"/>
      <c r="D967" s="40"/>
    </row>
    <row r="968" spans="1:4">
      <c r="A968" s="40"/>
      <c r="B968" s="40"/>
      <c r="C968" s="40"/>
      <c r="D968" s="40"/>
    </row>
    <row r="969" spans="1:4">
      <c r="A969" s="40"/>
      <c r="B969" s="40"/>
      <c r="C969" s="40"/>
      <c r="D969" s="40"/>
    </row>
    <row r="970" spans="1:4">
      <c r="A970" s="40"/>
      <c r="B970" s="40"/>
      <c r="C970" s="40"/>
      <c r="D970" s="40"/>
    </row>
    <row r="971" spans="1:4">
      <c r="A971" s="40"/>
      <c r="B971" s="40"/>
      <c r="C971" s="40"/>
      <c r="D971" s="40"/>
    </row>
    <row r="972" spans="1:4">
      <c r="A972" s="40"/>
      <c r="B972" s="40"/>
      <c r="C972" s="40"/>
      <c r="D972" s="40"/>
    </row>
    <row r="973" spans="1:4">
      <c r="A973" s="40"/>
      <c r="B973" s="40"/>
      <c r="C973" s="40"/>
      <c r="D973" s="40"/>
    </row>
    <row r="974" spans="1:4">
      <c r="A974" s="40"/>
      <c r="B974" s="40"/>
      <c r="C974" s="40"/>
      <c r="D974" s="40"/>
    </row>
    <row r="975" spans="1:4">
      <c r="A975" s="40"/>
      <c r="B975" s="40"/>
      <c r="C975" s="40"/>
      <c r="D975" s="40"/>
    </row>
    <row r="976" spans="1:4">
      <c r="A976" s="40"/>
      <c r="B976" s="40"/>
      <c r="C976" s="40"/>
      <c r="D976" s="40"/>
    </row>
    <row r="977" spans="1:4">
      <c r="A977" s="40"/>
      <c r="B977" s="40"/>
      <c r="C977" s="40"/>
      <c r="D977" s="40"/>
    </row>
    <row r="978" spans="1:4">
      <c r="A978" s="40"/>
      <c r="B978" s="40"/>
      <c r="C978" s="40"/>
      <c r="D978" s="40"/>
    </row>
    <row r="979" spans="1:4">
      <c r="A979" s="40"/>
      <c r="B979" s="40"/>
      <c r="C979" s="40"/>
      <c r="D979" s="40"/>
    </row>
    <row r="980" spans="1:4">
      <c r="A980" s="40"/>
      <c r="B980" s="40"/>
      <c r="C980" s="40"/>
      <c r="D980" s="40"/>
    </row>
    <row r="981" spans="1:4">
      <c r="A981" s="40"/>
      <c r="B981" s="40"/>
      <c r="C981" s="40"/>
      <c r="D981" s="40"/>
    </row>
    <row r="982" spans="1:4">
      <c r="A982" s="40"/>
      <c r="B982" s="40"/>
      <c r="C982" s="40"/>
      <c r="D982" s="40"/>
    </row>
    <row r="983" spans="1:4">
      <c r="A983" s="40"/>
      <c r="B983" s="40"/>
      <c r="C983" s="40"/>
      <c r="D983" s="40"/>
    </row>
    <row r="984" spans="1:4">
      <c r="A984" s="40"/>
      <c r="B984" s="40"/>
      <c r="C984" s="40"/>
      <c r="D984" s="40"/>
    </row>
    <row r="985" spans="1:4">
      <c r="A985" s="40"/>
      <c r="B985" s="40"/>
      <c r="C985" s="40"/>
      <c r="D985" s="40"/>
    </row>
    <row r="986" spans="1:4">
      <c r="A986" s="40"/>
      <c r="B986" s="40"/>
      <c r="C986" s="40"/>
      <c r="D986" s="40"/>
    </row>
    <row r="987" spans="1:4">
      <c r="A987" s="40"/>
      <c r="B987" s="40"/>
      <c r="C987" s="40"/>
      <c r="D987" s="40"/>
    </row>
    <row r="988" spans="1:4">
      <c r="A988" s="40"/>
      <c r="B988" s="40"/>
      <c r="C988" s="40"/>
      <c r="D988" s="40"/>
    </row>
    <row r="989" spans="1:4">
      <c r="A989" s="40"/>
      <c r="B989" s="40"/>
      <c r="C989" s="40"/>
      <c r="D989" s="40"/>
    </row>
    <row r="990" spans="1:4">
      <c r="A990" s="40"/>
      <c r="B990" s="40"/>
      <c r="C990" s="40"/>
      <c r="D990" s="40"/>
    </row>
    <row r="991" spans="1:4">
      <c r="A991" s="40"/>
      <c r="B991" s="40"/>
      <c r="C991" s="40"/>
      <c r="D991" s="40"/>
    </row>
    <row r="992" spans="1:4">
      <c r="A992" s="40"/>
      <c r="B992" s="40"/>
      <c r="C992" s="40"/>
      <c r="D992" s="40"/>
    </row>
    <row r="993" spans="1:4">
      <c r="A993" s="40"/>
      <c r="B993" s="40"/>
      <c r="C993" s="40"/>
      <c r="D993" s="40"/>
    </row>
    <row r="994" spans="1:4">
      <c r="A994" s="40"/>
      <c r="B994" s="40"/>
      <c r="C994" s="40"/>
      <c r="D994" s="40"/>
    </row>
    <row r="995" spans="1:4">
      <c r="A995" s="40"/>
      <c r="B995" s="40"/>
      <c r="C995" s="40"/>
      <c r="D995" s="40"/>
    </row>
    <row r="996" spans="1:4">
      <c r="A996" s="40"/>
      <c r="B996" s="40"/>
      <c r="C996" s="40"/>
      <c r="D996" s="40"/>
    </row>
    <row r="997" spans="1:4">
      <c r="A997" s="40"/>
      <c r="B997" s="40"/>
      <c r="C997" s="40"/>
      <c r="D997" s="40"/>
    </row>
    <row r="998" spans="1:4">
      <c r="A998" s="40"/>
      <c r="B998" s="40"/>
      <c r="C998" s="40"/>
      <c r="D998" s="40"/>
    </row>
    <row r="999" spans="1:4">
      <c r="A999" s="40"/>
      <c r="B999" s="40"/>
      <c r="C999" s="40"/>
      <c r="D999" s="40"/>
    </row>
    <row r="1000" spans="1:4">
      <c r="A1000" s="40"/>
      <c r="B1000" s="40"/>
      <c r="C1000" s="40"/>
      <c r="D1000" s="40"/>
    </row>
    <row r="1001" spans="1:4">
      <c r="A1001" s="40"/>
      <c r="B1001" s="40"/>
      <c r="C1001" s="40"/>
      <c r="D1001" s="40"/>
    </row>
    <row r="1002" spans="1:4">
      <c r="A1002" s="40"/>
      <c r="B1002" s="40"/>
      <c r="C1002" s="40"/>
      <c r="D1002" s="40"/>
    </row>
    <row r="1003" spans="1:4">
      <c r="A1003" s="40"/>
      <c r="B1003" s="40"/>
      <c r="C1003" s="40"/>
      <c r="D1003" s="40"/>
    </row>
    <row r="1004" spans="1:4">
      <c r="A1004" s="40"/>
      <c r="B1004" s="40"/>
      <c r="C1004" s="40"/>
      <c r="D1004" s="40"/>
    </row>
    <row r="1005" spans="1:4">
      <c r="A1005" s="40"/>
      <c r="B1005" s="40"/>
      <c r="C1005" s="40"/>
      <c r="D1005" s="40"/>
    </row>
    <row r="1006" spans="1:4">
      <c r="A1006" s="40"/>
      <c r="B1006" s="40"/>
      <c r="C1006" s="40"/>
      <c r="D1006" s="40"/>
    </row>
    <row r="1007" spans="1:4">
      <c r="A1007" s="40"/>
      <c r="B1007" s="40"/>
      <c r="C1007" s="40"/>
      <c r="D1007" s="40"/>
    </row>
    <row r="1008" spans="1:4">
      <c r="A1008" s="40"/>
      <c r="B1008" s="40"/>
      <c r="C1008" s="40"/>
      <c r="D1008" s="40"/>
    </row>
    <row r="1009" spans="1:4">
      <c r="A1009" s="40"/>
      <c r="B1009" s="40"/>
      <c r="C1009" s="40"/>
      <c r="D1009" s="40"/>
    </row>
    <row r="1010" spans="1:4">
      <c r="A1010" s="40"/>
      <c r="B1010" s="40"/>
      <c r="C1010" s="40"/>
      <c r="D1010" s="40"/>
    </row>
    <row r="1011" spans="1:4">
      <c r="A1011" s="40"/>
      <c r="B1011" s="40"/>
      <c r="C1011" s="40"/>
      <c r="D1011" s="40"/>
    </row>
    <row r="1012" spans="1:4">
      <c r="A1012" s="40"/>
      <c r="B1012" s="40"/>
      <c r="C1012" s="40"/>
      <c r="D1012" s="40"/>
    </row>
    <row r="1013" spans="1:4">
      <c r="A1013" s="40"/>
      <c r="B1013" s="40"/>
      <c r="C1013" s="40"/>
      <c r="D1013" s="40"/>
    </row>
    <row r="1014" spans="1:4">
      <c r="A1014" s="40"/>
      <c r="B1014" s="40"/>
      <c r="C1014" s="40"/>
      <c r="D1014" s="40"/>
    </row>
    <row r="1015" spans="1:4">
      <c r="A1015" s="40"/>
      <c r="B1015" s="40"/>
      <c r="C1015" s="40"/>
      <c r="D1015" s="40"/>
    </row>
    <row r="1016" spans="1:4">
      <c r="A1016" s="40"/>
      <c r="B1016" s="40"/>
      <c r="C1016" s="40"/>
      <c r="D1016" s="40"/>
    </row>
    <row r="1017" spans="1:4">
      <c r="A1017" s="40"/>
      <c r="B1017" s="40"/>
      <c r="C1017" s="40"/>
      <c r="D1017" s="40"/>
    </row>
    <row r="1018" spans="1:4">
      <c r="A1018" s="40"/>
      <c r="B1018" s="40"/>
      <c r="C1018" s="40"/>
      <c r="D1018" s="40"/>
    </row>
    <row r="1019" spans="1:4">
      <c r="A1019" s="40"/>
      <c r="B1019" s="40"/>
      <c r="C1019" s="40"/>
      <c r="D1019" s="40"/>
    </row>
    <row r="1020" spans="1:4">
      <c r="A1020" s="40"/>
      <c r="B1020" s="40"/>
      <c r="C1020" s="40"/>
      <c r="D1020" s="40"/>
    </row>
    <row r="1021" spans="1:4">
      <c r="A1021" s="40"/>
      <c r="B1021" s="40"/>
      <c r="C1021" s="40"/>
      <c r="D1021" s="40"/>
    </row>
    <row r="1022" spans="1:4">
      <c r="A1022" s="40"/>
      <c r="B1022" s="40"/>
      <c r="C1022" s="40"/>
      <c r="D1022" s="40"/>
    </row>
    <row r="1023" spans="1:4">
      <c r="A1023" s="40"/>
      <c r="B1023" s="40"/>
      <c r="C1023" s="40"/>
      <c r="D1023" s="40"/>
    </row>
    <row r="1024" spans="1:4">
      <c r="A1024" s="40"/>
      <c r="B1024" s="40"/>
      <c r="C1024" s="40"/>
      <c r="D1024" s="40"/>
    </row>
    <row r="1025" spans="1:4">
      <c r="A1025" s="40"/>
      <c r="B1025" s="40"/>
      <c r="C1025" s="40"/>
      <c r="D1025" s="40"/>
    </row>
    <row r="1026" spans="1:4">
      <c r="A1026" s="40"/>
      <c r="B1026" s="40"/>
      <c r="C1026" s="40"/>
      <c r="D1026" s="40"/>
    </row>
    <row r="1027" spans="1:4">
      <c r="A1027" s="40"/>
      <c r="B1027" s="40"/>
      <c r="C1027" s="40"/>
      <c r="D1027" s="40"/>
    </row>
    <row r="1028" spans="1:4">
      <c r="A1028" s="40"/>
      <c r="B1028" s="40"/>
      <c r="C1028" s="40"/>
      <c r="D1028" s="40"/>
    </row>
    <row r="1029" spans="1:4">
      <c r="A1029" s="40"/>
      <c r="B1029" s="40"/>
      <c r="C1029" s="40"/>
      <c r="D1029" s="40"/>
    </row>
    <row r="1030" spans="1:4">
      <c r="A1030" s="40"/>
      <c r="B1030" s="40"/>
      <c r="C1030" s="40"/>
      <c r="D1030" s="40"/>
    </row>
    <row r="1031" spans="1:4">
      <c r="A1031" s="40"/>
      <c r="B1031" s="40"/>
      <c r="C1031" s="40"/>
      <c r="D1031" s="40"/>
    </row>
    <row r="1032" spans="1:4">
      <c r="A1032" s="40"/>
      <c r="B1032" s="40"/>
      <c r="C1032" s="40"/>
      <c r="D1032" s="40"/>
    </row>
    <row r="1033" spans="1:4">
      <c r="A1033" s="40"/>
      <c r="B1033" s="40"/>
      <c r="C1033" s="40"/>
      <c r="D1033" s="40"/>
    </row>
    <row r="1034" spans="1:4">
      <c r="A1034" s="40"/>
      <c r="B1034" s="40"/>
      <c r="C1034" s="40"/>
      <c r="D1034" s="40"/>
    </row>
    <row r="1035" spans="1:4">
      <c r="A1035" s="40"/>
      <c r="B1035" s="40"/>
      <c r="C1035" s="40"/>
      <c r="D1035" s="40"/>
    </row>
    <row r="1036" spans="1:4">
      <c r="A1036" s="40"/>
      <c r="B1036" s="40"/>
      <c r="C1036" s="40"/>
      <c r="D1036" s="40"/>
    </row>
    <row r="1037" spans="1:4">
      <c r="A1037" s="40"/>
      <c r="B1037" s="40"/>
      <c r="C1037" s="40"/>
      <c r="D1037" s="40"/>
    </row>
    <row r="1038" spans="1:4">
      <c r="A1038" s="40"/>
      <c r="B1038" s="40"/>
      <c r="C1038" s="40"/>
      <c r="D1038" s="40"/>
    </row>
    <row r="1039" spans="1:4">
      <c r="A1039" s="40"/>
      <c r="B1039" s="40"/>
      <c r="C1039" s="40"/>
      <c r="D1039" s="40"/>
    </row>
    <row r="1040" spans="1:4">
      <c r="A1040" s="40"/>
      <c r="B1040" s="40"/>
      <c r="C1040" s="40"/>
      <c r="D1040" s="40"/>
    </row>
    <row r="1041" spans="1:4">
      <c r="A1041" s="40"/>
      <c r="B1041" s="40"/>
      <c r="C1041" s="40"/>
      <c r="D1041" s="40"/>
    </row>
    <row r="1042" spans="1:4">
      <c r="A1042" s="40"/>
      <c r="B1042" s="40"/>
      <c r="C1042" s="40"/>
      <c r="D1042" s="40"/>
    </row>
    <row r="1043" spans="1:4">
      <c r="A1043" s="40"/>
      <c r="B1043" s="40"/>
      <c r="C1043" s="40"/>
      <c r="D1043" s="40"/>
    </row>
    <row r="1044" spans="1:4">
      <c r="A1044" s="40"/>
      <c r="B1044" s="40"/>
      <c r="C1044" s="40"/>
      <c r="D1044" s="40"/>
    </row>
    <row r="1045" spans="1:4">
      <c r="A1045" s="40"/>
      <c r="B1045" s="40"/>
      <c r="C1045" s="40"/>
      <c r="D1045" s="40"/>
    </row>
  </sheetData>
  <hyperlinks>
    <hyperlink ref="B42" r:id="rId1" xr:uid="{00000000-0004-0000-1900-000000000000}"/>
    <hyperlink ref="B43" r:id="rId2" xr:uid="{00000000-0004-0000-1900-000001000000}"/>
    <hyperlink ref="B44" r:id="rId3" xr:uid="{00000000-0004-0000-1900-000002000000}"/>
    <hyperlink ref="B45" r:id="rId4" xr:uid="{00000000-0004-0000-1900-000003000000}"/>
    <hyperlink ref="B46" r:id="rId5" xr:uid="{00000000-0004-0000-1900-000004000000}"/>
    <hyperlink ref="B47" r:id="rId6" xr:uid="{00000000-0004-0000-1900-000005000000}"/>
    <hyperlink ref="B48" r:id="rId7" xr:uid="{00000000-0004-0000-1900-000006000000}"/>
    <hyperlink ref="B49" r:id="rId8" xr:uid="{00000000-0004-0000-1900-000007000000}"/>
    <hyperlink ref="B50" r:id="rId9" xr:uid="{00000000-0004-0000-1900-000008000000}"/>
    <hyperlink ref="B51" r:id="rId10" xr:uid="{00000000-0004-0000-1900-000009000000}"/>
    <hyperlink ref="B52" r:id="rId11" xr:uid="{00000000-0004-0000-1900-00000A000000}"/>
    <hyperlink ref="B53" r:id="rId12" xr:uid="{00000000-0004-0000-1900-00000B000000}"/>
    <hyperlink ref="B54" r:id="rId13" xr:uid="{00000000-0004-0000-1900-00000C000000}"/>
    <hyperlink ref="B55" r:id="rId14" xr:uid="{00000000-0004-0000-1900-00000D000000}"/>
    <hyperlink ref="B56" r:id="rId15" xr:uid="{00000000-0004-0000-1900-00000E000000}"/>
    <hyperlink ref="B57" r:id="rId16" xr:uid="{00000000-0004-0000-1900-00000F000000}"/>
    <hyperlink ref="B58" r:id="rId17" xr:uid="{00000000-0004-0000-1900-000010000000}"/>
    <hyperlink ref="B59" r:id="rId18" xr:uid="{00000000-0004-0000-1900-000011000000}"/>
    <hyperlink ref="B60" r:id="rId19" xr:uid="{00000000-0004-0000-1900-000012000000}"/>
    <hyperlink ref="B61" r:id="rId20" xr:uid="{00000000-0004-0000-1900-000013000000}"/>
    <hyperlink ref="B62" r:id="rId21" xr:uid="{00000000-0004-0000-1900-000014000000}"/>
    <hyperlink ref="B63" r:id="rId22" xr:uid="{00000000-0004-0000-1900-000015000000}"/>
    <hyperlink ref="B64" r:id="rId23" xr:uid="{00000000-0004-0000-1900-000016000000}"/>
    <hyperlink ref="B65" r:id="rId24" xr:uid="{00000000-0004-0000-1900-000017000000}"/>
    <hyperlink ref="B66" r:id="rId25" xr:uid="{00000000-0004-0000-1900-000018000000}"/>
    <hyperlink ref="B67" r:id="rId26" xr:uid="{00000000-0004-0000-1900-000019000000}"/>
    <hyperlink ref="B68" r:id="rId27" xr:uid="{00000000-0004-0000-1900-00001A000000}"/>
  </hyperlinks>
  <printOptions horizontalCentered="1" gridLines="1"/>
  <pageMargins left="0.7" right="0.7" top="0.75" bottom="0.75" header="0" footer="0"/>
  <pageSetup fitToHeight="0" pageOrder="overThenDown" orientation="portrait" cellComments="atEnd"/>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F42"/>
  <sheetViews>
    <sheetView workbookViewId="0"/>
  </sheetViews>
  <sheetFormatPr defaultColWidth="12.7109375" defaultRowHeight="12.75" customHeight="1"/>
  <cols>
    <col min="1" max="1" width="29.28515625" customWidth="1"/>
    <col min="2" max="2" width="21.7109375" customWidth="1"/>
    <col min="5" max="5" width="21.7109375" customWidth="1"/>
    <col min="6" max="6" width="102.7109375" customWidth="1"/>
  </cols>
  <sheetData>
    <row r="1" spans="1:6" ht="12.75" customHeight="1">
      <c r="A1" s="875" t="s">
        <v>6271</v>
      </c>
      <c r="B1" s="875" t="s">
        <v>6272</v>
      </c>
      <c r="C1" s="875" t="s">
        <v>6273</v>
      </c>
      <c r="D1" s="875" t="s">
        <v>6274</v>
      </c>
      <c r="E1" s="875" t="s">
        <v>6275</v>
      </c>
    </row>
    <row r="2" spans="1:6" ht="18">
      <c r="A2" s="876" t="s">
        <v>6276</v>
      </c>
      <c r="B2" s="877">
        <v>303611</v>
      </c>
      <c r="C2" s="877">
        <v>147778</v>
      </c>
      <c r="D2" s="877">
        <v>155833</v>
      </c>
      <c r="E2" s="877">
        <v>87714</v>
      </c>
    </row>
    <row r="3" spans="1:6" ht="12.75" customHeight="1">
      <c r="A3" s="876" t="s">
        <v>6277</v>
      </c>
      <c r="B3" s="877">
        <v>210832</v>
      </c>
      <c r="C3" s="877">
        <v>101610</v>
      </c>
      <c r="D3" s="877">
        <v>109222</v>
      </c>
      <c r="E3" s="877">
        <v>59707</v>
      </c>
      <c r="F3" s="852" t="s">
        <v>6278</v>
      </c>
    </row>
    <row r="4" spans="1:6" ht="12.75" customHeight="1">
      <c r="A4" s="876" t="s">
        <v>6279</v>
      </c>
      <c r="B4" s="877">
        <v>46994</v>
      </c>
      <c r="C4" s="877">
        <v>23035</v>
      </c>
      <c r="D4" s="877">
        <v>23959</v>
      </c>
      <c r="E4" s="877">
        <v>13977</v>
      </c>
      <c r="F4" s="852" t="s">
        <v>6280</v>
      </c>
    </row>
    <row r="5" spans="1:6" ht="12.75" customHeight="1">
      <c r="A5" s="876" t="s">
        <v>6281</v>
      </c>
      <c r="B5" s="877">
        <v>13170</v>
      </c>
      <c r="C5" s="877">
        <v>6711</v>
      </c>
      <c r="D5" s="877">
        <v>6459</v>
      </c>
      <c r="E5" s="877">
        <v>3929</v>
      </c>
      <c r="F5" s="852" t="s">
        <v>6282</v>
      </c>
    </row>
    <row r="6" spans="1:6" ht="12.75" customHeight="1">
      <c r="A6" s="876" t="s">
        <v>6283</v>
      </c>
      <c r="B6" s="877">
        <v>7999</v>
      </c>
      <c r="C6" s="877">
        <v>3933</v>
      </c>
      <c r="D6" s="877">
        <v>4066</v>
      </c>
      <c r="E6" s="877">
        <v>2408</v>
      </c>
      <c r="F6" s="852" t="s">
        <v>6284</v>
      </c>
    </row>
    <row r="7" spans="1:6" ht="12.75" customHeight="1">
      <c r="A7" s="876" t="s">
        <v>6285</v>
      </c>
      <c r="B7" s="877">
        <v>7686</v>
      </c>
      <c r="C7" s="877">
        <v>3780</v>
      </c>
      <c r="D7" s="877">
        <v>3906</v>
      </c>
      <c r="E7" s="877">
        <v>2145</v>
      </c>
      <c r="F7" s="852" t="s">
        <v>6286</v>
      </c>
    </row>
    <row r="8" spans="1:6" ht="18">
      <c r="A8" s="876" t="s">
        <v>6287</v>
      </c>
      <c r="B8" s="877">
        <v>3571</v>
      </c>
      <c r="C8" s="877">
        <v>1875</v>
      </c>
      <c r="D8" s="877">
        <v>1696</v>
      </c>
      <c r="E8" s="877">
        <v>1133</v>
      </c>
    </row>
    <row r="9" spans="1:6" ht="18">
      <c r="A9" s="876" t="s">
        <v>6288</v>
      </c>
      <c r="B9" s="877">
        <v>2992</v>
      </c>
      <c r="C9" s="877">
        <v>1533</v>
      </c>
      <c r="D9" s="877">
        <v>1459</v>
      </c>
      <c r="E9" s="876">
        <v>961</v>
      </c>
    </row>
    <row r="10" spans="1:6" ht="18">
      <c r="A10" s="876" t="s">
        <v>6289</v>
      </c>
      <c r="B10" s="877">
        <v>1717</v>
      </c>
      <c r="C10" s="876">
        <v>886</v>
      </c>
      <c r="D10" s="876">
        <v>831</v>
      </c>
      <c r="E10" s="876">
        <v>552</v>
      </c>
    </row>
    <row r="11" spans="1:6" ht="18">
      <c r="A11" s="876" t="s">
        <v>6290</v>
      </c>
      <c r="B11" s="877">
        <v>1647</v>
      </c>
      <c r="C11" s="876">
        <v>854</v>
      </c>
      <c r="D11" s="876">
        <v>793</v>
      </c>
      <c r="E11" s="876">
        <v>559</v>
      </c>
    </row>
    <row r="12" spans="1:6" ht="18">
      <c r="A12" s="876" t="s">
        <v>6291</v>
      </c>
      <c r="B12" s="877">
        <v>1639</v>
      </c>
      <c r="C12" s="876">
        <v>799</v>
      </c>
      <c r="D12" s="876">
        <v>840</v>
      </c>
      <c r="E12" s="876">
        <v>493</v>
      </c>
    </row>
    <row r="13" spans="1:6" ht="18">
      <c r="A13" s="878" t="s">
        <v>6292</v>
      </c>
      <c r="B13" s="879">
        <v>1527</v>
      </c>
      <c r="C13" s="878">
        <v>756</v>
      </c>
      <c r="D13" s="878">
        <v>771</v>
      </c>
      <c r="E13" s="878">
        <v>586</v>
      </c>
    </row>
    <row r="14" spans="1:6" ht="18">
      <c r="A14" s="876" t="s">
        <v>6293</v>
      </c>
      <c r="B14" s="876">
        <v>970</v>
      </c>
      <c r="C14" s="876">
        <v>497</v>
      </c>
      <c r="D14" s="876">
        <v>473</v>
      </c>
      <c r="E14" s="876">
        <v>279</v>
      </c>
    </row>
    <row r="15" spans="1:6" ht="18">
      <c r="A15" s="876" t="s">
        <v>6294</v>
      </c>
      <c r="B15" s="876">
        <v>969</v>
      </c>
      <c r="C15" s="876">
        <v>476</v>
      </c>
      <c r="D15" s="876">
        <v>493</v>
      </c>
      <c r="E15" s="876">
        <v>302</v>
      </c>
    </row>
    <row r="16" spans="1:6" ht="18">
      <c r="A16" s="876" t="s">
        <v>6295</v>
      </c>
      <c r="B16" s="876">
        <v>709</v>
      </c>
      <c r="C16" s="876">
        <v>416</v>
      </c>
      <c r="D16" s="876">
        <v>293</v>
      </c>
      <c r="E16" s="876">
        <v>265</v>
      </c>
    </row>
    <row r="17" spans="1:6" ht="18">
      <c r="A17" s="876" t="s">
        <v>6296</v>
      </c>
      <c r="B17" s="876">
        <v>428</v>
      </c>
      <c r="C17" s="876">
        <v>227</v>
      </c>
      <c r="D17" s="876">
        <v>201</v>
      </c>
      <c r="E17" s="876">
        <v>134</v>
      </c>
    </row>
    <row r="18" spans="1:6" ht="18">
      <c r="A18" s="876" t="s">
        <v>6297</v>
      </c>
      <c r="B18" s="876">
        <v>350</v>
      </c>
      <c r="C18" s="876">
        <v>172</v>
      </c>
      <c r="D18" s="876">
        <v>178</v>
      </c>
      <c r="E18" s="876">
        <v>132</v>
      </c>
    </row>
    <row r="19" spans="1:6" ht="18">
      <c r="A19" s="876" t="s">
        <v>6298</v>
      </c>
      <c r="B19" s="876">
        <v>259</v>
      </c>
      <c r="C19" s="876">
        <v>129</v>
      </c>
      <c r="D19" s="876">
        <v>130</v>
      </c>
      <c r="E19" s="876">
        <v>96</v>
      </c>
    </row>
    <row r="20" spans="1:6" ht="18">
      <c r="A20" s="876" t="s">
        <v>6299</v>
      </c>
      <c r="B20" s="876">
        <v>80</v>
      </c>
      <c r="C20" s="876">
        <v>45</v>
      </c>
      <c r="D20" s="876">
        <v>35</v>
      </c>
      <c r="E20" s="876">
        <v>30</v>
      </c>
    </row>
    <row r="21" spans="1:6" ht="18">
      <c r="A21" s="876" t="s">
        <v>6300</v>
      </c>
      <c r="B21" s="876">
        <v>72</v>
      </c>
      <c r="C21" s="876">
        <v>44</v>
      </c>
      <c r="D21" s="876">
        <v>28</v>
      </c>
      <c r="E21" s="876">
        <v>26</v>
      </c>
    </row>
    <row r="23" spans="1:6" ht="14.25">
      <c r="F23" s="880" t="s">
        <v>6301</v>
      </c>
    </row>
    <row r="24" spans="1:6" ht="38.25">
      <c r="A24" s="9" t="s">
        <v>6302</v>
      </c>
      <c r="F24" s="9" t="s">
        <v>6303</v>
      </c>
    </row>
    <row r="25" spans="1:6">
      <c r="A25" s="9" t="s">
        <v>6304</v>
      </c>
      <c r="F25" s="9" t="s">
        <v>6305</v>
      </c>
    </row>
    <row r="26" spans="1:6">
      <c r="A26" s="9" t="s">
        <v>6306</v>
      </c>
      <c r="F26" s="9" t="s">
        <v>6307</v>
      </c>
    </row>
    <row r="27" spans="1:6" ht="25.5">
      <c r="A27" s="9" t="s">
        <v>6308</v>
      </c>
      <c r="F27" s="9" t="s">
        <v>6309</v>
      </c>
    </row>
    <row r="28" spans="1:6">
      <c r="A28" s="9" t="s">
        <v>6310</v>
      </c>
      <c r="F28" s="9"/>
    </row>
    <row r="33" spans="1:1">
      <c r="A33" s="3" t="s">
        <v>6311</v>
      </c>
    </row>
    <row r="34" spans="1:1">
      <c r="A34" s="9" t="s">
        <v>6312</v>
      </c>
    </row>
    <row r="35" spans="1:1">
      <c r="A35" s="9" t="s">
        <v>6313</v>
      </c>
    </row>
    <row r="36" spans="1:1">
      <c r="A36" s="9" t="s">
        <v>6314</v>
      </c>
    </row>
    <row r="37" spans="1:1">
      <c r="A37" s="9" t="s">
        <v>6315</v>
      </c>
    </row>
    <row r="38" spans="1:1">
      <c r="A38" s="9" t="s">
        <v>6316</v>
      </c>
    </row>
    <row r="39" spans="1:1">
      <c r="A39" s="9" t="s">
        <v>6317</v>
      </c>
    </row>
    <row r="40" spans="1:1">
      <c r="A40" s="9" t="s">
        <v>6318</v>
      </c>
    </row>
    <row r="41" spans="1:1">
      <c r="A41" s="9" t="s">
        <v>6319</v>
      </c>
    </row>
    <row r="42" spans="1:1">
      <c r="A42" s="9" t="s">
        <v>6320</v>
      </c>
    </row>
  </sheetData>
  <hyperlinks>
    <hyperlink ref="F23" r:id="rId1" xr:uid="{00000000-0004-0000-1A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G1000"/>
  <sheetViews>
    <sheetView workbookViewId="0"/>
  </sheetViews>
  <sheetFormatPr defaultColWidth="12.7109375" defaultRowHeight="12.75" customHeight="1"/>
  <cols>
    <col min="3" max="3" width="3.7109375" customWidth="1"/>
  </cols>
  <sheetData>
    <row r="1" spans="1:7">
      <c r="A1" s="9">
        <v>994</v>
      </c>
      <c r="B1" s="16">
        <v>994</v>
      </c>
      <c r="F1" s="2088" t="s">
        <v>6321</v>
      </c>
      <c r="G1" s="2087"/>
    </row>
    <row r="2" spans="1:7">
      <c r="A2" s="9">
        <v>994</v>
      </c>
      <c r="B2" s="16">
        <f t="shared" ref="B2:B122" si="0">B1+A2</f>
        <v>1988</v>
      </c>
    </row>
    <row r="3" spans="1:7">
      <c r="A3" s="9">
        <v>994</v>
      </c>
      <c r="B3" s="16">
        <f t="shared" si="0"/>
        <v>2982</v>
      </c>
    </row>
    <row r="4" spans="1:7">
      <c r="A4" s="9">
        <v>994</v>
      </c>
      <c r="B4" s="16">
        <f t="shared" si="0"/>
        <v>3976</v>
      </c>
    </row>
    <row r="5" spans="1:7">
      <c r="A5" s="9">
        <v>994</v>
      </c>
      <c r="B5" s="16">
        <f t="shared" si="0"/>
        <v>4970</v>
      </c>
    </row>
    <row r="6" spans="1:7">
      <c r="A6" s="9">
        <v>994</v>
      </c>
      <c r="B6" s="16">
        <f t="shared" si="0"/>
        <v>5964</v>
      </c>
    </row>
    <row r="7" spans="1:7">
      <c r="A7" s="9">
        <v>994</v>
      </c>
      <c r="B7" s="16">
        <f t="shared" si="0"/>
        <v>6958</v>
      </c>
      <c r="F7" s="9">
        <v>1066</v>
      </c>
      <c r="G7" s="16">
        <v>1066</v>
      </c>
    </row>
    <row r="8" spans="1:7">
      <c r="A8" s="9">
        <v>994</v>
      </c>
      <c r="B8" s="16">
        <f t="shared" si="0"/>
        <v>7952</v>
      </c>
      <c r="F8" s="9">
        <v>1066</v>
      </c>
      <c r="G8" s="16">
        <f t="shared" ref="G8:G122" si="1">G7+F8</f>
        <v>2132</v>
      </c>
    </row>
    <row r="9" spans="1:7">
      <c r="A9" s="9">
        <v>994</v>
      </c>
      <c r="B9" s="16">
        <f t="shared" si="0"/>
        <v>8946</v>
      </c>
      <c r="F9" s="9">
        <v>1066</v>
      </c>
      <c r="G9" s="16">
        <f t="shared" si="1"/>
        <v>3198</v>
      </c>
    </row>
    <row r="10" spans="1:7">
      <c r="A10" s="9">
        <v>994</v>
      </c>
      <c r="B10" s="16">
        <f t="shared" si="0"/>
        <v>9940</v>
      </c>
      <c r="F10" s="9">
        <v>1066</v>
      </c>
      <c r="G10" s="16">
        <f t="shared" si="1"/>
        <v>4264</v>
      </c>
    </row>
    <row r="11" spans="1:7">
      <c r="A11" s="9">
        <v>994</v>
      </c>
      <c r="B11" s="16">
        <f t="shared" si="0"/>
        <v>10934</v>
      </c>
      <c r="F11" s="9">
        <v>1066</v>
      </c>
      <c r="G11" s="16">
        <f t="shared" si="1"/>
        <v>5330</v>
      </c>
    </row>
    <row r="12" spans="1:7">
      <c r="A12" s="9">
        <v>994</v>
      </c>
      <c r="B12" s="16">
        <f t="shared" si="0"/>
        <v>11928</v>
      </c>
      <c r="F12" s="9">
        <v>1066</v>
      </c>
      <c r="G12" s="16">
        <f t="shared" si="1"/>
        <v>6396</v>
      </c>
    </row>
    <row r="13" spans="1:7">
      <c r="A13" s="9">
        <v>994</v>
      </c>
      <c r="B13" s="16">
        <f t="shared" si="0"/>
        <v>12922</v>
      </c>
      <c r="F13" s="9">
        <v>1066</v>
      </c>
      <c r="G13" s="16">
        <f t="shared" si="1"/>
        <v>7462</v>
      </c>
    </row>
    <row r="14" spans="1:7">
      <c r="A14" s="9">
        <v>994</v>
      </c>
      <c r="B14" s="16">
        <f t="shared" si="0"/>
        <v>13916</v>
      </c>
      <c r="F14" s="9">
        <v>1066</v>
      </c>
      <c r="G14" s="16">
        <f t="shared" si="1"/>
        <v>8528</v>
      </c>
    </row>
    <row r="15" spans="1:7">
      <c r="A15" s="9">
        <v>994</v>
      </c>
      <c r="B15" s="16">
        <f t="shared" si="0"/>
        <v>14910</v>
      </c>
      <c r="F15" s="9">
        <v>1066</v>
      </c>
      <c r="G15" s="16">
        <f t="shared" si="1"/>
        <v>9594</v>
      </c>
    </row>
    <row r="16" spans="1:7">
      <c r="A16" s="9">
        <v>994</v>
      </c>
      <c r="B16" s="16">
        <f t="shared" si="0"/>
        <v>15904</v>
      </c>
      <c r="F16" s="9">
        <v>1066</v>
      </c>
      <c r="G16" s="16">
        <f t="shared" si="1"/>
        <v>10660</v>
      </c>
    </row>
    <row r="17" spans="1:7">
      <c r="A17" s="9">
        <v>994</v>
      </c>
      <c r="B17" s="16">
        <f t="shared" si="0"/>
        <v>16898</v>
      </c>
      <c r="F17" s="9">
        <v>1066</v>
      </c>
      <c r="G17" s="16">
        <f t="shared" si="1"/>
        <v>11726</v>
      </c>
    </row>
    <row r="18" spans="1:7">
      <c r="A18" s="9">
        <v>994</v>
      </c>
      <c r="B18" s="16">
        <f t="shared" si="0"/>
        <v>17892</v>
      </c>
      <c r="F18" s="9">
        <v>1066</v>
      </c>
      <c r="G18" s="16">
        <f t="shared" si="1"/>
        <v>12792</v>
      </c>
    </row>
    <row r="19" spans="1:7">
      <c r="A19" s="9">
        <v>994</v>
      </c>
      <c r="B19" s="16">
        <f t="shared" si="0"/>
        <v>18886</v>
      </c>
      <c r="F19" s="9">
        <v>1066</v>
      </c>
      <c r="G19" s="16">
        <f t="shared" si="1"/>
        <v>13858</v>
      </c>
    </row>
    <row r="20" spans="1:7">
      <c r="A20" s="9">
        <v>994</v>
      </c>
      <c r="B20" s="16">
        <f t="shared" si="0"/>
        <v>19880</v>
      </c>
      <c r="F20" s="9">
        <v>1066</v>
      </c>
      <c r="G20" s="16">
        <f t="shared" si="1"/>
        <v>14924</v>
      </c>
    </row>
    <row r="21" spans="1:7">
      <c r="A21" s="9">
        <v>994</v>
      </c>
      <c r="B21" s="16">
        <f t="shared" si="0"/>
        <v>20874</v>
      </c>
      <c r="F21" s="9">
        <v>1066</v>
      </c>
      <c r="G21" s="16">
        <f t="shared" si="1"/>
        <v>15990</v>
      </c>
    </row>
    <row r="22" spans="1:7">
      <c r="A22" s="9">
        <v>994</v>
      </c>
      <c r="B22" s="16">
        <f t="shared" si="0"/>
        <v>21868</v>
      </c>
      <c r="F22" s="9">
        <v>1066</v>
      </c>
      <c r="G22" s="16">
        <f t="shared" si="1"/>
        <v>17056</v>
      </c>
    </row>
    <row r="23" spans="1:7">
      <c r="A23" s="9">
        <v>994</v>
      </c>
      <c r="B23" s="16">
        <f t="shared" si="0"/>
        <v>22862</v>
      </c>
      <c r="F23" s="9">
        <v>1066</v>
      </c>
      <c r="G23" s="16">
        <f t="shared" si="1"/>
        <v>18122</v>
      </c>
    </row>
    <row r="24" spans="1:7">
      <c r="A24" s="9">
        <v>994</v>
      </c>
      <c r="B24" s="16">
        <f t="shared" si="0"/>
        <v>23856</v>
      </c>
      <c r="F24" s="9">
        <v>1066</v>
      </c>
      <c r="G24" s="16">
        <f t="shared" si="1"/>
        <v>19188</v>
      </c>
    </row>
    <row r="25" spans="1:7">
      <c r="A25" s="9">
        <v>994</v>
      </c>
      <c r="B25" s="16">
        <f t="shared" si="0"/>
        <v>24850</v>
      </c>
      <c r="F25" s="9">
        <v>1066</v>
      </c>
      <c r="G25" s="16">
        <f t="shared" si="1"/>
        <v>20254</v>
      </c>
    </row>
    <row r="26" spans="1:7">
      <c r="A26" s="9">
        <v>994</v>
      </c>
      <c r="B26" s="16">
        <f t="shared" si="0"/>
        <v>25844</v>
      </c>
      <c r="F26" s="9">
        <v>1066</v>
      </c>
      <c r="G26" s="16">
        <f t="shared" si="1"/>
        <v>21320</v>
      </c>
    </row>
    <row r="27" spans="1:7">
      <c r="A27" s="9">
        <v>994</v>
      </c>
      <c r="B27" s="16">
        <f t="shared" si="0"/>
        <v>26838</v>
      </c>
      <c r="D27" s="9">
        <v>1179</v>
      </c>
      <c r="E27" s="16">
        <v>1179</v>
      </c>
      <c r="F27" s="9">
        <v>1066</v>
      </c>
      <c r="G27" s="16">
        <f t="shared" si="1"/>
        <v>22386</v>
      </c>
    </row>
    <row r="28" spans="1:7">
      <c r="A28" s="9">
        <v>994</v>
      </c>
      <c r="B28" s="16">
        <f t="shared" si="0"/>
        <v>27832</v>
      </c>
      <c r="D28" s="9">
        <v>1179</v>
      </c>
      <c r="E28" s="16">
        <f t="shared" ref="E28:E122" si="2">E27+D28</f>
        <v>2358</v>
      </c>
      <c r="F28" s="9">
        <v>1066</v>
      </c>
      <c r="G28" s="16">
        <f t="shared" si="1"/>
        <v>23452</v>
      </c>
    </row>
    <row r="29" spans="1:7">
      <c r="A29" s="9">
        <v>994</v>
      </c>
      <c r="B29" s="16">
        <f t="shared" si="0"/>
        <v>28826</v>
      </c>
      <c r="D29" s="9">
        <v>1179</v>
      </c>
      <c r="E29" s="16">
        <f t="shared" si="2"/>
        <v>3537</v>
      </c>
      <c r="F29" s="9">
        <v>1066</v>
      </c>
      <c r="G29" s="16">
        <f t="shared" si="1"/>
        <v>24518</v>
      </c>
    </row>
    <row r="30" spans="1:7">
      <c r="A30" s="9">
        <v>994</v>
      </c>
      <c r="B30" s="16">
        <f t="shared" si="0"/>
        <v>29820</v>
      </c>
      <c r="D30" s="9">
        <v>1179</v>
      </c>
      <c r="E30" s="16">
        <f t="shared" si="2"/>
        <v>4716</v>
      </c>
      <c r="F30" s="9">
        <v>1066</v>
      </c>
      <c r="G30" s="16">
        <f t="shared" si="1"/>
        <v>25584</v>
      </c>
    </row>
    <row r="31" spans="1:7">
      <c r="A31" s="9">
        <v>994</v>
      </c>
      <c r="B31" s="16">
        <f t="shared" si="0"/>
        <v>30814</v>
      </c>
      <c r="D31" s="9">
        <v>1179</v>
      </c>
      <c r="E31" s="16">
        <f t="shared" si="2"/>
        <v>5895</v>
      </c>
      <c r="F31" s="9">
        <v>1066</v>
      </c>
      <c r="G31" s="16">
        <f t="shared" si="1"/>
        <v>26650</v>
      </c>
    </row>
    <row r="32" spans="1:7">
      <c r="A32" s="9">
        <v>994</v>
      </c>
      <c r="B32" s="16">
        <f t="shared" si="0"/>
        <v>31808</v>
      </c>
      <c r="D32" s="9">
        <v>1179</v>
      </c>
      <c r="E32" s="16">
        <f t="shared" si="2"/>
        <v>7074</v>
      </c>
      <c r="F32" s="9">
        <v>1066</v>
      </c>
      <c r="G32" s="16">
        <f t="shared" si="1"/>
        <v>27716</v>
      </c>
    </row>
    <row r="33" spans="1:7">
      <c r="A33" s="9">
        <v>994</v>
      </c>
      <c r="B33" s="16">
        <f t="shared" si="0"/>
        <v>32802</v>
      </c>
      <c r="D33" s="9">
        <v>1179</v>
      </c>
      <c r="E33" s="16">
        <f t="shared" si="2"/>
        <v>8253</v>
      </c>
      <c r="F33" s="9">
        <v>1066</v>
      </c>
      <c r="G33" s="16">
        <f t="shared" si="1"/>
        <v>28782</v>
      </c>
    </row>
    <row r="34" spans="1:7">
      <c r="A34" s="9">
        <v>994</v>
      </c>
      <c r="B34" s="16">
        <f t="shared" si="0"/>
        <v>33796</v>
      </c>
      <c r="D34" s="9">
        <v>1179</v>
      </c>
      <c r="E34" s="16">
        <f t="shared" si="2"/>
        <v>9432</v>
      </c>
      <c r="F34" s="9">
        <v>1066</v>
      </c>
      <c r="G34" s="16">
        <f t="shared" si="1"/>
        <v>29848</v>
      </c>
    </row>
    <row r="35" spans="1:7">
      <c r="A35" s="9">
        <v>994</v>
      </c>
      <c r="B35" s="16">
        <f t="shared" si="0"/>
        <v>34790</v>
      </c>
      <c r="D35" s="9">
        <v>1179</v>
      </c>
      <c r="E35" s="16">
        <f t="shared" si="2"/>
        <v>10611</v>
      </c>
      <c r="F35" s="9">
        <v>1066</v>
      </c>
      <c r="G35" s="16">
        <f t="shared" si="1"/>
        <v>30914</v>
      </c>
    </row>
    <row r="36" spans="1:7">
      <c r="A36" s="9">
        <v>994</v>
      </c>
      <c r="B36" s="16">
        <f t="shared" si="0"/>
        <v>35784</v>
      </c>
      <c r="D36" s="9">
        <v>1179</v>
      </c>
      <c r="E36" s="16">
        <f t="shared" si="2"/>
        <v>11790</v>
      </c>
      <c r="F36" s="9">
        <v>1066</v>
      </c>
      <c r="G36" s="16">
        <f t="shared" si="1"/>
        <v>31980</v>
      </c>
    </row>
    <row r="37" spans="1:7">
      <c r="A37" s="9">
        <v>994</v>
      </c>
      <c r="B37" s="16">
        <f t="shared" si="0"/>
        <v>36778</v>
      </c>
      <c r="D37" s="9">
        <v>1179</v>
      </c>
      <c r="E37" s="16">
        <f t="shared" si="2"/>
        <v>12969</v>
      </c>
      <c r="F37" s="9">
        <v>1066</v>
      </c>
      <c r="G37" s="16">
        <f t="shared" si="1"/>
        <v>33046</v>
      </c>
    </row>
    <row r="38" spans="1:7">
      <c r="A38" s="9">
        <v>994</v>
      </c>
      <c r="B38" s="16">
        <f t="shared" si="0"/>
        <v>37772</v>
      </c>
      <c r="D38" s="9">
        <v>1179</v>
      </c>
      <c r="E38" s="16">
        <f t="shared" si="2"/>
        <v>14148</v>
      </c>
      <c r="F38" s="9">
        <v>1066</v>
      </c>
      <c r="G38" s="16">
        <f t="shared" si="1"/>
        <v>34112</v>
      </c>
    </row>
    <row r="39" spans="1:7">
      <c r="A39" s="9">
        <v>994</v>
      </c>
      <c r="B39" s="16">
        <f t="shared" si="0"/>
        <v>38766</v>
      </c>
      <c r="D39" s="9">
        <v>1179</v>
      </c>
      <c r="E39" s="16">
        <f t="shared" si="2"/>
        <v>15327</v>
      </c>
      <c r="F39" s="9">
        <v>1066</v>
      </c>
      <c r="G39" s="16">
        <f t="shared" si="1"/>
        <v>35178</v>
      </c>
    </row>
    <row r="40" spans="1:7">
      <c r="A40" s="9">
        <v>994</v>
      </c>
      <c r="B40" s="16">
        <f t="shared" si="0"/>
        <v>39760</v>
      </c>
      <c r="D40" s="9">
        <v>1179</v>
      </c>
      <c r="E40" s="16">
        <f t="shared" si="2"/>
        <v>16506</v>
      </c>
      <c r="F40" s="9">
        <v>1066</v>
      </c>
      <c r="G40" s="16">
        <f t="shared" si="1"/>
        <v>36244</v>
      </c>
    </row>
    <row r="41" spans="1:7">
      <c r="A41" s="9">
        <v>994</v>
      </c>
      <c r="B41" s="16">
        <f t="shared" si="0"/>
        <v>40754</v>
      </c>
      <c r="D41" s="9">
        <v>1179</v>
      </c>
      <c r="E41" s="16">
        <f t="shared" si="2"/>
        <v>17685</v>
      </c>
      <c r="F41" s="9">
        <v>1066</v>
      </c>
      <c r="G41" s="16">
        <f t="shared" si="1"/>
        <v>37310</v>
      </c>
    </row>
    <row r="42" spans="1:7">
      <c r="A42" s="9">
        <v>994</v>
      </c>
      <c r="B42" s="16">
        <f t="shared" si="0"/>
        <v>41748</v>
      </c>
      <c r="D42" s="9">
        <v>1179</v>
      </c>
      <c r="E42" s="16">
        <f t="shared" si="2"/>
        <v>18864</v>
      </c>
      <c r="F42" s="9">
        <v>1066</v>
      </c>
      <c r="G42" s="16">
        <f t="shared" si="1"/>
        <v>38376</v>
      </c>
    </row>
    <row r="43" spans="1:7">
      <c r="A43" s="9">
        <v>994</v>
      </c>
      <c r="B43" s="16">
        <f t="shared" si="0"/>
        <v>42742</v>
      </c>
      <c r="D43" s="9">
        <v>1179</v>
      </c>
      <c r="E43" s="16">
        <f t="shared" si="2"/>
        <v>20043</v>
      </c>
      <c r="F43" s="9">
        <v>1066</v>
      </c>
      <c r="G43" s="16">
        <f t="shared" si="1"/>
        <v>39442</v>
      </c>
    </row>
    <row r="44" spans="1:7">
      <c r="A44" s="9">
        <v>994</v>
      </c>
      <c r="B44" s="16">
        <f t="shared" si="0"/>
        <v>43736</v>
      </c>
      <c r="D44" s="9">
        <v>1179</v>
      </c>
      <c r="E44" s="16">
        <f t="shared" si="2"/>
        <v>21222</v>
      </c>
      <c r="F44" s="9">
        <v>1066</v>
      </c>
      <c r="G44" s="16">
        <f t="shared" si="1"/>
        <v>40508</v>
      </c>
    </row>
    <row r="45" spans="1:7">
      <c r="A45" s="9">
        <v>994</v>
      </c>
      <c r="B45" s="16">
        <f t="shared" si="0"/>
        <v>44730</v>
      </c>
      <c r="D45" s="9">
        <v>1179</v>
      </c>
      <c r="E45" s="16">
        <f t="shared" si="2"/>
        <v>22401</v>
      </c>
      <c r="F45" s="9">
        <v>1066</v>
      </c>
      <c r="G45" s="16">
        <f t="shared" si="1"/>
        <v>41574</v>
      </c>
    </row>
    <row r="46" spans="1:7">
      <c r="A46" s="9">
        <v>994</v>
      </c>
      <c r="B46" s="16">
        <f t="shared" si="0"/>
        <v>45724</v>
      </c>
      <c r="D46" s="9">
        <v>1179</v>
      </c>
      <c r="E46" s="16">
        <f t="shared" si="2"/>
        <v>23580</v>
      </c>
      <c r="F46" s="9">
        <v>1066</v>
      </c>
      <c r="G46" s="16">
        <f t="shared" si="1"/>
        <v>42640</v>
      </c>
    </row>
    <row r="47" spans="1:7">
      <c r="A47" s="9">
        <v>994</v>
      </c>
      <c r="B47" s="16">
        <f t="shared" si="0"/>
        <v>46718</v>
      </c>
      <c r="D47" s="9">
        <v>1179</v>
      </c>
      <c r="E47" s="16">
        <f t="shared" si="2"/>
        <v>24759</v>
      </c>
      <c r="F47" s="9">
        <v>1066</v>
      </c>
      <c r="G47" s="16">
        <f t="shared" si="1"/>
        <v>43706</v>
      </c>
    </row>
    <row r="48" spans="1:7">
      <c r="A48" s="9">
        <v>994</v>
      </c>
      <c r="B48" s="16">
        <f t="shared" si="0"/>
        <v>47712</v>
      </c>
      <c r="D48" s="9">
        <v>1179</v>
      </c>
      <c r="E48" s="16">
        <f t="shared" si="2"/>
        <v>25938</v>
      </c>
      <c r="F48" s="9">
        <v>1066</v>
      </c>
      <c r="G48" s="16">
        <f t="shared" si="1"/>
        <v>44772</v>
      </c>
    </row>
    <row r="49" spans="1:7">
      <c r="A49" s="9">
        <v>994</v>
      </c>
      <c r="B49" s="16">
        <f t="shared" si="0"/>
        <v>48706</v>
      </c>
      <c r="D49" s="9">
        <v>1179</v>
      </c>
      <c r="E49" s="16">
        <f t="shared" si="2"/>
        <v>27117</v>
      </c>
      <c r="F49" s="9">
        <v>1066</v>
      </c>
      <c r="G49" s="16">
        <f t="shared" si="1"/>
        <v>45838</v>
      </c>
    </row>
    <row r="50" spans="1:7">
      <c r="A50" s="9">
        <v>994</v>
      </c>
      <c r="B50" s="16">
        <f t="shared" si="0"/>
        <v>49700</v>
      </c>
      <c r="D50" s="9">
        <v>1179</v>
      </c>
      <c r="E50" s="16">
        <f t="shared" si="2"/>
        <v>28296</v>
      </c>
      <c r="F50" s="9">
        <v>1066</v>
      </c>
      <c r="G50" s="16">
        <f t="shared" si="1"/>
        <v>46904</v>
      </c>
    </row>
    <row r="51" spans="1:7">
      <c r="A51" s="9">
        <v>994</v>
      </c>
      <c r="B51" s="16">
        <f t="shared" si="0"/>
        <v>50694</v>
      </c>
      <c r="D51" s="9">
        <v>1179</v>
      </c>
      <c r="E51" s="16">
        <f t="shared" si="2"/>
        <v>29475</v>
      </c>
      <c r="F51" s="9">
        <v>1066</v>
      </c>
      <c r="G51" s="16">
        <f t="shared" si="1"/>
        <v>47970</v>
      </c>
    </row>
    <row r="52" spans="1:7">
      <c r="A52" s="9">
        <v>994</v>
      </c>
      <c r="B52" s="16">
        <f t="shared" si="0"/>
        <v>51688</v>
      </c>
      <c r="D52" s="9">
        <v>1179</v>
      </c>
      <c r="E52" s="16">
        <f t="shared" si="2"/>
        <v>30654</v>
      </c>
      <c r="F52" s="9">
        <v>1066</v>
      </c>
      <c r="G52" s="16">
        <f t="shared" si="1"/>
        <v>49036</v>
      </c>
    </row>
    <row r="53" spans="1:7">
      <c r="A53" s="9">
        <v>994</v>
      </c>
      <c r="B53" s="16">
        <f t="shared" si="0"/>
        <v>52682</v>
      </c>
      <c r="D53" s="9">
        <v>1179</v>
      </c>
      <c r="E53" s="16">
        <f t="shared" si="2"/>
        <v>31833</v>
      </c>
      <c r="F53" s="9">
        <v>1066</v>
      </c>
      <c r="G53" s="16">
        <f t="shared" si="1"/>
        <v>50102</v>
      </c>
    </row>
    <row r="54" spans="1:7">
      <c r="A54" s="9">
        <v>994</v>
      </c>
      <c r="B54" s="16">
        <f t="shared" si="0"/>
        <v>53676</v>
      </c>
      <c r="D54" s="9">
        <v>1179</v>
      </c>
      <c r="E54" s="16">
        <f t="shared" si="2"/>
        <v>33012</v>
      </c>
      <c r="F54" s="9">
        <v>1066</v>
      </c>
      <c r="G54" s="16">
        <f t="shared" si="1"/>
        <v>51168</v>
      </c>
    </row>
    <row r="55" spans="1:7">
      <c r="A55" s="9">
        <v>994</v>
      </c>
      <c r="B55" s="16">
        <f t="shared" si="0"/>
        <v>54670</v>
      </c>
      <c r="D55" s="9">
        <v>1179</v>
      </c>
      <c r="E55" s="16">
        <f t="shared" si="2"/>
        <v>34191</v>
      </c>
      <c r="F55" s="9">
        <v>1066</v>
      </c>
      <c r="G55" s="16">
        <f t="shared" si="1"/>
        <v>52234</v>
      </c>
    </row>
    <row r="56" spans="1:7">
      <c r="A56" s="9">
        <v>994</v>
      </c>
      <c r="B56" s="16">
        <f t="shared" si="0"/>
        <v>55664</v>
      </c>
      <c r="D56" s="9">
        <v>1179</v>
      </c>
      <c r="E56" s="16">
        <f t="shared" si="2"/>
        <v>35370</v>
      </c>
      <c r="F56" s="9">
        <v>1066</v>
      </c>
      <c r="G56" s="16">
        <f t="shared" si="1"/>
        <v>53300</v>
      </c>
    </row>
    <row r="57" spans="1:7">
      <c r="A57" s="9">
        <v>994</v>
      </c>
      <c r="B57" s="16">
        <f t="shared" si="0"/>
        <v>56658</v>
      </c>
      <c r="D57" s="9">
        <v>1179</v>
      </c>
      <c r="E57" s="16">
        <f t="shared" si="2"/>
        <v>36549</v>
      </c>
      <c r="F57" s="9">
        <v>1066</v>
      </c>
      <c r="G57" s="16">
        <f t="shared" si="1"/>
        <v>54366</v>
      </c>
    </row>
    <row r="58" spans="1:7">
      <c r="A58" s="9">
        <v>994</v>
      </c>
      <c r="B58" s="16">
        <f t="shared" si="0"/>
        <v>57652</v>
      </c>
      <c r="D58" s="9">
        <v>1179</v>
      </c>
      <c r="E58" s="16">
        <f t="shared" si="2"/>
        <v>37728</v>
      </c>
      <c r="F58" s="9">
        <v>1066</v>
      </c>
      <c r="G58" s="16">
        <f t="shared" si="1"/>
        <v>55432</v>
      </c>
    </row>
    <row r="59" spans="1:7">
      <c r="A59" s="9">
        <v>994</v>
      </c>
      <c r="B59" s="16">
        <f t="shared" si="0"/>
        <v>58646</v>
      </c>
      <c r="D59" s="9">
        <v>1179</v>
      </c>
      <c r="E59" s="16">
        <f t="shared" si="2"/>
        <v>38907</v>
      </c>
      <c r="F59" s="9">
        <v>1066</v>
      </c>
      <c r="G59" s="16">
        <f t="shared" si="1"/>
        <v>56498</v>
      </c>
    </row>
    <row r="60" spans="1:7">
      <c r="A60" s="9">
        <v>994</v>
      </c>
      <c r="B60" s="16">
        <f t="shared" si="0"/>
        <v>59640</v>
      </c>
      <c r="D60" s="9">
        <v>1179</v>
      </c>
      <c r="E60" s="16">
        <f t="shared" si="2"/>
        <v>40086</v>
      </c>
      <c r="F60" s="9">
        <v>1066</v>
      </c>
      <c r="G60" s="16">
        <f t="shared" si="1"/>
        <v>57564</v>
      </c>
    </row>
    <row r="61" spans="1:7">
      <c r="A61" s="9">
        <v>994</v>
      </c>
      <c r="B61" s="16">
        <f t="shared" si="0"/>
        <v>60634</v>
      </c>
      <c r="D61" s="9">
        <v>1179</v>
      </c>
      <c r="E61" s="16">
        <f t="shared" si="2"/>
        <v>41265</v>
      </c>
      <c r="F61" s="9">
        <v>1066</v>
      </c>
      <c r="G61" s="16">
        <f t="shared" si="1"/>
        <v>58630</v>
      </c>
    </row>
    <row r="62" spans="1:7">
      <c r="A62" s="9">
        <v>994</v>
      </c>
      <c r="B62" s="16">
        <f t="shared" si="0"/>
        <v>61628</v>
      </c>
      <c r="D62" s="9">
        <v>1179</v>
      </c>
      <c r="E62" s="16">
        <f t="shared" si="2"/>
        <v>42444</v>
      </c>
      <c r="F62" s="9">
        <v>1066</v>
      </c>
      <c r="G62" s="16">
        <f t="shared" si="1"/>
        <v>59696</v>
      </c>
    </row>
    <row r="63" spans="1:7">
      <c r="A63" s="9">
        <v>994</v>
      </c>
      <c r="B63" s="16">
        <f t="shared" si="0"/>
        <v>62622</v>
      </c>
      <c r="D63" s="9">
        <v>1179</v>
      </c>
      <c r="E63" s="16">
        <f t="shared" si="2"/>
        <v>43623</v>
      </c>
      <c r="F63" s="9">
        <v>1066</v>
      </c>
      <c r="G63" s="16">
        <f t="shared" si="1"/>
        <v>60762</v>
      </c>
    </row>
    <row r="64" spans="1:7">
      <c r="A64" s="9">
        <v>994</v>
      </c>
      <c r="B64" s="16">
        <f t="shared" si="0"/>
        <v>63616</v>
      </c>
      <c r="D64" s="9">
        <v>1179</v>
      </c>
      <c r="E64" s="16">
        <f t="shared" si="2"/>
        <v>44802</v>
      </c>
      <c r="F64" s="9">
        <v>1066</v>
      </c>
      <c r="G64" s="16">
        <f t="shared" si="1"/>
        <v>61828</v>
      </c>
    </row>
    <row r="65" spans="1:7">
      <c r="A65" s="9">
        <v>994</v>
      </c>
      <c r="B65" s="16">
        <f t="shared" si="0"/>
        <v>64610</v>
      </c>
      <c r="D65" s="9">
        <v>1179</v>
      </c>
      <c r="E65" s="16">
        <f t="shared" si="2"/>
        <v>45981</v>
      </c>
      <c r="F65" s="9">
        <v>1066</v>
      </c>
      <c r="G65" s="16">
        <f t="shared" si="1"/>
        <v>62894</v>
      </c>
    </row>
    <row r="66" spans="1:7">
      <c r="A66" s="9">
        <v>994</v>
      </c>
      <c r="B66" s="16">
        <f t="shared" si="0"/>
        <v>65604</v>
      </c>
      <c r="D66" s="9">
        <v>1179</v>
      </c>
      <c r="E66" s="16">
        <f t="shared" si="2"/>
        <v>47160</v>
      </c>
      <c r="F66" s="9">
        <v>1066</v>
      </c>
      <c r="G66" s="16">
        <f t="shared" si="1"/>
        <v>63960</v>
      </c>
    </row>
    <row r="67" spans="1:7">
      <c r="A67" s="9">
        <v>994</v>
      </c>
      <c r="B67" s="16">
        <f t="shared" si="0"/>
        <v>66598</v>
      </c>
      <c r="D67" s="9">
        <v>1179</v>
      </c>
      <c r="E67" s="16">
        <f t="shared" si="2"/>
        <v>48339</v>
      </c>
      <c r="F67" s="9">
        <v>1066</v>
      </c>
      <c r="G67" s="16">
        <f t="shared" si="1"/>
        <v>65026</v>
      </c>
    </row>
    <row r="68" spans="1:7">
      <c r="A68" s="9">
        <v>994</v>
      </c>
      <c r="B68" s="16">
        <f t="shared" si="0"/>
        <v>67592</v>
      </c>
      <c r="D68" s="9">
        <v>1179</v>
      </c>
      <c r="E68" s="16">
        <f t="shared" si="2"/>
        <v>49518</v>
      </c>
      <c r="F68" s="9">
        <v>1066</v>
      </c>
      <c r="G68" s="16">
        <f t="shared" si="1"/>
        <v>66092</v>
      </c>
    </row>
    <row r="69" spans="1:7">
      <c r="A69" s="9">
        <v>994</v>
      </c>
      <c r="B69" s="16">
        <f t="shared" si="0"/>
        <v>68586</v>
      </c>
      <c r="D69" s="9">
        <v>1179</v>
      </c>
      <c r="E69" s="16">
        <f t="shared" si="2"/>
        <v>50697</v>
      </c>
      <c r="F69" s="9">
        <v>1066</v>
      </c>
      <c r="G69" s="16">
        <f t="shared" si="1"/>
        <v>67158</v>
      </c>
    </row>
    <row r="70" spans="1:7">
      <c r="A70" s="9">
        <v>994</v>
      </c>
      <c r="B70" s="16">
        <f t="shared" si="0"/>
        <v>69580</v>
      </c>
      <c r="D70" s="9">
        <v>1179</v>
      </c>
      <c r="E70" s="16">
        <f t="shared" si="2"/>
        <v>51876</v>
      </c>
      <c r="F70" s="9">
        <v>1066</v>
      </c>
      <c r="G70" s="16">
        <f t="shared" si="1"/>
        <v>68224</v>
      </c>
    </row>
    <row r="71" spans="1:7">
      <c r="A71" s="9">
        <v>994</v>
      </c>
      <c r="B71" s="16">
        <f t="shared" si="0"/>
        <v>70574</v>
      </c>
      <c r="D71" s="9">
        <v>1179</v>
      </c>
      <c r="E71" s="16">
        <f t="shared" si="2"/>
        <v>53055</v>
      </c>
      <c r="F71" s="9">
        <v>1066</v>
      </c>
      <c r="G71" s="16">
        <f t="shared" si="1"/>
        <v>69290</v>
      </c>
    </row>
    <row r="72" spans="1:7">
      <c r="A72" s="9">
        <v>994</v>
      </c>
      <c r="B72" s="16">
        <f t="shared" si="0"/>
        <v>71568</v>
      </c>
      <c r="D72" s="9">
        <v>1179</v>
      </c>
      <c r="E72" s="16">
        <f t="shared" si="2"/>
        <v>54234</v>
      </c>
      <c r="F72" s="9">
        <v>1066</v>
      </c>
      <c r="G72" s="16">
        <f t="shared" si="1"/>
        <v>70356</v>
      </c>
    </row>
    <row r="73" spans="1:7">
      <c r="A73" s="9">
        <v>994</v>
      </c>
      <c r="B73" s="16">
        <f t="shared" si="0"/>
        <v>72562</v>
      </c>
      <c r="D73" s="9">
        <v>1179</v>
      </c>
      <c r="E73" s="16">
        <f t="shared" si="2"/>
        <v>55413</v>
      </c>
      <c r="F73" s="9">
        <v>1066</v>
      </c>
      <c r="G73" s="16">
        <f t="shared" si="1"/>
        <v>71422</v>
      </c>
    </row>
    <row r="74" spans="1:7">
      <c r="A74" s="9">
        <v>994</v>
      </c>
      <c r="B74" s="16">
        <f t="shared" si="0"/>
        <v>73556</v>
      </c>
      <c r="D74" s="9">
        <v>1179</v>
      </c>
      <c r="E74" s="16">
        <f t="shared" si="2"/>
        <v>56592</v>
      </c>
      <c r="F74" s="9">
        <v>1066</v>
      </c>
      <c r="G74" s="16">
        <f t="shared" si="1"/>
        <v>72488</v>
      </c>
    </row>
    <row r="75" spans="1:7">
      <c r="A75" s="9">
        <v>994</v>
      </c>
      <c r="B75" s="16">
        <f t="shared" si="0"/>
        <v>74550</v>
      </c>
      <c r="D75" s="9">
        <v>1179</v>
      </c>
      <c r="E75" s="16">
        <f t="shared" si="2"/>
        <v>57771</v>
      </c>
      <c r="F75" s="9">
        <v>1066</v>
      </c>
      <c r="G75" s="16">
        <f t="shared" si="1"/>
        <v>73554</v>
      </c>
    </row>
    <row r="76" spans="1:7">
      <c r="A76" s="9">
        <v>994</v>
      </c>
      <c r="B76" s="16">
        <f t="shared" si="0"/>
        <v>75544</v>
      </c>
      <c r="D76" s="9">
        <v>1179</v>
      </c>
      <c r="E76" s="16">
        <f t="shared" si="2"/>
        <v>58950</v>
      </c>
      <c r="F76" s="9">
        <v>1066</v>
      </c>
      <c r="G76" s="16">
        <f t="shared" si="1"/>
        <v>74620</v>
      </c>
    </row>
    <row r="77" spans="1:7">
      <c r="A77" s="9">
        <v>994</v>
      </c>
      <c r="B77" s="16">
        <f t="shared" si="0"/>
        <v>76538</v>
      </c>
      <c r="D77" s="9">
        <v>1179</v>
      </c>
      <c r="E77" s="16">
        <f t="shared" si="2"/>
        <v>60129</v>
      </c>
      <c r="F77" s="9">
        <v>1066</v>
      </c>
      <c r="G77" s="16">
        <f t="shared" si="1"/>
        <v>75686</v>
      </c>
    </row>
    <row r="78" spans="1:7">
      <c r="A78" s="9">
        <v>994</v>
      </c>
      <c r="B78" s="16">
        <f t="shared" si="0"/>
        <v>77532</v>
      </c>
      <c r="D78" s="9">
        <v>1179</v>
      </c>
      <c r="E78" s="16">
        <f t="shared" si="2"/>
        <v>61308</v>
      </c>
      <c r="F78" s="9">
        <v>1066</v>
      </c>
      <c r="G78" s="16">
        <f t="shared" si="1"/>
        <v>76752</v>
      </c>
    </row>
    <row r="79" spans="1:7">
      <c r="A79" s="9">
        <v>994</v>
      </c>
      <c r="B79" s="16">
        <f t="shared" si="0"/>
        <v>78526</v>
      </c>
      <c r="D79" s="9">
        <v>1179</v>
      </c>
      <c r="E79" s="16">
        <f t="shared" si="2"/>
        <v>62487</v>
      </c>
      <c r="F79" s="9">
        <v>1066</v>
      </c>
      <c r="G79" s="16">
        <f t="shared" si="1"/>
        <v>77818</v>
      </c>
    </row>
    <row r="80" spans="1:7">
      <c r="A80" s="9">
        <v>994</v>
      </c>
      <c r="B80" s="16">
        <f t="shared" si="0"/>
        <v>79520</v>
      </c>
      <c r="D80" s="9">
        <v>1179</v>
      </c>
      <c r="E80" s="16">
        <f t="shared" si="2"/>
        <v>63666</v>
      </c>
      <c r="F80" s="9">
        <v>1066</v>
      </c>
      <c r="G80" s="16">
        <f t="shared" si="1"/>
        <v>78884</v>
      </c>
    </row>
    <row r="81" spans="1:7">
      <c r="A81" s="9">
        <v>994</v>
      </c>
      <c r="B81" s="16">
        <f t="shared" si="0"/>
        <v>80514</v>
      </c>
      <c r="D81" s="9">
        <v>1179</v>
      </c>
      <c r="E81" s="16">
        <f t="shared" si="2"/>
        <v>64845</v>
      </c>
      <c r="F81" s="9">
        <v>1066</v>
      </c>
      <c r="G81" s="16">
        <f t="shared" si="1"/>
        <v>79950</v>
      </c>
    </row>
    <row r="82" spans="1:7">
      <c r="A82" s="9">
        <v>994</v>
      </c>
      <c r="B82" s="16">
        <f t="shared" si="0"/>
        <v>81508</v>
      </c>
      <c r="D82" s="9">
        <v>1179</v>
      </c>
      <c r="E82" s="16">
        <f t="shared" si="2"/>
        <v>66024</v>
      </c>
      <c r="F82" s="9">
        <v>1066</v>
      </c>
      <c r="G82" s="16">
        <f t="shared" si="1"/>
        <v>81016</v>
      </c>
    </row>
    <row r="83" spans="1:7">
      <c r="A83" s="9">
        <v>994</v>
      </c>
      <c r="B83" s="16">
        <f t="shared" si="0"/>
        <v>82502</v>
      </c>
      <c r="D83" s="9">
        <v>1179</v>
      </c>
      <c r="E83" s="16">
        <f t="shared" si="2"/>
        <v>67203</v>
      </c>
      <c r="F83" s="9">
        <v>1066</v>
      </c>
      <c r="G83" s="16">
        <f t="shared" si="1"/>
        <v>82082</v>
      </c>
    </row>
    <row r="84" spans="1:7">
      <c r="A84" s="9">
        <v>994</v>
      </c>
      <c r="B84" s="16">
        <f t="shared" si="0"/>
        <v>83496</v>
      </c>
      <c r="D84" s="9">
        <v>1179</v>
      </c>
      <c r="E84" s="16">
        <f t="shared" si="2"/>
        <v>68382</v>
      </c>
      <c r="F84" s="9">
        <v>1066</v>
      </c>
      <c r="G84" s="16">
        <f t="shared" si="1"/>
        <v>83148</v>
      </c>
    </row>
    <row r="85" spans="1:7">
      <c r="A85" s="9">
        <v>994</v>
      </c>
      <c r="B85" s="16">
        <f t="shared" si="0"/>
        <v>84490</v>
      </c>
      <c r="D85" s="9">
        <v>1179</v>
      </c>
      <c r="E85" s="16">
        <f t="shared" si="2"/>
        <v>69561</v>
      </c>
      <c r="F85" s="9">
        <v>1066</v>
      </c>
      <c r="G85" s="16">
        <f t="shared" si="1"/>
        <v>84214</v>
      </c>
    </row>
    <row r="86" spans="1:7">
      <c r="A86" s="9">
        <v>994</v>
      </c>
      <c r="B86" s="16">
        <f t="shared" si="0"/>
        <v>85484</v>
      </c>
      <c r="D86" s="9">
        <v>1179</v>
      </c>
      <c r="E86" s="16">
        <f t="shared" si="2"/>
        <v>70740</v>
      </c>
      <c r="F86" s="9">
        <v>1066</v>
      </c>
      <c r="G86" s="16">
        <f t="shared" si="1"/>
        <v>85280</v>
      </c>
    </row>
    <row r="87" spans="1:7">
      <c r="A87" s="9">
        <v>994</v>
      </c>
      <c r="B87" s="16">
        <f t="shared" si="0"/>
        <v>86478</v>
      </c>
      <c r="D87" s="9">
        <v>1179</v>
      </c>
      <c r="E87" s="16">
        <f t="shared" si="2"/>
        <v>71919</v>
      </c>
      <c r="F87" s="9">
        <v>1066</v>
      </c>
      <c r="G87" s="16">
        <f t="shared" si="1"/>
        <v>86346</v>
      </c>
    </row>
    <row r="88" spans="1:7">
      <c r="A88" s="9">
        <v>994</v>
      </c>
      <c r="B88" s="16">
        <f t="shared" si="0"/>
        <v>87472</v>
      </c>
      <c r="D88" s="9">
        <v>1179</v>
      </c>
      <c r="E88" s="16">
        <f t="shared" si="2"/>
        <v>73098</v>
      </c>
      <c r="F88" s="9">
        <v>1066</v>
      </c>
      <c r="G88" s="16">
        <f t="shared" si="1"/>
        <v>87412</v>
      </c>
    </row>
    <row r="89" spans="1:7">
      <c r="A89" s="9">
        <v>994</v>
      </c>
      <c r="B89" s="16">
        <f t="shared" si="0"/>
        <v>88466</v>
      </c>
      <c r="D89" s="9">
        <v>1179</v>
      </c>
      <c r="E89" s="16">
        <f t="shared" si="2"/>
        <v>74277</v>
      </c>
      <c r="F89" s="9">
        <v>1066</v>
      </c>
      <c r="G89" s="16">
        <f t="shared" si="1"/>
        <v>88478</v>
      </c>
    </row>
    <row r="90" spans="1:7">
      <c r="A90" s="9">
        <v>994</v>
      </c>
      <c r="B90" s="16">
        <f t="shared" si="0"/>
        <v>89460</v>
      </c>
      <c r="D90" s="9">
        <v>1179</v>
      </c>
      <c r="E90" s="16">
        <f t="shared" si="2"/>
        <v>75456</v>
      </c>
      <c r="F90" s="9">
        <v>1066</v>
      </c>
      <c r="G90" s="16">
        <f t="shared" si="1"/>
        <v>89544</v>
      </c>
    </row>
    <row r="91" spans="1:7">
      <c r="A91" s="9">
        <v>994</v>
      </c>
      <c r="B91" s="16">
        <f t="shared" si="0"/>
        <v>90454</v>
      </c>
      <c r="D91" s="9">
        <v>1179</v>
      </c>
      <c r="E91" s="16">
        <f t="shared" si="2"/>
        <v>76635</v>
      </c>
      <c r="F91" s="9">
        <v>1066</v>
      </c>
      <c r="G91" s="16">
        <f t="shared" si="1"/>
        <v>90610</v>
      </c>
    </row>
    <row r="92" spans="1:7">
      <c r="A92" s="9">
        <v>994</v>
      </c>
      <c r="B92" s="16">
        <f t="shared" si="0"/>
        <v>91448</v>
      </c>
      <c r="D92" s="9">
        <v>1179</v>
      </c>
      <c r="E92" s="16">
        <f t="shared" si="2"/>
        <v>77814</v>
      </c>
      <c r="F92" s="9">
        <v>1066</v>
      </c>
      <c r="G92" s="16">
        <f t="shared" si="1"/>
        <v>91676</v>
      </c>
    </row>
    <row r="93" spans="1:7">
      <c r="A93" s="9">
        <v>994</v>
      </c>
      <c r="B93" s="16">
        <f t="shared" si="0"/>
        <v>92442</v>
      </c>
      <c r="D93" s="9">
        <v>1179</v>
      </c>
      <c r="E93" s="16">
        <f t="shared" si="2"/>
        <v>78993</v>
      </c>
      <c r="F93" s="9">
        <v>1066</v>
      </c>
      <c r="G93" s="16">
        <f t="shared" si="1"/>
        <v>92742</v>
      </c>
    </row>
    <row r="94" spans="1:7">
      <c r="A94" s="9">
        <v>994</v>
      </c>
      <c r="B94" s="16">
        <f t="shared" si="0"/>
        <v>93436</v>
      </c>
      <c r="D94" s="9">
        <v>1179</v>
      </c>
      <c r="E94" s="16">
        <f t="shared" si="2"/>
        <v>80172</v>
      </c>
      <c r="F94" s="9">
        <v>1066</v>
      </c>
      <c r="G94" s="16">
        <f t="shared" si="1"/>
        <v>93808</v>
      </c>
    </row>
    <row r="95" spans="1:7">
      <c r="A95" s="9">
        <v>994</v>
      </c>
      <c r="B95" s="16">
        <f t="shared" si="0"/>
        <v>94430</v>
      </c>
      <c r="D95" s="9">
        <v>1179</v>
      </c>
      <c r="E95" s="16">
        <f t="shared" si="2"/>
        <v>81351</v>
      </c>
      <c r="F95" s="9">
        <v>1066</v>
      </c>
      <c r="G95" s="16">
        <f t="shared" si="1"/>
        <v>94874</v>
      </c>
    </row>
    <row r="96" spans="1:7">
      <c r="A96" s="9">
        <v>994</v>
      </c>
      <c r="B96" s="16">
        <f t="shared" si="0"/>
        <v>95424</v>
      </c>
      <c r="D96" s="9">
        <v>1179</v>
      </c>
      <c r="E96" s="16">
        <f t="shared" si="2"/>
        <v>82530</v>
      </c>
      <c r="F96" s="9">
        <v>1066</v>
      </c>
      <c r="G96" s="16">
        <f t="shared" si="1"/>
        <v>95940</v>
      </c>
    </row>
    <row r="97" spans="1:7">
      <c r="A97" s="9">
        <v>994</v>
      </c>
      <c r="B97" s="16">
        <f t="shared" si="0"/>
        <v>96418</v>
      </c>
      <c r="D97" s="9">
        <v>1179</v>
      </c>
      <c r="E97" s="16">
        <f t="shared" si="2"/>
        <v>83709</v>
      </c>
      <c r="F97" s="9">
        <v>1066</v>
      </c>
      <c r="G97" s="16">
        <f t="shared" si="1"/>
        <v>97006</v>
      </c>
    </row>
    <row r="98" spans="1:7">
      <c r="A98" s="9">
        <v>994</v>
      </c>
      <c r="B98" s="16">
        <f t="shared" si="0"/>
        <v>97412</v>
      </c>
      <c r="D98" s="9">
        <v>1179</v>
      </c>
      <c r="E98" s="16">
        <f t="shared" si="2"/>
        <v>84888</v>
      </c>
      <c r="F98" s="9">
        <v>1066</v>
      </c>
      <c r="G98" s="16">
        <f t="shared" si="1"/>
        <v>98072</v>
      </c>
    </row>
    <row r="99" spans="1:7">
      <c r="A99" s="9">
        <v>994</v>
      </c>
      <c r="B99" s="16">
        <f t="shared" si="0"/>
        <v>98406</v>
      </c>
      <c r="D99" s="9">
        <v>1179</v>
      </c>
      <c r="E99" s="16">
        <f t="shared" si="2"/>
        <v>86067</v>
      </c>
      <c r="F99" s="9">
        <v>1066</v>
      </c>
      <c r="G99" s="16">
        <f t="shared" si="1"/>
        <v>99138</v>
      </c>
    </row>
    <row r="100" spans="1:7">
      <c r="A100" s="9">
        <v>994</v>
      </c>
      <c r="B100" s="16">
        <f t="shared" si="0"/>
        <v>99400</v>
      </c>
      <c r="D100" s="9">
        <v>1179</v>
      </c>
      <c r="E100" s="16">
        <f t="shared" si="2"/>
        <v>87246</v>
      </c>
      <c r="F100" s="9">
        <v>1066</v>
      </c>
      <c r="G100" s="16">
        <f t="shared" si="1"/>
        <v>100204</v>
      </c>
    </row>
    <row r="101" spans="1:7">
      <c r="A101" s="9">
        <v>994</v>
      </c>
      <c r="B101" s="16">
        <f t="shared" si="0"/>
        <v>100394</v>
      </c>
      <c r="D101" s="9">
        <v>1179</v>
      </c>
      <c r="E101" s="16">
        <f t="shared" si="2"/>
        <v>88425</v>
      </c>
      <c r="F101" s="9">
        <v>1066</v>
      </c>
      <c r="G101" s="16">
        <f t="shared" si="1"/>
        <v>101270</v>
      </c>
    </row>
    <row r="102" spans="1:7">
      <c r="A102" s="9">
        <v>994</v>
      </c>
      <c r="B102" s="16">
        <f t="shared" si="0"/>
        <v>101388</v>
      </c>
      <c r="D102" s="9">
        <v>1179</v>
      </c>
      <c r="E102" s="16">
        <f t="shared" si="2"/>
        <v>89604</v>
      </c>
      <c r="F102" s="9">
        <v>1066</v>
      </c>
      <c r="G102" s="16">
        <f t="shared" si="1"/>
        <v>102336</v>
      </c>
    </row>
    <row r="103" spans="1:7">
      <c r="A103" s="9">
        <v>994</v>
      </c>
      <c r="B103" s="16">
        <f t="shared" si="0"/>
        <v>102382</v>
      </c>
      <c r="D103" s="9">
        <v>1179</v>
      </c>
      <c r="E103" s="16">
        <f t="shared" si="2"/>
        <v>90783</v>
      </c>
      <c r="F103" s="9">
        <v>1066</v>
      </c>
      <c r="G103" s="16">
        <f t="shared" si="1"/>
        <v>103402</v>
      </c>
    </row>
    <row r="104" spans="1:7">
      <c r="A104" s="9">
        <v>994</v>
      </c>
      <c r="B104" s="16">
        <f t="shared" si="0"/>
        <v>103376</v>
      </c>
      <c r="D104" s="9">
        <v>1179</v>
      </c>
      <c r="E104" s="16">
        <f t="shared" si="2"/>
        <v>91962</v>
      </c>
      <c r="F104" s="9">
        <v>1066</v>
      </c>
      <c r="G104" s="16">
        <f t="shared" si="1"/>
        <v>104468</v>
      </c>
    </row>
    <row r="105" spans="1:7">
      <c r="A105" s="9">
        <v>994</v>
      </c>
      <c r="B105" s="16">
        <f t="shared" si="0"/>
        <v>104370</v>
      </c>
      <c r="D105" s="9">
        <v>1179</v>
      </c>
      <c r="E105" s="16">
        <f t="shared" si="2"/>
        <v>93141</v>
      </c>
      <c r="F105" s="9">
        <v>1066</v>
      </c>
      <c r="G105" s="16">
        <f t="shared" si="1"/>
        <v>105534</v>
      </c>
    </row>
    <row r="106" spans="1:7">
      <c r="A106" s="9">
        <v>994</v>
      </c>
      <c r="B106" s="16">
        <f t="shared" si="0"/>
        <v>105364</v>
      </c>
      <c r="D106" s="9">
        <v>1179</v>
      </c>
      <c r="E106" s="16">
        <f t="shared" si="2"/>
        <v>94320</v>
      </c>
      <c r="F106" s="9">
        <v>1066</v>
      </c>
      <c r="G106" s="16">
        <f t="shared" si="1"/>
        <v>106600</v>
      </c>
    </row>
    <row r="107" spans="1:7">
      <c r="A107" s="9">
        <v>994</v>
      </c>
      <c r="B107" s="16">
        <f t="shared" si="0"/>
        <v>106358</v>
      </c>
      <c r="D107" s="9">
        <v>1179</v>
      </c>
      <c r="E107" s="16">
        <f t="shared" si="2"/>
        <v>95499</v>
      </c>
      <c r="F107" s="9">
        <v>1066</v>
      </c>
      <c r="G107" s="16">
        <f t="shared" si="1"/>
        <v>107666</v>
      </c>
    </row>
    <row r="108" spans="1:7">
      <c r="A108" s="9">
        <v>994</v>
      </c>
      <c r="B108" s="16">
        <f t="shared" si="0"/>
        <v>107352</v>
      </c>
      <c r="D108" s="9">
        <v>1179</v>
      </c>
      <c r="E108" s="16">
        <f t="shared" si="2"/>
        <v>96678</v>
      </c>
      <c r="F108" s="9">
        <v>1066</v>
      </c>
      <c r="G108" s="16">
        <f t="shared" si="1"/>
        <v>108732</v>
      </c>
    </row>
    <row r="109" spans="1:7">
      <c r="A109" s="9">
        <v>994</v>
      </c>
      <c r="B109" s="16">
        <f t="shared" si="0"/>
        <v>108346</v>
      </c>
      <c r="D109" s="9">
        <v>1179</v>
      </c>
      <c r="E109" s="16">
        <f t="shared" si="2"/>
        <v>97857</v>
      </c>
      <c r="F109" s="9">
        <v>1066</v>
      </c>
      <c r="G109" s="16">
        <f t="shared" si="1"/>
        <v>109798</v>
      </c>
    </row>
    <row r="110" spans="1:7">
      <c r="A110" s="9">
        <v>994</v>
      </c>
      <c r="B110" s="16">
        <f t="shared" si="0"/>
        <v>109340</v>
      </c>
      <c r="D110" s="9">
        <v>1179</v>
      </c>
      <c r="E110" s="16">
        <f t="shared" si="2"/>
        <v>99036</v>
      </c>
      <c r="F110" s="9">
        <v>1066</v>
      </c>
      <c r="G110" s="16">
        <f t="shared" si="1"/>
        <v>110864</v>
      </c>
    </row>
    <row r="111" spans="1:7">
      <c r="A111" s="9">
        <v>994</v>
      </c>
      <c r="B111" s="16">
        <f t="shared" si="0"/>
        <v>110334</v>
      </c>
      <c r="D111" s="9">
        <v>1179</v>
      </c>
      <c r="E111" s="16">
        <f t="shared" si="2"/>
        <v>100215</v>
      </c>
      <c r="F111" s="9">
        <v>1066</v>
      </c>
      <c r="G111" s="16">
        <f t="shared" si="1"/>
        <v>111930</v>
      </c>
    </row>
    <row r="112" spans="1:7">
      <c r="A112" s="9">
        <v>994</v>
      </c>
      <c r="B112" s="16">
        <f t="shared" si="0"/>
        <v>111328</v>
      </c>
      <c r="D112" s="9">
        <v>1179</v>
      </c>
      <c r="E112" s="16">
        <f t="shared" si="2"/>
        <v>101394</v>
      </c>
      <c r="F112" s="9">
        <v>1066</v>
      </c>
      <c r="G112" s="34">
        <f t="shared" si="1"/>
        <v>112996</v>
      </c>
    </row>
    <row r="113" spans="1:7">
      <c r="A113" s="9">
        <v>994</v>
      </c>
      <c r="B113" s="16">
        <f t="shared" si="0"/>
        <v>112322</v>
      </c>
      <c r="D113" s="9">
        <v>1179</v>
      </c>
      <c r="E113" s="16">
        <f t="shared" si="2"/>
        <v>102573</v>
      </c>
      <c r="F113" s="9">
        <v>1066</v>
      </c>
      <c r="G113" s="16">
        <f t="shared" si="1"/>
        <v>114062</v>
      </c>
    </row>
    <row r="114" spans="1:7">
      <c r="A114" s="9">
        <v>994</v>
      </c>
      <c r="B114" s="16">
        <f t="shared" si="0"/>
        <v>113316</v>
      </c>
      <c r="D114" s="9">
        <v>1179</v>
      </c>
      <c r="E114" s="16">
        <f t="shared" si="2"/>
        <v>103752</v>
      </c>
      <c r="F114" s="9">
        <v>1066</v>
      </c>
      <c r="G114" s="16">
        <f t="shared" si="1"/>
        <v>115128</v>
      </c>
    </row>
    <row r="115" spans="1:7">
      <c r="A115" s="9">
        <v>994</v>
      </c>
      <c r="B115" s="16">
        <f t="shared" si="0"/>
        <v>114310</v>
      </c>
      <c r="D115" s="9">
        <v>1179</v>
      </c>
      <c r="E115" s="16">
        <f t="shared" si="2"/>
        <v>104931</v>
      </c>
      <c r="F115" s="9">
        <v>1066</v>
      </c>
      <c r="G115" s="16">
        <f t="shared" si="1"/>
        <v>116194</v>
      </c>
    </row>
    <row r="116" spans="1:7">
      <c r="A116" s="9">
        <v>994</v>
      </c>
      <c r="B116" s="16">
        <f t="shared" si="0"/>
        <v>115304</v>
      </c>
      <c r="D116" s="9">
        <v>1179</v>
      </c>
      <c r="E116" s="16">
        <f t="shared" si="2"/>
        <v>106110</v>
      </c>
      <c r="F116" s="9">
        <v>1066</v>
      </c>
      <c r="G116" s="16">
        <f t="shared" si="1"/>
        <v>117260</v>
      </c>
    </row>
    <row r="117" spans="1:7">
      <c r="A117" s="9">
        <v>994</v>
      </c>
      <c r="B117" s="16">
        <f t="shared" si="0"/>
        <v>116298</v>
      </c>
      <c r="D117" s="9">
        <v>1179</v>
      </c>
      <c r="E117" s="16">
        <f t="shared" si="2"/>
        <v>107289</v>
      </c>
      <c r="F117" s="9">
        <v>1066</v>
      </c>
      <c r="G117" s="16">
        <f t="shared" si="1"/>
        <v>118326</v>
      </c>
    </row>
    <row r="118" spans="1:7">
      <c r="A118" s="9">
        <v>994</v>
      </c>
      <c r="B118" s="16">
        <f t="shared" si="0"/>
        <v>117292</v>
      </c>
      <c r="D118" s="9">
        <v>1179</v>
      </c>
      <c r="E118" s="16">
        <f t="shared" si="2"/>
        <v>108468</v>
      </c>
      <c r="F118" s="9">
        <v>1066</v>
      </c>
      <c r="G118" s="16">
        <f t="shared" si="1"/>
        <v>119392</v>
      </c>
    </row>
    <row r="119" spans="1:7">
      <c r="A119" s="9">
        <v>994</v>
      </c>
      <c r="B119" s="16">
        <f t="shared" si="0"/>
        <v>118286</v>
      </c>
      <c r="D119" s="9">
        <v>1179</v>
      </c>
      <c r="E119" s="16">
        <f t="shared" si="2"/>
        <v>109647</v>
      </c>
      <c r="F119" s="9">
        <v>1066</v>
      </c>
      <c r="G119" s="16">
        <f t="shared" si="1"/>
        <v>120458</v>
      </c>
    </row>
    <row r="120" spans="1:7">
      <c r="A120" s="9">
        <v>994</v>
      </c>
      <c r="B120" s="16">
        <f t="shared" si="0"/>
        <v>119280</v>
      </c>
      <c r="D120" s="9">
        <v>1179</v>
      </c>
      <c r="E120" s="16">
        <f t="shared" si="2"/>
        <v>110826</v>
      </c>
      <c r="F120" s="9">
        <v>1066</v>
      </c>
      <c r="G120" s="16">
        <f t="shared" si="1"/>
        <v>121524</v>
      </c>
    </row>
    <row r="121" spans="1:7">
      <c r="A121" s="3">
        <v>994</v>
      </c>
      <c r="B121" s="34">
        <f t="shared" si="0"/>
        <v>120274</v>
      </c>
      <c r="C121" s="3"/>
      <c r="D121" s="3">
        <v>1179</v>
      </c>
      <c r="E121" s="34">
        <f t="shared" si="2"/>
        <v>112005</v>
      </c>
      <c r="F121" s="9">
        <v>1066</v>
      </c>
      <c r="G121" s="16">
        <f t="shared" si="1"/>
        <v>122590</v>
      </c>
    </row>
    <row r="122" spans="1:7">
      <c r="A122" s="9">
        <v>994</v>
      </c>
      <c r="B122" s="16">
        <f t="shared" si="0"/>
        <v>121268</v>
      </c>
      <c r="D122" s="9">
        <v>1179</v>
      </c>
      <c r="E122" s="16">
        <f t="shared" si="2"/>
        <v>113184</v>
      </c>
      <c r="F122" s="9">
        <v>1066</v>
      </c>
      <c r="G122" s="16">
        <f t="shared" si="1"/>
        <v>123656</v>
      </c>
    </row>
    <row r="123" spans="1:7">
      <c r="B123" s="16"/>
    </row>
    <row r="124" spans="1:7">
      <c r="B124" s="16"/>
    </row>
    <row r="125" spans="1:7">
      <c r="B125" s="16"/>
    </row>
    <row r="126" spans="1:7">
      <c r="B126" s="16"/>
    </row>
    <row r="127" spans="1:7">
      <c r="B127" s="16"/>
    </row>
    <row r="128" spans="1:7">
      <c r="B128" s="16"/>
    </row>
    <row r="129" spans="2:2">
      <c r="B129" s="16"/>
    </row>
    <row r="130" spans="2:2">
      <c r="B130" s="16"/>
    </row>
    <row r="131" spans="2:2">
      <c r="B131" s="16"/>
    </row>
    <row r="132" spans="2:2">
      <c r="B132" s="16"/>
    </row>
    <row r="133" spans="2:2">
      <c r="B133" s="16"/>
    </row>
    <row r="134" spans="2:2">
      <c r="B134" s="16"/>
    </row>
    <row r="135" spans="2:2">
      <c r="B135" s="16"/>
    </row>
    <row r="136" spans="2:2">
      <c r="B136" s="16"/>
    </row>
    <row r="137" spans="2:2">
      <c r="B137" s="16"/>
    </row>
    <row r="138" spans="2:2">
      <c r="B138" s="16"/>
    </row>
    <row r="139" spans="2:2">
      <c r="B139" s="16"/>
    </row>
    <row r="140" spans="2:2">
      <c r="B140" s="16"/>
    </row>
    <row r="141" spans="2:2">
      <c r="B141" s="16"/>
    </row>
    <row r="142" spans="2:2">
      <c r="B142" s="16"/>
    </row>
    <row r="143" spans="2:2">
      <c r="B143" s="16"/>
    </row>
    <row r="144" spans="2:2">
      <c r="B144" s="16"/>
    </row>
    <row r="145" spans="2:2">
      <c r="B145" s="16"/>
    </row>
    <row r="146" spans="2:2">
      <c r="B146" s="16"/>
    </row>
    <row r="147" spans="2:2">
      <c r="B147" s="16"/>
    </row>
    <row r="148" spans="2:2">
      <c r="B148" s="16"/>
    </row>
    <row r="149" spans="2:2">
      <c r="B149" s="16"/>
    </row>
    <row r="150" spans="2:2">
      <c r="B150" s="16"/>
    </row>
    <row r="151" spans="2:2">
      <c r="B151" s="16"/>
    </row>
    <row r="152" spans="2:2">
      <c r="B152" s="16"/>
    </row>
    <row r="153" spans="2:2">
      <c r="B153" s="16"/>
    </row>
    <row r="154" spans="2:2">
      <c r="B154" s="16"/>
    </row>
    <row r="155" spans="2:2">
      <c r="B155" s="16"/>
    </row>
    <row r="156" spans="2:2">
      <c r="B156" s="16"/>
    </row>
    <row r="157" spans="2:2">
      <c r="B157" s="16"/>
    </row>
    <row r="158" spans="2:2">
      <c r="B158" s="16"/>
    </row>
    <row r="159" spans="2:2">
      <c r="B159" s="16"/>
    </row>
    <row r="160" spans="2:2">
      <c r="B160" s="16"/>
    </row>
    <row r="161" spans="2:2">
      <c r="B161" s="16"/>
    </row>
    <row r="162" spans="2:2">
      <c r="B162" s="16"/>
    </row>
    <row r="163" spans="2:2">
      <c r="B163" s="16"/>
    </row>
    <row r="164" spans="2:2">
      <c r="B164" s="16"/>
    </row>
    <row r="165" spans="2:2">
      <c r="B165" s="16"/>
    </row>
    <row r="166" spans="2:2">
      <c r="B166" s="16"/>
    </row>
    <row r="167" spans="2:2">
      <c r="B167" s="16"/>
    </row>
    <row r="168" spans="2:2">
      <c r="B168" s="16"/>
    </row>
    <row r="169" spans="2:2">
      <c r="B169" s="16"/>
    </row>
    <row r="170" spans="2:2">
      <c r="B170" s="16"/>
    </row>
    <row r="171" spans="2:2">
      <c r="B171" s="16"/>
    </row>
    <row r="172" spans="2:2">
      <c r="B172" s="16"/>
    </row>
    <row r="173" spans="2:2">
      <c r="B173" s="16"/>
    </row>
    <row r="174" spans="2:2">
      <c r="B174" s="16"/>
    </row>
    <row r="175" spans="2:2">
      <c r="B175" s="16"/>
    </row>
    <row r="176" spans="2:2">
      <c r="B176" s="16"/>
    </row>
    <row r="177" spans="2:2">
      <c r="B177" s="16"/>
    </row>
    <row r="178" spans="2:2">
      <c r="B178" s="16"/>
    </row>
    <row r="179" spans="2:2">
      <c r="B179" s="16"/>
    </row>
    <row r="180" spans="2:2">
      <c r="B180" s="16"/>
    </row>
    <row r="181" spans="2:2">
      <c r="B181" s="16"/>
    </row>
    <row r="182" spans="2:2">
      <c r="B182" s="16"/>
    </row>
    <row r="183" spans="2:2">
      <c r="B183" s="16"/>
    </row>
    <row r="184" spans="2:2">
      <c r="B184" s="16"/>
    </row>
    <row r="185" spans="2:2">
      <c r="B185" s="16"/>
    </row>
    <row r="186" spans="2:2">
      <c r="B186" s="16"/>
    </row>
    <row r="187" spans="2:2">
      <c r="B187" s="16"/>
    </row>
    <row r="188" spans="2:2">
      <c r="B188" s="16"/>
    </row>
    <row r="189" spans="2:2">
      <c r="B189" s="16"/>
    </row>
    <row r="190" spans="2:2">
      <c r="B190" s="16"/>
    </row>
    <row r="191" spans="2:2">
      <c r="B191" s="16"/>
    </row>
    <row r="192" spans="2:2">
      <c r="B192" s="16"/>
    </row>
    <row r="193" spans="2:2">
      <c r="B193" s="16"/>
    </row>
    <row r="194" spans="2:2">
      <c r="B194" s="16"/>
    </row>
    <row r="195" spans="2:2">
      <c r="B195" s="16"/>
    </row>
    <row r="196" spans="2:2">
      <c r="B196" s="16"/>
    </row>
    <row r="197" spans="2:2">
      <c r="B197" s="16"/>
    </row>
    <row r="198" spans="2:2">
      <c r="B198" s="16"/>
    </row>
    <row r="199" spans="2:2">
      <c r="B199" s="16"/>
    </row>
    <row r="200" spans="2:2">
      <c r="B200" s="16"/>
    </row>
    <row r="201" spans="2:2">
      <c r="B201" s="16"/>
    </row>
    <row r="202" spans="2:2">
      <c r="B202" s="16"/>
    </row>
    <row r="203" spans="2:2">
      <c r="B203" s="16"/>
    </row>
    <row r="204" spans="2:2">
      <c r="B204" s="16"/>
    </row>
    <row r="205" spans="2:2">
      <c r="B205" s="16"/>
    </row>
    <row r="206" spans="2:2">
      <c r="B206" s="16"/>
    </row>
    <row r="207" spans="2:2">
      <c r="B207" s="16"/>
    </row>
    <row r="208" spans="2:2">
      <c r="B208" s="16"/>
    </row>
    <row r="209" spans="2:2">
      <c r="B209" s="16"/>
    </row>
    <row r="210" spans="2:2">
      <c r="B210" s="16"/>
    </row>
    <row r="211" spans="2:2">
      <c r="B211" s="16"/>
    </row>
    <row r="212" spans="2:2">
      <c r="B212" s="16"/>
    </row>
    <row r="213" spans="2:2">
      <c r="B213" s="16"/>
    </row>
    <row r="214" spans="2:2">
      <c r="B214" s="16"/>
    </row>
    <row r="215" spans="2:2">
      <c r="B215" s="16"/>
    </row>
    <row r="216" spans="2:2">
      <c r="B216" s="16"/>
    </row>
    <row r="217" spans="2:2">
      <c r="B217" s="16"/>
    </row>
    <row r="218" spans="2:2">
      <c r="B218" s="16"/>
    </row>
    <row r="219" spans="2:2">
      <c r="B219" s="16"/>
    </row>
    <row r="220" spans="2:2">
      <c r="B220" s="16"/>
    </row>
    <row r="221" spans="2:2">
      <c r="B221" s="16"/>
    </row>
    <row r="222" spans="2:2">
      <c r="B222" s="16"/>
    </row>
    <row r="223" spans="2:2">
      <c r="B223" s="16"/>
    </row>
    <row r="224" spans="2:2">
      <c r="B224" s="16"/>
    </row>
    <row r="225" spans="2:2">
      <c r="B225" s="16"/>
    </row>
    <row r="226" spans="2:2">
      <c r="B226" s="16"/>
    </row>
    <row r="227" spans="2:2">
      <c r="B227" s="16"/>
    </row>
    <row r="228" spans="2:2">
      <c r="B228" s="16"/>
    </row>
    <row r="229" spans="2:2">
      <c r="B229" s="16"/>
    </row>
    <row r="230" spans="2:2">
      <c r="B230" s="16"/>
    </row>
    <row r="231" spans="2:2">
      <c r="B231" s="16"/>
    </row>
    <row r="232" spans="2:2">
      <c r="B232" s="16"/>
    </row>
    <row r="233" spans="2:2">
      <c r="B233" s="16"/>
    </row>
    <row r="234" spans="2:2">
      <c r="B234" s="16"/>
    </row>
    <row r="235" spans="2:2">
      <c r="B235" s="16"/>
    </row>
    <row r="236" spans="2:2">
      <c r="B236" s="16"/>
    </row>
    <row r="237" spans="2:2">
      <c r="B237" s="16"/>
    </row>
    <row r="238" spans="2:2">
      <c r="B238" s="16"/>
    </row>
    <row r="239" spans="2:2">
      <c r="B239" s="16"/>
    </row>
    <row r="240" spans="2:2">
      <c r="B240" s="16"/>
    </row>
    <row r="241" spans="2:2">
      <c r="B241" s="16"/>
    </row>
    <row r="242" spans="2:2">
      <c r="B242" s="16"/>
    </row>
    <row r="243" spans="2:2">
      <c r="B243" s="16"/>
    </row>
    <row r="244" spans="2:2">
      <c r="B244" s="16"/>
    </row>
    <row r="245" spans="2:2">
      <c r="B245" s="16"/>
    </row>
    <row r="246" spans="2:2">
      <c r="B246" s="16"/>
    </row>
    <row r="247" spans="2:2">
      <c r="B247" s="16"/>
    </row>
    <row r="248" spans="2:2">
      <c r="B248" s="16"/>
    </row>
    <row r="249" spans="2:2">
      <c r="B249" s="16"/>
    </row>
    <row r="250" spans="2:2">
      <c r="B250" s="16"/>
    </row>
    <row r="251" spans="2:2">
      <c r="B251" s="16"/>
    </row>
    <row r="252" spans="2:2">
      <c r="B252" s="16"/>
    </row>
    <row r="253" spans="2:2">
      <c r="B253" s="16"/>
    </row>
    <row r="254" spans="2:2">
      <c r="B254" s="16"/>
    </row>
    <row r="255" spans="2:2">
      <c r="B255" s="16"/>
    </row>
    <row r="256" spans="2:2">
      <c r="B256" s="16"/>
    </row>
    <row r="257" spans="2:2">
      <c r="B257" s="16"/>
    </row>
    <row r="258" spans="2:2">
      <c r="B258" s="16"/>
    </row>
    <row r="259" spans="2:2">
      <c r="B259" s="16"/>
    </row>
    <row r="260" spans="2:2">
      <c r="B260" s="16"/>
    </row>
    <row r="261" spans="2:2">
      <c r="B261" s="16"/>
    </row>
    <row r="262" spans="2:2">
      <c r="B262" s="16"/>
    </row>
    <row r="263" spans="2:2">
      <c r="B263" s="16"/>
    </row>
    <row r="264" spans="2:2">
      <c r="B264" s="16"/>
    </row>
    <row r="265" spans="2:2">
      <c r="B265" s="16"/>
    </row>
    <row r="266" spans="2:2">
      <c r="B266" s="16"/>
    </row>
    <row r="267" spans="2:2">
      <c r="B267" s="16"/>
    </row>
    <row r="268" spans="2:2">
      <c r="B268" s="16"/>
    </row>
    <row r="269" spans="2:2">
      <c r="B269" s="16"/>
    </row>
    <row r="270" spans="2:2">
      <c r="B270" s="16"/>
    </row>
    <row r="271" spans="2:2">
      <c r="B271" s="16"/>
    </row>
    <row r="272" spans="2:2">
      <c r="B272" s="16"/>
    </row>
    <row r="273" spans="2:2">
      <c r="B273" s="16"/>
    </row>
    <row r="274" spans="2:2">
      <c r="B274" s="16"/>
    </row>
    <row r="275" spans="2:2">
      <c r="B275" s="16"/>
    </row>
    <row r="276" spans="2:2">
      <c r="B276" s="16"/>
    </row>
    <row r="277" spans="2:2">
      <c r="B277" s="16"/>
    </row>
    <row r="278" spans="2:2">
      <c r="B278" s="16"/>
    </row>
    <row r="279" spans="2:2">
      <c r="B279" s="16"/>
    </row>
    <row r="280" spans="2:2">
      <c r="B280" s="16"/>
    </row>
    <row r="281" spans="2:2">
      <c r="B281" s="16"/>
    </row>
    <row r="282" spans="2:2">
      <c r="B282" s="16"/>
    </row>
    <row r="283" spans="2:2">
      <c r="B283" s="16"/>
    </row>
    <row r="284" spans="2:2">
      <c r="B284" s="16"/>
    </row>
    <row r="285" spans="2:2">
      <c r="B285" s="16"/>
    </row>
    <row r="286" spans="2:2">
      <c r="B286" s="16"/>
    </row>
    <row r="287" spans="2:2">
      <c r="B287" s="16"/>
    </row>
    <row r="288" spans="2:2">
      <c r="B288" s="16"/>
    </row>
    <row r="289" spans="2:2">
      <c r="B289" s="16"/>
    </row>
    <row r="290" spans="2:2">
      <c r="B290" s="16"/>
    </row>
    <row r="291" spans="2:2">
      <c r="B291" s="16"/>
    </row>
    <row r="292" spans="2:2">
      <c r="B292" s="16"/>
    </row>
    <row r="293" spans="2:2">
      <c r="B293" s="16"/>
    </row>
    <row r="294" spans="2:2">
      <c r="B294" s="16"/>
    </row>
    <row r="295" spans="2:2">
      <c r="B295" s="16"/>
    </row>
    <row r="296" spans="2:2">
      <c r="B296" s="16"/>
    </row>
    <row r="297" spans="2:2">
      <c r="B297" s="16"/>
    </row>
    <row r="298" spans="2:2">
      <c r="B298" s="16"/>
    </row>
    <row r="299" spans="2:2">
      <c r="B299" s="16"/>
    </row>
    <row r="300" spans="2:2">
      <c r="B300" s="16"/>
    </row>
    <row r="301" spans="2:2">
      <c r="B301" s="16"/>
    </row>
    <row r="302" spans="2:2">
      <c r="B302" s="16"/>
    </row>
    <row r="303" spans="2:2">
      <c r="B303" s="16"/>
    </row>
    <row r="304" spans="2:2">
      <c r="B304" s="16"/>
    </row>
    <row r="305" spans="2:2">
      <c r="B305" s="16"/>
    </row>
    <row r="306" spans="2:2">
      <c r="B306" s="16"/>
    </row>
    <row r="307" spans="2:2">
      <c r="B307" s="16"/>
    </row>
    <row r="308" spans="2:2">
      <c r="B308" s="16"/>
    </row>
    <row r="309" spans="2:2">
      <c r="B309" s="16"/>
    </row>
    <row r="310" spans="2:2">
      <c r="B310" s="16"/>
    </row>
    <row r="311" spans="2:2">
      <c r="B311" s="16"/>
    </row>
    <row r="312" spans="2:2">
      <c r="B312" s="16"/>
    </row>
    <row r="313" spans="2:2">
      <c r="B313" s="16"/>
    </row>
    <row r="314" spans="2:2">
      <c r="B314" s="16"/>
    </row>
    <row r="315" spans="2:2">
      <c r="B315" s="16"/>
    </row>
    <row r="316" spans="2:2">
      <c r="B316" s="16"/>
    </row>
    <row r="317" spans="2:2">
      <c r="B317" s="16"/>
    </row>
    <row r="318" spans="2:2">
      <c r="B318" s="16"/>
    </row>
    <row r="319" spans="2:2">
      <c r="B319" s="16"/>
    </row>
    <row r="320" spans="2:2">
      <c r="B320" s="16"/>
    </row>
    <row r="321" spans="2:2">
      <c r="B321" s="16"/>
    </row>
    <row r="322" spans="2:2">
      <c r="B322" s="16"/>
    </row>
    <row r="323" spans="2:2">
      <c r="B323" s="16"/>
    </row>
    <row r="324" spans="2:2">
      <c r="B324" s="16"/>
    </row>
    <row r="325" spans="2:2">
      <c r="B325" s="16"/>
    </row>
    <row r="326" spans="2:2">
      <c r="B326" s="16"/>
    </row>
    <row r="327" spans="2:2">
      <c r="B327" s="16"/>
    </row>
    <row r="328" spans="2:2">
      <c r="B328" s="16"/>
    </row>
    <row r="329" spans="2:2">
      <c r="B329" s="16"/>
    </row>
    <row r="330" spans="2:2">
      <c r="B330" s="16"/>
    </row>
    <row r="331" spans="2:2">
      <c r="B331" s="16"/>
    </row>
    <row r="332" spans="2:2">
      <c r="B332" s="16"/>
    </row>
    <row r="333" spans="2:2">
      <c r="B333" s="16"/>
    </row>
    <row r="334" spans="2:2">
      <c r="B334" s="16"/>
    </row>
    <row r="335" spans="2:2">
      <c r="B335" s="16"/>
    </row>
    <row r="336" spans="2:2">
      <c r="B336" s="16"/>
    </row>
    <row r="337" spans="2:2">
      <c r="B337" s="16"/>
    </row>
    <row r="338" spans="2:2">
      <c r="B338" s="16"/>
    </row>
    <row r="339" spans="2:2">
      <c r="B339" s="16"/>
    </row>
    <row r="340" spans="2:2">
      <c r="B340" s="16"/>
    </row>
    <row r="341" spans="2:2">
      <c r="B341" s="16"/>
    </row>
    <row r="342" spans="2:2">
      <c r="B342" s="16"/>
    </row>
    <row r="343" spans="2:2">
      <c r="B343" s="16"/>
    </row>
    <row r="344" spans="2:2">
      <c r="B344" s="16"/>
    </row>
    <row r="345" spans="2:2">
      <c r="B345" s="16"/>
    </row>
    <row r="346" spans="2:2">
      <c r="B346" s="16"/>
    </row>
    <row r="347" spans="2:2">
      <c r="B347" s="16"/>
    </row>
    <row r="348" spans="2:2">
      <c r="B348" s="16"/>
    </row>
    <row r="349" spans="2:2">
      <c r="B349" s="16"/>
    </row>
    <row r="350" spans="2:2">
      <c r="B350" s="16"/>
    </row>
    <row r="351" spans="2:2">
      <c r="B351" s="16"/>
    </row>
    <row r="352" spans="2:2">
      <c r="B352" s="16"/>
    </row>
    <row r="353" spans="2:2">
      <c r="B353" s="16"/>
    </row>
    <row r="354" spans="2:2">
      <c r="B354" s="16"/>
    </row>
    <row r="355" spans="2:2">
      <c r="B355" s="16"/>
    </row>
    <row r="356" spans="2:2">
      <c r="B356" s="16"/>
    </row>
    <row r="357" spans="2:2">
      <c r="B357" s="16"/>
    </row>
    <row r="358" spans="2:2">
      <c r="B358" s="16"/>
    </row>
    <row r="359" spans="2:2">
      <c r="B359" s="16"/>
    </row>
    <row r="360" spans="2:2">
      <c r="B360" s="16"/>
    </row>
    <row r="361" spans="2:2">
      <c r="B361" s="16"/>
    </row>
    <row r="362" spans="2:2">
      <c r="B362" s="16"/>
    </row>
    <row r="363" spans="2:2">
      <c r="B363" s="16"/>
    </row>
    <row r="364" spans="2:2">
      <c r="B364" s="16"/>
    </row>
    <row r="365" spans="2:2">
      <c r="B365" s="16"/>
    </row>
    <row r="366" spans="2:2">
      <c r="B366" s="16"/>
    </row>
    <row r="367" spans="2:2">
      <c r="B367" s="16"/>
    </row>
    <row r="368" spans="2:2">
      <c r="B368" s="16"/>
    </row>
    <row r="369" spans="2:2">
      <c r="B369" s="16"/>
    </row>
    <row r="370" spans="2:2">
      <c r="B370" s="16"/>
    </row>
    <row r="371" spans="2:2">
      <c r="B371" s="16"/>
    </row>
    <row r="372" spans="2:2">
      <c r="B372" s="16"/>
    </row>
    <row r="373" spans="2:2">
      <c r="B373" s="16"/>
    </row>
    <row r="374" spans="2:2">
      <c r="B374" s="16"/>
    </row>
    <row r="375" spans="2:2">
      <c r="B375" s="16"/>
    </row>
    <row r="376" spans="2:2">
      <c r="B376" s="16"/>
    </row>
    <row r="377" spans="2:2">
      <c r="B377" s="16"/>
    </row>
    <row r="378" spans="2:2">
      <c r="B378" s="16"/>
    </row>
    <row r="379" spans="2:2">
      <c r="B379" s="16"/>
    </row>
    <row r="380" spans="2:2">
      <c r="B380" s="16"/>
    </row>
    <row r="381" spans="2:2">
      <c r="B381" s="16"/>
    </row>
    <row r="382" spans="2:2">
      <c r="B382" s="16"/>
    </row>
    <row r="383" spans="2:2">
      <c r="B383" s="16"/>
    </row>
    <row r="384" spans="2:2">
      <c r="B384" s="16"/>
    </row>
    <row r="385" spans="2:2">
      <c r="B385" s="16"/>
    </row>
    <row r="386" spans="2:2">
      <c r="B386" s="16"/>
    </row>
    <row r="387" spans="2:2">
      <c r="B387" s="16"/>
    </row>
    <row r="388" spans="2:2">
      <c r="B388" s="16"/>
    </row>
    <row r="389" spans="2:2">
      <c r="B389" s="16"/>
    </row>
    <row r="390" spans="2:2">
      <c r="B390" s="16"/>
    </row>
    <row r="391" spans="2:2">
      <c r="B391" s="16"/>
    </row>
    <row r="392" spans="2:2">
      <c r="B392" s="16"/>
    </row>
    <row r="393" spans="2:2">
      <c r="B393" s="16"/>
    </row>
    <row r="394" spans="2:2">
      <c r="B394" s="16"/>
    </row>
    <row r="395" spans="2:2">
      <c r="B395" s="16"/>
    </row>
    <row r="396" spans="2:2">
      <c r="B396" s="16"/>
    </row>
    <row r="397" spans="2:2">
      <c r="B397" s="16"/>
    </row>
    <row r="398" spans="2:2">
      <c r="B398" s="16"/>
    </row>
    <row r="399" spans="2:2">
      <c r="B399" s="16"/>
    </row>
    <row r="400" spans="2:2">
      <c r="B400" s="16"/>
    </row>
    <row r="401" spans="2:2">
      <c r="B401" s="16"/>
    </row>
    <row r="402" spans="2:2">
      <c r="B402" s="16"/>
    </row>
    <row r="403" spans="2:2">
      <c r="B403" s="16"/>
    </row>
    <row r="404" spans="2:2">
      <c r="B404" s="16"/>
    </row>
    <row r="405" spans="2:2">
      <c r="B405" s="16"/>
    </row>
    <row r="406" spans="2:2">
      <c r="B406" s="16"/>
    </row>
    <row r="407" spans="2:2">
      <c r="B407" s="16"/>
    </row>
    <row r="408" spans="2:2">
      <c r="B408" s="16"/>
    </row>
    <row r="409" spans="2:2">
      <c r="B409" s="16"/>
    </row>
    <row r="410" spans="2:2">
      <c r="B410" s="16"/>
    </row>
    <row r="411" spans="2:2">
      <c r="B411" s="16"/>
    </row>
    <row r="412" spans="2:2">
      <c r="B412" s="16"/>
    </row>
    <row r="413" spans="2:2">
      <c r="B413" s="16"/>
    </row>
    <row r="414" spans="2:2">
      <c r="B414" s="16"/>
    </row>
    <row r="415" spans="2:2">
      <c r="B415" s="16"/>
    </row>
    <row r="416" spans="2:2">
      <c r="B416" s="16"/>
    </row>
    <row r="417" spans="2:2">
      <c r="B417" s="16"/>
    </row>
    <row r="418" spans="2:2">
      <c r="B418" s="16"/>
    </row>
    <row r="419" spans="2:2">
      <c r="B419" s="16"/>
    </row>
    <row r="420" spans="2:2">
      <c r="B420" s="16"/>
    </row>
    <row r="421" spans="2:2">
      <c r="B421" s="16"/>
    </row>
    <row r="422" spans="2:2">
      <c r="B422" s="16"/>
    </row>
    <row r="423" spans="2:2">
      <c r="B423" s="16"/>
    </row>
    <row r="424" spans="2:2">
      <c r="B424" s="16"/>
    </row>
    <row r="425" spans="2:2">
      <c r="B425" s="16"/>
    </row>
    <row r="426" spans="2:2">
      <c r="B426" s="16"/>
    </row>
    <row r="427" spans="2:2">
      <c r="B427" s="16"/>
    </row>
    <row r="428" spans="2:2">
      <c r="B428" s="16"/>
    </row>
    <row r="429" spans="2:2">
      <c r="B429" s="16"/>
    </row>
    <row r="430" spans="2:2">
      <c r="B430" s="16"/>
    </row>
    <row r="431" spans="2:2">
      <c r="B431" s="16"/>
    </row>
    <row r="432" spans="2:2">
      <c r="B432" s="16"/>
    </row>
    <row r="433" spans="2:2">
      <c r="B433" s="16"/>
    </row>
    <row r="434" spans="2:2">
      <c r="B434" s="16"/>
    </row>
    <row r="435" spans="2:2">
      <c r="B435" s="16"/>
    </row>
    <row r="436" spans="2:2">
      <c r="B436" s="16"/>
    </row>
    <row r="437" spans="2:2">
      <c r="B437" s="16"/>
    </row>
    <row r="438" spans="2:2">
      <c r="B438" s="16"/>
    </row>
    <row r="439" spans="2:2">
      <c r="B439" s="16"/>
    </row>
    <row r="440" spans="2:2">
      <c r="B440" s="16"/>
    </row>
    <row r="441" spans="2:2">
      <c r="B441" s="16"/>
    </row>
    <row r="442" spans="2:2">
      <c r="B442" s="16"/>
    </row>
    <row r="443" spans="2:2">
      <c r="B443" s="16"/>
    </row>
    <row r="444" spans="2:2">
      <c r="B444" s="16"/>
    </row>
    <row r="445" spans="2:2">
      <c r="B445" s="16"/>
    </row>
    <row r="446" spans="2:2">
      <c r="B446" s="16"/>
    </row>
    <row r="447" spans="2:2">
      <c r="B447" s="16"/>
    </row>
    <row r="448" spans="2:2">
      <c r="B448" s="16"/>
    </row>
    <row r="449" spans="2:2">
      <c r="B449" s="16"/>
    </row>
    <row r="450" spans="2:2">
      <c r="B450" s="16"/>
    </row>
    <row r="451" spans="2:2">
      <c r="B451" s="16"/>
    </row>
    <row r="452" spans="2:2">
      <c r="B452" s="16"/>
    </row>
    <row r="453" spans="2:2">
      <c r="B453" s="16"/>
    </row>
    <row r="454" spans="2:2">
      <c r="B454" s="16"/>
    </row>
    <row r="455" spans="2:2">
      <c r="B455" s="16"/>
    </row>
    <row r="456" spans="2:2">
      <c r="B456" s="16"/>
    </row>
    <row r="457" spans="2:2">
      <c r="B457" s="16"/>
    </row>
    <row r="458" spans="2:2">
      <c r="B458" s="16"/>
    </row>
    <row r="459" spans="2:2">
      <c r="B459" s="16"/>
    </row>
    <row r="460" spans="2:2">
      <c r="B460" s="16"/>
    </row>
    <row r="461" spans="2:2">
      <c r="B461" s="16"/>
    </row>
    <row r="462" spans="2:2">
      <c r="B462" s="16"/>
    </row>
    <row r="463" spans="2:2">
      <c r="B463" s="16"/>
    </row>
    <row r="464" spans="2:2">
      <c r="B464" s="16"/>
    </row>
    <row r="465" spans="2:2">
      <c r="B465" s="16"/>
    </row>
    <row r="466" spans="2:2">
      <c r="B466" s="16"/>
    </row>
    <row r="467" spans="2:2">
      <c r="B467" s="16"/>
    </row>
    <row r="468" spans="2:2">
      <c r="B468" s="16"/>
    </row>
    <row r="469" spans="2:2">
      <c r="B469" s="16"/>
    </row>
    <row r="470" spans="2:2">
      <c r="B470" s="16"/>
    </row>
    <row r="471" spans="2:2">
      <c r="B471" s="16"/>
    </row>
    <row r="472" spans="2:2">
      <c r="B472" s="16"/>
    </row>
    <row r="473" spans="2:2">
      <c r="B473" s="16"/>
    </row>
    <row r="474" spans="2:2">
      <c r="B474" s="16"/>
    </row>
    <row r="475" spans="2:2">
      <c r="B475" s="16"/>
    </row>
    <row r="476" spans="2:2">
      <c r="B476" s="16"/>
    </row>
    <row r="477" spans="2:2">
      <c r="B477" s="16"/>
    </row>
    <row r="478" spans="2:2">
      <c r="B478" s="16"/>
    </row>
    <row r="479" spans="2:2">
      <c r="B479" s="16"/>
    </row>
    <row r="480" spans="2:2">
      <c r="B480" s="16"/>
    </row>
    <row r="481" spans="2:2">
      <c r="B481" s="16"/>
    </row>
    <row r="482" spans="2:2">
      <c r="B482" s="16"/>
    </row>
    <row r="483" spans="2:2">
      <c r="B483" s="16"/>
    </row>
    <row r="484" spans="2:2">
      <c r="B484" s="16"/>
    </row>
    <row r="485" spans="2:2">
      <c r="B485" s="16"/>
    </row>
    <row r="486" spans="2:2">
      <c r="B486" s="16"/>
    </row>
    <row r="487" spans="2:2">
      <c r="B487" s="16"/>
    </row>
    <row r="488" spans="2:2">
      <c r="B488" s="16"/>
    </row>
    <row r="489" spans="2:2">
      <c r="B489" s="16"/>
    </row>
    <row r="490" spans="2:2">
      <c r="B490" s="16"/>
    </row>
    <row r="491" spans="2:2">
      <c r="B491" s="16"/>
    </row>
    <row r="492" spans="2:2">
      <c r="B492" s="16"/>
    </row>
    <row r="493" spans="2:2">
      <c r="B493" s="16"/>
    </row>
    <row r="494" spans="2:2">
      <c r="B494" s="16"/>
    </row>
    <row r="495" spans="2:2">
      <c r="B495" s="16"/>
    </row>
    <row r="496" spans="2:2">
      <c r="B496" s="16"/>
    </row>
    <row r="497" spans="2:2">
      <c r="B497" s="16"/>
    </row>
    <row r="498" spans="2:2">
      <c r="B498" s="16"/>
    </row>
    <row r="499" spans="2:2">
      <c r="B499" s="16"/>
    </row>
    <row r="500" spans="2:2">
      <c r="B500" s="16"/>
    </row>
    <row r="501" spans="2:2">
      <c r="B501" s="16"/>
    </row>
    <row r="502" spans="2:2">
      <c r="B502" s="16"/>
    </row>
    <row r="503" spans="2:2">
      <c r="B503" s="16"/>
    </row>
    <row r="504" spans="2:2">
      <c r="B504" s="16"/>
    </row>
    <row r="505" spans="2:2">
      <c r="B505" s="16"/>
    </row>
    <row r="506" spans="2:2">
      <c r="B506" s="16"/>
    </row>
    <row r="507" spans="2:2">
      <c r="B507" s="16"/>
    </row>
    <row r="508" spans="2:2">
      <c r="B508" s="16"/>
    </row>
    <row r="509" spans="2:2">
      <c r="B509" s="16"/>
    </row>
    <row r="510" spans="2:2">
      <c r="B510" s="16"/>
    </row>
    <row r="511" spans="2:2">
      <c r="B511" s="16"/>
    </row>
    <row r="512" spans="2:2">
      <c r="B512" s="16"/>
    </row>
    <row r="513" spans="2:2">
      <c r="B513" s="16"/>
    </row>
    <row r="514" spans="2:2">
      <c r="B514" s="16"/>
    </row>
    <row r="515" spans="2:2">
      <c r="B515" s="16"/>
    </row>
    <row r="516" spans="2:2">
      <c r="B516" s="16"/>
    </row>
    <row r="517" spans="2:2">
      <c r="B517" s="16"/>
    </row>
    <row r="518" spans="2:2">
      <c r="B518" s="16"/>
    </row>
    <row r="519" spans="2:2">
      <c r="B519" s="16"/>
    </row>
    <row r="520" spans="2:2">
      <c r="B520" s="16"/>
    </row>
    <row r="521" spans="2:2">
      <c r="B521" s="16"/>
    </row>
    <row r="522" spans="2:2">
      <c r="B522" s="16"/>
    </row>
    <row r="523" spans="2:2">
      <c r="B523" s="16"/>
    </row>
    <row r="524" spans="2:2">
      <c r="B524" s="16"/>
    </row>
    <row r="525" spans="2:2">
      <c r="B525" s="16"/>
    </row>
    <row r="526" spans="2:2">
      <c r="B526" s="16"/>
    </row>
    <row r="527" spans="2:2">
      <c r="B527" s="16"/>
    </row>
    <row r="528" spans="2:2">
      <c r="B528" s="16"/>
    </row>
    <row r="529" spans="2:2">
      <c r="B529" s="16"/>
    </row>
    <row r="530" spans="2:2">
      <c r="B530" s="16"/>
    </row>
    <row r="531" spans="2:2">
      <c r="B531" s="16"/>
    </row>
    <row r="532" spans="2:2">
      <c r="B532" s="16"/>
    </row>
    <row r="533" spans="2:2">
      <c r="B533" s="16"/>
    </row>
    <row r="534" spans="2:2">
      <c r="B534" s="16"/>
    </row>
    <row r="535" spans="2:2">
      <c r="B535" s="16"/>
    </row>
    <row r="536" spans="2:2">
      <c r="B536" s="16"/>
    </row>
    <row r="537" spans="2:2">
      <c r="B537" s="16"/>
    </row>
    <row r="538" spans="2:2">
      <c r="B538" s="16"/>
    </row>
    <row r="539" spans="2:2">
      <c r="B539" s="16"/>
    </row>
    <row r="540" spans="2:2">
      <c r="B540" s="16"/>
    </row>
    <row r="541" spans="2:2">
      <c r="B541" s="16"/>
    </row>
    <row r="542" spans="2:2">
      <c r="B542" s="16"/>
    </row>
    <row r="543" spans="2:2">
      <c r="B543" s="16"/>
    </row>
    <row r="544" spans="2:2">
      <c r="B544" s="16"/>
    </row>
    <row r="545" spans="2:2">
      <c r="B545" s="16"/>
    </row>
    <row r="546" spans="2:2">
      <c r="B546" s="16"/>
    </row>
    <row r="547" spans="2:2">
      <c r="B547" s="16"/>
    </row>
    <row r="548" spans="2:2">
      <c r="B548" s="16"/>
    </row>
    <row r="549" spans="2:2">
      <c r="B549" s="16"/>
    </row>
    <row r="550" spans="2:2">
      <c r="B550" s="16"/>
    </row>
    <row r="551" spans="2:2">
      <c r="B551" s="16"/>
    </row>
    <row r="552" spans="2:2">
      <c r="B552" s="16"/>
    </row>
    <row r="553" spans="2:2">
      <c r="B553" s="16"/>
    </row>
    <row r="554" spans="2:2">
      <c r="B554" s="16"/>
    </row>
    <row r="555" spans="2:2">
      <c r="B555" s="16"/>
    </row>
    <row r="556" spans="2:2">
      <c r="B556" s="16"/>
    </row>
    <row r="557" spans="2:2">
      <c r="B557" s="16"/>
    </row>
    <row r="558" spans="2:2">
      <c r="B558" s="16"/>
    </row>
    <row r="559" spans="2:2">
      <c r="B559" s="16"/>
    </row>
    <row r="560" spans="2:2">
      <c r="B560" s="16"/>
    </row>
    <row r="561" spans="2:2">
      <c r="B561" s="16"/>
    </row>
    <row r="562" spans="2:2">
      <c r="B562" s="16"/>
    </row>
    <row r="563" spans="2:2">
      <c r="B563" s="16"/>
    </row>
    <row r="564" spans="2:2">
      <c r="B564" s="16"/>
    </row>
    <row r="565" spans="2:2">
      <c r="B565" s="16"/>
    </row>
    <row r="566" spans="2:2">
      <c r="B566" s="16"/>
    </row>
    <row r="567" spans="2:2">
      <c r="B567" s="16"/>
    </row>
    <row r="568" spans="2:2">
      <c r="B568" s="16"/>
    </row>
    <row r="569" spans="2:2">
      <c r="B569" s="16"/>
    </row>
    <row r="570" spans="2:2">
      <c r="B570" s="16"/>
    </row>
    <row r="571" spans="2:2">
      <c r="B571" s="16"/>
    </row>
    <row r="572" spans="2:2">
      <c r="B572" s="16"/>
    </row>
    <row r="573" spans="2:2">
      <c r="B573" s="16"/>
    </row>
    <row r="574" spans="2:2">
      <c r="B574" s="16"/>
    </row>
    <row r="575" spans="2:2">
      <c r="B575" s="16"/>
    </row>
    <row r="576" spans="2:2">
      <c r="B576" s="16"/>
    </row>
    <row r="577" spans="2:2">
      <c r="B577" s="16"/>
    </row>
    <row r="578" spans="2:2">
      <c r="B578" s="16"/>
    </row>
    <row r="579" spans="2:2">
      <c r="B579" s="16"/>
    </row>
    <row r="580" spans="2:2">
      <c r="B580" s="16"/>
    </row>
    <row r="581" spans="2:2">
      <c r="B581" s="16"/>
    </row>
    <row r="582" spans="2:2">
      <c r="B582" s="16"/>
    </row>
    <row r="583" spans="2:2">
      <c r="B583" s="16"/>
    </row>
    <row r="584" spans="2:2">
      <c r="B584" s="16"/>
    </row>
    <row r="585" spans="2:2">
      <c r="B585" s="16"/>
    </row>
    <row r="586" spans="2:2">
      <c r="B586" s="16"/>
    </row>
    <row r="587" spans="2:2">
      <c r="B587" s="16"/>
    </row>
    <row r="588" spans="2:2">
      <c r="B588" s="16"/>
    </row>
    <row r="589" spans="2:2">
      <c r="B589" s="16"/>
    </row>
    <row r="590" spans="2:2">
      <c r="B590" s="16"/>
    </row>
    <row r="591" spans="2:2">
      <c r="B591" s="16"/>
    </row>
    <row r="592" spans="2:2">
      <c r="B592" s="16"/>
    </row>
    <row r="593" spans="2:2">
      <c r="B593" s="16"/>
    </row>
    <row r="594" spans="2:2">
      <c r="B594" s="16"/>
    </row>
    <row r="595" spans="2:2">
      <c r="B595" s="16"/>
    </row>
    <row r="596" spans="2:2">
      <c r="B596" s="16"/>
    </row>
    <row r="597" spans="2:2">
      <c r="B597" s="16"/>
    </row>
    <row r="598" spans="2:2">
      <c r="B598" s="16"/>
    </row>
    <row r="599" spans="2:2">
      <c r="B599" s="16"/>
    </row>
    <row r="600" spans="2:2">
      <c r="B600" s="16"/>
    </row>
    <row r="601" spans="2:2">
      <c r="B601" s="16"/>
    </row>
    <row r="602" spans="2:2">
      <c r="B602" s="16"/>
    </row>
    <row r="603" spans="2:2">
      <c r="B603" s="16"/>
    </row>
    <row r="604" spans="2:2">
      <c r="B604" s="16"/>
    </row>
    <row r="605" spans="2:2">
      <c r="B605" s="16"/>
    </row>
    <row r="606" spans="2:2">
      <c r="B606" s="16"/>
    </row>
    <row r="607" spans="2:2">
      <c r="B607" s="16"/>
    </row>
    <row r="608" spans="2:2">
      <c r="B608" s="16"/>
    </row>
    <row r="609" spans="2:2">
      <c r="B609" s="16"/>
    </row>
    <row r="610" spans="2:2">
      <c r="B610" s="16"/>
    </row>
    <row r="611" spans="2:2">
      <c r="B611" s="16"/>
    </row>
    <row r="612" spans="2:2">
      <c r="B612" s="16"/>
    </row>
    <row r="613" spans="2:2">
      <c r="B613" s="16"/>
    </row>
    <row r="614" spans="2:2">
      <c r="B614" s="16"/>
    </row>
    <row r="615" spans="2:2">
      <c r="B615" s="16"/>
    </row>
    <row r="616" spans="2:2">
      <c r="B616" s="16"/>
    </row>
    <row r="617" spans="2:2">
      <c r="B617" s="16"/>
    </row>
    <row r="618" spans="2:2">
      <c r="B618" s="16"/>
    </row>
    <row r="619" spans="2:2">
      <c r="B619" s="16"/>
    </row>
    <row r="620" spans="2:2">
      <c r="B620" s="16"/>
    </row>
    <row r="621" spans="2:2">
      <c r="B621" s="16"/>
    </row>
    <row r="622" spans="2:2">
      <c r="B622" s="16"/>
    </row>
    <row r="623" spans="2:2">
      <c r="B623" s="16"/>
    </row>
    <row r="624" spans="2:2">
      <c r="B624" s="16"/>
    </row>
    <row r="625" spans="2:2">
      <c r="B625" s="16"/>
    </row>
    <row r="626" spans="2:2">
      <c r="B626" s="16"/>
    </row>
    <row r="627" spans="2:2">
      <c r="B627" s="16"/>
    </row>
    <row r="628" spans="2:2">
      <c r="B628" s="16"/>
    </row>
    <row r="629" spans="2:2">
      <c r="B629" s="16"/>
    </row>
    <row r="630" spans="2:2">
      <c r="B630" s="16"/>
    </row>
    <row r="631" spans="2:2">
      <c r="B631" s="16"/>
    </row>
    <row r="632" spans="2:2">
      <c r="B632" s="16"/>
    </row>
    <row r="633" spans="2:2">
      <c r="B633" s="16"/>
    </row>
    <row r="634" spans="2:2">
      <c r="B634" s="16"/>
    </row>
    <row r="635" spans="2:2">
      <c r="B635" s="16"/>
    </row>
    <row r="636" spans="2:2">
      <c r="B636" s="16"/>
    </row>
    <row r="637" spans="2:2">
      <c r="B637" s="16"/>
    </row>
    <row r="638" spans="2:2">
      <c r="B638" s="16"/>
    </row>
    <row r="639" spans="2:2">
      <c r="B639" s="16"/>
    </row>
    <row r="640" spans="2:2">
      <c r="B640" s="16"/>
    </row>
    <row r="641" spans="2:2">
      <c r="B641" s="16"/>
    </row>
    <row r="642" spans="2:2">
      <c r="B642" s="16"/>
    </row>
    <row r="643" spans="2:2">
      <c r="B643" s="16"/>
    </row>
    <row r="644" spans="2:2">
      <c r="B644" s="16"/>
    </row>
    <row r="645" spans="2:2">
      <c r="B645" s="16"/>
    </row>
    <row r="646" spans="2:2">
      <c r="B646" s="16"/>
    </row>
    <row r="647" spans="2:2">
      <c r="B647" s="16"/>
    </row>
    <row r="648" spans="2:2">
      <c r="B648" s="16"/>
    </row>
    <row r="649" spans="2:2">
      <c r="B649" s="16"/>
    </row>
    <row r="650" spans="2:2">
      <c r="B650" s="16"/>
    </row>
    <row r="651" spans="2:2">
      <c r="B651" s="16"/>
    </row>
    <row r="652" spans="2:2">
      <c r="B652" s="16"/>
    </row>
    <row r="653" spans="2:2">
      <c r="B653" s="16"/>
    </row>
    <row r="654" spans="2:2">
      <c r="B654" s="16"/>
    </row>
    <row r="655" spans="2:2">
      <c r="B655" s="16"/>
    </row>
    <row r="656" spans="2:2">
      <c r="B656" s="16"/>
    </row>
    <row r="657" spans="2:2">
      <c r="B657" s="16"/>
    </row>
    <row r="658" spans="2:2">
      <c r="B658" s="16"/>
    </row>
    <row r="659" spans="2:2">
      <c r="B659" s="16"/>
    </row>
    <row r="660" spans="2:2">
      <c r="B660" s="16"/>
    </row>
    <row r="661" spans="2:2">
      <c r="B661" s="16"/>
    </row>
    <row r="662" spans="2:2">
      <c r="B662" s="16"/>
    </row>
    <row r="663" spans="2:2">
      <c r="B663" s="16"/>
    </row>
    <row r="664" spans="2:2">
      <c r="B664" s="16"/>
    </row>
    <row r="665" spans="2:2">
      <c r="B665" s="16"/>
    </row>
    <row r="666" spans="2:2">
      <c r="B666" s="16"/>
    </row>
    <row r="667" spans="2:2">
      <c r="B667" s="16"/>
    </row>
    <row r="668" spans="2:2">
      <c r="B668" s="16"/>
    </row>
    <row r="669" spans="2:2">
      <c r="B669" s="16"/>
    </row>
    <row r="670" spans="2:2">
      <c r="B670" s="16"/>
    </row>
    <row r="671" spans="2:2">
      <c r="B671" s="16"/>
    </row>
    <row r="672" spans="2:2">
      <c r="B672" s="16"/>
    </row>
    <row r="673" spans="2:2">
      <c r="B673" s="16"/>
    </row>
    <row r="674" spans="2:2">
      <c r="B674" s="16"/>
    </row>
    <row r="675" spans="2:2">
      <c r="B675" s="16"/>
    </row>
    <row r="676" spans="2:2">
      <c r="B676" s="16"/>
    </row>
    <row r="677" spans="2:2">
      <c r="B677" s="16"/>
    </row>
    <row r="678" spans="2:2">
      <c r="B678" s="16"/>
    </row>
    <row r="679" spans="2:2">
      <c r="B679" s="16"/>
    </row>
    <row r="680" spans="2:2">
      <c r="B680" s="16"/>
    </row>
    <row r="681" spans="2:2">
      <c r="B681" s="16"/>
    </row>
    <row r="682" spans="2:2">
      <c r="B682" s="16"/>
    </row>
    <row r="683" spans="2:2">
      <c r="B683" s="16"/>
    </row>
    <row r="684" spans="2:2">
      <c r="B684" s="16"/>
    </row>
    <row r="685" spans="2:2">
      <c r="B685" s="16"/>
    </row>
    <row r="686" spans="2:2">
      <c r="B686" s="16"/>
    </row>
    <row r="687" spans="2:2">
      <c r="B687" s="16"/>
    </row>
    <row r="688" spans="2:2">
      <c r="B688" s="16"/>
    </row>
    <row r="689" spans="2:2">
      <c r="B689" s="16"/>
    </row>
    <row r="690" spans="2:2">
      <c r="B690" s="16"/>
    </row>
    <row r="691" spans="2:2">
      <c r="B691" s="16"/>
    </row>
    <row r="692" spans="2:2">
      <c r="B692" s="16"/>
    </row>
    <row r="693" spans="2:2">
      <c r="B693" s="16"/>
    </row>
    <row r="694" spans="2:2">
      <c r="B694" s="16"/>
    </row>
    <row r="695" spans="2:2">
      <c r="B695" s="16"/>
    </row>
    <row r="696" spans="2:2">
      <c r="B696" s="16"/>
    </row>
    <row r="697" spans="2:2">
      <c r="B697" s="16"/>
    </row>
    <row r="698" spans="2:2">
      <c r="B698" s="16"/>
    </row>
    <row r="699" spans="2:2">
      <c r="B699" s="16"/>
    </row>
    <row r="700" spans="2:2">
      <c r="B700" s="16"/>
    </row>
    <row r="701" spans="2:2">
      <c r="B701" s="16"/>
    </row>
    <row r="702" spans="2:2">
      <c r="B702" s="16"/>
    </row>
    <row r="703" spans="2:2">
      <c r="B703" s="16"/>
    </row>
    <row r="704" spans="2:2">
      <c r="B704" s="16"/>
    </row>
    <row r="705" spans="2:2">
      <c r="B705" s="16"/>
    </row>
    <row r="706" spans="2:2">
      <c r="B706" s="16"/>
    </row>
    <row r="707" spans="2:2">
      <c r="B707" s="16"/>
    </row>
    <row r="708" spans="2:2">
      <c r="B708" s="16"/>
    </row>
    <row r="709" spans="2:2">
      <c r="B709" s="16"/>
    </row>
    <row r="710" spans="2:2">
      <c r="B710" s="16"/>
    </row>
    <row r="711" spans="2:2">
      <c r="B711" s="16"/>
    </row>
    <row r="712" spans="2:2">
      <c r="B712" s="16"/>
    </row>
    <row r="713" spans="2:2">
      <c r="B713" s="16"/>
    </row>
    <row r="714" spans="2:2">
      <c r="B714" s="16"/>
    </row>
    <row r="715" spans="2:2">
      <c r="B715" s="16"/>
    </row>
    <row r="716" spans="2:2">
      <c r="B716" s="16"/>
    </row>
    <row r="717" spans="2:2">
      <c r="B717" s="16"/>
    </row>
    <row r="718" spans="2:2">
      <c r="B718" s="16"/>
    </row>
    <row r="719" spans="2:2">
      <c r="B719" s="16"/>
    </row>
    <row r="720" spans="2:2">
      <c r="B720" s="16"/>
    </row>
    <row r="721" spans="2:2">
      <c r="B721" s="16"/>
    </row>
    <row r="722" spans="2:2">
      <c r="B722" s="16"/>
    </row>
    <row r="723" spans="2:2">
      <c r="B723" s="16"/>
    </row>
    <row r="724" spans="2:2">
      <c r="B724" s="16"/>
    </row>
    <row r="725" spans="2:2">
      <c r="B725" s="16"/>
    </row>
    <row r="726" spans="2:2">
      <c r="B726" s="16"/>
    </row>
    <row r="727" spans="2:2">
      <c r="B727" s="16"/>
    </row>
    <row r="728" spans="2:2">
      <c r="B728" s="16"/>
    </row>
    <row r="729" spans="2:2">
      <c r="B729" s="16"/>
    </row>
    <row r="730" spans="2:2">
      <c r="B730" s="16"/>
    </row>
    <row r="731" spans="2:2">
      <c r="B731" s="16"/>
    </row>
    <row r="732" spans="2:2">
      <c r="B732" s="16"/>
    </row>
    <row r="733" spans="2:2">
      <c r="B733" s="16"/>
    </row>
    <row r="734" spans="2:2">
      <c r="B734" s="16"/>
    </row>
    <row r="735" spans="2:2">
      <c r="B735" s="16"/>
    </row>
    <row r="736" spans="2:2">
      <c r="B736" s="16"/>
    </row>
    <row r="737" spans="2:2">
      <c r="B737" s="16"/>
    </row>
    <row r="738" spans="2:2">
      <c r="B738" s="16"/>
    </row>
    <row r="739" spans="2:2">
      <c r="B739" s="16"/>
    </row>
    <row r="740" spans="2:2">
      <c r="B740" s="16"/>
    </row>
    <row r="741" spans="2:2">
      <c r="B741" s="16"/>
    </row>
    <row r="742" spans="2:2">
      <c r="B742" s="16"/>
    </row>
    <row r="743" spans="2:2">
      <c r="B743" s="16"/>
    </row>
    <row r="744" spans="2:2">
      <c r="B744" s="16"/>
    </row>
    <row r="745" spans="2:2">
      <c r="B745" s="16"/>
    </row>
    <row r="746" spans="2:2">
      <c r="B746" s="16"/>
    </row>
    <row r="747" spans="2:2">
      <c r="B747" s="16"/>
    </row>
    <row r="748" spans="2:2">
      <c r="B748" s="16"/>
    </row>
    <row r="749" spans="2:2">
      <c r="B749" s="16"/>
    </row>
    <row r="750" spans="2:2">
      <c r="B750" s="16"/>
    </row>
    <row r="751" spans="2:2">
      <c r="B751" s="16"/>
    </row>
    <row r="752" spans="2:2">
      <c r="B752" s="16"/>
    </row>
    <row r="753" spans="2:2">
      <c r="B753" s="16"/>
    </row>
    <row r="754" spans="2:2">
      <c r="B754" s="16"/>
    </row>
    <row r="755" spans="2:2">
      <c r="B755" s="16"/>
    </row>
    <row r="756" spans="2:2">
      <c r="B756" s="16"/>
    </row>
    <row r="757" spans="2:2">
      <c r="B757" s="16"/>
    </row>
    <row r="758" spans="2:2">
      <c r="B758" s="16"/>
    </row>
    <row r="759" spans="2:2">
      <c r="B759" s="16"/>
    </row>
    <row r="760" spans="2:2">
      <c r="B760" s="16"/>
    </row>
    <row r="761" spans="2:2">
      <c r="B761" s="16"/>
    </row>
    <row r="762" spans="2:2">
      <c r="B762" s="16"/>
    </row>
    <row r="763" spans="2:2">
      <c r="B763" s="16"/>
    </row>
    <row r="764" spans="2:2">
      <c r="B764" s="16"/>
    </row>
    <row r="765" spans="2:2">
      <c r="B765" s="16"/>
    </row>
    <row r="766" spans="2:2">
      <c r="B766" s="16"/>
    </row>
    <row r="767" spans="2:2">
      <c r="B767" s="16"/>
    </row>
    <row r="768" spans="2:2">
      <c r="B768" s="16"/>
    </row>
    <row r="769" spans="2:2">
      <c r="B769" s="16"/>
    </row>
    <row r="770" spans="2:2">
      <c r="B770" s="16"/>
    </row>
    <row r="771" spans="2:2">
      <c r="B771" s="16"/>
    </row>
    <row r="772" spans="2:2">
      <c r="B772" s="16"/>
    </row>
    <row r="773" spans="2:2">
      <c r="B773" s="16"/>
    </row>
    <row r="774" spans="2:2">
      <c r="B774" s="16"/>
    </row>
    <row r="775" spans="2:2">
      <c r="B775" s="16"/>
    </row>
    <row r="776" spans="2:2">
      <c r="B776" s="16"/>
    </row>
    <row r="777" spans="2:2">
      <c r="B777" s="16"/>
    </row>
    <row r="778" spans="2:2">
      <c r="B778" s="16"/>
    </row>
    <row r="779" spans="2:2">
      <c r="B779" s="16"/>
    </row>
    <row r="780" spans="2:2">
      <c r="B780" s="16"/>
    </row>
    <row r="781" spans="2:2">
      <c r="B781" s="16"/>
    </row>
    <row r="782" spans="2:2">
      <c r="B782" s="16"/>
    </row>
    <row r="783" spans="2:2">
      <c r="B783" s="16"/>
    </row>
    <row r="784" spans="2:2">
      <c r="B784" s="16"/>
    </row>
    <row r="785" spans="2:2">
      <c r="B785" s="16"/>
    </row>
    <row r="786" spans="2:2">
      <c r="B786" s="16"/>
    </row>
    <row r="787" spans="2:2">
      <c r="B787" s="16"/>
    </row>
    <row r="788" spans="2:2">
      <c r="B788" s="16"/>
    </row>
    <row r="789" spans="2:2">
      <c r="B789" s="16"/>
    </row>
    <row r="790" spans="2:2">
      <c r="B790" s="16"/>
    </row>
    <row r="791" spans="2:2">
      <c r="B791" s="16"/>
    </row>
    <row r="792" spans="2:2">
      <c r="B792" s="16"/>
    </row>
    <row r="793" spans="2:2">
      <c r="B793" s="16"/>
    </row>
    <row r="794" spans="2:2">
      <c r="B794" s="16"/>
    </row>
    <row r="795" spans="2:2">
      <c r="B795" s="16"/>
    </row>
    <row r="796" spans="2:2">
      <c r="B796" s="16"/>
    </row>
    <row r="797" spans="2:2">
      <c r="B797" s="16"/>
    </row>
    <row r="798" spans="2:2">
      <c r="B798" s="16"/>
    </row>
    <row r="799" spans="2:2">
      <c r="B799" s="16"/>
    </row>
    <row r="800" spans="2:2">
      <c r="B800" s="16"/>
    </row>
    <row r="801" spans="2:2">
      <c r="B801" s="16"/>
    </row>
    <row r="802" spans="2:2">
      <c r="B802" s="16"/>
    </row>
    <row r="803" spans="2:2">
      <c r="B803" s="16"/>
    </row>
    <row r="804" spans="2:2">
      <c r="B804" s="16"/>
    </row>
    <row r="805" spans="2:2">
      <c r="B805" s="16"/>
    </row>
    <row r="806" spans="2:2">
      <c r="B806" s="16"/>
    </row>
    <row r="807" spans="2:2">
      <c r="B807" s="16"/>
    </row>
    <row r="808" spans="2:2">
      <c r="B808" s="16"/>
    </row>
    <row r="809" spans="2:2">
      <c r="B809" s="16"/>
    </row>
    <row r="810" spans="2:2">
      <c r="B810" s="16"/>
    </row>
    <row r="811" spans="2:2">
      <c r="B811" s="16"/>
    </row>
    <row r="812" spans="2:2">
      <c r="B812" s="16"/>
    </row>
    <row r="813" spans="2:2">
      <c r="B813" s="16"/>
    </row>
    <row r="814" spans="2:2">
      <c r="B814" s="16"/>
    </row>
    <row r="815" spans="2:2">
      <c r="B815" s="16"/>
    </row>
    <row r="816" spans="2:2">
      <c r="B816" s="16"/>
    </row>
    <row r="817" spans="2:2">
      <c r="B817" s="16"/>
    </row>
    <row r="818" spans="2:2">
      <c r="B818" s="16"/>
    </row>
    <row r="819" spans="2:2">
      <c r="B819" s="16"/>
    </row>
    <row r="820" spans="2:2">
      <c r="B820" s="16"/>
    </row>
    <row r="821" spans="2:2">
      <c r="B821" s="16"/>
    </row>
    <row r="822" spans="2:2">
      <c r="B822" s="16"/>
    </row>
    <row r="823" spans="2:2">
      <c r="B823" s="16"/>
    </row>
    <row r="824" spans="2:2">
      <c r="B824" s="16"/>
    </row>
    <row r="825" spans="2:2">
      <c r="B825" s="16"/>
    </row>
    <row r="826" spans="2:2">
      <c r="B826" s="16"/>
    </row>
    <row r="827" spans="2:2">
      <c r="B827" s="16"/>
    </row>
    <row r="828" spans="2:2">
      <c r="B828" s="16"/>
    </row>
    <row r="829" spans="2:2">
      <c r="B829" s="16"/>
    </row>
    <row r="830" spans="2:2">
      <c r="B830" s="16"/>
    </row>
    <row r="831" spans="2:2">
      <c r="B831" s="16"/>
    </row>
    <row r="832" spans="2:2">
      <c r="B832" s="16"/>
    </row>
    <row r="833" spans="2:2">
      <c r="B833" s="16"/>
    </row>
    <row r="834" spans="2:2">
      <c r="B834" s="16"/>
    </row>
    <row r="835" spans="2:2">
      <c r="B835" s="16"/>
    </row>
    <row r="836" spans="2:2">
      <c r="B836" s="16"/>
    </row>
    <row r="837" spans="2:2">
      <c r="B837" s="16"/>
    </row>
    <row r="838" spans="2:2">
      <c r="B838" s="16"/>
    </row>
    <row r="839" spans="2:2">
      <c r="B839" s="16"/>
    </row>
    <row r="840" spans="2:2">
      <c r="B840" s="16"/>
    </row>
    <row r="841" spans="2:2">
      <c r="B841" s="16"/>
    </row>
    <row r="842" spans="2:2">
      <c r="B842" s="16"/>
    </row>
    <row r="843" spans="2:2">
      <c r="B843" s="16"/>
    </row>
    <row r="844" spans="2:2">
      <c r="B844" s="16"/>
    </row>
    <row r="845" spans="2:2">
      <c r="B845" s="16"/>
    </row>
    <row r="846" spans="2:2">
      <c r="B846" s="16"/>
    </row>
    <row r="847" spans="2:2">
      <c r="B847" s="16"/>
    </row>
    <row r="848" spans="2:2">
      <c r="B848" s="16"/>
    </row>
    <row r="849" spans="2:2">
      <c r="B849" s="16"/>
    </row>
    <row r="850" spans="2:2">
      <c r="B850" s="16"/>
    </row>
    <row r="851" spans="2:2">
      <c r="B851" s="16"/>
    </row>
    <row r="852" spans="2:2">
      <c r="B852" s="16"/>
    </row>
    <row r="853" spans="2:2">
      <c r="B853" s="16"/>
    </row>
    <row r="854" spans="2:2">
      <c r="B854" s="16"/>
    </row>
    <row r="855" spans="2:2">
      <c r="B855" s="16"/>
    </row>
    <row r="856" spans="2:2">
      <c r="B856" s="16"/>
    </row>
    <row r="857" spans="2:2">
      <c r="B857" s="16"/>
    </row>
    <row r="858" spans="2:2">
      <c r="B858" s="16"/>
    </row>
    <row r="859" spans="2:2">
      <c r="B859" s="16"/>
    </row>
    <row r="860" spans="2:2">
      <c r="B860" s="16"/>
    </row>
    <row r="861" spans="2:2">
      <c r="B861" s="16"/>
    </row>
    <row r="862" spans="2:2">
      <c r="B862" s="16"/>
    </row>
    <row r="863" spans="2:2">
      <c r="B863" s="16"/>
    </row>
    <row r="864" spans="2:2">
      <c r="B864" s="16"/>
    </row>
    <row r="865" spans="2:2">
      <c r="B865" s="16"/>
    </row>
    <row r="866" spans="2:2">
      <c r="B866" s="16"/>
    </row>
    <row r="867" spans="2:2">
      <c r="B867" s="16"/>
    </row>
    <row r="868" spans="2:2">
      <c r="B868" s="16"/>
    </row>
    <row r="869" spans="2:2">
      <c r="B869" s="16"/>
    </row>
    <row r="870" spans="2:2">
      <c r="B870" s="16"/>
    </row>
    <row r="871" spans="2:2">
      <c r="B871" s="16"/>
    </row>
    <row r="872" spans="2:2">
      <c r="B872" s="16"/>
    </row>
    <row r="873" spans="2:2">
      <c r="B873" s="16"/>
    </row>
    <row r="874" spans="2:2">
      <c r="B874" s="16"/>
    </row>
    <row r="875" spans="2:2">
      <c r="B875" s="16"/>
    </row>
    <row r="876" spans="2:2">
      <c r="B876" s="16"/>
    </row>
    <row r="877" spans="2:2">
      <c r="B877" s="16"/>
    </row>
    <row r="878" spans="2:2">
      <c r="B878" s="16"/>
    </row>
    <row r="879" spans="2:2">
      <c r="B879" s="16"/>
    </row>
    <row r="880" spans="2:2">
      <c r="B880" s="16"/>
    </row>
    <row r="881" spans="2:2">
      <c r="B881" s="16"/>
    </row>
    <row r="882" spans="2:2">
      <c r="B882" s="16"/>
    </row>
    <row r="883" spans="2:2">
      <c r="B883" s="16"/>
    </row>
    <row r="884" spans="2:2">
      <c r="B884" s="16"/>
    </row>
    <row r="885" spans="2:2">
      <c r="B885" s="16"/>
    </row>
    <row r="886" spans="2:2">
      <c r="B886" s="16"/>
    </row>
    <row r="887" spans="2:2">
      <c r="B887" s="16"/>
    </row>
    <row r="888" spans="2:2">
      <c r="B888" s="16"/>
    </row>
    <row r="889" spans="2:2">
      <c r="B889" s="16"/>
    </row>
    <row r="890" spans="2:2">
      <c r="B890" s="16"/>
    </row>
    <row r="891" spans="2:2">
      <c r="B891" s="16"/>
    </row>
    <row r="892" spans="2:2">
      <c r="B892" s="16"/>
    </row>
    <row r="893" spans="2:2">
      <c r="B893" s="16"/>
    </row>
    <row r="894" spans="2:2">
      <c r="B894" s="16"/>
    </row>
    <row r="895" spans="2:2">
      <c r="B895" s="16"/>
    </row>
    <row r="896" spans="2:2">
      <c r="B896" s="16"/>
    </row>
    <row r="897" spans="2:2">
      <c r="B897" s="16"/>
    </row>
    <row r="898" spans="2:2">
      <c r="B898" s="16"/>
    </row>
    <row r="899" spans="2:2">
      <c r="B899" s="16"/>
    </row>
    <row r="900" spans="2:2">
      <c r="B900" s="16"/>
    </row>
    <row r="901" spans="2:2">
      <c r="B901" s="16"/>
    </row>
    <row r="902" spans="2:2">
      <c r="B902" s="16"/>
    </row>
    <row r="903" spans="2:2">
      <c r="B903" s="16"/>
    </row>
    <row r="904" spans="2:2">
      <c r="B904" s="16"/>
    </row>
    <row r="905" spans="2:2">
      <c r="B905" s="16"/>
    </row>
    <row r="906" spans="2:2">
      <c r="B906" s="16"/>
    </row>
    <row r="907" spans="2:2">
      <c r="B907" s="16"/>
    </row>
    <row r="908" spans="2:2">
      <c r="B908" s="16"/>
    </row>
    <row r="909" spans="2:2">
      <c r="B909" s="16"/>
    </row>
    <row r="910" spans="2:2">
      <c r="B910" s="16"/>
    </row>
    <row r="911" spans="2:2">
      <c r="B911" s="16"/>
    </row>
    <row r="912" spans="2:2">
      <c r="B912" s="16"/>
    </row>
    <row r="913" spans="2:2">
      <c r="B913" s="16"/>
    </row>
    <row r="914" spans="2:2">
      <c r="B914" s="16"/>
    </row>
    <row r="915" spans="2:2">
      <c r="B915" s="16"/>
    </row>
    <row r="916" spans="2:2">
      <c r="B916" s="16"/>
    </row>
    <row r="917" spans="2:2">
      <c r="B917" s="16"/>
    </row>
    <row r="918" spans="2:2">
      <c r="B918" s="16"/>
    </row>
    <row r="919" spans="2:2">
      <c r="B919" s="16"/>
    </row>
    <row r="920" spans="2:2">
      <c r="B920" s="16"/>
    </row>
    <row r="921" spans="2:2">
      <c r="B921" s="16"/>
    </row>
    <row r="922" spans="2:2">
      <c r="B922" s="16"/>
    </row>
    <row r="923" spans="2:2">
      <c r="B923" s="16"/>
    </row>
    <row r="924" spans="2:2">
      <c r="B924" s="16"/>
    </row>
    <row r="925" spans="2:2">
      <c r="B925" s="16"/>
    </row>
    <row r="926" spans="2:2">
      <c r="B926" s="16"/>
    </row>
    <row r="927" spans="2:2">
      <c r="B927" s="16"/>
    </row>
    <row r="928" spans="2:2">
      <c r="B928" s="16"/>
    </row>
    <row r="929" spans="2:2">
      <c r="B929" s="16"/>
    </row>
    <row r="930" spans="2:2">
      <c r="B930" s="16"/>
    </row>
    <row r="931" spans="2:2">
      <c r="B931" s="16"/>
    </row>
    <row r="932" spans="2:2">
      <c r="B932" s="16"/>
    </row>
    <row r="933" spans="2:2">
      <c r="B933" s="16"/>
    </row>
    <row r="934" spans="2:2">
      <c r="B934" s="16"/>
    </row>
    <row r="935" spans="2:2">
      <c r="B935" s="16"/>
    </row>
    <row r="936" spans="2:2">
      <c r="B936" s="16"/>
    </row>
    <row r="937" spans="2:2">
      <c r="B937" s="16"/>
    </row>
    <row r="938" spans="2:2">
      <c r="B938" s="16"/>
    </row>
    <row r="939" spans="2:2">
      <c r="B939" s="16"/>
    </row>
    <row r="940" spans="2:2">
      <c r="B940" s="16"/>
    </row>
    <row r="941" spans="2:2">
      <c r="B941" s="16"/>
    </row>
    <row r="942" spans="2:2">
      <c r="B942" s="16"/>
    </row>
    <row r="943" spans="2:2">
      <c r="B943" s="16"/>
    </row>
    <row r="944" spans="2:2">
      <c r="B944" s="16"/>
    </row>
    <row r="945" spans="2:2">
      <c r="B945" s="16"/>
    </row>
    <row r="946" spans="2:2">
      <c r="B946" s="16"/>
    </row>
    <row r="947" spans="2:2">
      <c r="B947" s="16"/>
    </row>
    <row r="948" spans="2:2">
      <c r="B948" s="16"/>
    </row>
    <row r="949" spans="2:2">
      <c r="B949" s="16"/>
    </row>
    <row r="950" spans="2:2">
      <c r="B950" s="16"/>
    </row>
    <row r="951" spans="2:2">
      <c r="B951" s="16"/>
    </row>
    <row r="952" spans="2:2">
      <c r="B952" s="16"/>
    </row>
    <row r="953" spans="2:2">
      <c r="B953" s="16"/>
    </row>
    <row r="954" spans="2:2">
      <c r="B954" s="16"/>
    </row>
    <row r="955" spans="2:2">
      <c r="B955" s="16"/>
    </row>
    <row r="956" spans="2:2">
      <c r="B956" s="16"/>
    </row>
    <row r="957" spans="2:2">
      <c r="B957" s="16"/>
    </row>
    <row r="958" spans="2:2">
      <c r="B958" s="16"/>
    </row>
    <row r="959" spans="2:2">
      <c r="B959" s="16"/>
    </row>
    <row r="960" spans="2:2">
      <c r="B960" s="16"/>
    </row>
    <row r="961" spans="2:2">
      <c r="B961" s="16"/>
    </row>
    <row r="962" spans="2:2">
      <c r="B962" s="16"/>
    </row>
    <row r="963" spans="2:2">
      <c r="B963" s="16"/>
    </row>
    <row r="964" spans="2:2">
      <c r="B964" s="16"/>
    </row>
    <row r="965" spans="2:2">
      <c r="B965" s="16"/>
    </row>
    <row r="966" spans="2:2">
      <c r="B966" s="16"/>
    </row>
    <row r="967" spans="2:2">
      <c r="B967" s="16"/>
    </row>
    <row r="968" spans="2:2">
      <c r="B968" s="16"/>
    </row>
    <row r="969" spans="2:2">
      <c r="B969" s="16"/>
    </row>
    <row r="970" spans="2:2">
      <c r="B970" s="16"/>
    </row>
    <row r="971" spans="2:2">
      <c r="B971" s="16"/>
    </row>
    <row r="972" spans="2:2">
      <c r="B972" s="16"/>
    </row>
    <row r="973" spans="2:2">
      <c r="B973" s="16"/>
    </row>
    <row r="974" spans="2:2">
      <c r="B974" s="16"/>
    </row>
    <row r="975" spans="2:2">
      <c r="B975" s="16"/>
    </row>
    <row r="976" spans="2:2">
      <c r="B976" s="16"/>
    </row>
    <row r="977" spans="2:2">
      <c r="B977" s="16"/>
    </row>
    <row r="978" spans="2:2">
      <c r="B978" s="16"/>
    </row>
    <row r="979" spans="2:2">
      <c r="B979" s="16"/>
    </row>
    <row r="980" spans="2:2">
      <c r="B980" s="16"/>
    </row>
    <row r="981" spans="2:2">
      <c r="B981" s="16"/>
    </row>
    <row r="982" spans="2:2">
      <c r="B982" s="16"/>
    </row>
    <row r="983" spans="2:2">
      <c r="B983" s="16"/>
    </row>
    <row r="984" spans="2:2">
      <c r="B984" s="16"/>
    </row>
    <row r="985" spans="2:2">
      <c r="B985" s="16"/>
    </row>
    <row r="986" spans="2:2">
      <c r="B986" s="16"/>
    </row>
    <row r="987" spans="2:2">
      <c r="B987" s="16"/>
    </row>
    <row r="988" spans="2:2">
      <c r="B988" s="16"/>
    </row>
    <row r="989" spans="2:2">
      <c r="B989" s="16"/>
    </row>
    <row r="990" spans="2:2">
      <c r="B990" s="16"/>
    </row>
    <row r="991" spans="2:2">
      <c r="B991" s="16"/>
    </row>
    <row r="992" spans="2:2">
      <c r="B992" s="16"/>
    </row>
    <row r="993" spans="2:2">
      <c r="B993" s="16"/>
    </row>
    <row r="994" spans="2:2">
      <c r="B994" s="16"/>
    </row>
    <row r="995" spans="2:2">
      <c r="B995" s="16"/>
    </row>
    <row r="996" spans="2:2">
      <c r="B996" s="16"/>
    </row>
    <row r="997" spans="2:2">
      <c r="B997" s="16"/>
    </row>
    <row r="998" spans="2:2">
      <c r="B998" s="16"/>
    </row>
    <row r="999" spans="2:2">
      <c r="B999" s="16"/>
    </row>
    <row r="1000" spans="2:2">
      <c r="B1000" s="16"/>
    </row>
  </sheetData>
  <mergeCells count="1">
    <mergeCell ref="F1:G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S56"/>
  <sheetViews>
    <sheetView workbookViewId="0"/>
  </sheetViews>
  <sheetFormatPr defaultColWidth="12.7109375" defaultRowHeight="12.75" customHeight="1"/>
  <cols>
    <col min="1" max="1" width="2.28515625" customWidth="1"/>
    <col min="2" max="2" width="19.85546875" customWidth="1"/>
    <col min="3" max="14" width="9.85546875" customWidth="1"/>
    <col min="15" max="15" width="9.28515625" customWidth="1"/>
    <col min="16" max="16" width="2.42578125" customWidth="1"/>
    <col min="17" max="17" width="8.28515625" customWidth="1"/>
    <col min="19" max="19" width="14.28515625" customWidth="1"/>
  </cols>
  <sheetData>
    <row r="1" spans="1:19">
      <c r="B1" s="660"/>
      <c r="C1" s="660"/>
      <c r="D1" s="660"/>
      <c r="E1" s="660"/>
      <c r="F1" s="660"/>
      <c r="G1" s="660"/>
      <c r="H1" s="660"/>
      <c r="I1" s="660"/>
      <c r="J1" s="660"/>
      <c r="K1" s="660"/>
      <c r="L1" s="660"/>
      <c r="M1" s="660"/>
      <c r="N1" s="660"/>
      <c r="O1" s="660"/>
      <c r="P1" s="660"/>
    </row>
    <row r="2" spans="1:19">
      <c r="B2" s="660"/>
      <c r="C2" s="660"/>
      <c r="D2" s="660"/>
      <c r="E2" s="660"/>
      <c r="F2" s="660"/>
      <c r="G2" s="660"/>
      <c r="H2" s="660"/>
      <c r="I2" s="660"/>
      <c r="J2" s="660"/>
      <c r="K2" s="660"/>
      <c r="L2" s="660"/>
      <c r="M2" s="660"/>
      <c r="N2" s="660"/>
      <c r="O2" s="660"/>
      <c r="P2" s="660"/>
    </row>
    <row r="3" spans="1:19">
      <c r="A3" s="714"/>
      <c r="B3" s="2126" t="s">
        <v>4389</v>
      </c>
      <c r="C3" s="2127"/>
      <c r="D3" s="2127"/>
      <c r="E3" s="2127"/>
      <c r="F3" s="2127"/>
      <c r="G3" s="2127"/>
      <c r="H3" s="2127"/>
      <c r="I3" s="2127"/>
      <c r="J3" s="2127"/>
      <c r="K3" s="2127"/>
      <c r="L3" s="2127"/>
      <c r="M3" s="2127"/>
      <c r="N3" s="2127"/>
      <c r="O3" s="2128"/>
      <c r="P3" s="661"/>
    </row>
    <row r="4" spans="1:19">
      <c r="A4" s="714"/>
      <c r="B4" s="662" t="s">
        <v>810</v>
      </c>
      <c r="C4" s="663" t="s">
        <v>143</v>
      </c>
      <c r="D4" s="663" t="s">
        <v>26</v>
      </c>
      <c r="E4" s="663" t="s">
        <v>25</v>
      </c>
      <c r="F4" s="663" t="s">
        <v>24</v>
      </c>
      <c r="G4" s="663" t="s">
        <v>23</v>
      </c>
      <c r="H4" s="663" t="s">
        <v>22</v>
      </c>
      <c r="I4" s="663" t="s">
        <v>21</v>
      </c>
      <c r="J4" s="663" t="s">
        <v>20</v>
      </c>
      <c r="K4" s="663" t="s">
        <v>256</v>
      </c>
      <c r="L4" s="663" t="s">
        <v>18</v>
      </c>
      <c r="M4" s="663" t="s">
        <v>17</v>
      </c>
      <c r="N4" s="663" t="s">
        <v>86</v>
      </c>
      <c r="O4" s="664" t="s">
        <v>67</v>
      </c>
      <c r="P4" s="665"/>
      <c r="Q4" s="69" t="s">
        <v>4392</v>
      </c>
    </row>
    <row r="5" spans="1:19">
      <c r="A5" s="714"/>
      <c r="B5" s="666" t="s">
        <v>4395</v>
      </c>
      <c r="C5" s="667"/>
      <c r="D5" s="667"/>
      <c r="E5" s="667"/>
      <c r="F5" s="667"/>
      <c r="G5" s="667"/>
      <c r="H5" s="667"/>
      <c r="I5" s="667"/>
      <c r="J5" s="667"/>
      <c r="K5" s="667"/>
      <c r="L5" s="667"/>
      <c r="M5" s="667"/>
      <c r="N5" s="667"/>
      <c r="O5" s="668">
        <f>SUM(C5:N5)</f>
        <v>0</v>
      </c>
      <c r="P5" s="669"/>
      <c r="Q5" s="69"/>
    </row>
    <row r="6" spans="1:19">
      <c r="A6" s="714"/>
      <c r="B6" s="666" t="s">
        <v>4397</v>
      </c>
      <c r="C6" s="671"/>
      <c r="D6" s="671"/>
      <c r="E6" s="671"/>
      <c r="F6" s="671"/>
      <c r="G6" s="671"/>
      <c r="H6" s="671"/>
      <c r="I6" s="671"/>
      <c r="J6" s="671"/>
      <c r="K6" s="671"/>
      <c r="L6" s="671"/>
      <c r="M6" s="671"/>
      <c r="N6" s="671"/>
      <c r="O6" s="668"/>
      <c r="P6" s="672"/>
      <c r="Q6" s="69"/>
    </row>
    <row r="7" spans="1:19">
      <c r="A7" s="714"/>
      <c r="B7" s="674" t="s">
        <v>4399</v>
      </c>
      <c r="C7" s="675"/>
      <c r="D7" s="675"/>
      <c r="E7" s="675"/>
      <c r="F7" s="675"/>
      <c r="G7" s="675"/>
      <c r="H7" s="675"/>
      <c r="I7" s="675"/>
      <c r="J7" s="675"/>
      <c r="K7" s="675"/>
      <c r="L7" s="676">
        <v>2332.96</v>
      </c>
      <c r="M7" s="675"/>
      <c r="N7" s="675"/>
      <c r="O7" s="677">
        <f t="shared" ref="O7:O19" si="0">SUM(C7:N7)</f>
        <v>2332.96</v>
      </c>
      <c r="P7" s="672"/>
      <c r="Q7" s="678">
        <v>0</v>
      </c>
    </row>
    <row r="8" spans="1:19">
      <c r="A8" s="714"/>
      <c r="B8" s="680" t="s">
        <v>4401</v>
      </c>
      <c r="C8" s="680">
        <v>3.75</v>
      </c>
      <c r="D8" s="680">
        <v>3.75</v>
      </c>
      <c r="E8" s="680">
        <v>3.75</v>
      </c>
      <c r="F8" s="680">
        <v>3.75</v>
      </c>
      <c r="G8" s="680">
        <v>3.75</v>
      </c>
      <c r="H8" s="680">
        <v>3.75</v>
      </c>
      <c r="I8" s="680">
        <v>3.75</v>
      </c>
      <c r="J8" s="680">
        <v>3.75</v>
      </c>
      <c r="K8" s="680">
        <v>3.75</v>
      </c>
      <c r="L8" s="680">
        <v>3.75</v>
      </c>
      <c r="M8" s="680">
        <v>3.75</v>
      </c>
      <c r="N8" s="680">
        <v>3.75</v>
      </c>
      <c r="O8" s="677">
        <f t="shared" si="0"/>
        <v>45</v>
      </c>
      <c r="P8" s="681"/>
      <c r="Q8" s="682">
        <f t="shared" ref="Q8:Q17" si="1">AVERAGE(C8:N8)</f>
        <v>3.75</v>
      </c>
      <c r="S8" s="43"/>
    </row>
    <row r="9" spans="1:19">
      <c r="A9" s="714"/>
      <c r="B9" s="685" t="s">
        <v>4403</v>
      </c>
      <c r="C9" s="685">
        <v>145.88</v>
      </c>
      <c r="D9" s="685">
        <v>109.05</v>
      </c>
      <c r="E9" s="685">
        <v>80.97</v>
      </c>
      <c r="F9" s="685">
        <v>63.88</v>
      </c>
      <c r="G9" s="685">
        <v>75.569999999999993</v>
      </c>
      <c r="H9" s="685">
        <v>85.29</v>
      </c>
      <c r="I9" s="685">
        <v>159.22999999999999</v>
      </c>
      <c r="J9" s="685">
        <v>109.05</v>
      </c>
      <c r="K9" s="685">
        <v>18.38</v>
      </c>
      <c r="L9" s="685">
        <v>71.25</v>
      </c>
      <c r="M9" s="685">
        <v>119.95</v>
      </c>
      <c r="N9" s="685">
        <v>193.51</v>
      </c>
      <c r="O9" s="677">
        <f t="shared" si="0"/>
        <v>1232.01</v>
      </c>
      <c r="P9" s="681"/>
      <c r="Q9" s="682">
        <f t="shared" si="1"/>
        <v>102.6675</v>
      </c>
    </row>
    <row r="10" spans="1:19">
      <c r="A10" s="714"/>
      <c r="B10" s="675" t="s">
        <v>4406</v>
      </c>
      <c r="C10" s="675">
        <v>27.27</v>
      </c>
      <c r="D10" s="675">
        <v>18.739999999999998</v>
      </c>
      <c r="E10" s="675">
        <v>13.71</v>
      </c>
      <c r="F10" s="675">
        <v>10.53</v>
      </c>
      <c r="G10" s="675">
        <v>12.68</v>
      </c>
      <c r="H10" s="675">
        <v>14.63</v>
      </c>
      <c r="I10" s="675">
        <v>27.79</v>
      </c>
      <c r="J10" s="675">
        <v>19.059999999999999</v>
      </c>
      <c r="K10" s="675">
        <v>2.41</v>
      </c>
      <c r="L10" s="675">
        <v>12.28</v>
      </c>
      <c r="M10" s="675">
        <v>20.94</v>
      </c>
      <c r="N10" s="675">
        <v>34.83</v>
      </c>
      <c r="O10" s="677">
        <f t="shared" si="0"/>
        <v>214.87</v>
      </c>
      <c r="P10" s="681"/>
      <c r="Q10" s="682">
        <f t="shared" si="1"/>
        <v>17.905833333333334</v>
      </c>
    </row>
    <row r="11" spans="1:19">
      <c r="A11" s="714"/>
      <c r="B11" s="685" t="s">
        <v>4408</v>
      </c>
      <c r="C11" s="685">
        <v>8.75</v>
      </c>
      <c r="D11" s="685">
        <v>8.75</v>
      </c>
      <c r="E11" s="685">
        <v>8.75</v>
      </c>
      <c r="F11" s="685">
        <v>8.75</v>
      </c>
      <c r="G11" s="685">
        <v>8.75</v>
      </c>
      <c r="H11" s="685">
        <v>8.75</v>
      </c>
      <c r="I11" s="685">
        <v>8.75</v>
      </c>
      <c r="J11" s="685">
        <v>8.75</v>
      </c>
      <c r="K11" s="685">
        <v>8.75</v>
      </c>
      <c r="L11" s="685">
        <v>8.75</v>
      </c>
      <c r="M11" s="685">
        <v>8.75</v>
      </c>
      <c r="N11" s="685">
        <v>8.75</v>
      </c>
      <c r="O11" s="677">
        <f t="shared" si="0"/>
        <v>105</v>
      </c>
      <c r="P11" s="681"/>
      <c r="Q11" s="682">
        <f t="shared" si="1"/>
        <v>8.75</v>
      </c>
    </row>
    <row r="12" spans="1:19">
      <c r="A12" s="714"/>
      <c r="B12" s="675" t="s">
        <v>4411</v>
      </c>
      <c r="C12" s="675">
        <v>26.52</v>
      </c>
      <c r="D12" s="675">
        <v>26.52</v>
      </c>
      <c r="E12" s="675">
        <v>26.52</v>
      </c>
      <c r="F12" s="675">
        <v>25.18</v>
      </c>
      <c r="G12" s="675">
        <v>25.18</v>
      </c>
      <c r="H12" s="675">
        <v>25.18</v>
      </c>
      <c r="I12" s="675">
        <v>25.18</v>
      </c>
      <c r="J12" s="675">
        <v>25.18</v>
      </c>
      <c r="K12" s="675">
        <v>25.18</v>
      </c>
      <c r="L12" s="675">
        <v>25.18</v>
      </c>
      <c r="M12" s="675">
        <v>25.18</v>
      </c>
      <c r="N12" s="675">
        <v>25.18</v>
      </c>
      <c r="O12" s="677">
        <f t="shared" si="0"/>
        <v>306.18000000000006</v>
      </c>
      <c r="P12" s="681"/>
      <c r="Q12" s="682">
        <f t="shared" si="1"/>
        <v>25.515000000000004</v>
      </c>
    </row>
    <row r="13" spans="1:19">
      <c r="A13" s="714"/>
      <c r="B13" s="685" t="s">
        <v>4414</v>
      </c>
      <c r="C13" s="685">
        <v>21.7</v>
      </c>
      <c r="D13" s="685">
        <v>21.4</v>
      </c>
      <c r="E13" s="685">
        <v>21.05</v>
      </c>
      <c r="F13" s="685">
        <v>20.85</v>
      </c>
      <c r="G13" s="685">
        <v>22.15</v>
      </c>
      <c r="H13" s="685">
        <v>22.75</v>
      </c>
      <c r="I13" s="685">
        <v>32.950000000000003</v>
      </c>
      <c r="J13" s="685">
        <v>22.3</v>
      </c>
      <c r="K13" s="685">
        <v>21.4</v>
      </c>
      <c r="L13" s="685">
        <v>25.65</v>
      </c>
      <c r="M13" s="685">
        <v>21.4</v>
      </c>
      <c r="N13" s="685">
        <v>22.45</v>
      </c>
      <c r="O13" s="677">
        <f t="shared" si="0"/>
        <v>276.05000000000007</v>
      </c>
      <c r="P13" s="681"/>
      <c r="Q13" s="682">
        <f t="shared" si="1"/>
        <v>23.004166666666674</v>
      </c>
    </row>
    <row r="14" spans="1:19" ht="25.5">
      <c r="A14" s="714"/>
      <c r="B14" s="675" t="s">
        <v>4416</v>
      </c>
      <c r="C14" s="675">
        <v>7.0000000000000007E-2</v>
      </c>
      <c r="D14" s="675">
        <v>7.0000000000000007E-2</v>
      </c>
      <c r="E14" s="675">
        <v>0.06</v>
      </c>
      <c r="F14" s="675">
        <v>0.05</v>
      </c>
      <c r="G14" s="675">
        <v>0.08</v>
      </c>
      <c r="H14" s="675">
        <v>0.1</v>
      </c>
      <c r="I14" s="675">
        <v>0.22</v>
      </c>
      <c r="J14" s="675">
        <v>0.09</v>
      </c>
      <c r="K14" s="675">
        <v>7.0000000000000007E-2</v>
      </c>
      <c r="L14" s="675">
        <v>0.12</v>
      </c>
      <c r="M14" s="675">
        <v>7.0000000000000007E-2</v>
      </c>
      <c r="N14" s="675">
        <v>0.09</v>
      </c>
      <c r="O14" s="677">
        <f t="shared" si="0"/>
        <v>1.0900000000000001</v>
      </c>
      <c r="P14" s="681"/>
      <c r="Q14" s="682">
        <f t="shared" si="1"/>
        <v>9.0833333333333335E-2</v>
      </c>
    </row>
    <row r="15" spans="1:19">
      <c r="A15" s="714"/>
      <c r="B15" s="685" t="s">
        <v>4417</v>
      </c>
      <c r="C15" s="685">
        <v>3.46</v>
      </c>
      <c r="D15" s="685">
        <v>2.56</v>
      </c>
      <c r="E15" s="685">
        <v>1.9</v>
      </c>
      <c r="F15" s="685">
        <v>1.48</v>
      </c>
      <c r="G15" s="685">
        <v>1.76</v>
      </c>
      <c r="H15" s="685">
        <v>2</v>
      </c>
      <c r="I15" s="685">
        <v>3.74</v>
      </c>
      <c r="J15" s="685">
        <v>2.56</v>
      </c>
      <c r="K15" s="685">
        <v>0.42</v>
      </c>
      <c r="L15" s="685">
        <v>1.68</v>
      </c>
      <c r="M15" s="685">
        <v>2.82</v>
      </c>
      <c r="N15" s="685">
        <v>4.5599999999999996</v>
      </c>
      <c r="O15" s="677">
        <f t="shared" si="0"/>
        <v>28.939999999999998</v>
      </c>
      <c r="P15" s="681"/>
      <c r="Q15" s="682">
        <f t="shared" si="1"/>
        <v>2.4116666666666666</v>
      </c>
    </row>
    <row r="16" spans="1:19" ht="25.5">
      <c r="A16" s="714"/>
      <c r="B16" s="686" t="s">
        <v>6322</v>
      </c>
      <c r="C16" s="686">
        <f t="shared" ref="C16:N16" si="2">SUM(C8:C15)</f>
        <v>237.4</v>
      </c>
      <c r="D16" s="686">
        <f t="shared" si="2"/>
        <v>190.84</v>
      </c>
      <c r="E16" s="686">
        <f t="shared" si="2"/>
        <v>156.71000000000004</v>
      </c>
      <c r="F16" s="686">
        <f t="shared" si="2"/>
        <v>134.47</v>
      </c>
      <c r="G16" s="686">
        <f t="shared" si="2"/>
        <v>149.92000000000002</v>
      </c>
      <c r="H16" s="686">
        <f t="shared" si="2"/>
        <v>162.44999999999999</v>
      </c>
      <c r="I16" s="686">
        <f t="shared" si="2"/>
        <v>261.61</v>
      </c>
      <c r="J16" s="686">
        <f t="shared" si="2"/>
        <v>190.74</v>
      </c>
      <c r="K16" s="686">
        <f t="shared" si="2"/>
        <v>80.36</v>
      </c>
      <c r="L16" s="686">
        <f t="shared" si="2"/>
        <v>148.66000000000003</v>
      </c>
      <c r="M16" s="686">
        <f t="shared" si="2"/>
        <v>202.86</v>
      </c>
      <c r="N16" s="686">
        <f t="shared" si="2"/>
        <v>293.11999999999995</v>
      </c>
      <c r="O16" s="677">
        <f t="shared" si="0"/>
        <v>2209.14</v>
      </c>
      <c r="P16" s="681"/>
      <c r="Q16" s="682">
        <f t="shared" si="1"/>
        <v>184.095</v>
      </c>
    </row>
    <row r="17" spans="1:19" ht="25.5">
      <c r="A17" s="714"/>
      <c r="B17" s="674" t="s">
        <v>4419</v>
      </c>
      <c r="C17" s="675">
        <v>243.96</v>
      </c>
      <c r="D17" s="675">
        <v>245.04</v>
      </c>
      <c r="E17" s="675">
        <v>146.26</v>
      </c>
      <c r="F17" s="675">
        <v>131.09</v>
      </c>
      <c r="G17" s="675">
        <v>77.760000000000005</v>
      </c>
      <c r="H17" s="675">
        <v>39.11</v>
      </c>
      <c r="I17" s="675">
        <v>0</v>
      </c>
      <c r="J17" s="675">
        <v>25.91</v>
      </c>
      <c r="K17" s="675">
        <v>26.39</v>
      </c>
      <c r="L17" s="675">
        <v>132.86000000000001</v>
      </c>
      <c r="M17" s="675">
        <v>182.83</v>
      </c>
      <c r="N17" s="675">
        <v>262.44</v>
      </c>
      <c r="O17" s="677">
        <f t="shared" si="0"/>
        <v>1513.65</v>
      </c>
      <c r="P17" s="672"/>
      <c r="Q17" s="682">
        <f t="shared" si="1"/>
        <v>126.1375</v>
      </c>
    </row>
    <row r="18" spans="1:19" ht="25.5">
      <c r="A18" s="714"/>
      <c r="B18" s="674" t="s">
        <v>4420</v>
      </c>
      <c r="C18" s="687"/>
      <c r="D18" s="687"/>
      <c r="E18" s="687"/>
      <c r="F18" s="687"/>
      <c r="G18" s="687"/>
      <c r="H18" s="687"/>
      <c r="I18" s="687"/>
      <c r="J18" s="687"/>
      <c r="K18" s="687"/>
      <c r="L18" s="687"/>
      <c r="M18" s="688">
        <v>2877</v>
      </c>
      <c r="N18" s="687"/>
      <c r="O18" s="677">
        <f t="shared" si="0"/>
        <v>2877</v>
      </c>
      <c r="P18" s="672"/>
      <c r="Q18" s="682"/>
    </row>
    <row r="19" spans="1:19">
      <c r="A19" s="714"/>
      <c r="B19" s="666" t="s">
        <v>6323</v>
      </c>
      <c r="C19" s="677">
        <f t="shared" ref="C19:N19" si="3">SUM(C16:C18)</f>
        <v>481.36</v>
      </c>
      <c r="D19" s="677">
        <f t="shared" si="3"/>
        <v>435.88</v>
      </c>
      <c r="E19" s="677">
        <f t="shared" si="3"/>
        <v>302.97000000000003</v>
      </c>
      <c r="F19" s="677">
        <f t="shared" si="3"/>
        <v>265.56</v>
      </c>
      <c r="G19" s="677">
        <f t="shared" si="3"/>
        <v>227.68</v>
      </c>
      <c r="H19" s="677">
        <f t="shared" si="3"/>
        <v>201.56</v>
      </c>
      <c r="I19" s="677">
        <f t="shared" si="3"/>
        <v>261.61</v>
      </c>
      <c r="J19" s="677">
        <f t="shared" si="3"/>
        <v>216.65</v>
      </c>
      <c r="K19" s="677">
        <f t="shared" si="3"/>
        <v>106.75</v>
      </c>
      <c r="L19" s="677">
        <f t="shared" si="3"/>
        <v>281.52000000000004</v>
      </c>
      <c r="M19" s="677">
        <f t="shared" si="3"/>
        <v>3262.69</v>
      </c>
      <c r="N19" s="677">
        <f t="shared" si="3"/>
        <v>555.55999999999995</v>
      </c>
      <c r="O19" s="668">
        <f t="shared" si="0"/>
        <v>6599.7899999999991</v>
      </c>
      <c r="P19" s="669"/>
      <c r="Q19" s="17">
        <f>Q17+Q16</f>
        <v>310.23250000000002</v>
      </c>
    </row>
    <row r="20" spans="1:19">
      <c r="A20" s="714"/>
      <c r="B20" s="689" t="s">
        <v>1126</v>
      </c>
      <c r="C20" s="690">
        <f t="shared" ref="C20:N20" si="4">C19</f>
        <v>481.36</v>
      </c>
      <c r="D20" s="690">
        <f t="shared" si="4"/>
        <v>435.88</v>
      </c>
      <c r="E20" s="690">
        <f t="shared" si="4"/>
        <v>302.97000000000003</v>
      </c>
      <c r="F20" s="690">
        <f t="shared" si="4"/>
        <v>265.56</v>
      </c>
      <c r="G20" s="690">
        <f t="shared" si="4"/>
        <v>227.68</v>
      </c>
      <c r="H20" s="690">
        <f t="shared" si="4"/>
        <v>201.56</v>
      </c>
      <c r="I20" s="690">
        <f t="shared" si="4"/>
        <v>261.61</v>
      </c>
      <c r="J20" s="690">
        <f t="shared" si="4"/>
        <v>216.65</v>
      </c>
      <c r="K20" s="690">
        <f t="shared" si="4"/>
        <v>106.75</v>
      </c>
      <c r="L20" s="690">
        <f t="shared" si="4"/>
        <v>281.52000000000004</v>
      </c>
      <c r="M20" s="690">
        <f t="shared" si="4"/>
        <v>3262.69</v>
      </c>
      <c r="N20" s="690">
        <f t="shared" si="4"/>
        <v>555.55999999999995</v>
      </c>
      <c r="O20" s="690">
        <f>SUM(O7:O18)</f>
        <v>11141.89</v>
      </c>
      <c r="P20" s="691"/>
      <c r="Q20" s="16"/>
    </row>
    <row r="21" spans="1:19">
      <c r="A21" s="715"/>
      <c r="B21" s="692"/>
      <c r="C21" s="693"/>
      <c r="D21" s="693"/>
      <c r="E21" s="693"/>
      <c r="F21" s="693"/>
      <c r="G21" s="693"/>
      <c r="H21" s="693"/>
      <c r="I21" s="693"/>
      <c r="J21" s="693"/>
      <c r="K21" s="693"/>
      <c r="L21" s="693"/>
      <c r="M21" s="693"/>
      <c r="N21" s="693"/>
      <c r="O21" s="693"/>
      <c r="P21" s="694"/>
    </row>
    <row r="22" spans="1:19" ht="14.25">
      <c r="B22" s="9"/>
      <c r="C22" s="9"/>
      <c r="D22" s="9"/>
      <c r="E22" s="9"/>
      <c r="F22" s="9"/>
      <c r="G22" s="9"/>
      <c r="H22" s="9"/>
      <c r="I22" s="9"/>
      <c r="J22" s="9"/>
      <c r="K22" s="9"/>
      <c r="L22" s="9"/>
      <c r="S22" s="695"/>
    </row>
    <row r="24" spans="1:19">
      <c r="B24" s="660"/>
      <c r="C24" s="660"/>
      <c r="D24" s="660"/>
      <c r="E24" s="660"/>
      <c r="F24" s="660"/>
      <c r="G24" s="660"/>
      <c r="H24" s="660"/>
      <c r="I24" s="660"/>
      <c r="J24" s="660"/>
      <c r="K24" s="660"/>
      <c r="L24" s="660"/>
      <c r="M24" s="660"/>
      <c r="N24" s="660"/>
      <c r="O24" s="660"/>
      <c r="P24" s="660"/>
      <c r="S24" s="43"/>
    </row>
    <row r="25" spans="1:19">
      <c r="A25" s="714"/>
      <c r="B25" s="2126" t="s">
        <v>4423</v>
      </c>
      <c r="C25" s="2127"/>
      <c r="D25" s="2127"/>
      <c r="E25" s="2127"/>
      <c r="F25" s="2127"/>
      <c r="G25" s="2127"/>
      <c r="H25" s="2127"/>
      <c r="I25" s="2127"/>
      <c r="J25" s="2127"/>
      <c r="K25" s="2127"/>
      <c r="L25" s="2127"/>
      <c r="M25" s="2127"/>
      <c r="N25" s="2127"/>
      <c r="O25" s="2128"/>
      <c r="P25" s="661"/>
    </row>
    <row r="26" spans="1:19">
      <c r="A26" s="714"/>
      <c r="B26" s="662" t="s">
        <v>810</v>
      </c>
      <c r="C26" s="663" t="s">
        <v>143</v>
      </c>
      <c r="D26" s="663" t="s">
        <v>26</v>
      </c>
      <c r="E26" s="663" t="s">
        <v>25</v>
      </c>
      <c r="F26" s="663" t="s">
        <v>24</v>
      </c>
      <c r="G26" s="663" t="s">
        <v>23</v>
      </c>
      <c r="H26" s="663" t="s">
        <v>22</v>
      </c>
      <c r="I26" s="663" t="s">
        <v>21</v>
      </c>
      <c r="J26" s="663" t="s">
        <v>20</v>
      </c>
      <c r="K26" s="663" t="s">
        <v>256</v>
      </c>
      <c r="L26" s="663" t="s">
        <v>18</v>
      </c>
      <c r="M26" s="663" t="s">
        <v>17</v>
      </c>
      <c r="N26" s="663" t="s">
        <v>86</v>
      </c>
      <c r="O26" s="664" t="s">
        <v>67</v>
      </c>
      <c r="P26" s="665"/>
    </row>
    <row r="27" spans="1:19">
      <c r="A27" s="714"/>
      <c r="B27" s="666" t="s">
        <v>4424</v>
      </c>
      <c r="C27" s="671"/>
      <c r="D27" s="671"/>
      <c r="E27" s="671"/>
      <c r="F27" s="671"/>
      <c r="G27" s="671"/>
      <c r="H27" s="671"/>
      <c r="I27" s="671"/>
      <c r="J27" s="671"/>
      <c r="K27" s="671"/>
      <c r="L27" s="671"/>
      <c r="M27" s="671"/>
      <c r="N27" s="671"/>
      <c r="O27" s="668"/>
      <c r="P27" s="672"/>
    </row>
    <row r="28" spans="1:19">
      <c r="A28" s="714"/>
      <c r="B28" s="674" t="s">
        <v>5056</v>
      </c>
      <c r="C28" s="685">
        <v>155</v>
      </c>
      <c r="D28" s="697"/>
      <c r="E28" s="697"/>
      <c r="F28" s="697"/>
      <c r="G28" s="697"/>
      <c r="H28" s="697"/>
      <c r="I28" s="697"/>
      <c r="J28" s="697"/>
      <c r="K28" s="697"/>
      <c r="L28" s="697"/>
      <c r="M28" s="697"/>
      <c r="N28" s="697"/>
      <c r="O28" s="668">
        <f>SUM(C28:N28)</f>
        <v>155</v>
      </c>
      <c r="P28" s="672"/>
    </row>
    <row r="29" spans="1:19">
      <c r="A29" s="714"/>
      <c r="B29" s="674" t="s">
        <v>4426</v>
      </c>
      <c r="C29" s="685">
        <v>95</v>
      </c>
      <c r="D29" s="697"/>
      <c r="E29" s="697"/>
      <c r="F29" s="697"/>
      <c r="G29" s="697"/>
      <c r="H29" s="697"/>
      <c r="I29" s="697"/>
      <c r="J29" s="697"/>
      <c r="K29" s="697"/>
      <c r="L29" s="697"/>
      <c r="M29" s="697"/>
      <c r="N29" s="697"/>
      <c r="O29" s="668">
        <f>SUM(C29:N29)</f>
        <v>95</v>
      </c>
      <c r="P29" s="672"/>
    </row>
    <row r="30" spans="1:19">
      <c r="A30" s="714"/>
      <c r="B30" s="674" t="s">
        <v>5057</v>
      </c>
      <c r="C30" s="685">
        <v>150</v>
      </c>
      <c r="D30" s="697"/>
      <c r="E30" s="697"/>
      <c r="F30" s="697"/>
      <c r="G30" s="697"/>
      <c r="H30" s="697"/>
      <c r="I30" s="697"/>
      <c r="J30" s="697"/>
      <c r="K30" s="697"/>
      <c r="L30" s="697"/>
      <c r="M30" s="697"/>
      <c r="N30" s="697"/>
      <c r="O30" s="668">
        <f>SUM(C30:N30)</f>
        <v>150</v>
      </c>
      <c r="P30" s="672"/>
    </row>
    <row r="31" spans="1:19">
      <c r="A31" s="714"/>
      <c r="B31" s="674" t="s">
        <v>4440</v>
      </c>
      <c r="C31" s="685">
        <v>120</v>
      </c>
      <c r="D31" s="697"/>
      <c r="E31" s="697"/>
      <c r="F31" s="697"/>
      <c r="G31" s="697"/>
      <c r="H31" s="697"/>
      <c r="I31" s="697"/>
      <c r="J31" s="697"/>
      <c r="K31" s="697"/>
      <c r="L31" s="697"/>
      <c r="M31" s="697"/>
      <c r="N31" s="697"/>
      <c r="O31" s="668">
        <f>SUM(J31:N31)</f>
        <v>0</v>
      </c>
      <c r="P31" s="672"/>
    </row>
    <row r="32" spans="1:19">
      <c r="A32" s="714"/>
      <c r="B32" s="674" t="s">
        <v>4429</v>
      </c>
      <c r="C32" s="697"/>
      <c r="D32" s="697"/>
      <c r="E32" s="697"/>
      <c r="F32" s="697"/>
      <c r="G32" s="697"/>
      <c r="H32" s="697"/>
      <c r="I32" s="697"/>
      <c r="J32" s="697"/>
      <c r="K32" s="697"/>
      <c r="L32" s="697"/>
      <c r="M32" s="697"/>
      <c r="N32" s="697"/>
      <c r="O32" s="668">
        <f>SUM(C32:N32)</f>
        <v>0</v>
      </c>
      <c r="P32" s="672"/>
    </row>
    <row r="33" spans="1:18" ht="25.5">
      <c r="A33" s="714"/>
      <c r="B33" s="674" t="s">
        <v>4441</v>
      </c>
      <c r="C33" s="685">
        <v>398</v>
      </c>
      <c r="D33" s="697"/>
      <c r="E33" s="702" t="s">
        <v>4430</v>
      </c>
      <c r="F33" s="697"/>
      <c r="G33" s="697"/>
      <c r="H33" s="697"/>
      <c r="I33" s="697"/>
      <c r="J33" s="697"/>
      <c r="K33" s="697"/>
      <c r="L33" s="697"/>
      <c r="M33" s="697"/>
      <c r="N33" s="697"/>
      <c r="O33" s="668">
        <f>SUM(C33:N33)</f>
        <v>398</v>
      </c>
      <c r="P33" s="672"/>
      <c r="Q33" s="2088" t="s">
        <v>4431</v>
      </c>
      <c r="R33" s="2087"/>
    </row>
    <row r="34" spans="1:18">
      <c r="A34" s="714"/>
      <c r="B34" s="703" t="s">
        <v>4310</v>
      </c>
      <c r="C34" s="701">
        <v>133</v>
      </c>
      <c r="D34" s="697"/>
      <c r="E34" s="697"/>
      <c r="F34" s="697"/>
      <c r="G34" s="697"/>
      <c r="H34" s="697"/>
      <c r="I34" s="704" t="s">
        <v>6324</v>
      </c>
      <c r="J34" s="697"/>
      <c r="K34" s="697"/>
      <c r="L34" s="697"/>
      <c r="M34" s="697"/>
      <c r="N34" s="697"/>
      <c r="O34" s="668">
        <f>SUM(C34:N34)</f>
        <v>133</v>
      </c>
      <c r="P34" s="672"/>
    </row>
    <row r="35" spans="1:18">
      <c r="A35" s="714"/>
      <c r="B35" s="674" t="s">
        <v>4432</v>
      </c>
      <c r="C35" s="685">
        <v>145</v>
      </c>
      <c r="D35" s="697"/>
      <c r="E35" s="697"/>
      <c r="F35" s="697"/>
      <c r="G35" s="697"/>
      <c r="H35" s="697"/>
      <c r="I35" s="697"/>
      <c r="J35" s="697"/>
      <c r="K35" s="697"/>
      <c r="L35" s="697"/>
      <c r="M35" s="697"/>
      <c r="N35" s="697"/>
      <c r="O35" s="668">
        <f>SUM(C35:N35)</f>
        <v>145</v>
      </c>
      <c r="P35" s="672"/>
    </row>
    <row r="36" spans="1:18">
      <c r="A36" s="714"/>
      <c r="B36" s="674"/>
      <c r="C36" s="697"/>
      <c r="D36" s="697"/>
      <c r="E36" s="697"/>
      <c r="F36" s="697"/>
      <c r="G36" s="697"/>
      <c r="H36" s="697"/>
      <c r="I36" s="697"/>
      <c r="J36" s="697"/>
      <c r="K36" s="697"/>
      <c r="L36" s="697"/>
      <c r="M36" s="697"/>
      <c r="N36" s="697"/>
      <c r="O36" s="668">
        <f>SUM(C36:N36)</f>
        <v>0</v>
      </c>
      <c r="P36" s="672"/>
    </row>
    <row r="37" spans="1:18">
      <c r="A37" s="714"/>
      <c r="B37" s="674" t="s">
        <v>4323</v>
      </c>
      <c r="C37" s="685">
        <v>60</v>
      </c>
      <c r="D37" s="705"/>
      <c r="E37" s="705"/>
      <c r="F37" s="705"/>
      <c r="G37" s="705"/>
      <c r="H37" s="705"/>
      <c r="I37" s="705"/>
      <c r="J37" s="705"/>
      <c r="K37" s="705"/>
      <c r="L37" s="705"/>
      <c r="M37" s="705"/>
      <c r="N37" s="705"/>
      <c r="O37" s="668"/>
      <c r="P37" s="672"/>
    </row>
    <row r="38" spans="1:18">
      <c r="A38" s="714"/>
      <c r="B38" s="674" t="s">
        <v>4433</v>
      </c>
      <c r="C38" s="705"/>
      <c r="D38" s="705"/>
      <c r="E38" s="705"/>
      <c r="F38" s="705"/>
      <c r="G38" s="705"/>
      <c r="H38" s="705"/>
      <c r="I38" s="705"/>
      <c r="J38" s="705"/>
      <c r="K38" s="705"/>
      <c r="L38" s="705"/>
      <c r="M38" s="705"/>
      <c r="N38" s="705">
        <f>72.06+23.24</f>
        <v>95.3</v>
      </c>
      <c r="O38" s="668"/>
      <c r="P38" s="672"/>
      <c r="Q38" s="707">
        <f>SUM(O28:O36)</f>
        <v>1076</v>
      </c>
    </row>
    <row r="39" spans="1:18" ht="25.5">
      <c r="A39" s="714"/>
      <c r="B39" s="674" t="s">
        <v>4434</v>
      </c>
      <c r="C39" s="685">
        <v>-35</v>
      </c>
      <c r="D39" s="685">
        <v>-35</v>
      </c>
      <c r="E39" s="685">
        <v>-35</v>
      </c>
      <c r="F39" s="708">
        <v>-35</v>
      </c>
      <c r="G39" s="708">
        <v>-35</v>
      </c>
      <c r="H39" s="708">
        <v>-35</v>
      </c>
      <c r="I39" s="708">
        <v>-35</v>
      </c>
      <c r="J39" s="708">
        <v>-35</v>
      </c>
      <c r="K39" s="708">
        <v>-35</v>
      </c>
      <c r="L39" s="708">
        <v>-35</v>
      </c>
      <c r="M39" s="708">
        <v>-35</v>
      </c>
      <c r="N39" s="708">
        <v>-35</v>
      </c>
      <c r="O39" s="668">
        <f>SUM(C39:N39)</f>
        <v>-420</v>
      </c>
      <c r="P39" s="672"/>
    </row>
    <row r="40" spans="1:18">
      <c r="A40" s="715"/>
      <c r="B40" s="677" t="s">
        <v>4435</v>
      </c>
      <c r="C40" s="677">
        <f t="shared" ref="C40:O40" si="5">SUM(C28:C39)</f>
        <v>1221</v>
      </c>
      <c r="D40" s="677">
        <f t="shared" si="5"/>
        <v>-35</v>
      </c>
      <c r="E40" s="677">
        <f t="shared" si="5"/>
        <v>-35</v>
      </c>
      <c r="F40" s="677">
        <f t="shared" si="5"/>
        <v>-35</v>
      </c>
      <c r="G40" s="677">
        <f t="shared" si="5"/>
        <v>-35</v>
      </c>
      <c r="H40" s="677">
        <f t="shared" si="5"/>
        <v>-35</v>
      </c>
      <c r="I40" s="677">
        <f t="shared" si="5"/>
        <v>-35</v>
      </c>
      <c r="J40" s="677">
        <f t="shared" si="5"/>
        <v>-35</v>
      </c>
      <c r="K40" s="677">
        <f t="shared" si="5"/>
        <v>-35</v>
      </c>
      <c r="L40" s="677">
        <f t="shared" si="5"/>
        <v>-35</v>
      </c>
      <c r="M40" s="677">
        <f t="shared" si="5"/>
        <v>-35</v>
      </c>
      <c r="N40" s="677">
        <f t="shared" si="5"/>
        <v>60.3</v>
      </c>
      <c r="O40" s="677">
        <f t="shared" si="5"/>
        <v>656</v>
      </c>
      <c r="P40" s="691"/>
    </row>
    <row r="41" spans="1:18">
      <c r="A41" s="715" t="s">
        <v>135</v>
      </c>
      <c r="B41" s="709" t="s">
        <v>135</v>
      </c>
      <c r="C41" s="709"/>
      <c r="D41" s="709"/>
      <c r="E41" s="709"/>
      <c r="F41" s="709"/>
      <c r="G41" s="709"/>
      <c r="H41" s="709"/>
      <c r="I41" s="709"/>
      <c r="J41" s="709"/>
      <c r="K41" s="709"/>
      <c r="L41" s="709"/>
      <c r="M41" s="709"/>
      <c r="N41" s="709"/>
      <c r="O41" s="709"/>
      <c r="P41" s="710"/>
    </row>
    <row r="42" spans="1:18">
      <c r="B42" s="578"/>
      <c r="C42" s="578"/>
      <c r="D42" s="578"/>
      <c r="E42" s="578"/>
      <c r="F42" s="578"/>
      <c r="G42" s="578"/>
      <c r="H42" s="578"/>
      <c r="I42" s="578"/>
      <c r="J42" s="578"/>
      <c r="K42" s="578"/>
      <c r="L42" s="578"/>
      <c r="M42" s="2129" t="s">
        <v>4436</v>
      </c>
      <c r="N42" s="2087"/>
      <c r="O42" s="711">
        <f>800/12</f>
        <v>66.666666666666671</v>
      </c>
      <c r="P42" s="712"/>
    </row>
    <row r="43" spans="1:18">
      <c r="B43" s="660"/>
      <c r="C43" s="660"/>
      <c r="D43" s="660"/>
      <c r="E43" s="660"/>
      <c r="F43" s="660"/>
      <c r="G43" s="660"/>
      <c r="H43" s="660"/>
      <c r="I43" s="660"/>
      <c r="J43" s="660"/>
      <c r="K43" s="660"/>
      <c r="L43" s="660"/>
      <c r="M43" s="660"/>
      <c r="N43" s="660"/>
      <c r="O43" s="660"/>
      <c r="P43" s="660"/>
    </row>
    <row r="44" spans="1:18">
      <c r="B44" s="660"/>
      <c r="C44" s="660"/>
      <c r="D44" s="660"/>
      <c r="E44" s="660"/>
      <c r="F44" s="660"/>
      <c r="G44" s="660"/>
      <c r="H44" s="660"/>
      <c r="I44" s="660"/>
      <c r="J44" s="660"/>
      <c r="K44" s="660"/>
      <c r="L44" s="660"/>
      <c r="M44" s="660"/>
      <c r="N44" s="660"/>
      <c r="O44" s="660"/>
      <c r="P44" s="660"/>
    </row>
    <row r="47" spans="1:18">
      <c r="B47" s="2130"/>
      <c r="C47" s="2087"/>
      <c r="D47" s="2087"/>
      <c r="E47" s="2087"/>
      <c r="F47" s="2087"/>
      <c r="G47" s="2087"/>
      <c r="H47" s="2087"/>
      <c r="I47" s="2087"/>
      <c r="J47" s="2087"/>
      <c r="K47" s="2087"/>
      <c r="L47" s="2087"/>
      <c r="M47" s="2087"/>
      <c r="N47" s="2087"/>
      <c r="P47" s="712"/>
    </row>
    <row r="48" spans="1:18" ht="12.75" customHeight="1">
      <c r="B48" s="2087"/>
      <c r="C48" s="2087"/>
      <c r="D48" s="2087"/>
      <c r="E48" s="2087"/>
      <c r="F48" s="2087"/>
    </row>
    <row r="49" spans="2:16">
      <c r="B49" s="660"/>
      <c r="C49" s="660"/>
      <c r="D49" s="660"/>
      <c r="E49" s="660"/>
      <c r="F49" s="660"/>
      <c r="G49" s="660"/>
      <c r="H49" s="660"/>
      <c r="I49" s="660"/>
      <c r="J49" s="660"/>
      <c r="K49" s="660"/>
      <c r="L49" s="660"/>
      <c r="M49" s="660"/>
      <c r="N49" s="660"/>
      <c r="O49" s="660"/>
      <c r="P49" s="660"/>
    </row>
    <row r="53" spans="2:16">
      <c r="B53" s="3" t="s">
        <v>4442</v>
      </c>
    </row>
    <row r="54" spans="2:16">
      <c r="B54" s="253" t="s">
        <v>4443</v>
      </c>
      <c r="C54" s="9">
        <f>29.99*12</f>
        <v>359.88</v>
      </c>
    </row>
    <row r="55" spans="2:16" ht="25.5">
      <c r="B55" s="9" t="s">
        <v>4444</v>
      </c>
      <c r="C55" s="9">
        <v>39</v>
      </c>
    </row>
    <row r="56" spans="2:16">
      <c r="B56" s="9" t="s">
        <v>4445</v>
      </c>
      <c r="C56" s="9">
        <v>399</v>
      </c>
    </row>
  </sheetData>
  <mergeCells count="6">
    <mergeCell ref="B48:F48"/>
    <mergeCell ref="B3:O3"/>
    <mergeCell ref="B25:O25"/>
    <mergeCell ref="Q33:R33"/>
    <mergeCell ref="M42:N42"/>
    <mergeCell ref="B47:N47"/>
  </mergeCells>
  <hyperlinks>
    <hyperlink ref="B54" r:id="rId1" xr:uid="{00000000-0004-0000-1C00-000000000000}"/>
  </hyperlinks>
  <pageMargins left="0.7" right="0.7" top="0.75" bottom="0.75" header="0.3" footer="0.3"/>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pageSetUpPr fitToPage="1"/>
  </sheetPr>
  <dimension ref="A1:N110"/>
  <sheetViews>
    <sheetView workbookViewId="0"/>
  </sheetViews>
  <sheetFormatPr defaultColWidth="12.7109375" defaultRowHeight="12.75" customHeight="1"/>
  <cols>
    <col min="1" max="1" width="2.85546875" customWidth="1"/>
    <col min="2" max="2" width="5.42578125" customWidth="1"/>
    <col min="3" max="3" width="34.28515625" customWidth="1"/>
    <col min="4" max="4" width="3.42578125" customWidth="1"/>
    <col min="5" max="5" width="5.7109375" customWidth="1"/>
    <col min="6" max="6" width="35" customWidth="1"/>
    <col min="8" max="8" width="4" customWidth="1"/>
    <col min="9" max="9" width="6.28515625" customWidth="1"/>
    <col min="10" max="10" width="23.7109375" customWidth="1"/>
    <col min="11" max="11" width="4.140625" customWidth="1"/>
    <col min="12" max="12" width="7.140625" customWidth="1"/>
    <col min="13" max="13" width="25.140625" customWidth="1"/>
  </cols>
  <sheetData>
    <row r="1" spans="1:14" ht="12.75" customHeight="1">
      <c r="A1" s="2143" t="s">
        <v>6325</v>
      </c>
      <c r="B1" s="2144"/>
      <c r="C1" s="2144"/>
      <c r="D1" s="2144"/>
      <c r="E1" s="2144"/>
      <c r="F1" s="2144"/>
      <c r="H1" s="2143"/>
      <c r="I1" s="2144"/>
      <c r="J1" s="2144"/>
      <c r="K1" s="2144"/>
      <c r="L1" s="2144"/>
      <c r="M1" s="2144"/>
    </row>
    <row r="2" spans="1:14" ht="25.5">
      <c r="A2" s="150" t="s">
        <v>284</v>
      </c>
      <c r="B2" s="150" t="s">
        <v>6326</v>
      </c>
      <c r="C2" s="150"/>
      <c r="D2" s="881" t="s">
        <v>284</v>
      </c>
      <c r="E2" s="150" t="s">
        <v>6326</v>
      </c>
      <c r="F2" s="150"/>
      <c r="H2" s="150"/>
      <c r="I2" s="150"/>
      <c r="J2" s="150"/>
      <c r="K2" s="881"/>
      <c r="L2" s="150"/>
      <c r="M2" s="150"/>
    </row>
    <row r="3" spans="1:14">
      <c r="A3" s="9">
        <v>1</v>
      </c>
      <c r="B3" s="9"/>
      <c r="C3" s="9" t="s">
        <v>6327</v>
      </c>
      <c r="D3" s="41">
        <v>22</v>
      </c>
      <c r="E3" s="9">
        <v>15</v>
      </c>
      <c r="F3" s="9" t="s">
        <v>6328</v>
      </c>
      <c r="K3" s="41"/>
    </row>
    <row r="4" spans="1:14">
      <c r="D4" s="41"/>
      <c r="K4" s="41"/>
    </row>
    <row r="5" spans="1:14">
      <c r="D5" s="41"/>
      <c r="K5" s="41"/>
    </row>
    <row r="6" spans="1:14">
      <c r="D6" s="41"/>
      <c r="K6" s="41"/>
    </row>
    <row r="7" spans="1:14">
      <c r="A7" s="133"/>
      <c r="B7" s="133"/>
      <c r="C7" s="133"/>
      <c r="D7" s="77"/>
      <c r="E7" s="133"/>
      <c r="F7" s="133"/>
      <c r="H7" s="133"/>
      <c r="I7" s="133"/>
      <c r="J7" s="133"/>
      <c r="K7" s="77"/>
      <c r="L7" s="133"/>
      <c r="M7" s="133"/>
    </row>
    <row r="8" spans="1:14" ht="12.75" customHeight="1">
      <c r="A8" s="9">
        <v>2</v>
      </c>
      <c r="B8" s="9">
        <v>15</v>
      </c>
      <c r="C8" s="9" t="s">
        <v>6329</v>
      </c>
      <c r="D8" s="41">
        <v>23</v>
      </c>
      <c r="E8" s="9">
        <v>15</v>
      </c>
      <c r="F8" s="9" t="s">
        <v>6330</v>
      </c>
      <c r="K8" s="41"/>
      <c r="N8" s="791"/>
    </row>
    <row r="9" spans="1:14">
      <c r="C9" s="9" t="s">
        <v>6331</v>
      </c>
      <c r="D9" s="41"/>
      <c r="K9" s="41"/>
      <c r="N9" s="3"/>
    </row>
    <row r="10" spans="1:14">
      <c r="D10" s="41"/>
      <c r="F10" s="9" t="s">
        <v>6332</v>
      </c>
      <c r="J10" s="882"/>
      <c r="K10" s="41"/>
    </row>
    <row r="11" spans="1:14">
      <c r="D11" s="41"/>
      <c r="K11" s="41"/>
    </row>
    <row r="12" spans="1:14">
      <c r="A12" s="133"/>
      <c r="B12" s="133"/>
      <c r="C12" s="133"/>
      <c r="D12" s="77"/>
      <c r="E12" s="133"/>
      <c r="F12" s="133"/>
      <c r="H12" s="133"/>
      <c r="I12" s="133"/>
      <c r="J12" s="133"/>
      <c r="K12" s="77"/>
      <c r="L12" s="133"/>
      <c r="M12" s="133"/>
    </row>
    <row r="13" spans="1:14">
      <c r="A13" s="9">
        <v>3</v>
      </c>
      <c r="B13" s="9">
        <v>15</v>
      </c>
      <c r="C13" s="9" t="s">
        <v>6333</v>
      </c>
      <c r="D13" s="41">
        <v>24</v>
      </c>
      <c r="E13" s="9">
        <v>15</v>
      </c>
      <c r="F13" s="9" t="s">
        <v>6334</v>
      </c>
      <c r="K13" s="41"/>
    </row>
    <row r="14" spans="1:14">
      <c r="D14" s="41"/>
      <c r="F14" s="9" t="s">
        <v>6335</v>
      </c>
      <c r="K14" s="41"/>
    </row>
    <row r="15" spans="1:14">
      <c r="D15" s="41"/>
      <c r="K15" s="41"/>
    </row>
    <row r="16" spans="1:14">
      <c r="D16" s="41"/>
      <c r="K16" s="41"/>
    </row>
    <row r="17" spans="1:13">
      <c r="A17" s="133"/>
      <c r="B17" s="133"/>
      <c r="C17" s="133"/>
      <c r="D17" s="77"/>
      <c r="E17" s="133"/>
      <c r="F17" s="133"/>
      <c r="H17" s="133"/>
      <c r="I17" s="133"/>
      <c r="J17" s="133"/>
      <c r="K17" s="77"/>
      <c r="L17" s="133"/>
      <c r="M17" s="133"/>
    </row>
    <row r="18" spans="1:13">
      <c r="A18" s="9">
        <v>4</v>
      </c>
      <c r="C18" s="29"/>
      <c r="D18" s="9">
        <v>25</v>
      </c>
      <c r="E18" s="9"/>
      <c r="F18" s="9" t="s">
        <v>6327</v>
      </c>
      <c r="K18" s="41"/>
    </row>
    <row r="19" spans="1:13">
      <c r="C19" s="29"/>
      <c r="K19" s="41"/>
    </row>
    <row r="20" spans="1:13">
      <c r="B20" s="9">
        <v>20</v>
      </c>
      <c r="C20" s="29" t="s">
        <v>469</v>
      </c>
      <c r="K20" s="41"/>
    </row>
    <row r="21" spans="1:13">
      <c r="C21" s="29"/>
      <c r="K21" s="41"/>
    </row>
    <row r="22" spans="1:13">
      <c r="C22" s="29"/>
      <c r="D22" s="133"/>
      <c r="E22" s="133"/>
      <c r="F22" s="133"/>
      <c r="H22" s="133"/>
      <c r="I22" s="133"/>
      <c r="J22" s="133"/>
      <c r="K22" s="77"/>
      <c r="L22" s="133"/>
      <c r="M22" s="133"/>
    </row>
    <row r="23" spans="1:13">
      <c r="A23" s="9">
        <v>5</v>
      </c>
      <c r="C23" s="29"/>
      <c r="D23" s="9">
        <v>26</v>
      </c>
      <c r="E23" s="9"/>
      <c r="F23" s="9" t="s">
        <v>6327</v>
      </c>
    </row>
    <row r="24" spans="1:13">
      <c r="C24" s="29"/>
    </row>
    <row r="25" spans="1:13">
      <c r="B25" s="9">
        <v>20</v>
      </c>
      <c r="C25" s="29" t="s">
        <v>6336</v>
      </c>
      <c r="H25" s="9"/>
      <c r="I25" s="9"/>
      <c r="L25" s="9"/>
      <c r="M25" s="9"/>
    </row>
    <row r="26" spans="1:13">
      <c r="C26" s="29"/>
    </row>
    <row r="27" spans="1:13">
      <c r="A27" s="133"/>
      <c r="B27" s="133"/>
      <c r="C27" s="883"/>
      <c r="D27" s="133"/>
      <c r="E27" s="133"/>
      <c r="F27" s="133"/>
    </row>
    <row r="28" spans="1:13">
      <c r="A28" s="9">
        <v>6</v>
      </c>
      <c r="B28" s="9"/>
      <c r="C28" s="29"/>
      <c r="D28" s="9">
        <v>27</v>
      </c>
      <c r="E28" s="9"/>
    </row>
    <row r="29" spans="1:13">
      <c r="C29" s="29"/>
      <c r="F29" s="9" t="s">
        <v>6327</v>
      </c>
    </row>
    <row r="30" spans="1:13">
      <c r="B30" s="9">
        <v>30</v>
      </c>
      <c r="C30" s="29" t="s">
        <v>6337</v>
      </c>
      <c r="F30" s="9"/>
      <c r="H30" s="9"/>
      <c r="I30" s="9"/>
      <c r="L30" s="9"/>
      <c r="M30" s="9"/>
    </row>
    <row r="31" spans="1:13">
      <c r="C31" s="29"/>
    </row>
    <row r="32" spans="1:13">
      <c r="C32" s="29"/>
      <c r="D32" s="133"/>
      <c r="E32" s="133"/>
      <c r="F32" s="133"/>
    </row>
    <row r="33" spans="1:13">
      <c r="A33" s="9">
        <v>7</v>
      </c>
      <c r="B33" s="9"/>
      <c r="C33" s="29"/>
      <c r="D33" s="9">
        <v>28</v>
      </c>
      <c r="E33" s="9"/>
    </row>
    <row r="34" spans="1:13">
      <c r="C34" s="29"/>
      <c r="F34" s="9" t="s">
        <v>6338</v>
      </c>
    </row>
    <row r="35" spans="1:13">
      <c r="B35" s="9">
        <v>30</v>
      </c>
      <c r="C35" s="29" t="s">
        <v>6337</v>
      </c>
      <c r="E35" s="9">
        <v>20</v>
      </c>
      <c r="F35" s="9" t="s">
        <v>6339</v>
      </c>
      <c r="H35" s="9"/>
      <c r="I35" s="9"/>
      <c r="L35" s="9"/>
      <c r="M35" s="9"/>
    </row>
    <row r="36" spans="1:13">
      <c r="C36" s="29"/>
    </row>
    <row r="37" spans="1:13">
      <c r="A37" s="133"/>
      <c r="B37" s="133"/>
      <c r="C37" s="883"/>
      <c r="D37" s="133"/>
      <c r="E37" s="133"/>
      <c r="F37" s="133"/>
    </row>
    <row r="38" spans="1:13">
      <c r="A38" s="9">
        <v>8</v>
      </c>
      <c r="B38" s="9">
        <v>20</v>
      </c>
      <c r="C38" s="9" t="s">
        <v>6340</v>
      </c>
      <c r="D38" s="41">
        <v>29</v>
      </c>
      <c r="E38" s="9"/>
      <c r="F38" s="9" t="s">
        <v>6327</v>
      </c>
    </row>
    <row r="39" spans="1:13">
      <c r="C39" s="9" t="s">
        <v>6341</v>
      </c>
      <c r="D39" s="41"/>
    </row>
    <row r="40" spans="1:13">
      <c r="D40" s="41"/>
      <c r="H40" s="9"/>
      <c r="I40" s="9"/>
      <c r="L40" s="9"/>
      <c r="M40" s="9"/>
    </row>
    <row r="41" spans="1:13">
      <c r="D41" s="41"/>
    </row>
    <row r="42" spans="1:13">
      <c r="A42" s="133"/>
      <c r="B42" s="133"/>
      <c r="C42" s="133"/>
      <c r="D42" s="77"/>
      <c r="E42" s="133"/>
      <c r="F42" s="133"/>
    </row>
    <row r="43" spans="1:13">
      <c r="A43" s="9">
        <v>9</v>
      </c>
      <c r="B43" s="9">
        <v>20</v>
      </c>
      <c r="C43" s="9" t="s">
        <v>6342</v>
      </c>
      <c r="D43" s="41">
        <v>30</v>
      </c>
      <c r="E43" s="9">
        <v>15</v>
      </c>
      <c r="F43" s="9" t="s">
        <v>6343</v>
      </c>
    </row>
    <row r="44" spans="1:13">
      <c r="C44" s="9" t="s">
        <v>6344</v>
      </c>
      <c r="D44" s="41"/>
      <c r="F44" s="9" t="s">
        <v>6345</v>
      </c>
    </row>
    <row r="45" spans="1:13">
      <c r="C45" s="9" t="s">
        <v>6346</v>
      </c>
      <c r="D45" s="41"/>
      <c r="H45" s="9"/>
      <c r="I45" s="9"/>
      <c r="L45" s="9"/>
      <c r="M45" s="9"/>
    </row>
    <row r="46" spans="1:13">
      <c r="C46" s="9" t="s">
        <v>6347</v>
      </c>
      <c r="D46" s="41"/>
    </row>
    <row r="47" spans="1:13">
      <c r="A47" s="133"/>
      <c r="B47" s="133"/>
      <c r="C47" s="133"/>
      <c r="D47" s="77"/>
      <c r="E47" s="133"/>
      <c r="F47" s="133"/>
    </row>
    <row r="48" spans="1:13">
      <c r="A48" s="9">
        <v>10</v>
      </c>
      <c r="B48" s="9"/>
      <c r="C48" s="29"/>
      <c r="D48" s="9">
        <v>31</v>
      </c>
      <c r="E48" s="9"/>
      <c r="F48" s="29"/>
    </row>
    <row r="49" spans="1:13">
      <c r="C49" s="29"/>
      <c r="F49" s="29"/>
    </row>
    <row r="50" spans="1:13">
      <c r="B50" s="9">
        <v>20</v>
      </c>
      <c r="C50" s="29" t="s">
        <v>6348</v>
      </c>
      <c r="E50" s="9">
        <v>40</v>
      </c>
      <c r="F50" s="29" t="s">
        <v>6349</v>
      </c>
      <c r="H50" s="9"/>
      <c r="I50" s="9"/>
      <c r="L50" s="9"/>
      <c r="M50" s="9"/>
    </row>
    <row r="51" spans="1:13">
      <c r="C51" s="29"/>
      <c r="F51" s="29"/>
    </row>
    <row r="52" spans="1:13">
      <c r="C52" s="29"/>
      <c r="F52" s="29"/>
    </row>
    <row r="53" spans="1:13">
      <c r="A53" s="9">
        <v>11</v>
      </c>
      <c r="B53" s="9"/>
      <c r="C53" s="29"/>
      <c r="D53" s="9">
        <v>32</v>
      </c>
      <c r="E53" s="9"/>
      <c r="F53" s="29"/>
    </row>
    <row r="54" spans="1:13">
      <c r="C54" s="29"/>
      <c r="F54" s="29"/>
    </row>
    <row r="55" spans="1:13">
      <c r="B55" s="9">
        <v>20</v>
      </c>
      <c r="C55" s="29" t="s">
        <v>6350</v>
      </c>
      <c r="E55" s="9">
        <v>40</v>
      </c>
      <c r="F55" s="29" t="s">
        <v>6351</v>
      </c>
      <c r="H55" s="9"/>
      <c r="I55" s="9"/>
      <c r="L55" s="9"/>
      <c r="M55" s="9"/>
    </row>
    <row r="56" spans="1:13">
      <c r="C56" s="29"/>
      <c r="F56" s="29"/>
    </row>
    <row r="57" spans="1:13">
      <c r="A57" s="133"/>
      <c r="B57" s="133"/>
      <c r="C57" s="883"/>
      <c r="D57" s="133"/>
      <c r="E57" s="133"/>
      <c r="F57" s="883"/>
    </row>
    <row r="58" spans="1:13">
      <c r="A58" s="9">
        <v>12</v>
      </c>
      <c r="B58" s="9">
        <v>20</v>
      </c>
      <c r="C58" s="9" t="s">
        <v>6352</v>
      </c>
      <c r="D58" s="41">
        <v>33</v>
      </c>
      <c r="E58" s="9"/>
      <c r="F58" s="29"/>
    </row>
    <row r="59" spans="1:13">
      <c r="D59" s="41"/>
      <c r="F59" s="29"/>
    </row>
    <row r="60" spans="1:13">
      <c r="D60" s="41"/>
      <c r="E60" s="9">
        <v>40</v>
      </c>
      <c r="F60" s="29" t="s">
        <v>6353</v>
      </c>
      <c r="H60" s="9"/>
      <c r="I60" s="9"/>
      <c r="L60" s="9"/>
      <c r="M60" s="9"/>
    </row>
    <row r="61" spans="1:13">
      <c r="D61" s="41"/>
      <c r="F61" s="29"/>
    </row>
    <row r="62" spans="1:13">
      <c r="A62" s="133"/>
      <c r="B62" s="133"/>
      <c r="C62" s="884"/>
      <c r="F62" s="29"/>
    </row>
    <row r="63" spans="1:13">
      <c r="A63" s="9">
        <v>13</v>
      </c>
      <c r="B63" s="9">
        <v>20</v>
      </c>
      <c r="C63" s="9" t="s">
        <v>6354</v>
      </c>
      <c r="D63" s="41">
        <v>34</v>
      </c>
      <c r="E63" s="9"/>
      <c r="F63" s="29"/>
    </row>
    <row r="64" spans="1:13">
      <c r="D64" s="41"/>
      <c r="F64" s="29"/>
    </row>
    <row r="65" spans="1:13">
      <c r="D65" s="41"/>
      <c r="E65" s="9">
        <v>40</v>
      </c>
      <c r="F65" s="29" t="s">
        <v>6353</v>
      </c>
      <c r="H65" s="9"/>
      <c r="I65" s="9"/>
      <c r="L65" s="9"/>
      <c r="M65" s="9"/>
    </row>
    <row r="66" spans="1:13">
      <c r="D66" s="41"/>
      <c r="F66" s="29"/>
    </row>
    <row r="67" spans="1:13">
      <c r="A67" s="133"/>
      <c r="B67" s="133"/>
      <c r="C67" s="133"/>
      <c r="D67" s="77"/>
      <c r="E67" s="133"/>
      <c r="F67" s="883"/>
    </row>
    <row r="68" spans="1:13">
      <c r="A68" s="9">
        <v>14</v>
      </c>
      <c r="B68" s="9">
        <v>20</v>
      </c>
      <c r="C68" s="9" t="s">
        <v>6355</v>
      </c>
      <c r="D68" s="41">
        <v>35</v>
      </c>
      <c r="E68" s="9">
        <v>20</v>
      </c>
      <c r="F68" s="9" t="s">
        <v>6356</v>
      </c>
    </row>
    <row r="69" spans="1:13">
      <c r="D69" s="41"/>
    </row>
    <row r="70" spans="1:13">
      <c r="D70" s="41"/>
      <c r="H70" s="9"/>
      <c r="I70" s="9"/>
      <c r="L70" s="9"/>
      <c r="M70" s="9"/>
    </row>
    <row r="71" spans="1:13">
      <c r="D71" s="41"/>
    </row>
    <row r="72" spans="1:13">
      <c r="A72" s="133"/>
      <c r="B72" s="133"/>
      <c r="C72" s="133"/>
      <c r="D72" s="77"/>
      <c r="E72" s="133"/>
      <c r="F72" s="133"/>
    </row>
    <row r="73" spans="1:13">
      <c r="A73" s="9">
        <v>15</v>
      </c>
      <c r="B73" s="9">
        <v>20</v>
      </c>
      <c r="C73" s="9" t="s">
        <v>6355</v>
      </c>
      <c r="D73" s="41">
        <v>36</v>
      </c>
      <c r="E73" s="9"/>
      <c r="F73" s="29"/>
    </row>
    <row r="74" spans="1:13">
      <c r="D74" s="41"/>
      <c r="F74" s="29"/>
    </row>
    <row r="75" spans="1:13">
      <c r="D75" s="41"/>
      <c r="E75" s="9">
        <v>60</v>
      </c>
      <c r="F75" s="29" t="s">
        <v>6357</v>
      </c>
      <c r="H75" s="9"/>
      <c r="I75" s="9"/>
      <c r="L75" s="9"/>
      <c r="M75" s="9"/>
    </row>
    <row r="76" spans="1:13">
      <c r="D76" s="41"/>
      <c r="F76" s="29"/>
    </row>
    <row r="77" spans="1:13">
      <c r="A77" s="133"/>
      <c r="B77" s="133"/>
      <c r="C77" s="884"/>
      <c r="F77" s="29"/>
    </row>
    <row r="78" spans="1:13">
      <c r="A78" s="9">
        <v>16</v>
      </c>
      <c r="B78" s="9">
        <v>20</v>
      </c>
      <c r="C78" s="9" t="s">
        <v>6358</v>
      </c>
      <c r="D78" s="41">
        <v>37</v>
      </c>
      <c r="E78" s="9"/>
      <c r="F78" s="29"/>
    </row>
    <row r="79" spans="1:13">
      <c r="D79" s="41"/>
      <c r="F79" s="29"/>
    </row>
    <row r="80" spans="1:13">
      <c r="D80" s="41"/>
      <c r="E80" s="9">
        <v>60</v>
      </c>
      <c r="F80" s="29" t="s">
        <v>6357</v>
      </c>
      <c r="H80" s="9"/>
      <c r="I80" s="9"/>
      <c r="L80" s="9"/>
      <c r="M80" s="9"/>
    </row>
    <row r="81" spans="1:13">
      <c r="D81" s="41"/>
      <c r="F81" s="29"/>
    </row>
    <row r="82" spans="1:13">
      <c r="A82" s="133"/>
      <c r="B82" s="133"/>
      <c r="C82" s="133"/>
      <c r="D82" s="77"/>
      <c r="E82" s="133"/>
      <c r="F82" s="883"/>
    </row>
    <row r="83" spans="1:13">
      <c r="A83" s="9">
        <v>17</v>
      </c>
      <c r="B83" s="9">
        <v>20</v>
      </c>
      <c r="C83" s="9" t="s">
        <v>6359</v>
      </c>
      <c r="D83" s="41">
        <v>38</v>
      </c>
      <c r="E83" s="9">
        <v>15</v>
      </c>
      <c r="F83" s="9" t="s">
        <v>6360</v>
      </c>
    </row>
    <row r="84" spans="1:13">
      <c r="C84" s="9" t="s">
        <v>6361</v>
      </c>
      <c r="D84" s="41"/>
      <c r="F84" s="9" t="s">
        <v>6362</v>
      </c>
    </row>
    <row r="85" spans="1:13">
      <c r="D85" s="41"/>
      <c r="F85" s="9" t="s">
        <v>6363</v>
      </c>
      <c r="H85" s="9"/>
      <c r="I85" s="9"/>
      <c r="L85" s="9"/>
      <c r="M85" s="9"/>
    </row>
    <row r="86" spans="1:13">
      <c r="D86" s="41"/>
      <c r="F86" s="9" t="s">
        <v>6364</v>
      </c>
    </row>
    <row r="87" spans="1:13">
      <c r="A87" s="133"/>
      <c r="B87" s="133"/>
      <c r="C87" s="133"/>
      <c r="D87" s="77"/>
      <c r="E87" s="133"/>
      <c r="F87" s="133"/>
    </row>
    <row r="88" spans="1:13">
      <c r="A88" s="9">
        <v>18</v>
      </c>
      <c r="B88" s="9">
        <v>20</v>
      </c>
      <c r="C88" s="9" t="s">
        <v>6365</v>
      </c>
      <c r="D88" s="41">
        <v>39</v>
      </c>
      <c r="E88" s="9">
        <v>20</v>
      </c>
      <c r="F88" s="9" t="s">
        <v>6366</v>
      </c>
    </row>
    <row r="89" spans="1:13">
      <c r="D89" s="41"/>
    </row>
    <row r="90" spans="1:13">
      <c r="D90" s="41"/>
      <c r="H90" s="9"/>
      <c r="I90" s="9"/>
      <c r="L90" s="9"/>
      <c r="M90" s="9"/>
    </row>
    <row r="91" spans="1:13">
      <c r="D91" s="41"/>
    </row>
    <row r="92" spans="1:13">
      <c r="A92" s="133"/>
      <c r="B92" s="133"/>
      <c r="C92" s="133"/>
      <c r="D92" s="77"/>
      <c r="E92" s="133"/>
      <c r="F92" s="133"/>
    </row>
    <row r="93" spans="1:13">
      <c r="A93" s="9">
        <v>19</v>
      </c>
      <c r="B93" s="9">
        <v>20</v>
      </c>
      <c r="C93" s="9" t="s">
        <v>6367</v>
      </c>
      <c r="D93" s="41">
        <v>40</v>
      </c>
      <c r="E93" s="9"/>
      <c r="F93" s="29" t="s">
        <v>6368</v>
      </c>
    </row>
    <row r="94" spans="1:13">
      <c r="D94" s="41"/>
      <c r="F94" s="29"/>
    </row>
    <row r="95" spans="1:13">
      <c r="D95" s="41"/>
      <c r="F95" s="29"/>
      <c r="H95" s="9"/>
      <c r="I95" s="9"/>
      <c r="L95" s="9"/>
      <c r="M95" s="9"/>
    </row>
    <row r="96" spans="1:13">
      <c r="D96" s="41"/>
      <c r="F96" s="29"/>
    </row>
    <row r="97" spans="1:13">
      <c r="A97" s="133"/>
      <c r="B97" s="133"/>
      <c r="C97" s="133"/>
      <c r="D97" s="41"/>
      <c r="F97" s="29"/>
    </row>
    <row r="98" spans="1:13">
      <c r="A98" s="9">
        <v>20</v>
      </c>
      <c r="B98" s="9"/>
      <c r="C98" s="29"/>
      <c r="D98" s="9">
        <v>41</v>
      </c>
      <c r="E98" s="9"/>
      <c r="F98" s="29" t="s">
        <v>6368</v>
      </c>
    </row>
    <row r="99" spans="1:13">
      <c r="C99" s="29"/>
      <c r="F99" s="29"/>
    </row>
    <row r="100" spans="1:13">
      <c r="B100" s="9">
        <v>20</v>
      </c>
      <c r="C100" s="29" t="s">
        <v>6369</v>
      </c>
      <c r="F100" s="29"/>
      <c r="H100" s="9"/>
      <c r="I100" s="9"/>
      <c r="L100" s="9"/>
      <c r="M100" s="9"/>
    </row>
    <row r="101" spans="1:13">
      <c r="C101" s="29"/>
      <c r="F101" s="29"/>
    </row>
    <row r="102" spans="1:13">
      <c r="C102" s="29"/>
      <c r="D102" s="133"/>
      <c r="E102" s="133"/>
      <c r="F102" s="883"/>
    </row>
    <row r="103" spans="1:13">
      <c r="A103" s="9">
        <v>21</v>
      </c>
      <c r="B103" s="9"/>
      <c r="C103" s="29"/>
      <c r="D103" s="9">
        <v>42</v>
      </c>
      <c r="E103" s="9"/>
      <c r="F103" s="9" t="s">
        <v>6327</v>
      </c>
    </row>
    <row r="104" spans="1:13">
      <c r="C104" s="29"/>
    </row>
    <row r="105" spans="1:13">
      <c r="C105" s="29"/>
      <c r="H105" s="9"/>
      <c r="I105" s="9"/>
      <c r="L105" s="9"/>
      <c r="M105" s="9"/>
    </row>
    <row r="106" spans="1:13">
      <c r="B106" s="9">
        <v>20</v>
      </c>
      <c r="C106" s="29" t="s">
        <v>6369</v>
      </c>
    </row>
    <row r="107" spans="1:13">
      <c r="C107" s="29"/>
    </row>
    <row r="108" spans="1:13">
      <c r="A108" s="133"/>
      <c r="B108" s="133"/>
      <c r="C108" s="883"/>
      <c r="D108" s="133"/>
      <c r="E108" s="133"/>
      <c r="F108" s="133"/>
    </row>
    <row r="110" spans="1:13">
      <c r="H110" s="9"/>
      <c r="I110" s="9"/>
      <c r="L110" s="9"/>
      <c r="M110" s="9"/>
    </row>
  </sheetData>
  <mergeCells count="2">
    <mergeCell ref="A1:F1"/>
    <mergeCell ref="H1:M1"/>
  </mergeCells>
  <printOptions horizontalCentered="1" gridLines="1"/>
  <pageMargins left="0.7" right="0.7" top="0.75" bottom="0.75" header="0" footer="0"/>
  <pageSetup fitToHeight="0" pageOrder="overThenDown" orientation="portrait" cellComments="atEnd"/>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pageSetUpPr fitToPage="1"/>
  </sheetPr>
  <dimension ref="A1:O44"/>
  <sheetViews>
    <sheetView workbookViewId="0">
      <selection activeCell="D19" sqref="D19"/>
    </sheetView>
  </sheetViews>
  <sheetFormatPr defaultColWidth="12.7109375" defaultRowHeight="12.75" customHeight="1"/>
  <cols>
    <col min="1" max="1" width="20.85546875" customWidth="1"/>
    <col min="2" max="2" width="21.7109375" customWidth="1"/>
    <col min="3" max="4" width="22.7109375" customWidth="1"/>
    <col min="8" max="8" width="6.28515625" customWidth="1"/>
    <col min="9" max="9" width="4.28515625" customWidth="1"/>
    <col min="10" max="10" width="9.85546875" customWidth="1"/>
    <col min="11" max="11" width="8" customWidth="1"/>
    <col min="12" max="12" width="6" customWidth="1"/>
    <col min="13" max="13" width="10.140625" customWidth="1"/>
  </cols>
  <sheetData>
    <row r="1" spans="1:15">
      <c r="A1" s="3" t="s">
        <v>3277</v>
      </c>
      <c r="B1" s="3" t="s">
        <v>3278</v>
      </c>
      <c r="C1" s="3" t="s">
        <v>3279</v>
      </c>
      <c r="D1" s="3" t="s">
        <v>3280</v>
      </c>
      <c r="E1" s="3" t="s">
        <v>3281</v>
      </c>
      <c r="H1" s="43" t="s">
        <v>872</v>
      </c>
      <c r="I1" s="43" t="s">
        <v>3282</v>
      </c>
      <c r="J1" s="43" t="s">
        <v>3283</v>
      </c>
      <c r="K1" s="6" t="s">
        <v>85</v>
      </c>
      <c r="M1" s="9" t="s">
        <v>3284</v>
      </c>
    </row>
    <row r="2" spans="1:15">
      <c r="A2" s="9" t="s">
        <v>3285</v>
      </c>
      <c r="B2" s="442" t="s">
        <v>3286</v>
      </c>
      <c r="C2" s="9" t="s">
        <v>3287</v>
      </c>
      <c r="D2" s="253" t="s">
        <v>3288</v>
      </c>
      <c r="E2" s="443">
        <v>45043</v>
      </c>
      <c r="G2" s="2">
        <v>44927</v>
      </c>
      <c r="H2" s="9">
        <v>2023</v>
      </c>
      <c r="I2" s="9">
        <v>69</v>
      </c>
      <c r="J2" s="16">
        <v>2200000</v>
      </c>
      <c r="K2" s="6" t="s">
        <v>3289</v>
      </c>
      <c r="M2" s="16" t="s">
        <v>3290</v>
      </c>
    </row>
    <row r="3" spans="1:15">
      <c r="A3" s="9" t="s">
        <v>3291</v>
      </c>
      <c r="B3" s="442" t="s">
        <v>3286</v>
      </c>
      <c r="C3" s="9" t="s">
        <v>3287</v>
      </c>
      <c r="D3" s="253" t="s">
        <v>3292</v>
      </c>
      <c r="E3" s="443">
        <v>45043</v>
      </c>
      <c r="H3" s="9">
        <v>2024</v>
      </c>
      <c r="I3" s="9">
        <v>70</v>
      </c>
      <c r="J3" s="16">
        <v>2200000</v>
      </c>
      <c r="K3" s="16">
        <v>80000</v>
      </c>
      <c r="L3" s="16">
        <v>2000</v>
      </c>
      <c r="M3" s="16">
        <f t="shared" ref="M3:M32" si="0">J3*10/100/12</f>
        <v>18333.333333333332</v>
      </c>
    </row>
    <row r="4" spans="1:15">
      <c r="A4" s="9" t="s">
        <v>3293</v>
      </c>
      <c r="B4" s="442" t="s">
        <v>3294</v>
      </c>
      <c r="C4" s="9" t="s">
        <v>3295</v>
      </c>
      <c r="D4" s="253" t="s">
        <v>3296</v>
      </c>
      <c r="E4" s="443">
        <v>45048</v>
      </c>
      <c r="H4" s="9">
        <v>2025</v>
      </c>
      <c r="I4" s="9">
        <v>71</v>
      </c>
      <c r="J4" s="16">
        <f t="shared" ref="J4:J23" si="1">J3-K4</f>
        <v>2122000</v>
      </c>
      <c r="K4" s="16">
        <f t="shared" ref="K4:K23" si="2">K3-L3</f>
        <v>78000</v>
      </c>
      <c r="L4" s="16">
        <v>2000</v>
      </c>
      <c r="M4" s="16">
        <f t="shared" si="0"/>
        <v>17683.333333333332</v>
      </c>
      <c r="O4" s="9">
        <v>2.2650000000000001</v>
      </c>
    </row>
    <row r="5" spans="1:15">
      <c r="A5" s="9" t="s">
        <v>3297</v>
      </c>
      <c r="B5" s="442" t="s">
        <v>3298</v>
      </c>
      <c r="C5" s="9" t="s">
        <v>3287</v>
      </c>
      <c r="D5" s="9" t="s">
        <v>3299</v>
      </c>
      <c r="E5" s="443">
        <v>45069</v>
      </c>
      <c r="H5" s="9">
        <v>2026</v>
      </c>
      <c r="I5" s="9">
        <v>72</v>
      </c>
      <c r="J5" s="16">
        <f t="shared" si="1"/>
        <v>2046000</v>
      </c>
      <c r="K5" s="16">
        <f t="shared" si="2"/>
        <v>76000</v>
      </c>
      <c r="L5" s="16">
        <v>2000</v>
      </c>
      <c r="M5" s="16">
        <f t="shared" si="0"/>
        <v>17050</v>
      </c>
    </row>
    <row r="6" spans="1:15">
      <c r="A6" s="1638" t="s">
        <v>3300</v>
      </c>
      <c r="B6" s="442" t="s">
        <v>3301</v>
      </c>
      <c r="C6" s="9" t="s">
        <v>3287</v>
      </c>
      <c r="D6" s="253" t="s">
        <v>3302</v>
      </c>
      <c r="E6" s="443">
        <v>45078</v>
      </c>
      <c r="H6" s="9">
        <v>2027</v>
      </c>
      <c r="I6" s="9">
        <v>73</v>
      </c>
      <c r="J6" s="16">
        <f t="shared" si="1"/>
        <v>1972000</v>
      </c>
      <c r="K6" s="16">
        <f t="shared" si="2"/>
        <v>74000</v>
      </c>
      <c r="L6" s="16">
        <v>2000</v>
      </c>
      <c r="M6" s="16">
        <f t="shared" si="0"/>
        <v>16433.333333333332</v>
      </c>
    </row>
    <row r="7" spans="1:15">
      <c r="A7" s="9" t="s">
        <v>3303</v>
      </c>
      <c r="B7" s="442" t="s">
        <v>3304</v>
      </c>
      <c r="C7" s="9" t="s">
        <v>3287</v>
      </c>
      <c r="D7" s="253" t="s">
        <v>3305</v>
      </c>
      <c r="E7" s="443">
        <v>45093</v>
      </c>
      <c r="H7" s="9">
        <v>2028</v>
      </c>
      <c r="I7" s="9">
        <v>74</v>
      </c>
      <c r="J7" s="16">
        <f t="shared" si="1"/>
        <v>1900000</v>
      </c>
      <c r="K7" s="16">
        <f t="shared" si="2"/>
        <v>72000</v>
      </c>
      <c r="L7" s="16">
        <v>2000</v>
      </c>
      <c r="M7" s="16">
        <f t="shared" si="0"/>
        <v>15833.333333333334</v>
      </c>
    </row>
    <row r="8" spans="1:15">
      <c r="A8" s="1638" t="s">
        <v>3306</v>
      </c>
      <c r="B8" s="442">
        <v>513</v>
      </c>
      <c r="C8" s="9" t="s">
        <v>3287</v>
      </c>
      <c r="D8" s="253" t="s">
        <v>3307</v>
      </c>
      <c r="E8" s="443">
        <v>45182</v>
      </c>
      <c r="H8" s="9">
        <v>2029</v>
      </c>
      <c r="I8" s="9">
        <v>75</v>
      </c>
      <c r="J8" s="16">
        <f t="shared" si="1"/>
        <v>1830000</v>
      </c>
      <c r="K8" s="16">
        <f t="shared" si="2"/>
        <v>70000</v>
      </c>
      <c r="L8" s="16">
        <v>2000</v>
      </c>
      <c r="M8" s="16">
        <f t="shared" si="0"/>
        <v>15250</v>
      </c>
    </row>
    <row r="9" spans="1:15">
      <c r="A9" s="1638" t="s">
        <v>3308</v>
      </c>
      <c r="B9" s="442" t="s">
        <v>3309</v>
      </c>
      <c r="C9" s="9" t="s">
        <v>3287</v>
      </c>
      <c r="D9" s="253" t="s">
        <v>3310</v>
      </c>
      <c r="E9" s="443">
        <v>45463</v>
      </c>
      <c r="H9" s="9">
        <v>2030</v>
      </c>
      <c r="I9" s="9">
        <v>76</v>
      </c>
      <c r="J9" s="16">
        <f t="shared" si="1"/>
        <v>1762000</v>
      </c>
      <c r="K9" s="16">
        <f t="shared" si="2"/>
        <v>68000</v>
      </c>
      <c r="L9" s="16">
        <v>2000</v>
      </c>
      <c r="M9" s="16">
        <f t="shared" si="0"/>
        <v>14683.333333333334</v>
      </c>
    </row>
    <row r="10" spans="1:15">
      <c r="A10" s="9"/>
      <c r="H10" s="9">
        <v>2031</v>
      </c>
      <c r="I10" s="9">
        <v>77</v>
      </c>
      <c r="J10" s="16">
        <f t="shared" si="1"/>
        <v>1696000</v>
      </c>
      <c r="K10" s="16">
        <f t="shared" si="2"/>
        <v>66000</v>
      </c>
      <c r="L10" s="16">
        <v>2000</v>
      </c>
      <c r="M10" s="16">
        <f t="shared" si="0"/>
        <v>14133.333333333334</v>
      </c>
    </row>
    <row r="11" spans="1:15">
      <c r="H11" s="9">
        <v>2032</v>
      </c>
      <c r="I11" s="9">
        <v>78</v>
      </c>
      <c r="J11" s="16">
        <f t="shared" si="1"/>
        <v>1632000</v>
      </c>
      <c r="K11" s="16">
        <f t="shared" si="2"/>
        <v>64000</v>
      </c>
      <c r="L11" s="16">
        <v>2000</v>
      </c>
      <c r="M11" s="16">
        <f t="shared" si="0"/>
        <v>13600</v>
      </c>
    </row>
    <row r="12" spans="1:15">
      <c r="H12" s="9">
        <v>2033</v>
      </c>
      <c r="I12" s="9">
        <v>79</v>
      </c>
      <c r="J12" s="16">
        <f t="shared" si="1"/>
        <v>1570000</v>
      </c>
      <c r="K12" s="16">
        <f t="shared" si="2"/>
        <v>62000</v>
      </c>
      <c r="L12" s="16">
        <v>2000</v>
      </c>
      <c r="M12" s="16">
        <f t="shared" si="0"/>
        <v>13083.333333333334</v>
      </c>
    </row>
    <row r="13" spans="1:15">
      <c r="H13" s="9">
        <v>2034</v>
      </c>
      <c r="I13" s="9">
        <v>80</v>
      </c>
      <c r="J13" s="16">
        <f t="shared" si="1"/>
        <v>1510000</v>
      </c>
      <c r="K13" s="16">
        <f t="shared" si="2"/>
        <v>60000</v>
      </c>
      <c r="L13" s="16">
        <v>2000</v>
      </c>
      <c r="M13" s="16">
        <f t="shared" si="0"/>
        <v>12583.333333333334</v>
      </c>
    </row>
    <row r="14" spans="1:15">
      <c r="H14" s="9">
        <v>2035</v>
      </c>
      <c r="I14" s="9">
        <v>81</v>
      </c>
      <c r="J14" s="16">
        <f t="shared" si="1"/>
        <v>1452000</v>
      </c>
      <c r="K14" s="16">
        <f t="shared" si="2"/>
        <v>58000</v>
      </c>
      <c r="L14" s="16">
        <v>2000</v>
      </c>
      <c r="M14" s="16">
        <f t="shared" si="0"/>
        <v>12100</v>
      </c>
    </row>
    <row r="15" spans="1:15">
      <c r="H15" s="9">
        <v>2036</v>
      </c>
      <c r="I15" s="9">
        <v>82</v>
      </c>
      <c r="J15" s="16">
        <f t="shared" si="1"/>
        <v>1396000</v>
      </c>
      <c r="K15" s="16">
        <f t="shared" si="2"/>
        <v>56000</v>
      </c>
      <c r="L15" s="16">
        <v>2000</v>
      </c>
      <c r="M15" s="16">
        <f t="shared" si="0"/>
        <v>11633.333333333334</v>
      </c>
    </row>
    <row r="16" spans="1:15">
      <c r="H16" s="9">
        <v>2037</v>
      </c>
      <c r="I16" s="9">
        <v>83</v>
      </c>
      <c r="J16" s="16">
        <f t="shared" si="1"/>
        <v>1342000</v>
      </c>
      <c r="K16" s="16">
        <f t="shared" si="2"/>
        <v>54000</v>
      </c>
      <c r="L16" s="16">
        <v>2000</v>
      </c>
      <c r="M16" s="16">
        <f t="shared" si="0"/>
        <v>11183.333333333334</v>
      </c>
    </row>
    <row r="17" spans="1:13">
      <c r="H17" s="9">
        <v>2038</v>
      </c>
      <c r="I17" s="9">
        <v>84</v>
      </c>
      <c r="J17" s="16">
        <f t="shared" si="1"/>
        <v>1290000</v>
      </c>
      <c r="K17" s="16">
        <f t="shared" si="2"/>
        <v>52000</v>
      </c>
      <c r="L17" s="16">
        <v>2000</v>
      </c>
      <c r="M17" s="16">
        <f t="shared" si="0"/>
        <v>10750</v>
      </c>
    </row>
    <row r="18" spans="1:13">
      <c r="H18" s="9">
        <v>2039</v>
      </c>
      <c r="I18" s="9">
        <v>85</v>
      </c>
      <c r="J18" s="16">
        <f t="shared" si="1"/>
        <v>1240000</v>
      </c>
      <c r="K18" s="16">
        <f t="shared" si="2"/>
        <v>50000</v>
      </c>
      <c r="L18" s="16">
        <v>2000</v>
      </c>
      <c r="M18" s="16">
        <f t="shared" si="0"/>
        <v>10333.333333333334</v>
      </c>
    </row>
    <row r="19" spans="1:13">
      <c r="H19" s="9">
        <v>2040</v>
      </c>
      <c r="I19" s="9">
        <v>86</v>
      </c>
      <c r="J19" s="16">
        <f t="shared" si="1"/>
        <v>1192000</v>
      </c>
      <c r="K19" s="16">
        <f t="shared" si="2"/>
        <v>48000</v>
      </c>
      <c r="L19" s="16">
        <v>2000</v>
      </c>
      <c r="M19" s="16">
        <f t="shared" si="0"/>
        <v>9933.3333333333339</v>
      </c>
    </row>
    <row r="20" spans="1:13">
      <c r="H20" s="9">
        <v>2041</v>
      </c>
      <c r="I20" s="9">
        <v>87</v>
      </c>
      <c r="J20" s="16">
        <f t="shared" si="1"/>
        <v>1146000</v>
      </c>
      <c r="K20" s="16">
        <f t="shared" si="2"/>
        <v>46000</v>
      </c>
      <c r="L20" s="16">
        <v>2000</v>
      </c>
      <c r="M20" s="16">
        <f t="shared" si="0"/>
        <v>9550</v>
      </c>
    </row>
    <row r="21" spans="1:13">
      <c r="H21" s="9">
        <v>2042</v>
      </c>
      <c r="I21" s="9">
        <v>88</v>
      </c>
      <c r="J21" s="16">
        <f t="shared" si="1"/>
        <v>1102000</v>
      </c>
      <c r="K21" s="16">
        <f t="shared" si="2"/>
        <v>44000</v>
      </c>
      <c r="L21" s="16">
        <v>2000</v>
      </c>
      <c r="M21" s="16">
        <f t="shared" si="0"/>
        <v>9183.3333333333339</v>
      </c>
    </row>
    <row r="22" spans="1:13">
      <c r="H22" s="9">
        <v>2043</v>
      </c>
      <c r="I22" s="9">
        <v>89</v>
      </c>
      <c r="J22" s="16">
        <f t="shared" si="1"/>
        <v>1060000</v>
      </c>
      <c r="K22" s="16">
        <f t="shared" si="2"/>
        <v>42000</v>
      </c>
      <c r="L22" s="16">
        <v>2000</v>
      </c>
      <c r="M22" s="16">
        <f t="shared" si="0"/>
        <v>8833.3333333333339</v>
      </c>
    </row>
    <row r="23" spans="1:13">
      <c r="H23" s="9">
        <v>2044</v>
      </c>
      <c r="I23" s="9">
        <v>90</v>
      </c>
      <c r="J23" s="16">
        <f t="shared" si="1"/>
        <v>1020000</v>
      </c>
      <c r="K23" s="16">
        <f t="shared" si="2"/>
        <v>40000</v>
      </c>
      <c r="L23" s="16">
        <v>2000</v>
      </c>
      <c r="M23" s="16">
        <f t="shared" si="0"/>
        <v>8500</v>
      </c>
    </row>
    <row r="24" spans="1:13">
      <c r="H24" s="9">
        <v>2045</v>
      </c>
      <c r="I24" s="9">
        <v>91</v>
      </c>
      <c r="J24" s="16">
        <v>940000</v>
      </c>
      <c r="M24" s="16">
        <f t="shared" si="0"/>
        <v>7833.333333333333</v>
      </c>
    </row>
    <row r="25" spans="1:13">
      <c r="H25" s="9">
        <v>2046</v>
      </c>
      <c r="I25" s="9">
        <v>92</v>
      </c>
      <c r="J25" s="16">
        <v>940000</v>
      </c>
      <c r="M25" s="16">
        <f t="shared" si="0"/>
        <v>7833.333333333333</v>
      </c>
    </row>
    <row r="26" spans="1:13">
      <c r="H26" s="9">
        <v>2047</v>
      </c>
      <c r="I26" s="9">
        <v>93</v>
      </c>
      <c r="J26" s="16">
        <v>940000</v>
      </c>
      <c r="M26" s="16">
        <f t="shared" si="0"/>
        <v>7833.333333333333</v>
      </c>
    </row>
    <row r="27" spans="1:13">
      <c r="H27" s="9">
        <v>2048</v>
      </c>
      <c r="I27" s="9">
        <v>94</v>
      </c>
      <c r="J27" s="16">
        <v>940000</v>
      </c>
      <c r="M27" s="16">
        <f t="shared" si="0"/>
        <v>7833.333333333333</v>
      </c>
    </row>
    <row r="28" spans="1:13">
      <c r="H28" s="9">
        <v>2049</v>
      </c>
      <c r="I28" s="9">
        <v>95</v>
      </c>
      <c r="J28" s="16">
        <v>940000</v>
      </c>
      <c r="M28" s="16">
        <f t="shared" si="0"/>
        <v>7833.333333333333</v>
      </c>
    </row>
    <row r="29" spans="1:13">
      <c r="H29" s="9">
        <v>2050</v>
      </c>
      <c r="I29" s="9">
        <v>96</v>
      </c>
      <c r="J29" s="16">
        <v>940000</v>
      </c>
      <c r="M29" s="16">
        <f t="shared" si="0"/>
        <v>7833.333333333333</v>
      </c>
    </row>
    <row r="30" spans="1:13">
      <c r="H30" s="9">
        <v>2051</v>
      </c>
      <c r="I30" s="9">
        <v>97</v>
      </c>
      <c r="J30" s="16">
        <v>940000</v>
      </c>
      <c r="M30" s="16">
        <f t="shared" si="0"/>
        <v>7833.333333333333</v>
      </c>
    </row>
    <row r="31" spans="1:13">
      <c r="A31" s="25"/>
      <c r="B31" s="445"/>
      <c r="C31" s="25"/>
      <c r="D31" s="25"/>
      <c r="E31" s="25"/>
      <c r="H31" s="9">
        <v>2052</v>
      </c>
      <c r="I31" s="9">
        <v>98</v>
      </c>
      <c r="J31" s="16">
        <v>940000</v>
      </c>
      <c r="M31" s="16">
        <f t="shared" si="0"/>
        <v>7833.333333333333</v>
      </c>
    </row>
    <row r="32" spans="1:13">
      <c r="A32" s="25"/>
      <c r="B32" s="445"/>
      <c r="C32" s="25"/>
      <c r="D32" s="446"/>
      <c r="E32" s="25"/>
      <c r="H32" s="9">
        <v>2053</v>
      </c>
      <c r="I32" s="9">
        <v>99</v>
      </c>
      <c r="J32" s="16">
        <v>940000</v>
      </c>
      <c r="M32" s="16">
        <f t="shared" si="0"/>
        <v>7833.333333333333</v>
      </c>
    </row>
    <row r="33" spans="1:5">
      <c r="A33" s="25"/>
      <c r="B33" s="445"/>
      <c r="C33" s="25"/>
      <c r="D33" s="25"/>
      <c r="E33" s="25"/>
    </row>
    <row r="34" spans="1:5">
      <c r="A34" s="25"/>
      <c r="B34" s="25"/>
      <c r="C34" s="25"/>
      <c r="D34" s="446"/>
      <c r="E34" s="25"/>
    </row>
    <row r="35" spans="1:5">
      <c r="A35" s="25"/>
      <c r="B35" s="445"/>
      <c r="C35" s="25"/>
      <c r="D35" s="25"/>
      <c r="E35" s="25"/>
    </row>
    <row r="36" spans="1:5">
      <c r="A36" s="25"/>
      <c r="B36" s="445"/>
      <c r="C36" s="25"/>
      <c r="D36" s="446"/>
      <c r="E36" s="25"/>
    </row>
    <row r="37" spans="1:5">
      <c r="A37" s="25"/>
      <c r="B37" s="25"/>
      <c r="C37" s="25"/>
      <c r="D37" s="25"/>
      <c r="E37" s="25"/>
    </row>
    <row r="38" spans="1:5">
      <c r="A38" s="25"/>
      <c r="B38" s="445"/>
      <c r="C38" s="25"/>
      <c r="D38" s="446"/>
      <c r="E38" s="25"/>
    </row>
    <row r="39" spans="1:5">
      <c r="A39" s="25"/>
      <c r="B39" s="25"/>
      <c r="C39" s="25"/>
      <c r="D39" s="25"/>
      <c r="E39" s="25"/>
    </row>
    <row r="40" spans="1:5">
      <c r="A40" s="25"/>
      <c r="B40" s="445"/>
      <c r="C40" s="25"/>
      <c r="D40" s="446"/>
      <c r="E40" s="25"/>
    </row>
    <row r="41" spans="1:5">
      <c r="A41" s="25"/>
      <c r="B41" s="445"/>
      <c r="C41" s="25"/>
      <c r="D41" s="25"/>
      <c r="E41" s="25"/>
    </row>
    <row r="42" spans="1:5">
      <c r="A42" s="25"/>
      <c r="B42" s="445"/>
      <c r="C42" s="25"/>
      <c r="D42" s="446"/>
      <c r="E42" s="25"/>
    </row>
    <row r="43" spans="1:5">
      <c r="A43" s="25"/>
      <c r="B43" s="445"/>
      <c r="C43" s="25"/>
      <c r="D43" s="25"/>
      <c r="E43" s="25"/>
    </row>
    <row r="44" spans="1:5">
      <c r="A44" s="25"/>
      <c r="B44" s="445"/>
      <c r="C44" s="25"/>
      <c r="D44" s="446"/>
      <c r="E44" s="25"/>
    </row>
  </sheetData>
  <hyperlinks>
    <hyperlink ref="D2" r:id="rId1" xr:uid="{00000000-0004-0000-0400-000000000000}"/>
    <hyperlink ref="D3" r:id="rId2" xr:uid="{00000000-0004-0000-0400-000001000000}"/>
    <hyperlink ref="D4" r:id="rId3" xr:uid="{00000000-0004-0000-0400-000002000000}"/>
    <hyperlink ref="D8" r:id="rId4" xr:uid="{00000000-0004-0000-0400-000003000000}"/>
    <hyperlink ref="D9" r:id="rId5" xr:uid="{00000000-0004-0000-0400-000004000000}"/>
  </hyperlinks>
  <printOptions horizontalCentered="1" gridLines="1"/>
  <pageMargins left="0.7" right="0.7" top="0.75" bottom="0.75" header="0" footer="0"/>
  <pageSetup fitToHeight="0" pageOrder="overThenDown" orientation="landscape" cellComments="atEnd"/>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pageSetUpPr fitToPage="1"/>
  </sheetPr>
  <dimension ref="A1:X170"/>
  <sheetViews>
    <sheetView workbookViewId="0"/>
  </sheetViews>
  <sheetFormatPr defaultColWidth="12.7109375" defaultRowHeight="12.75" customHeight="1"/>
  <cols>
    <col min="1" max="1" width="6.7109375" customWidth="1"/>
    <col min="2" max="2" width="8" customWidth="1"/>
    <col min="3" max="3" width="6.140625" customWidth="1"/>
    <col min="4" max="4" width="8.28515625" customWidth="1"/>
    <col min="5" max="5" width="5.42578125" customWidth="1"/>
    <col min="6" max="6" width="7" customWidth="1"/>
    <col min="7" max="7" width="6.28515625" customWidth="1"/>
    <col min="8" max="8" width="7" customWidth="1"/>
    <col min="9" max="9" width="9.28515625" customWidth="1"/>
    <col min="10" max="10" width="6.28515625" customWidth="1"/>
    <col min="11" max="11" width="5.7109375" customWidth="1"/>
    <col min="12" max="12" width="6.28515625" customWidth="1"/>
    <col min="13" max="13" width="7.28515625" customWidth="1"/>
    <col min="14" max="14" width="6.140625" customWidth="1"/>
    <col min="15" max="15" width="6.7109375" customWidth="1"/>
    <col min="16" max="16" width="6.85546875" customWidth="1"/>
    <col min="17" max="17" width="5.85546875" customWidth="1"/>
    <col min="18" max="18" width="11" customWidth="1"/>
    <col min="19" max="19" width="8.42578125" customWidth="1"/>
    <col min="20" max="20" width="5.140625" customWidth="1"/>
    <col min="21" max="21" width="6.42578125" customWidth="1"/>
    <col min="22" max="22" width="7" customWidth="1"/>
    <col min="23" max="23" width="7.42578125" customWidth="1"/>
    <col min="24" max="24" width="8.140625" customWidth="1"/>
    <col min="25" max="25" width="15.140625" customWidth="1"/>
  </cols>
  <sheetData>
    <row r="1" spans="1:23">
      <c r="A1" s="447">
        <v>2021</v>
      </c>
      <c r="B1" s="43" t="s">
        <v>6370</v>
      </c>
      <c r="C1" s="43" t="s">
        <v>6371</v>
      </c>
      <c r="D1" s="43" t="s">
        <v>55</v>
      </c>
      <c r="E1" s="43" t="s">
        <v>3315</v>
      </c>
      <c r="F1" s="885"/>
      <c r="G1" s="43" t="s">
        <v>67</v>
      </c>
      <c r="I1" s="578"/>
      <c r="J1" s="886"/>
      <c r="K1" s="887"/>
      <c r="L1" s="886"/>
      <c r="M1" s="887"/>
      <c r="N1" s="888"/>
      <c r="O1" s="889"/>
      <c r="P1" s="889"/>
      <c r="Q1" s="578"/>
      <c r="R1" s="578"/>
      <c r="S1" s="890"/>
      <c r="T1" s="43"/>
      <c r="U1" s="891"/>
      <c r="V1" s="892"/>
      <c r="W1" s="891"/>
    </row>
    <row r="2" spans="1:23">
      <c r="A2" s="30"/>
      <c r="B2" s="16"/>
      <c r="C2" s="16"/>
      <c r="D2" s="16"/>
      <c r="E2" s="16"/>
      <c r="F2" s="16"/>
      <c r="G2" s="16"/>
      <c r="I2" s="578"/>
      <c r="J2" s="886"/>
      <c r="K2" s="887"/>
      <c r="L2" s="886"/>
      <c r="M2" s="887"/>
      <c r="N2" s="888"/>
      <c r="O2" s="889"/>
      <c r="P2" s="889"/>
      <c r="Q2" s="578"/>
      <c r="R2" s="578"/>
      <c r="S2" s="890"/>
      <c r="T2" s="43"/>
      <c r="U2" s="891"/>
      <c r="V2" s="892"/>
      <c r="W2" s="891"/>
    </row>
    <row r="3" spans="1:23">
      <c r="A3" s="30">
        <v>44551</v>
      </c>
      <c r="B3" s="16"/>
      <c r="C3" s="16"/>
      <c r="D3" s="16"/>
      <c r="E3" s="16"/>
      <c r="F3" s="16"/>
      <c r="G3" s="16"/>
      <c r="I3" s="578"/>
      <c r="J3" s="886"/>
      <c r="K3" s="887"/>
      <c r="L3" s="886"/>
      <c r="M3" s="887"/>
      <c r="N3" s="888"/>
      <c r="O3" s="889"/>
      <c r="P3" s="889"/>
      <c r="Q3" s="578"/>
      <c r="R3" s="578"/>
      <c r="S3" s="890"/>
      <c r="T3" s="43"/>
      <c r="U3" s="891"/>
      <c r="V3" s="892"/>
      <c r="W3" s="891"/>
    </row>
    <row r="4" spans="1:23">
      <c r="A4" s="30">
        <v>44521</v>
      </c>
      <c r="B4" s="16"/>
      <c r="C4" s="16"/>
      <c r="D4" s="16"/>
      <c r="E4" s="16"/>
      <c r="F4" s="16"/>
      <c r="G4" s="34"/>
      <c r="I4" s="578"/>
      <c r="J4" s="886"/>
      <c r="K4" s="887"/>
      <c r="L4" s="886"/>
      <c r="M4" s="887"/>
      <c r="N4" s="888"/>
      <c r="O4" s="889"/>
      <c r="P4" s="889"/>
      <c r="Q4" s="578"/>
      <c r="R4" s="578"/>
      <c r="S4" s="890"/>
      <c r="T4" s="43"/>
      <c r="U4" s="891"/>
      <c r="V4" s="892"/>
      <c r="W4" s="891"/>
    </row>
    <row r="5" spans="1:23">
      <c r="A5" s="30">
        <v>44490</v>
      </c>
      <c r="B5" s="16"/>
      <c r="C5" s="16"/>
      <c r="D5" s="16"/>
      <c r="E5" s="16"/>
      <c r="F5" s="16"/>
      <c r="G5" s="34"/>
      <c r="I5" s="578"/>
      <c r="J5" s="886"/>
      <c r="K5" s="887"/>
      <c r="L5" s="886"/>
      <c r="M5" s="887"/>
      <c r="N5" s="888"/>
      <c r="O5" s="889"/>
      <c r="P5" s="889"/>
      <c r="Q5" s="578"/>
      <c r="R5" s="578"/>
      <c r="S5" s="890"/>
      <c r="T5" s="43"/>
      <c r="U5" s="891"/>
      <c r="V5" s="892"/>
      <c r="W5" s="891"/>
    </row>
    <row r="6" spans="1:23">
      <c r="A6" s="30">
        <v>44460</v>
      </c>
      <c r="B6" s="16"/>
      <c r="C6" s="16"/>
      <c r="D6" s="16"/>
      <c r="E6" s="16"/>
      <c r="F6" s="16"/>
      <c r="G6" s="34"/>
      <c r="I6" s="578"/>
      <c r="J6" s="886"/>
      <c r="K6" s="887"/>
      <c r="L6" s="886"/>
      <c r="M6" s="887"/>
      <c r="N6" s="888"/>
      <c r="O6" s="889"/>
      <c r="P6" s="889"/>
      <c r="Q6" s="578"/>
      <c r="R6" s="578"/>
      <c r="S6" s="890"/>
      <c r="T6" s="43"/>
      <c r="U6" s="891"/>
      <c r="V6" s="892"/>
      <c r="W6" s="891"/>
    </row>
    <row r="7" spans="1:23">
      <c r="A7" s="30">
        <v>44429</v>
      </c>
      <c r="B7" s="16"/>
      <c r="C7" s="16"/>
      <c r="D7" s="16"/>
      <c r="E7" s="16"/>
      <c r="F7" s="16"/>
      <c r="G7" s="34"/>
      <c r="I7" s="578"/>
      <c r="J7" s="886"/>
      <c r="K7" s="887"/>
      <c r="L7" s="886"/>
      <c r="M7" s="887"/>
      <c r="N7" s="888"/>
      <c r="O7" s="889"/>
      <c r="P7" s="889"/>
      <c r="Q7" s="578"/>
      <c r="R7" s="578"/>
      <c r="S7" s="890"/>
      <c r="T7" s="43"/>
      <c r="U7" s="891"/>
      <c r="V7" s="892"/>
      <c r="W7" s="891"/>
    </row>
    <row r="8" spans="1:23">
      <c r="A8" s="30">
        <v>44398</v>
      </c>
      <c r="B8" s="16"/>
      <c r="C8" s="16"/>
      <c r="D8" s="16"/>
      <c r="E8" s="16"/>
      <c r="F8" s="16"/>
      <c r="G8" s="34"/>
      <c r="I8" s="578"/>
      <c r="J8" s="886"/>
      <c r="K8" s="887"/>
      <c r="L8" s="886"/>
      <c r="M8" s="887"/>
      <c r="N8" s="888"/>
      <c r="O8" s="889"/>
      <c r="P8" s="889"/>
      <c r="Q8" s="578"/>
      <c r="R8" s="578"/>
      <c r="S8" s="890"/>
      <c r="T8" s="43"/>
      <c r="U8" s="891"/>
      <c r="V8" s="892"/>
      <c r="W8" s="891"/>
    </row>
    <row r="9" spans="1:23">
      <c r="A9" s="30">
        <v>44368</v>
      </c>
      <c r="B9" s="16"/>
      <c r="C9" s="16"/>
      <c r="D9" s="16"/>
      <c r="E9" s="16"/>
      <c r="F9" s="16"/>
      <c r="G9" s="34"/>
      <c r="I9" s="578"/>
      <c r="J9" s="886"/>
      <c r="K9" s="887"/>
      <c r="L9" s="886"/>
      <c r="M9" s="887"/>
      <c r="N9" s="888"/>
      <c r="O9" s="889"/>
      <c r="P9" s="889"/>
      <c r="Q9" s="578"/>
      <c r="R9" s="578"/>
      <c r="S9" s="890"/>
      <c r="T9" s="43"/>
      <c r="U9" s="891"/>
      <c r="V9" s="892"/>
      <c r="W9" s="891"/>
    </row>
    <row r="10" spans="1:23">
      <c r="A10" s="30">
        <v>44337</v>
      </c>
      <c r="B10" s="16"/>
      <c r="C10" s="16"/>
      <c r="D10" s="16"/>
      <c r="E10" s="16"/>
      <c r="F10" s="16"/>
      <c r="G10" s="34"/>
      <c r="I10" s="578"/>
      <c r="J10" s="886"/>
      <c r="K10" s="887"/>
      <c r="L10" s="886"/>
      <c r="M10" s="887"/>
      <c r="N10" s="888"/>
      <c r="O10" s="889"/>
      <c r="P10" s="889"/>
      <c r="Q10" s="578"/>
      <c r="R10" s="578"/>
      <c r="S10" s="890"/>
      <c r="T10" s="43"/>
      <c r="U10" s="891"/>
      <c r="V10" s="892"/>
      <c r="W10" s="891"/>
    </row>
    <row r="11" spans="1:23">
      <c r="A11" s="30">
        <v>44307</v>
      </c>
      <c r="B11" s="16"/>
      <c r="C11" s="16"/>
      <c r="D11" s="16"/>
      <c r="E11" s="16"/>
      <c r="F11" s="16"/>
      <c r="G11" s="34"/>
      <c r="I11" s="578"/>
      <c r="J11" s="886"/>
      <c r="K11" s="887"/>
      <c r="L11" s="886"/>
      <c r="M11" s="887"/>
      <c r="N11" s="888"/>
      <c r="O11" s="889"/>
      <c r="P11" s="889"/>
      <c r="Q11" s="578"/>
      <c r="R11" s="578"/>
      <c r="S11" s="890"/>
      <c r="T11" s="43"/>
      <c r="U11" s="891"/>
      <c r="V11" s="892"/>
      <c r="W11" s="891"/>
    </row>
    <row r="12" spans="1:23">
      <c r="A12" s="30">
        <v>44276</v>
      </c>
      <c r="B12" s="16"/>
      <c r="C12" s="16"/>
      <c r="D12" s="16"/>
      <c r="E12" s="16"/>
      <c r="F12" s="16"/>
      <c r="G12" s="34">
        <f>SUM(B12:F12)</f>
        <v>0</v>
      </c>
      <c r="I12" s="578"/>
      <c r="J12" s="886"/>
      <c r="K12" s="887"/>
      <c r="L12" s="886"/>
      <c r="M12" s="887"/>
      <c r="N12" s="888"/>
      <c r="O12" s="889"/>
      <c r="P12" s="889"/>
      <c r="Q12" s="578"/>
      <c r="R12" s="578"/>
      <c r="S12" s="890"/>
      <c r="T12" s="43"/>
      <c r="U12" s="891"/>
      <c r="V12" s="892"/>
      <c r="W12" s="891"/>
    </row>
    <row r="13" spans="1:23">
      <c r="A13" s="30">
        <v>44248</v>
      </c>
      <c r="B13" s="16">
        <v>34286</v>
      </c>
      <c r="C13" s="16">
        <v>5506</v>
      </c>
      <c r="D13" s="16">
        <v>2255.71</v>
      </c>
      <c r="E13" s="16">
        <v>1216</v>
      </c>
      <c r="F13" s="16"/>
      <c r="G13" s="34">
        <f>SUM(B13:F13)</f>
        <v>43263.71</v>
      </c>
      <c r="I13" s="578"/>
      <c r="J13" s="886"/>
      <c r="K13" s="887"/>
      <c r="L13" s="886"/>
      <c r="M13" s="887"/>
      <c r="N13" s="888"/>
      <c r="O13" s="889"/>
      <c r="P13" s="889"/>
      <c r="Q13" s="578"/>
      <c r="R13" s="578"/>
      <c r="S13" s="890"/>
      <c r="T13" s="43"/>
      <c r="U13" s="891"/>
      <c r="V13" s="892"/>
      <c r="W13" s="891"/>
    </row>
    <row r="14" spans="1:23">
      <c r="A14" s="30">
        <v>44217</v>
      </c>
      <c r="B14" s="16">
        <v>37169</v>
      </c>
      <c r="C14" s="16">
        <v>5506</v>
      </c>
      <c r="D14" s="16">
        <v>2822</v>
      </c>
      <c r="E14" s="16">
        <v>1216</v>
      </c>
      <c r="F14" s="16"/>
      <c r="G14" s="34">
        <f>SUM(B14:F14)</f>
        <v>46713</v>
      </c>
      <c r="I14" s="578"/>
      <c r="J14" s="886"/>
      <c r="K14" s="887"/>
      <c r="L14" s="886"/>
      <c r="M14" s="887"/>
      <c r="N14" s="888"/>
      <c r="O14" s="889"/>
      <c r="P14" s="889"/>
      <c r="Q14" s="578"/>
      <c r="R14" s="578"/>
      <c r="S14" s="890"/>
      <c r="T14" s="43"/>
      <c r="U14" s="891"/>
      <c r="V14" s="892"/>
      <c r="W14" s="891"/>
    </row>
    <row r="15" spans="1:23">
      <c r="A15" s="447">
        <v>2020</v>
      </c>
      <c r="B15" s="43" t="s">
        <v>6370</v>
      </c>
      <c r="C15" s="43" t="s">
        <v>6371</v>
      </c>
      <c r="D15" s="43" t="s">
        <v>55</v>
      </c>
      <c r="E15" s="43" t="s">
        <v>3315</v>
      </c>
      <c r="F15" s="885"/>
      <c r="G15" s="43" t="s">
        <v>67</v>
      </c>
      <c r="I15" s="578"/>
      <c r="J15" s="886"/>
      <c r="K15" s="887"/>
      <c r="L15" s="886"/>
      <c r="M15" s="887"/>
      <c r="N15" s="888"/>
      <c r="O15" s="889"/>
      <c r="P15" s="889"/>
      <c r="Q15" s="578"/>
      <c r="R15" s="578"/>
      <c r="S15" s="890"/>
      <c r="T15" s="43"/>
      <c r="U15" s="891"/>
      <c r="V15" s="892"/>
      <c r="W15" s="891"/>
    </row>
    <row r="16" spans="1:23">
      <c r="A16" s="30">
        <v>44185</v>
      </c>
      <c r="B16" s="16">
        <v>42514</v>
      </c>
      <c r="C16" s="16">
        <v>6507</v>
      </c>
      <c r="D16" s="16">
        <v>3252</v>
      </c>
      <c r="E16" s="16">
        <v>1216</v>
      </c>
      <c r="F16" s="34"/>
      <c r="G16" s="34">
        <f>B16+D16+E16+F16</f>
        <v>46982</v>
      </c>
      <c r="I16" s="578"/>
      <c r="J16" s="886"/>
      <c r="K16" s="887"/>
      <c r="L16" s="886"/>
      <c r="M16" s="887"/>
      <c r="N16" s="888"/>
      <c r="O16" s="889"/>
      <c r="P16" s="889"/>
      <c r="Q16" s="578"/>
      <c r="R16" s="578"/>
      <c r="S16" s="890"/>
      <c r="T16" s="43"/>
      <c r="U16" s="891"/>
      <c r="V16" s="892"/>
      <c r="W16" s="891"/>
    </row>
    <row r="17" spans="1:23">
      <c r="A17" s="30">
        <v>44520</v>
      </c>
      <c r="B17" s="16">
        <v>23608</v>
      </c>
      <c r="C17" s="16">
        <v>6507</v>
      </c>
      <c r="D17" s="16">
        <v>2039</v>
      </c>
      <c r="E17" s="16">
        <v>1216</v>
      </c>
      <c r="F17" s="34"/>
      <c r="G17" s="34">
        <f>B17+D17+E17+F17</f>
        <v>26863</v>
      </c>
      <c r="I17" s="578"/>
      <c r="J17" s="886"/>
      <c r="K17" s="887"/>
      <c r="L17" s="886"/>
      <c r="M17" s="887"/>
      <c r="N17" s="888"/>
      <c r="O17" s="889"/>
      <c r="P17" s="889"/>
      <c r="Q17" s="578"/>
      <c r="R17" s="578"/>
      <c r="S17" s="890"/>
      <c r="T17" s="43"/>
      <c r="U17" s="891"/>
      <c r="V17" s="892"/>
      <c r="W17" s="891"/>
    </row>
    <row r="18" spans="1:23">
      <c r="A18" s="30"/>
      <c r="B18" s="12"/>
      <c r="C18" s="13"/>
      <c r="D18" s="761"/>
      <c r="E18" s="893"/>
      <c r="F18" s="894"/>
      <c r="G18" s="16"/>
      <c r="I18" s="578"/>
      <c r="J18" s="886"/>
      <c r="K18" s="887"/>
      <c r="L18" s="886"/>
      <c r="M18" s="887"/>
      <c r="N18" s="888"/>
      <c r="O18" s="889"/>
      <c r="P18" s="889"/>
      <c r="Q18" s="578"/>
      <c r="R18" s="578"/>
      <c r="S18" s="890"/>
      <c r="T18" s="43"/>
      <c r="U18" s="891"/>
      <c r="V18" s="892"/>
      <c r="W18" s="891"/>
    </row>
    <row r="19" spans="1:23">
      <c r="A19" s="2086" t="s">
        <v>6372</v>
      </c>
      <c r="B19" s="2087"/>
      <c r="C19" s="2087"/>
      <c r="D19" s="895"/>
      <c r="E19" s="34"/>
      <c r="F19" s="34"/>
      <c r="G19" s="16"/>
      <c r="I19" s="578"/>
      <c r="J19" s="886"/>
      <c r="K19" s="887"/>
      <c r="L19" s="886"/>
      <c r="M19" s="887"/>
      <c r="N19" s="888"/>
      <c r="O19" s="889"/>
      <c r="P19" s="889"/>
      <c r="Q19" s="578"/>
      <c r="R19" s="578"/>
      <c r="S19" s="890"/>
      <c r="T19" s="43"/>
      <c r="U19" s="891"/>
      <c r="V19" s="892"/>
      <c r="W19" s="891"/>
    </row>
    <row r="20" spans="1:23">
      <c r="A20" s="9" t="s">
        <v>6373</v>
      </c>
      <c r="B20" s="16">
        <v>263</v>
      </c>
      <c r="C20" s="896"/>
      <c r="D20" s="895"/>
      <c r="E20" s="34"/>
      <c r="F20" s="34"/>
      <c r="G20" s="16"/>
      <c r="I20" s="578"/>
      <c r="J20" s="886"/>
      <c r="K20" s="887"/>
      <c r="L20" s="886"/>
      <c r="M20" s="887"/>
      <c r="N20" s="888"/>
      <c r="O20" s="889"/>
      <c r="P20" s="889"/>
      <c r="Q20" s="578"/>
      <c r="R20" s="578"/>
      <c r="S20" s="890"/>
      <c r="T20" s="43"/>
      <c r="U20" s="891"/>
      <c r="V20" s="892"/>
      <c r="W20" s="891"/>
    </row>
    <row r="21" spans="1:23">
      <c r="A21" s="9" t="s">
        <v>6374</v>
      </c>
      <c r="B21" s="897">
        <v>600</v>
      </c>
      <c r="C21" s="896"/>
      <c r="D21" s="896"/>
      <c r="E21" s="34"/>
      <c r="F21" s="34"/>
      <c r="G21" s="16"/>
      <c r="I21" s="578"/>
      <c r="J21" s="886"/>
      <c r="K21" s="887"/>
      <c r="L21" s="886"/>
      <c r="M21" s="887"/>
      <c r="N21" s="888"/>
      <c r="O21" s="889"/>
      <c r="P21" s="889"/>
      <c r="Q21" s="578"/>
      <c r="R21" s="578"/>
      <c r="S21" s="890"/>
      <c r="T21" s="43"/>
      <c r="U21" s="891"/>
      <c r="V21" s="892"/>
      <c r="W21" s="891"/>
    </row>
    <row r="22" spans="1:23">
      <c r="A22" s="9" t="s">
        <v>6375</v>
      </c>
      <c r="B22" s="897">
        <v>70</v>
      </c>
      <c r="C22" s="896"/>
      <c r="D22" s="896"/>
      <c r="E22" s="34"/>
      <c r="F22" s="34"/>
      <c r="G22" s="16"/>
      <c r="I22" s="578"/>
      <c r="J22" s="886"/>
      <c r="K22" s="887"/>
      <c r="L22" s="886"/>
      <c r="M22" s="887"/>
      <c r="N22" s="888"/>
      <c r="O22" s="889"/>
      <c r="P22" s="889"/>
      <c r="Q22" s="578"/>
      <c r="R22" s="578"/>
      <c r="S22" s="890"/>
      <c r="T22" s="43"/>
      <c r="U22" s="891"/>
      <c r="V22" s="892"/>
      <c r="W22" s="891"/>
    </row>
    <row r="23" spans="1:23">
      <c r="A23" s="22" t="s">
        <v>6376</v>
      </c>
      <c r="B23" s="897">
        <v>283</v>
      </c>
      <c r="E23" s="34"/>
      <c r="F23" s="34"/>
      <c r="G23" s="16"/>
      <c r="I23" s="578"/>
      <c r="J23" s="886"/>
      <c r="K23" s="887"/>
      <c r="L23" s="886"/>
      <c r="M23" s="887"/>
      <c r="N23" s="888"/>
      <c r="O23" s="889"/>
      <c r="P23" s="889"/>
      <c r="Q23" s="578"/>
      <c r="R23" s="578"/>
      <c r="S23" s="890"/>
      <c r="T23" s="43"/>
      <c r="U23" s="891"/>
      <c r="V23" s="892"/>
      <c r="W23" s="891"/>
    </row>
    <row r="24" spans="1:23">
      <c r="A24" s="9" t="s">
        <v>67</v>
      </c>
      <c r="B24" s="711">
        <f>SUM(B20:B23)</f>
        <v>1216</v>
      </c>
      <c r="E24" s="34"/>
      <c r="F24" s="34"/>
      <c r="G24" s="16"/>
      <c r="I24" s="578"/>
      <c r="J24" s="886"/>
      <c r="K24" s="887"/>
      <c r="L24" s="886"/>
      <c r="M24" s="887"/>
      <c r="N24" s="888"/>
      <c r="O24" s="889"/>
      <c r="P24" s="889"/>
      <c r="Q24" s="578"/>
      <c r="R24" s="578"/>
      <c r="S24" s="890"/>
      <c r="T24" s="43"/>
      <c r="U24" s="891"/>
      <c r="V24" s="892"/>
      <c r="W24" s="891"/>
    </row>
    <row r="25" spans="1:23">
      <c r="A25" s="22" t="s">
        <v>6377</v>
      </c>
      <c r="B25" s="16">
        <f>B24*12</f>
        <v>14592</v>
      </c>
      <c r="E25" s="34"/>
      <c r="F25" s="34"/>
      <c r="G25" s="16"/>
      <c r="I25" s="578"/>
      <c r="J25" s="886"/>
      <c r="K25" s="887"/>
      <c r="L25" s="886"/>
      <c r="M25" s="887"/>
      <c r="N25" s="888"/>
      <c r="O25" s="889"/>
      <c r="P25" s="889"/>
      <c r="Q25" s="578"/>
      <c r="R25" s="578"/>
      <c r="S25" s="890"/>
      <c r="T25" s="43"/>
      <c r="U25" s="891"/>
      <c r="V25" s="892"/>
      <c r="W25" s="891"/>
    </row>
    <row r="26" spans="1:23">
      <c r="A26" s="9"/>
      <c r="B26" s="711"/>
      <c r="E26" s="34"/>
      <c r="F26" s="34"/>
      <c r="G26" s="45"/>
      <c r="I26" s="578"/>
      <c r="J26" s="886"/>
      <c r="K26" s="887"/>
      <c r="L26" s="886"/>
      <c r="M26" s="887"/>
      <c r="N26" s="888"/>
      <c r="O26" s="889"/>
      <c r="P26" s="889"/>
      <c r="Q26" s="578"/>
      <c r="R26" s="578"/>
      <c r="S26" s="890"/>
      <c r="T26" s="43"/>
      <c r="U26" s="891"/>
      <c r="V26" s="892"/>
      <c r="W26" s="891"/>
    </row>
    <row r="27" spans="1:23">
      <c r="E27" s="3"/>
      <c r="F27" s="898"/>
      <c r="G27" s="43"/>
      <c r="I27" s="578"/>
      <c r="J27" s="886"/>
      <c r="K27" s="887"/>
      <c r="L27" s="886"/>
      <c r="M27" s="887"/>
      <c r="N27" s="888"/>
      <c r="O27" s="889"/>
      <c r="P27" s="889"/>
      <c r="Q27" s="578"/>
      <c r="R27" s="578"/>
      <c r="S27" s="890"/>
      <c r="T27" s="43"/>
      <c r="U27" s="891"/>
      <c r="V27" s="892"/>
      <c r="W27" s="891"/>
    </row>
    <row r="28" spans="1:23">
      <c r="A28" s="3"/>
      <c r="B28" s="3"/>
      <c r="C28" s="3"/>
      <c r="D28" s="3"/>
      <c r="E28" s="3"/>
      <c r="F28" s="898"/>
      <c r="G28" s="43"/>
      <c r="I28" s="578"/>
      <c r="J28" s="886"/>
      <c r="K28" s="887"/>
      <c r="L28" s="886"/>
      <c r="M28" s="887"/>
      <c r="N28" s="888"/>
      <c r="O28" s="889"/>
      <c r="P28" s="889"/>
      <c r="Q28" s="578"/>
      <c r="R28" s="578"/>
      <c r="S28" s="890"/>
      <c r="T28" s="43"/>
      <c r="U28" s="891"/>
      <c r="V28" s="892"/>
      <c r="W28" s="891"/>
    </row>
    <row r="29" spans="1:23">
      <c r="A29" s="3"/>
      <c r="B29" s="3"/>
      <c r="C29" s="3"/>
      <c r="D29" s="3"/>
      <c r="E29" s="3"/>
      <c r="F29" s="898"/>
      <c r="G29" s="43"/>
      <c r="I29" s="578"/>
      <c r="J29" s="886"/>
      <c r="K29" s="887"/>
      <c r="L29" s="886"/>
      <c r="M29" s="887"/>
      <c r="N29" s="888"/>
      <c r="O29" s="889"/>
      <c r="P29" s="889"/>
      <c r="Q29" s="578"/>
      <c r="R29" s="578"/>
      <c r="S29" s="890"/>
      <c r="T29" s="43"/>
      <c r="U29" s="891"/>
      <c r="V29" s="892"/>
      <c r="W29" s="891"/>
    </row>
    <row r="30" spans="1:23">
      <c r="A30" s="3">
        <v>4250</v>
      </c>
      <c r="B30" s="3" t="s">
        <v>6378</v>
      </c>
      <c r="C30" s="3" t="s">
        <v>6379</v>
      </c>
      <c r="D30" s="3" t="s">
        <v>6380</v>
      </c>
      <c r="E30" s="3" t="s">
        <v>3315</v>
      </c>
      <c r="F30" s="898" t="s">
        <v>5755</v>
      </c>
      <c r="G30" s="43" t="s">
        <v>67</v>
      </c>
      <c r="I30" s="578" t="s">
        <v>6381</v>
      </c>
      <c r="J30" s="886" t="s">
        <v>6382</v>
      </c>
      <c r="K30" s="899" t="s">
        <v>791</v>
      </c>
      <c r="L30" s="889" t="s">
        <v>6383</v>
      </c>
      <c r="M30" s="899" t="s">
        <v>6384</v>
      </c>
      <c r="N30" s="888" t="s">
        <v>6385</v>
      </c>
      <c r="O30" s="2145"/>
      <c r="P30" s="2087"/>
      <c r="Q30" s="2129" t="s">
        <v>6386</v>
      </c>
      <c r="R30" s="2087"/>
      <c r="S30" s="890">
        <v>42455</v>
      </c>
      <c r="T30" s="43" t="s">
        <v>4920</v>
      </c>
      <c r="U30" s="891">
        <v>42736</v>
      </c>
      <c r="V30" s="892">
        <v>43391</v>
      </c>
      <c r="W30" s="891">
        <v>43831</v>
      </c>
    </row>
    <row r="31" spans="1:23">
      <c r="A31" s="451" t="s">
        <v>6387</v>
      </c>
      <c r="C31" s="16"/>
      <c r="D31" s="16"/>
      <c r="E31" s="16">
        <f>900+100+450+2479+4000</f>
        <v>7929</v>
      </c>
      <c r="F31" s="894">
        <v>5036</v>
      </c>
      <c r="G31" s="34">
        <f t="shared" ref="G31:G40" si="0">B31+D31+E31+F31</f>
        <v>12965</v>
      </c>
      <c r="H31" s="9"/>
      <c r="I31" s="578" t="s">
        <v>6388</v>
      </c>
      <c r="J31" s="900" t="s">
        <v>38</v>
      </c>
      <c r="K31" s="899" t="s">
        <v>6389</v>
      </c>
      <c r="L31" s="889" t="s">
        <v>6390</v>
      </c>
      <c r="M31" s="899" t="s">
        <v>6389</v>
      </c>
      <c r="N31" s="888" t="s">
        <v>6389</v>
      </c>
      <c r="O31" s="9"/>
      <c r="P31" s="16"/>
      <c r="Q31" s="9">
        <v>1</v>
      </c>
      <c r="R31" s="16">
        <v>31505</v>
      </c>
      <c r="S31" s="16">
        <v>40619</v>
      </c>
      <c r="T31" s="9">
        <v>5</v>
      </c>
      <c r="U31" s="16">
        <v>45750</v>
      </c>
      <c r="V31" s="16">
        <v>64000</v>
      </c>
      <c r="W31" s="16">
        <v>79261</v>
      </c>
    </row>
    <row r="32" spans="1:23">
      <c r="A32" s="451" t="s">
        <v>6391</v>
      </c>
      <c r="C32" s="16"/>
      <c r="D32" s="16"/>
      <c r="E32" s="16">
        <f>200+100+800+2479+2000</f>
        <v>5579</v>
      </c>
      <c r="F32" s="894">
        <v>4809</v>
      </c>
      <c r="G32" s="34">
        <f t="shared" si="0"/>
        <v>10388</v>
      </c>
      <c r="H32" s="9"/>
      <c r="I32" s="460" t="s">
        <v>6392</v>
      </c>
      <c r="J32" s="14">
        <v>11542.72</v>
      </c>
      <c r="K32" s="901">
        <v>5000</v>
      </c>
      <c r="L32" s="9">
        <v>500</v>
      </c>
      <c r="M32" s="901"/>
      <c r="O32" s="9"/>
      <c r="P32" s="16"/>
      <c r="Q32" s="9">
        <v>2</v>
      </c>
      <c r="R32" s="16">
        <v>18980</v>
      </c>
      <c r="S32" s="16">
        <v>24545</v>
      </c>
      <c r="T32" s="9">
        <v>5.5</v>
      </c>
      <c r="U32" s="16">
        <v>28845</v>
      </c>
      <c r="V32" s="16">
        <v>35000</v>
      </c>
      <c r="W32" s="16">
        <v>52259</v>
      </c>
    </row>
    <row r="33" spans="1:24">
      <c r="A33" s="451" t="s">
        <v>6393</v>
      </c>
      <c r="B33" s="16">
        <v>3416</v>
      </c>
      <c r="C33" s="36">
        <f>(B33+1000)*12/500000</f>
        <v>0.10598399999999999</v>
      </c>
      <c r="D33" s="16"/>
      <c r="E33" s="16">
        <f>900+2479</f>
        <v>3379</v>
      </c>
      <c r="F33" s="894">
        <v>7072</v>
      </c>
      <c r="G33" s="34">
        <f t="shared" si="0"/>
        <v>13867</v>
      </c>
      <c r="H33" s="9"/>
      <c r="I33" s="460" t="s">
        <v>6394</v>
      </c>
      <c r="J33" s="14">
        <v>13198</v>
      </c>
      <c r="K33" s="901">
        <v>5000</v>
      </c>
      <c r="L33" s="9">
        <v>500</v>
      </c>
      <c r="M33" s="901">
        <v>200</v>
      </c>
      <c r="N33" s="16">
        <f t="shared" ref="N33:N54" si="1">K33+M33</f>
        <v>5200</v>
      </c>
      <c r="O33" s="9"/>
      <c r="P33" s="16"/>
      <c r="Q33" s="9">
        <v>3</v>
      </c>
      <c r="R33" s="16">
        <v>16045</v>
      </c>
      <c r="S33" s="16">
        <v>19647</v>
      </c>
      <c r="T33" s="9">
        <v>5.5</v>
      </c>
      <c r="U33" s="16">
        <v>21986</v>
      </c>
      <c r="V33" s="16">
        <v>28000</v>
      </c>
      <c r="W33" s="16">
        <v>35640</v>
      </c>
    </row>
    <row r="34" spans="1:24">
      <c r="A34" s="451" t="s">
        <v>6395</v>
      </c>
      <c r="B34" s="16">
        <f>1266+4229</f>
        <v>5495</v>
      </c>
      <c r="C34" s="36">
        <f t="shared" ref="C34:C40" si="2">B34*12/500000</f>
        <v>0.13188</v>
      </c>
      <c r="D34" s="16"/>
      <c r="E34" s="16">
        <f>2497</f>
        <v>2497</v>
      </c>
      <c r="F34" s="894">
        <v>5836</v>
      </c>
      <c r="G34" s="34">
        <f t="shared" si="0"/>
        <v>13828</v>
      </c>
      <c r="H34" s="9"/>
      <c r="I34" s="460" t="s">
        <v>6396</v>
      </c>
      <c r="J34" s="14">
        <v>14889.44</v>
      </c>
      <c r="K34" s="901">
        <v>3000</v>
      </c>
      <c r="L34" s="9">
        <v>600</v>
      </c>
      <c r="M34" s="901">
        <v>2000</v>
      </c>
      <c r="N34" s="16">
        <f t="shared" si="1"/>
        <v>5000</v>
      </c>
      <c r="O34" s="9"/>
      <c r="P34" s="16"/>
      <c r="Q34" s="9">
        <v>4</v>
      </c>
      <c r="R34" s="16">
        <v>12416</v>
      </c>
      <c r="S34" s="16">
        <v>15427</v>
      </c>
      <c r="T34" s="9">
        <v>9</v>
      </c>
      <c r="U34" s="16">
        <v>17323</v>
      </c>
      <c r="V34" s="16">
        <v>22000</v>
      </c>
      <c r="W34" s="16">
        <v>27.89</v>
      </c>
    </row>
    <row r="35" spans="1:24">
      <c r="A35" s="451" t="s">
        <v>6397</v>
      </c>
      <c r="B35" s="16">
        <f>918+1733+1178</f>
        <v>3829</v>
      </c>
      <c r="C35" s="36">
        <f t="shared" si="2"/>
        <v>9.1896000000000005E-2</v>
      </c>
      <c r="D35" s="16">
        <v>0</v>
      </c>
      <c r="E35" s="16">
        <v>2497</v>
      </c>
      <c r="F35" s="16">
        <v>5339</v>
      </c>
      <c r="G35" s="34">
        <f t="shared" si="0"/>
        <v>11665</v>
      </c>
      <c r="H35" s="9"/>
      <c r="I35" s="460" t="s">
        <v>6398</v>
      </c>
      <c r="J35" s="14">
        <v>12847</v>
      </c>
      <c r="K35" s="901">
        <v>3000</v>
      </c>
      <c r="L35" s="9">
        <v>600</v>
      </c>
      <c r="M35" s="901">
        <v>2000</v>
      </c>
      <c r="N35" s="16">
        <f t="shared" si="1"/>
        <v>5000</v>
      </c>
      <c r="O35" s="9"/>
      <c r="P35" s="16"/>
      <c r="Q35" s="9">
        <v>5</v>
      </c>
      <c r="R35" s="16">
        <v>10134</v>
      </c>
      <c r="S35" s="16">
        <v>11785</v>
      </c>
      <c r="T35" s="9">
        <v>5</v>
      </c>
      <c r="U35" s="16">
        <v>12800</v>
      </c>
      <c r="V35" s="16">
        <v>15000</v>
      </c>
      <c r="W35" s="16">
        <v>17079</v>
      </c>
    </row>
    <row r="36" spans="1:24">
      <c r="A36" s="451" t="s">
        <v>6399</v>
      </c>
      <c r="B36" s="16">
        <f>1595</f>
        <v>1595</v>
      </c>
      <c r="C36" s="36">
        <f t="shared" si="2"/>
        <v>3.8280000000000002E-2</v>
      </c>
      <c r="D36" s="16">
        <f>2500+1800</f>
        <v>4300</v>
      </c>
      <c r="E36" s="16">
        <f>2497</f>
        <v>2497</v>
      </c>
      <c r="F36" s="16">
        <v>5010</v>
      </c>
      <c r="G36" s="34">
        <f t="shared" si="0"/>
        <v>13402</v>
      </c>
      <c r="H36" s="9"/>
      <c r="I36" s="460" t="s">
        <v>6400</v>
      </c>
      <c r="J36" s="14">
        <v>12856</v>
      </c>
      <c r="K36" s="901">
        <v>10000</v>
      </c>
      <c r="M36" s="901">
        <v>500</v>
      </c>
      <c r="N36" s="16">
        <f t="shared" si="1"/>
        <v>10500</v>
      </c>
      <c r="O36" s="578"/>
      <c r="P36" s="711"/>
      <c r="Q36" s="9">
        <v>6</v>
      </c>
      <c r="R36" s="16">
        <v>2708</v>
      </c>
      <c r="S36" s="16">
        <v>3642</v>
      </c>
      <c r="T36" s="9">
        <v>4</v>
      </c>
      <c r="U36" s="16">
        <v>4244</v>
      </c>
      <c r="V36" s="16">
        <v>5700</v>
      </c>
      <c r="W36" s="16">
        <v>6980</v>
      </c>
    </row>
    <row r="37" spans="1:24">
      <c r="A37" s="451" t="s">
        <v>6401</v>
      </c>
      <c r="B37" s="16">
        <v>2921</v>
      </c>
      <c r="C37" s="36">
        <f t="shared" si="2"/>
        <v>7.0104E-2</v>
      </c>
      <c r="D37" s="9">
        <v>505</v>
      </c>
      <c r="E37" s="16">
        <v>1074.24</v>
      </c>
      <c r="F37" s="16">
        <v>5062</v>
      </c>
      <c r="G37" s="34">
        <f t="shared" si="0"/>
        <v>9562.24</v>
      </c>
      <c r="H37" s="9"/>
      <c r="I37" s="460" t="s">
        <v>6402</v>
      </c>
      <c r="J37" s="14">
        <v>15088</v>
      </c>
      <c r="K37" s="901">
        <v>10000</v>
      </c>
      <c r="M37" s="901">
        <v>500</v>
      </c>
      <c r="N37" s="16">
        <f t="shared" si="1"/>
        <v>10500</v>
      </c>
      <c r="Q37" s="9">
        <v>7</v>
      </c>
      <c r="R37" s="16">
        <v>4608</v>
      </c>
      <c r="S37" s="16">
        <v>15427</v>
      </c>
      <c r="T37" s="9">
        <v>5</v>
      </c>
      <c r="U37" s="16">
        <v>7005</v>
      </c>
      <c r="V37" s="16">
        <v>9400</v>
      </c>
      <c r="W37" s="16">
        <v>11700</v>
      </c>
    </row>
    <row r="38" spans="1:24">
      <c r="A38" s="792">
        <v>42598</v>
      </c>
      <c r="B38" s="16">
        <v>1323</v>
      </c>
      <c r="C38" s="36">
        <f t="shared" si="2"/>
        <v>3.1752000000000002E-2</v>
      </c>
      <c r="D38" s="16">
        <f>4000-B38</f>
        <v>2677</v>
      </c>
      <c r="E38" s="16">
        <v>0</v>
      </c>
      <c r="F38" s="16">
        <f>3900+450</f>
        <v>4350</v>
      </c>
      <c r="G38" s="34">
        <f t="shared" si="0"/>
        <v>8350</v>
      </c>
      <c r="H38" s="9"/>
      <c r="I38" s="460" t="s">
        <v>6403</v>
      </c>
      <c r="J38" s="14">
        <v>12547</v>
      </c>
      <c r="K38" s="901">
        <v>7000</v>
      </c>
      <c r="M38" s="901">
        <v>550</v>
      </c>
      <c r="N38" s="16">
        <f t="shared" si="1"/>
        <v>7550</v>
      </c>
      <c r="Q38" s="9">
        <v>8</v>
      </c>
      <c r="R38" s="16"/>
      <c r="S38" s="16">
        <v>7394</v>
      </c>
      <c r="T38" s="9">
        <v>6</v>
      </c>
      <c r="U38" s="16">
        <v>8691</v>
      </c>
      <c r="V38" s="16">
        <v>19000</v>
      </c>
      <c r="W38" s="16">
        <v>24676</v>
      </c>
    </row>
    <row r="39" spans="1:24">
      <c r="A39" s="902" t="s">
        <v>6404</v>
      </c>
      <c r="B39" s="16">
        <v>3007.68</v>
      </c>
      <c r="C39" s="36">
        <f t="shared" si="2"/>
        <v>7.2184319999999996E-2</v>
      </c>
      <c r="D39" s="16">
        <v>4500</v>
      </c>
      <c r="E39" s="16">
        <v>386</v>
      </c>
      <c r="F39" s="16">
        <v>3855</v>
      </c>
      <c r="G39" s="34">
        <f t="shared" si="0"/>
        <v>11748.68</v>
      </c>
      <c r="H39" s="9"/>
      <c r="I39" s="460" t="s">
        <v>6405</v>
      </c>
      <c r="J39" s="14">
        <v>11271</v>
      </c>
      <c r="K39" s="901">
        <f>9000+1700</f>
        <v>10700</v>
      </c>
      <c r="M39" s="901">
        <f>1175+200</f>
        <v>1375</v>
      </c>
      <c r="N39" s="16">
        <f t="shared" si="1"/>
        <v>12075</v>
      </c>
      <c r="R39" s="16"/>
      <c r="S39" s="16"/>
    </row>
    <row r="40" spans="1:24">
      <c r="A40" s="792">
        <v>42659</v>
      </c>
      <c r="B40" s="16">
        <f>3712.61+1836.96</f>
        <v>5549.57</v>
      </c>
      <c r="C40" s="36">
        <f t="shared" si="2"/>
        <v>0.13318968</v>
      </c>
      <c r="D40" s="16">
        <f>9000-B40</f>
        <v>3450.4300000000003</v>
      </c>
      <c r="E40" s="16"/>
      <c r="F40" s="16">
        <v>4647</v>
      </c>
      <c r="G40" s="34">
        <f t="shared" si="0"/>
        <v>13647</v>
      </c>
      <c r="H40" s="9"/>
      <c r="I40" s="460" t="s">
        <v>6406</v>
      </c>
      <c r="J40" s="14">
        <v>10929</v>
      </c>
      <c r="K40" s="901">
        <f>360+5000+1500</f>
        <v>6860</v>
      </c>
      <c r="M40" s="901">
        <v>835</v>
      </c>
      <c r="N40" s="16">
        <f t="shared" si="1"/>
        <v>7695</v>
      </c>
      <c r="P40" s="9" t="s">
        <v>135</v>
      </c>
      <c r="Q40" s="578" t="s">
        <v>67</v>
      </c>
      <c r="R40" s="711">
        <f>SUM(R31:R37)</f>
        <v>96396</v>
      </c>
      <c r="S40" s="16">
        <f>SUM(S31:S39)</f>
        <v>138486</v>
      </c>
      <c r="T40" s="9">
        <f>SUM(T31:T39)</f>
        <v>45</v>
      </c>
      <c r="U40" s="16">
        <f>SUM(U31:U38)</f>
        <v>146644</v>
      </c>
      <c r="V40" s="16">
        <f>SUM(V31:V38)</f>
        <v>198100</v>
      </c>
      <c r="W40" s="16">
        <f>SUM(W31:W38)</f>
        <v>227622.89</v>
      </c>
    </row>
    <row r="41" spans="1:24">
      <c r="A41" s="451" t="s">
        <v>6407</v>
      </c>
      <c r="B41" s="16" t="s">
        <v>135</v>
      </c>
      <c r="C41" s="36"/>
      <c r="D41" s="16">
        <v>10000</v>
      </c>
      <c r="E41" s="16">
        <f>350+640+12000</f>
        <v>12990</v>
      </c>
      <c r="F41" s="16">
        <v>4250</v>
      </c>
      <c r="G41" s="34">
        <f>D41+E41+F41</f>
        <v>27240</v>
      </c>
      <c r="H41" s="6">
        <v>2016</v>
      </c>
      <c r="I41" s="460" t="s">
        <v>6408</v>
      </c>
      <c r="J41" s="14">
        <v>13966</v>
      </c>
      <c r="K41" s="901">
        <v>6000</v>
      </c>
      <c r="M41" s="901">
        <v>1665</v>
      </c>
      <c r="N41" s="16">
        <f t="shared" si="1"/>
        <v>7665</v>
      </c>
      <c r="P41" s="9" t="s">
        <v>135</v>
      </c>
    </row>
    <row r="42" spans="1:24">
      <c r="A42" s="451" t="s">
        <v>6409</v>
      </c>
      <c r="B42" s="2146" t="s">
        <v>195</v>
      </c>
      <c r="C42" s="2087"/>
      <c r="D42" s="16">
        <v>9000</v>
      </c>
      <c r="E42" s="16">
        <f>189</f>
        <v>189</v>
      </c>
      <c r="F42" s="16">
        <v>4014</v>
      </c>
      <c r="G42" s="34">
        <f>SUM(C42:F42)</f>
        <v>13203</v>
      </c>
      <c r="H42" s="17">
        <f>SUM(G31:G42)</f>
        <v>159865.92000000001</v>
      </c>
      <c r="I42" s="460" t="s">
        <v>6410</v>
      </c>
      <c r="J42" s="14">
        <v>11411</v>
      </c>
      <c r="K42" s="901">
        <v>10000</v>
      </c>
      <c r="M42" s="901">
        <f>1000+39+400+500</f>
        <v>1939</v>
      </c>
      <c r="N42" s="16">
        <f t="shared" si="1"/>
        <v>11939</v>
      </c>
      <c r="R42" s="2101" t="s">
        <v>6411</v>
      </c>
      <c r="S42" s="2102"/>
      <c r="T42" s="2102"/>
      <c r="U42" s="2102"/>
      <c r="V42" s="2102"/>
      <c r="W42" s="2103"/>
    </row>
    <row r="43" spans="1:24">
      <c r="A43" s="451" t="s">
        <v>6412</v>
      </c>
      <c r="B43" s="9">
        <v>922.87</v>
      </c>
      <c r="C43" s="13">
        <f t="shared" ref="C43:C54" si="3">B43*12/100000</f>
        <v>0.11074440000000001</v>
      </c>
      <c r="D43" s="16">
        <v>10000</v>
      </c>
      <c r="E43" s="16">
        <v>240</v>
      </c>
      <c r="F43" s="16">
        <v>1000</v>
      </c>
      <c r="G43" s="34">
        <f t="shared" ref="G43:G54" si="4">SUM(B43:F43)</f>
        <v>12162.9807444</v>
      </c>
      <c r="I43" s="460" t="s">
        <v>6413</v>
      </c>
      <c r="J43" s="25"/>
      <c r="K43" s="901">
        <v>7000</v>
      </c>
      <c r="M43" s="901">
        <f>905+120</f>
        <v>1025</v>
      </c>
      <c r="N43" s="16">
        <f t="shared" si="1"/>
        <v>8025</v>
      </c>
      <c r="Q43" s="9" t="s">
        <v>6414</v>
      </c>
      <c r="R43" s="37"/>
      <c r="S43" s="38"/>
      <c r="T43" s="38" t="s">
        <v>6415</v>
      </c>
      <c r="U43" s="38" t="s">
        <v>6416</v>
      </c>
      <c r="V43" s="38" t="s">
        <v>792</v>
      </c>
      <c r="W43" s="39" t="s">
        <v>6417</v>
      </c>
      <c r="X43" s="9" t="s">
        <v>6418</v>
      </c>
    </row>
    <row r="44" spans="1:24">
      <c r="A44" s="451" t="s">
        <v>6419</v>
      </c>
      <c r="B44" s="9">
        <v>925.36</v>
      </c>
      <c r="C44" s="13">
        <f t="shared" si="3"/>
        <v>0.11104319999999999</v>
      </c>
      <c r="D44" s="16">
        <v>8000</v>
      </c>
      <c r="F44" s="16">
        <v>4013.4</v>
      </c>
      <c r="G44" s="34">
        <f t="shared" si="4"/>
        <v>12938.871043199999</v>
      </c>
      <c r="I44" s="578" t="s">
        <v>4392</v>
      </c>
      <c r="J44" s="903">
        <f>AVERAGE(J32:J42)</f>
        <v>12776.832727272727</v>
      </c>
      <c r="K44" s="904">
        <f>AVERAGE(K32:K43)</f>
        <v>6963.333333333333</v>
      </c>
      <c r="L44" s="578"/>
      <c r="M44" s="904">
        <f>AVERAGE(M34:M43)</f>
        <v>1238.9000000000001</v>
      </c>
      <c r="N44" s="711">
        <f t="shared" si="1"/>
        <v>8202.2333333333336</v>
      </c>
      <c r="Q44" s="9">
        <v>6.02</v>
      </c>
      <c r="R44" s="41" t="s">
        <v>6420</v>
      </c>
      <c r="S44" s="9" t="s">
        <v>6421</v>
      </c>
      <c r="T44" s="9">
        <v>28</v>
      </c>
      <c r="U44" s="905">
        <v>91944</v>
      </c>
      <c r="V44" s="83">
        <f>U44/U47*100</f>
        <v>30.829172771990059</v>
      </c>
      <c r="W44" s="42">
        <f>U47*T44/100</f>
        <v>83506.36</v>
      </c>
      <c r="X44" s="16">
        <f>U44-W44</f>
        <v>8437.64</v>
      </c>
    </row>
    <row r="45" spans="1:24">
      <c r="A45" s="451" t="s">
        <v>6422</v>
      </c>
      <c r="B45" s="9">
        <v>894.95</v>
      </c>
      <c r="C45" s="13">
        <f t="shared" si="3"/>
        <v>0.10739400000000002</v>
      </c>
      <c r="D45" s="16">
        <v>7000</v>
      </c>
      <c r="F45" s="16">
        <v>5250</v>
      </c>
      <c r="G45" s="34">
        <f t="shared" si="4"/>
        <v>13145.057393999999</v>
      </c>
      <c r="I45" s="578" t="s">
        <v>6423</v>
      </c>
      <c r="J45" s="903">
        <f>SUM(J32:J43)</f>
        <v>140545.16</v>
      </c>
      <c r="K45" s="904">
        <f>SUM(K32:K43)</f>
        <v>83560</v>
      </c>
      <c r="L45" s="903">
        <f>SUM(L32:L43)</f>
        <v>2200</v>
      </c>
      <c r="M45" s="904">
        <f>SUM(M32:M43)</f>
        <v>12589</v>
      </c>
      <c r="N45" s="711">
        <f t="shared" si="1"/>
        <v>96149</v>
      </c>
      <c r="Q45" s="9">
        <v>4.63</v>
      </c>
      <c r="R45" s="41" t="s">
        <v>6424</v>
      </c>
      <c r="S45" s="9" t="s">
        <v>6425</v>
      </c>
      <c r="T45" s="9">
        <v>12</v>
      </c>
      <c r="U45" s="905">
        <v>19642</v>
      </c>
      <c r="V45" s="83">
        <f>U45/U47*100</f>
        <v>6.5860372790767077</v>
      </c>
      <c r="W45" s="42">
        <f>U47*T45/100</f>
        <v>35788.44</v>
      </c>
      <c r="X45" s="16">
        <f>U45-W45</f>
        <v>-16146.440000000002</v>
      </c>
    </row>
    <row r="46" spans="1:24">
      <c r="A46" s="451" t="s">
        <v>6426</v>
      </c>
      <c r="B46" s="11">
        <v>909.2</v>
      </c>
      <c r="C46" s="13">
        <f t="shared" si="3"/>
        <v>0.10910400000000002</v>
      </c>
      <c r="D46" s="16">
        <v>7000</v>
      </c>
      <c r="E46" s="9"/>
      <c r="F46" s="16">
        <v>5250</v>
      </c>
      <c r="G46" s="34">
        <f t="shared" si="4"/>
        <v>13159.309104</v>
      </c>
      <c r="I46" s="460" t="s">
        <v>6427</v>
      </c>
      <c r="J46" s="25">
        <v>14382</v>
      </c>
      <c r="K46" s="901">
        <v>6000</v>
      </c>
      <c r="M46" s="901">
        <v>3465</v>
      </c>
      <c r="N46" s="16">
        <f t="shared" si="1"/>
        <v>9465</v>
      </c>
      <c r="O46" s="906"/>
      <c r="Q46" s="9">
        <v>4.8099999999999996</v>
      </c>
      <c r="R46" s="41" t="s">
        <v>6428</v>
      </c>
      <c r="S46" s="9" t="s">
        <v>6429</v>
      </c>
      <c r="T46" s="9">
        <v>60</v>
      </c>
      <c r="U46" s="905">
        <v>186651</v>
      </c>
      <c r="V46" s="83">
        <f>U46/U47*100</f>
        <v>62.584789948933228</v>
      </c>
      <c r="W46" s="42">
        <f>U47*T46/100</f>
        <v>178942.2</v>
      </c>
      <c r="X46" s="16">
        <f>U46-W46</f>
        <v>7708.7999999999884</v>
      </c>
    </row>
    <row r="47" spans="1:24">
      <c r="A47" s="451" t="s">
        <v>6430</v>
      </c>
      <c r="B47" s="9">
        <v>944.56</v>
      </c>
      <c r="C47" s="13">
        <f t="shared" si="3"/>
        <v>0.1133472</v>
      </c>
      <c r="D47" s="16">
        <v>6000</v>
      </c>
      <c r="E47" s="9">
        <v>405</v>
      </c>
      <c r="F47" s="16">
        <v>5263</v>
      </c>
      <c r="G47" s="34">
        <f t="shared" si="4"/>
        <v>12612.6733472</v>
      </c>
      <c r="I47" s="460" t="s">
        <v>6431</v>
      </c>
      <c r="J47" s="25">
        <v>13623</v>
      </c>
      <c r="K47" s="901">
        <v>5000</v>
      </c>
      <c r="M47" s="901">
        <v>1201</v>
      </c>
      <c r="N47" s="16">
        <f t="shared" si="1"/>
        <v>6201</v>
      </c>
      <c r="P47" s="9" t="s">
        <v>4392</v>
      </c>
      <c r="Q47" s="907">
        <f>AVERAGE(Q44:Q46)</f>
        <v>5.1533333333333324</v>
      </c>
      <c r="R47" s="881" t="s">
        <v>67</v>
      </c>
      <c r="S47" s="150"/>
      <c r="T47" s="150">
        <f>T44+T45+T46</f>
        <v>100</v>
      </c>
      <c r="U47" s="78">
        <f>U44+U45+U46</f>
        <v>298237</v>
      </c>
      <c r="V47" s="908">
        <f>V44+V45+V46</f>
        <v>100</v>
      </c>
      <c r="W47" s="79">
        <f>W44+W45+W46</f>
        <v>298237</v>
      </c>
    </row>
    <row r="48" spans="1:24">
      <c r="A48" s="451" t="s">
        <v>6432</v>
      </c>
      <c r="B48" s="9">
        <v>904.44</v>
      </c>
      <c r="C48" s="13">
        <f t="shared" si="3"/>
        <v>0.10853280000000001</v>
      </c>
      <c r="D48" s="16">
        <v>5000</v>
      </c>
      <c r="E48" s="9">
        <v>650</v>
      </c>
      <c r="F48" s="16">
        <v>4552</v>
      </c>
      <c r="G48" s="34">
        <f t="shared" si="4"/>
        <v>11106.5485328</v>
      </c>
      <c r="I48" s="460" t="s">
        <v>6433</v>
      </c>
      <c r="J48" s="25">
        <v>13464</v>
      </c>
      <c r="K48" s="901">
        <v>7300</v>
      </c>
      <c r="M48" s="901">
        <v>1165</v>
      </c>
      <c r="N48" s="16">
        <f t="shared" si="1"/>
        <v>8465</v>
      </c>
    </row>
    <row r="49" spans="1:24">
      <c r="A49" s="451" t="s">
        <v>6434</v>
      </c>
      <c r="B49" s="9">
        <v>874.76</v>
      </c>
      <c r="C49" s="13">
        <f t="shared" si="3"/>
        <v>0.10497119999999999</v>
      </c>
      <c r="D49" s="16">
        <v>6500</v>
      </c>
      <c r="F49" s="761">
        <v>5146.2</v>
      </c>
      <c r="G49" s="34">
        <f t="shared" si="4"/>
        <v>12521.064971199999</v>
      </c>
      <c r="I49" s="460" t="s">
        <v>6435</v>
      </c>
      <c r="J49" s="25">
        <v>13627</v>
      </c>
      <c r="K49" s="901">
        <v>8200</v>
      </c>
      <c r="M49" s="901">
        <v>1102</v>
      </c>
      <c r="N49" s="16">
        <f t="shared" si="1"/>
        <v>9302</v>
      </c>
      <c r="U49" s="9"/>
    </row>
    <row r="50" spans="1:24">
      <c r="A50" s="451" t="s">
        <v>6436</v>
      </c>
      <c r="B50" s="9">
        <v>842.64</v>
      </c>
      <c r="C50" s="13">
        <f t="shared" si="3"/>
        <v>0.10111680000000001</v>
      </c>
      <c r="D50" s="761">
        <v>8000</v>
      </c>
      <c r="F50" s="761">
        <v>6035</v>
      </c>
      <c r="G50" s="34">
        <f t="shared" si="4"/>
        <v>14877.7411168</v>
      </c>
      <c r="I50" s="460" t="s">
        <v>6437</v>
      </c>
      <c r="J50" s="25">
        <v>13761</v>
      </c>
      <c r="K50" s="901">
        <v>7000</v>
      </c>
      <c r="M50" s="901"/>
      <c r="N50" s="16">
        <f t="shared" si="1"/>
        <v>7000</v>
      </c>
    </row>
    <row r="51" spans="1:24">
      <c r="A51" s="451" t="s">
        <v>6438</v>
      </c>
      <c r="B51" s="9">
        <v>807.62</v>
      </c>
      <c r="C51" s="13">
        <f t="shared" si="3"/>
        <v>9.6914400000000012E-2</v>
      </c>
      <c r="D51" s="761">
        <v>6500</v>
      </c>
      <c r="F51" s="761">
        <v>5310</v>
      </c>
      <c r="G51" s="34">
        <f t="shared" si="4"/>
        <v>12617.7169144</v>
      </c>
      <c r="I51" s="460" t="s">
        <v>6439</v>
      </c>
      <c r="K51" s="901">
        <v>12000</v>
      </c>
      <c r="M51" s="901">
        <f>940+575</f>
        <v>1515</v>
      </c>
      <c r="N51" s="16">
        <f t="shared" si="1"/>
        <v>13515</v>
      </c>
      <c r="P51" s="2147" t="s">
        <v>6440</v>
      </c>
      <c r="Q51" s="2095"/>
    </row>
    <row r="52" spans="1:24">
      <c r="A52" s="451" t="s">
        <v>6441</v>
      </c>
      <c r="B52" s="9">
        <v>828.28</v>
      </c>
      <c r="C52" s="13">
        <f t="shared" si="3"/>
        <v>9.9393600000000012E-2</v>
      </c>
      <c r="D52" s="761">
        <v>6000</v>
      </c>
      <c r="E52" s="16">
        <f>1000+900+50+120</f>
        <v>2070</v>
      </c>
      <c r="F52" s="761">
        <v>5244</v>
      </c>
      <c r="G52" s="34">
        <f t="shared" si="4"/>
        <v>14142.3793936</v>
      </c>
      <c r="I52" s="460" t="s">
        <v>6442</v>
      </c>
      <c r="K52" s="16"/>
      <c r="M52" s="901">
        <f>375+120+200+3000+615</f>
        <v>4310</v>
      </c>
      <c r="N52" s="16">
        <f t="shared" si="1"/>
        <v>4310</v>
      </c>
      <c r="P52" s="41" t="s">
        <v>742</v>
      </c>
      <c r="Q52" s="42">
        <v>2391</v>
      </c>
      <c r="S52" s="9"/>
    </row>
    <row r="53" spans="1:24">
      <c r="A53" s="451" t="s">
        <v>6443</v>
      </c>
      <c r="B53" s="9">
        <v>798.29</v>
      </c>
      <c r="C53" s="13">
        <f t="shared" si="3"/>
        <v>9.5794799999999999E-2</v>
      </c>
      <c r="D53" s="761">
        <v>6000</v>
      </c>
      <c r="E53" s="16">
        <f>152+350+2390.63</f>
        <v>2892.63</v>
      </c>
      <c r="F53" s="761">
        <v>5210.3999999999996</v>
      </c>
      <c r="G53" s="34">
        <f t="shared" si="4"/>
        <v>14901.415794800001</v>
      </c>
      <c r="I53" s="460" t="s">
        <v>6444</v>
      </c>
      <c r="K53" s="16"/>
      <c r="M53" s="901">
        <v>1000</v>
      </c>
      <c r="N53" s="16">
        <f t="shared" si="1"/>
        <v>1000</v>
      </c>
      <c r="P53" s="41" t="s">
        <v>6445</v>
      </c>
      <c r="Q53" s="42">
        <v>450</v>
      </c>
      <c r="S53" s="9">
        <v>10000</v>
      </c>
      <c r="T53" s="82" t="s">
        <v>792</v>
      </c>
      <c r="U53" s="16">
        <v>10000</v>
      </c>
    </row>
    <row r="54" spans="1:24">
      <c r="A54" s="451" t="s">
        <v>6446</v>
      </c>
      <c r="B54" s="9">
        <v>856.39</v>
      </c>
      <c r="C54" s="13">
        <f t="shared" si="3"/>
        <v>0.10276680000000001</v>
      </c>
      <c r="D54" s="761">
        <f>152+350+2390.63+651.24+483.14</f>
        <v>4027.0099999999998</v>
      </c>
      <c r="E54" s="16"/>
      <c r="F54" s="761">
        <v>4715</v>
      </c>
      <c r="G54" s="34">
        <f t="shared" si="4"/>
        <v>9598.5027668000002</v>
      </c>
      <c r="I54" s="460" t="s">
        <v>6447</v>
      </c>
      <c r="K54" s="16"/>
      <c r="M54" s="901">
        <f>300+315+150+150+100</f>
        <v>1015</v>
      </c>
      <c r="N54" s="16">
        <f t="shared" si="1"/>
        <v>1015</v>
      </c>
      <c r="P54" s="41" t="s">
        <v>6448</v>
      </c>
      <c r="Q54" s="42">
        <v>2755</v>
      </c>
      <c r="R54" s="9">
        <v>1</v>
      </c>
      <c r="S54" s="909">
        <v>4.8099999999999996</v>
      </c>
      <c r="T54" s="9">
        <v>6</v>
      </c>
      <c r="U54" s="16">
        <f t="shared" ref="U54:U63" si="5">U53+S54</f>
        <v>10004.81</v>
      </c>
    </row>
    <row r="55" spans="1:24">
      <c r="A55" s="294" t="s">
        <v>4392</v>
      </c>
      <c r="B55" s="294">
        <f>AVERAGE(B43:B54)</f>
        <v>875.78000000000009</v>
      </c>
      <c r="C55" s="910"/>
      <c r="D55" s="758"/>
      <c r="E55" s="758"/>
      <c r="F55" s="911" t="s">
        <v>4392</v>
      </c>
      <c r="G55" s="759">
        <f>AVERAGE(G42:G53)</f>
        <v>13115.729863033337</v>
      </c>
      <c r="I55" s="460" t="s">
        <v>6449</v>
      </c>
      <c r="K55" s="711" t="s">
        <v>6450</v>
      </c>
      <c r="M55" s="901">
        <f>970+140+20</f>
        <v>1130</v>
      </c>
      <c r="N55" s="16">
        <f>M55</f>
        <v>1130</v>
      </c>
      <c r="P55" s="41" t="s">
        <v>6451</v>
      </c>
      <c r="Q55" s="42">
        <v>750</v>
      </c>
      <c r="R55" s="9">
        <v>2</v>
      </c>
      <c r="S55" s="909">
        <f t="shared" ref="S55:S63" si="6">U54*T55/100</f>
        <v>600.28859999999997</v>
      </c>
      <c r="T55" s="9">
        <f t="shared" ref="T55:T63" si="7">T54</f>
        <v>6</v>
      </c>
      <c r="U55" s="16">
        <f t="shared" si="5"/>
        <v>10605.098599999999</v>
      </c>
    </row>
    <row r="56" spans="1:24">
      <c r="A56" s="30">
        <v>43118</v>
      </c>
      <c r="B56" s="9">
        <v>894.61</v>
      </c>
      <c r="C56" s="13">
        <f t="shared" ref="C56:C67" si="8">B56*12/100000</f>
        <v>0.1073532</v>
      </c>
      <c r="D56" s="761">
        <f>2390.63+644.18+651.25+483.14+617</f>
        <v>4786.2</v>
      </c>
      <c r="E56" s="9"/>
      <c r="F56" s="894">
        <v>6642.95</v>
      </c>
      <c r="G56" s="34">
        <f t="shared" ref="G56:G67" si="9">B56+D56+E56+F56</f>
        <v>12323.759999999998</v>
      </c>
      <c r="I56" s="460" t="s">
        <v>6452</v>
      </c>
      <c r="K56" s="912">
        <f>510+300+320+4000</f>
        <v>5130</v>
      </c>
      <c r="M56" s="901"/>
      <c r="N56" s="16">
        <f>K56+M56</f>
        <v>5130</v>
      </c>
      <c r="P56" s="41" t="s">
        <v>78</v>
      </c>
      <c r="Q56" s="42">
        <v>644</v>
      </c>
      <c r="R56" s="9">
        <v>3</v>
      </c>
      <c r="S56" s="909">
        <f t="shared" si="6"/>
        <v>636.30591600000002</v>
      </c>
      <c r="T56" s="9">
        <f t="shared" si="7"/>
        <v>6</v>
      </c>
      <c r="U56" s="16">
        <f t="shared" si="5"/>
        <v>11241.404515999999</v>
      </c>
      <c r="W56" s="30">
        <f t="shared" ref="W56:W81" si="10">A56</f>
        <v>43118</v>
      </c>
      <c r="X56" s="894">
        <f t="shared" ref="X56:X81" si="11">F56</f>
        <v>6642.95</v>
      </c>
    </row>
    <row r="57" spans="1:24">
      <c r="A57" s="30">
        <v>43149</v>
      </c>
      <c r="B57" s="9">
        <v>807.56</v>
      </c>
      <c r="C57" s="13">
        <f t="shared" si="8"/>
        <v>9.6907199999999999E-2</v>
      </c>
      <c r="D57" s="16">
        <f>617+644.18+651.24+2390.63</f>
        <v>4303.05</v>
      </c>
      <c r="F57" s="894">
        <v>4034</v>
      </c>
      <c r="G57" s="34">
        <f t="shared" si="9"/>
        <v>9144.61</v>
      </c>
      <c r="I57" s="460" t="s">
        <v>6453</v>
      </c>
      <c r="K57" s="912">
        <f>480+615+300+4000</f>
        <v>5395</v>
      </c>
      <c r="M57" s="901"/>
      <c r="N57" s="16">
        <f>K57+M57</f>
        <v>5395</v>
      </c>
      <c r="P57" s="41" t="s">
        <v>6454</v>
      </c>
      <c r="Q57" s="42">
        <v>0</v>
      </c>
      <c r="R57" s="9">
        <v>4</v>
      </c>
      <c r="S57" s="909">
        <f t="shared" si="6"/>
        <v>674.48427096</v>
      </c>
      <c r="T57" s="9">
        <f t="shared" si="7"/>
        <v>6</v>
      </c>
      <c r="U57" s="16">
        <f t="shared" si="5"/>
        <v>11915.888786959998</v>
      </c>
      <c r="W57" s="30">
        <f t="shared" si="10"/>
        <v>43149</v>
      </c>
      <c r="X57" s="894">
        <f t="shared" si="11"/>
        <v>4034</v>
      </c>
    </row>
    <row r="58" spans="1:24">
      <c r="A58" s="30">
        <v>43177</v>
      </c>
      <c r="B58" s="9">
        <v>847.74</v>
      </c>
      <c r="C58" s="13">
        <f t="shared" si="8"/>
        <v>0.10172880000000001</v>
      </c>
      <c r="D58" s="16">
        <f t="shared" ref="D58:D67" si="12">2390.63+644.18+651.24+483.14+617+350+750</f>
        <v>5886.1900000000005</v>
      </c>
      <c r="F58" s="894">
        <v>4525.3599999999997</v>
      </c>
      <c r="G58" s="34">
        <f t="shared" si="9"/>
        <v>11259.29</v>
      </c>
      <c r="I58" s="578" t="s">
        <v>6455</v>
      </c>
      <c r="J58" s="711">
        <f>SUM(J46:J57)</f>
        <v>68857</v>
      </c>
      <c r="K58" s="711">
        <f>SUM(K46:K57)</f>
        <v>56025</v>
      </c>
      <c r="L58" s="711">
        <f>SUM(L46:L57)</f>
        <v>0</v>
      </c>
      <c r="M58" s="711">
        <f>SUM(M46:M57)</f>
        <v>15903</v>
      </c>
      <c r="N58" s="711">
        <f>SUM(N46:N57)</f>
        <v>71928</v>
      </c>
      <c r="P58" s="913" t="s">
        <v>6456</v>
      </c>
      <c r="Q58" s="42">
        <v>586</v>
      </c>
      <c r="R58" s="9">
        <v>5</v>
      </c>
      <c r="S58" s="909">
        <f t="shared" si="6"/>
        <v>714.95332721759985</v>
      </c>
      <c r="T58" s="9">
        <f t="shared" si="7"/>
        <v>6</v>
      </c>
      <c r="U58" s="16">
        <f t="shared" si="5"/>
        <v>12630.842114177598</v>
      </c>
      <c r="W58" s="30">
        <f t="shared" si="10"/>
        <v>43177</v>
      </c>
      <c r="X58" s="894">
        <f t="shared" si="11"/>
        <v>4525.3599999999997</v>
      </c>
    </row>
    <row r="59" spans="1:24">
      <c r="A59" s="30">
        <v>43208</v>
      </c>
      <c r="B59" s="11">
        <v>840.9</v>
      </c>
      <c r="C59" s="13">
        <f t="shared" si="8"/>
        <v>0.100908</v>
      </c>
      <c r="D59" s="16">
        <f t="shared" si="12"/>
        <v>5886.1900000000005</v>
      </c>
      <c r="F59" s="894">
        <v>3320.75</v>
      </c>
      <c r="G59" s="34">
        <f t="shared" si="9"/>
        <v>10047.84</v>
      </c>
      <c r="K59" s="16"/>
      <c r="N59" s="16"/>
      <c r="P59" s="41" t="s">
        <v>741</v>
      </c>
      <c r="Q59" s="42">
        <v>483</v>
      </c>
      <c r="R59" s="9">
        <v>6</v>
      </c>
      <c r="S59" s="909">
        <f t="shared" si="6"/>
        <v>757.85052685065591</v>
      </c>
      <c r="T59" s="9">
        <f t="shared" si="7"/>
        <v>6</v>
      </c>
      <c r="U59" s="16">
        <f t="shared" si="5"/>
        <v>13388.692641028254</v>
      </c>
      <c r="W59" s="30">
        <f t="shared" si="10"/>
        <v>43208</v>
      </c>
      <c r="X59" s="894">
        <f t="shared" si="11"/>
        <v>3320.75</v>
      </c>
    </row>
    <row r="60" spans="1:24">
      <c r="A60" s="30">
        <v>43238</v>
      </c>
      <c r="B60" s="9">
        <v>876.34</v>
      </c>
      <c r="C60" s="13">
        <f t="shared" si="8"/>
        <v>0.1051608</v>
      </c>
      <c r="D60" s="16">
        <f t="shared" si="12"/>
        <v>5886.1900000000005</v>
      </c>
      <c r="E60" s="9">
        <v>300</v>
      </c>
      <c r="F60" s="894">
        <v>2875.65</v>
      </c>
      <c r="G60" s="34">
        <f t="shared" si="9"/>
        <v>9938.18</v>
      </c>
      <c r="I60" s="460" t="s">
        <v>6457</v>
      </c>
      <c r="K60" s="16">
        <f>740+300+460+7000</f>
        <v>8500</v>
      </c>
      <c r="N60" s="16"/>
      <c r="P60" s="41" t="s">
        <v>76</v>
      </c>
      <c r="Q60" s="42">
        <v>2000</v>
      </c>
      <c r="R60" s="9">
        <v>7</v>
      </c>
      <c r="S60" s="909">
        <f t="shared" si="6"/>
        <v>803.32155846169519</v>
      </c>
      <c r="T60" s="9">
        <f t="shared" si="7"/>
        <v>6</v>
      </c>
      <c r="U60" s="16">
        <f t="shared" si="5"/>
        <v>14192.01419948995</v>
      </c>
      <c r="W60" s="30">
        <f t="shared" si="10"/>
        <v>43238</v>
      </c>
      <c r="X60" s="894">
        <f t="shared" si="11"/>
        <v>2875.65</v>
      </c>
    </row>
    <row r="61" spans="1:24">
      <c r="A61" s="30">
        <v>43269</v>
      </c>
      <c r="B61" s="9">
        <v>965.52</v>
      </c>
      <c r="C61" s="13">
        <f t="shared" si="8"/>
        <v>0.1158624</v>
      </c>
      <c r="D61" s="16">
        <f t="shared" si="12"/>
        <v>5886.1900000000005</v>
      </c>
      <c r="F61" s="894">
        <v>856.37</v>
      </c>
      <c r="G61" s="34">
        <f t="shared" si="9"/>
        <v>7708.0800000000008</v>
      </c>
      <c r="I61" s="460" t="s">
        <v>6458</v>
      </c>
      <c r="K61" s="16">
        <f>380+720+500+480</f>
        <v>2080</v>
      </c>
      <c r="N61" s="16"/>
      <c r="P61" s="41" t="s">
        <v>80</v>
      </c>
      <c r="Q61" s="42">
        <v>350</v>
      </c>
      <c r="R61" s="9">
        <v>8</v>
      </c>
      <c r="S61" s="909">
        <f t="shared" si="6"/>
        <v>851.52085196939709</v>
      </c>
      <c r="T61" s="9">
        <f t="shared" si="7"/>
        <v>6</v>
      </c>
      <c r="U61" s="16">
        <f t="shared" si="5"/>
        <v>15043.535051459347</v>
      </c>
      <c r="W61" s="30">
        <f t="shared" si="10"/>
        <v>43269</v>
      </c>
      <c r="X61" s="894">
        <f t="shared" si="11"/>
        <v>856.37</v>
      </c>
    </row>
    <row r="62" spans="1:24">
      <c r="A62" s="30">
        <v>43299</v>
      </c>
      <c r="B62" s="9">
        <v>975.14</v>
      </c>
      <c r="C62" s="13">
        <f t="shared" si="8"/>
        <v>0.1170168</v>
      </c>
      <c r="D62" s="16">
        <f t="shared" si="12"/>
        <v>5886.1900000000005</v>
      </c>
      <c r="F62" s="894">
        <v>500</v>
      </c>
      <c r="G62" s="34">
        <f t="shared" si="9"/>
        <v>7361.3300000000008</v>
      </c>
      <c r="I62" s="460" t="s">
        <v>6459</v>
      </c>
      <c r="K62" s="16">
        <f>620+520+2125+580+5000+260</f>
        <v>9105</v>
      </c>
      <c r="N62" s="16"/>
      <c r="P62" s="41" t="s">
        <v>574</v>
      </c>
      <c r="Q62" s="44">
        <v>600</v>
      </c>
      <c r="R62" s="9">
        <v>9</v>
      </c>
      <c r="S62" s="909">
        <f t="shared" si="6"/>
        <v>902.61210308756085</v>
      </c>
      <c r="T62" s="9">
        <f t="shared" si="7"/>
        <v>6</v>
      </c>
      <c r="U62" s="16">
        <f t="shared" si="5"/>
        <v>15946.147154546907</v>
      </c>
      <c r="W62" s="30">
        <f t="shared" si="10"/>
        <v>43299</v>
      </c>
      <c r="X62" s="894">
        <f t="shared" si="11"/>
        <v>500</v>
      </c>
    </row>
    <row r="63" spans="1:24">
      <c r="A63" s="30">
        <v>43330</v>
      </c>
      <c r="B63" s="9">
        <v>991.59</v>
      </c>
      <c r="C63" s="13">
        <f t="shared" si="8"/>
        <v>0.11899079999999999</v>
      </c>
      <c r="D63" s="16">
        <f t="shared" si="12"/>
        <v>5886.1900000000005</v>
      </c>
      <c r="F63" s="894">
        <v>1074.6300000000001</v>
      </c>
      <c r="G63" s="34">
        <f t="shared" si="9"/>
        <v>7952.4100000000008</v>
      </c>
      <c r="I63" s="460" t="s">
        <v>6460</v>
      </c>
      <c r="K63" s="16">
        <f>700+480+256+360+3600+400+2125</f>
        <v>7921</v>
      </c>
      <c r="N63" s="16">
        <f>1156*12</f>
        <v>13872</v>
      </c>
      <c r="P63" s="41"/>
      <c r="Q63" s="42"/>
      <c r="R63" s="9">
        <v>10</v>
      </c>
      <c r="S63" s="909">
        <f t="shared" si="6"/>
        <v>956.76882927281429</v>
      </c>
      <c r="T63" s="9">
        <f t="shared" si="7"/>
        <v>6</v>
      </c>
      <c r="U63" s="16">
        <f t="shared" si="5"/>
        <v>16902.915983819719</v>
      </c>
      <c r="W63" s="30">
        <f t="shared" si="10"/>
        <v>43330</v>
      </c>
      <c r="X63" s="894">
        <f t="shared" si="11"/>
        <v>1074.6300000000001</v>
      </c>
    </row>
    <row r="64" spans="1:24">
      <c r="A64" s="30">
        <v>43361</v>
      </c>
      <c r="B64" s="9">
        <v>890.5</v>
      </c>
      <c r="C64" s="13">
        <f t="shared" si="8"/>
        <v>0.10686</v>
      </c>
      <c r="D64" s="16">
        <f t="shared" si="12"/>
        <v>5886.1900000000005</v>
      </c>
      <c r="F64" s="894">
        <v>1906</v>
      </c>
      <c r="G64" s="34">
        <f t="shared" si="9"/>
        <v>8682.69</v>
      </c>
      <c r="I64" s="460" t="s">
        <v>6461</v>
      </c>
      <c r="K64" s="16">
        <f>800+700+500+2326+2125</f>
        <v>6451</v>
      </c>
      <c r="N64" s="16"/>
      <c r="P64" s="881" t="s">
        <v>67</v>
      </c>
      <c r="Q64" s="79">
        <f>SUM(Q52:Q63)</f>
        <v>11009</v>
      </c>
      <c r="W64" s="30">
        <f t="shared" si="10"/>
        <v>43361</v>
      </c>
      <c r="X64" s="894">
        <f t="shared" si="11"/>
        <v>1906</v>
      </c>
    </row>
    <row r="65" spans="1:24">
      <c r="A65" s="30">
        <v>43391</v>
      </c>
      <c r="B65" s="9">
        <v>915.04</v>
      </c>
      <c r="C65" s="13">
        <f t="shared" si="8"/>
        <v>0.10980479999999999</v>
      </c>
      <c r="D65" s="16">
        <f t="shared" si="12"/>
        <v>5886.1900000000005</v>
      </c>
      <c r="F65" s="894">
        <v>1636</v>
      </c>
      <c r="G65" s="34">
        <f t="shared" si="9"/>
        <v>8437.23</v>
      </c>
      <c r="I65" s="460" t="s">
        <v>6462</v>
      </c>
      <c r="K65" s="16">
        <f>500+2125+5000</f>
        <v>7625</v>
      </c>
      <c r="N65" s="16">
        <f>600000*2/100</f>
        <v>12000</v>
      </c>
      <c r="W65" s="30">
        <f t="shared" si="10"/>
        <v>43391</v>
      </c>
      <c r="X65" s="894">
        <f t="shared" si="11"/>
        <v>1636</v>
      </c>
    </row>
    <row r="66" spans="1:24">
      <c r="A66" s="30">
        <v>43422</v>
      </c>
      <c r="B66" s="9">
        <v>929.22</v>
      </c>
      <c r="C66" s="13">
        <f t="shared" si="8"/>
        <v>0.11150639999999999</v>
      </c>
      <c r="D66" s="16">
        <f t="shared" si="12"/>
        <v>5886.1900000000005</v>
      </c>
      <c r="F66" s="9">
        <v>0</v>
      </c>
      <c r="G66" s="34">
        <f t="shared" si="9"/>
        <v>6815.4100000000008</v>
      </c>
      <c r="I66" s="460" t="s">
        <v>6463</v>
      </c>
      <c r="K66" s="16">
        <f>1000+6000+2479+440</f>
        <v>9919</v>
      </c>
      <c r="N66" s="16"/>
      <c r="W66" s="30">
        <f t="shared" si="10"/>
        <v>43422</v>
      </c>
      <c r="X66" s="9">
        <f t="shared" si="11"/>
        <v>0</v>
      </c>
    </row>
    <row r="67" spans="1:24">
      <c r="A67" s="30">
        <v>43452</v>
      </c>
      <c r="B67" s="9">
        <v>943.98</v>
      </c>
      <c r="C67" s="13">
        <f t="shared" si="8"/>
        <v>0.11327760000000001</v>
      </c>
      <c r="D67" s="16">
        <f t="shared" si="12"/>
        <v>5886.1900000000005</v>
      </c>
      <c r="F67" s="9">
        <v>0</v>
      </c>
      <c r="G67" s="34">
        <f t="shared" si="9"/>
        <v>6830.17</v>
      </c>
      <c r="I67" s="460" t="s">
        <v>6464</v>
      </c>
      <c r="K67" s="16">
        <f>320+2479+180+1420+880</f>
        <v>5279</v>
      </c>
      <c r="N67" s="16"/>
      <c r="U67" s="16"/>
      <c r="V67" s="16"/>
      <c r="W67" s="30">
        <f t="shared" si="10"/>
        <v>43452</v>
      </c>
      <c r="X67" s="9">
        <f t="shared" si="11"/>
        <v>0</v>
      </c>
    </row>
    <row r="68" spans="1:24">
      <c r="A68" s="758" t="s">
        <v>659</v>
      </c>
      <c r="B68" s="914">
        <f t="shared" ref="B68:G68" si="13">AVERAGE(B56:B67)</f>
        <v>906.51166666666666</v>
      </c>
      <c r="C68" s="910">
        <f t="shared" si="13"/>
        <v>0.10878139999999999</v>
      </c>
      <c r="D68" s="759">
        <f t="shared" si="13"/>
        <v>5662.5958333333338</v>
      </c>
      <c r="E68" s="759">
        <f t="shared" si="13"/>
        <v>300</v>
      </c>
      <c r="F68" s="759">
        <f t="shared" si="13"/>
        <v>2280.9758333333334</v>
      </c>
      <c r="G68" s="759">
        <f t="shared" si="13"/>
        <v>8875.0833333333339</v>
      </c>
      <c r="I68" s="460" t="s">
        <v>6465</v>
      </c>
      <c r="K68" s="16">
        <f>11740+300</f>
        <v>12040</v>
      </c>
      <c r="N68" s="16"/>
      <c r="R68" s="441"/>
      <c r="S68" s="441"/>
      <c r="U68" s="16"/>
      <c r="V68" s="16"/>
      <c r="W68" s="9" t="str">
        <f t="shared" si="10"/>
        <v>Average</v>
      </c>
      <c r="X68" s="16">
        <f t="shared" si="11"/>
        <v>2280.9758333333334</v>
      </c>
    </row>
    <row r="69" spans="1:24">
      <c r="A69" s="9"/>
      <c r="B69" s="2148" t="str">
        <f>B42</f>
        <v>Broadmark</v>
      </c>
      <c r="C69" s="2087"/>
      <c r="D69" s="9" t="s">
        <v>6466</v>
      </c>
      <c r="E69" s="9" t="str">
        <f>E30</f>
        <v>Other</v>
      </c>
      <c r="F69" s="799" t="str">
        <f>F30</f>
        <v>Laundry</v>
      </c>
      <c r="G69" s="9" t="str">
        <f>G30</f>
        <v>Total</v>
      </c>
      <c r="I69" s="460" t="s">
        <v>6467</v>
      </c>
      <c r="K69" s="16">
        <f>2479+1400+1613</f>
        <v>5492</v>
      </c>
      <c r="N69" s="16"/>
      <c r="R69" s="441"/>
      <c r="S69" s="915"/>
      <c r="U69" s="16"/>
      <c r="V69" s="16"/>
      <c r="W69" s="9">
        <f t="shared" si="10"/>
        <v>0</v>
      </c>
      <c r="X69" s="799" t="str">
        <f t="shared" si="11"/>
        <v>Laundry</v>
      </c>
    </row>
    <row r="70" spans="1:24">
      <c r="A70" s="30">
        <v>43484</v>
      </c>
      <c r="B70" s="12">
        <v>2781.17</v>
      </c>
      <c r="C70" s="13">
        <f t="shared" ref="C70:C81" si="14">B70*12/300000</f>
        <v>0.11124680000000001</v>
      </c>
      <c r="D70" s="16">
        <f t="shared" ref="D70:D76" si="15">2390.63+644.18+651.24+483.14+617+350+750+2000</f>
        <v>7886.1900000000005</v>
      </c>
      <c r="E70" s="16">
        <f t="shared" ref="E70:E79" si="16">537+227+600+100</f>
        <v>1464</v>
      </c>
      <c r="F70" s="894">
        <v>2895.5</v>
      </c>
      <c r="G70" s="34">
        <f t="shared" ref="G70:G81" si="17">B70+D70+E70+F70</f>
        <v>15026.86</v>
      </c>
      <c r="I70" s="460" t="s">
        <v>6468</v>
      </c>
      <c r="K70" s="16">
        <f>900+725+1685+1060+2479+1400+5472</f>
        <v>13721</v>
      </c>
      <c r="M70" s="16">
        <v>300000</v>
      </c>
      <c r="R70" s="9"/>
      <c r="S70" s="46"/>
      <c r="U70" s="16"/>
      <c r="V70" s="16"/>
      <c r="W70" s="30">
        <f t="shared" si="10"/>
        <v>43484</v>
      </c>
      <c r="X70" s="894">
        <f t="shared" si="11"/>
        <v>2895.5</v>
      </c>
    </row>
    <row r="71" spans="1:24">
      <c r="A71" s="30">
        <v>43515</v>
      </c>
      <c r="B71" s="12">
        <v>2662.41</v>
      </c>
      <c r="C71" s="13">
        <f t="shared" si="14"/>
        <v>0.10649639999999999</v>
      </c>
      <c r="D71" s="16">
        <f t="shared" si="15"/>
        <v>7886.1900000000005</v>
      </c>
      <c r="E71" s="16">
        <f t="shared" si="16"/>
        <v>1464</v>
      </c>
      <c r="F71" s="894">
        <v>1000</v>
      </c>
      <c r="G71" s="34">
        <f t="shared" si="17"/>
        <v>13012.6</v>
      </c>
      <c r="I71" s="460" t="s">
        <v>6469</v>
      </c>
      <c r="K71" s="16">
        <f>725+2479+300+150+100+125+2000+5472+65</f>
        <v>11416</v>
      </c>
      <c r="M71" s="12">
        <v>0.98</v>
      </c>
      <c r="U71" s="16"/>
      <c r="V71" s="16"/>
      <c r="W71" s="30">
        <f t="shared" si="10"/>
        <v>43515</v>
      </c>
      <c r="X71" s="894">
        <f t="shared" si="11"/>
        <v>1000</v>
      </c>
    </row>
    <row r="72" spans="1:24">
      <c r="A72" s="30">
        <v>43543</v>
      </c>
      <c r="B72" s="12">
        <v>2497.79</v>
      </c>
      <c r="C72" s="13">
        <f t="shared" si="14"/>
        <v>9.9911600000000003E-2</v>
      </c>
      <c r="D72" s="16">
        <f t="shared" si="15"/>
        <v>7886.1900000000005</v>
      </c>
      <c r="E72" s="16">
        <f t="shared" si="16"/>
        <v>1464</v>
      </c>
      <c r="F72" s="916">
        <v>966.26</v>
      </c>
      <c r="G72" s="34">
        <f t="shared" si="17"/>
        <v>12814.24</v>
      </c>
      <c r="I72" s="3" t="s">
        <v>6455</v>
      </c>
      <c r="J72" s="3"/>
      <c r="K72" s="34">
        <f>SUM(K60:K71)</f>
        <v>99549</v>
      </c>
      <c r="M72" s="16">
        <f>M70*M71/100</f>
        <v>2940</v>
      </c>
      <c r="R72" s="9"/>
      <c r="S72" s="46"/>
      <c r="U72" s="16"/>
      <c r="V72" s="16"/>
      <c r="W72" s="30">
        <f t="shared" si="10"/>
        <v>43543</v>
      </c>
      <c r="X72" s="894">
        <f t="shared" si="11"/>
        <v>966.26</v>
      </c>
    </row>
    <row r="73" spans="1:24">
      <c r="A73" s="30">
        <v>43574</v>
      </c>
      <c r="B73" s="12">
        <v>2941.12</v>
      </c>
      <c r="C73" s="13">
        <f t="shared" si="14"/>
        <v>0.11764480000000001</v>
      </c>
      <c r="D73" s="16">
        <f t="shared" si="15"/>
        <v>7886.1900000000005</v>
      </c>
      <c r="E73" s="16">
        <f t="shared" si="16"/>
        <v>1464</v>
      </c>
      <c r="F73" s="9">
        <v>319</v>
      </c>
      <c r="G73" s="34">
        <f t="shared" si="17"/>
        <v>12610.310000000001</v>
      </c>
      <c r="I73" s="460" t="s">
        <v>6387</v>
      </c>
      <c r="K73" s="16">
        <f>900+100+450+2479+4000</f>
        <v>7929</v>
      </c>
      <c r="N73" s="16"/>
      <c r="R73" s="9"/>
      <c r="S73" s="46"/>
      <c r="W73" s="30">
        <f t="shared" si="10"/>
        <v>43574</v>
      </c>
      <c r="X73" s="9">
        <f t="shared" si="11"/>
        <v>319</v>
      </c>
    </row>
    <row r="74" spans="1:24">
      <c r="A74" s="30">
        <v>43604</v>
      </c>
      <c r="B74" s="12">
        <v>2819.65</v>
      </c>
      <c r="C74" s="13">
        <f t="shared" si="14"/>
        <v>0.11278600000000001</v>
      </c>
      <c r="D74" s="16">
        <f t="shared" si="15"/>
        <v>7886.1900000000005</v>
      </c>
      <c r="E74" s="16">
        <f t="shared" si="16"/>
        <v>1464</v>
      </c>
      <c r="F74" s="894">
        <v>377.96</v>
      </c>
      <c r="G74" s="34">
        <f t="shared" si="17"/>
        <v>12547.8</v>
      </c>
      <c r="I74" s="460" t="s">
        <v>6391</v>
      </c>
      <c r="K74" s="16">
        <f>200+100+800+2479+2000</f>
        <v>5579</v>
      </c>
      <c r="N74" s="16"/>
      <c r="R74" s="9"/>
      <c r="S74" s="13"/>
      <c r="W74" s="30">
        <f t="shared" si="10"/>
        <v>43604</v>
      </c>
      <c r="X74" s="894">
        <f t="shared" si="11"/>
        <v>377.96</v>
      </c>
    </row>
    <row r="75" spans="1:24">
      <c r="A75" s="30">
        <v>43635</v>
      </c>
      <c r="B75" s="12">
        <v>3007.56</v>
      </c>
      <c r="C75" s="13">
        <f t="shared" si="14"/>
        <v>0.1203024</v>
      </c>
      <c r="D75" s="16">
        <f t="shared" si="15"/>
        <v>7886.1900000000005</v>
      </c>
      <c r="E75" s="16">
        <f t="shared" si="16"/>
        <v>1464</v>
      </c>
      <c r="F75" s="894">
        <v>1104</v>
      </c>
      <c r="G75" s="34">
        <f t="shared" si="17"/>
        <v>13461.75</v>
      </c>
      <c r="I75" s="460" t="s">
        <v>6393</v>
      </c>
      <c r="K75" s="9">
        <f>900+2479</f>
        <v>3379</v>
      </c>
      <c r="N75" s="16"/>
      <c r="S75" s="13"/>
      <c r="W75" s="30">
        <f t="shared" si="10"/>
        <v>43635</v>
      </c>
      <c r="X75" s="894">
        <f t="shared" si="11"/>
        <v>1104</v>
      </c>
    </row>
    <row r="76" spans="1:24">
      <c r="A76" s="30">
        <v>43665</v>
      </c>
      <c r="B76" s="12">
        <v>2844.2</v>
      </c>
      <c r="C76" s="13">
        <f t="shared" si="14"/>
        <v>0.11376799999999998</v>
      </c>
      <c r="D76" s="16">
        <f t="shared" si="15"/>
        <v>7886.1900000000005</v>
      </c>
      <c r="E76" s="16">
        <f t="shared" si="16"/>
        <v>1464</v>
      </c>
      <c r="F76" s="9">
        <v>0</v>
      </c>
      <c r="G76" s="34">
        <f t="shared" si="17"/>
        <v>12194.39</v>
      </c>
      <c r="I76" s="9" t="s">
        <v>6470</v>
      </c>
      <c r="K76" s="16"/>
      <c r="L76" s="460" t="s">
        <v>6471</v>
      </c>
      <c r="M76" s="460" t="s">
        <v>6472</v>
      </c>
      <c r="N76" s="16" t="s">
        <v>6473</v>
      </c>
      <c r="W76" s="30">
        <f t="shared" si="10"/>
        <v>43665</v>
      </c>
      <c r="X76" s="9">
        <f t="shared" si="11"/>
        <v>0</v>
      </c>
    </row>
    <row r="77" spans="1:24">
      <c r="A77" s="30">
        <v>43696</v>
      </c>
      <c r="B77" s="12">
        <v>2719.39</v>
      </c>
      <c r="C77" s="13">
        <f t="shared" si="14"/>
        <v>0.1087756</v>
      </c>
      <c r="D77" s="16">
        <f>2390.63+644.18+651.24+483.14+350+750+2000</f>
        <v>7269.1900000000005</v>
      </c>
      <c r="E77" s="16">
        <f t="shared" si="16"/>
        <v>1464</v>
      </c>
      <c r="F77" s="83">
        <v>994.27</v>
      </c>
      <c r="G77" s="34">
        <f t="shared" si="17"/>
        <v>12446.85</v>
      </c>
      <c r="W77" s="30">
        <f t="shared" si="10"/>
        <v>43696</v>
      </c>
      <c r="X77" s="83">
        <f t="shared" si="11"/>
        <v>994.27</v>
      </c>
    </row>
    <row r="78" spans="1:24">
      <c r="A78" s="30">
        <v>43727</v>
      </c>
      <c r="B78" s="12">
        <v>2590.7800000000002</v>
      </c>
      <c r="C78" s="13">
        <f t="shared" si="14"/>
        <v>0.10363120000000001</v>
      </c>
      <c r="D78" s="16">
        <f>2390.63+644.18+651.24+483.14+350+750+2000</f>
        <v>7269.1900000000005</v>
      </c>
      <c r="E78" s="16">
        <f t="shared" si="16"/>
        <v>1464</v>
      </c>
      <c r="F78" s="83">
        <v>713.06</v>
      </c>
      <c r="G78" s="34">
        <f t="shared" si="17"/>
        <v>12037.03</v>
      </c>
      <c r="W78" s="30">
        <f t="shared" si="10"/>
        <v>43727</v>
      </c>
      <c r="X78" s="83">
        <f t="shared" si="11"/>
        <v>713.06</v>
      </c>
    </row>
    <row r="79" spans="1:24">
      <c r="A79" s="30">
        <v>43757</v>
      </c>
      <c r="B79" s="12">
        <v>2686.05</v>
      </c>
      <c r="C79" s="13">
        <f t="shared" si="14"/>
        <v>0.10744200000000001</v>
      </c>
      <c r="D79" s="16">
        <f>2390.63+644.18+651.24+483.14+350+750+2000</f>
        <v>7269.1900000000005</v>
      </c>
      <c r="E79" s="16">
        <f t="shared" si="16"/>
        <v>1464</v>
      </c>
      <c r="F79" s="917">
        <v>445.4</v>
      </c>
      <c r="G79" s="34">
        <f t="shared" si="17"/>
        <v>11864.640000000001</v>
      </c>
      <c r="I79" s="2086" t="s">
        <v>6474</v>
      </c>
      <c r="J79" s="2087"/>
      <c r="K79" s="2087"/>
      <c r="L79" s="2087"/>
      <c r="M79" s="2087"/>
      <c r="N79" s="2087"/>
      <c r="O79" s="2087"/>
      <c r="S79" s="16"/>
      <c r="W79" s="30">
        <f t="shared" si="10"/>
        <v>43757</v>
      </c>
      <c r="X79" s="83">
        <f t="shared" si="11"/>
        <v>445.4</v>
      </c>
    </row>
    <row r="80" spans="1:24">
      <c r="A80" s="30">
        <v>43788</v>
      </c>
      <c r="B80" s="12">
        <v>2992.05</v>
      </c>
      <c r="C80" s="13">
        <f t="shared" si="14"/>
        <v>0.11968200000000002</v>
      </c>
      <c r="D80" s="16">
        <f>2390.63+644.18+651.24+483.14+350+750+2000</f>
        <v>7269.1900000000005</v>
      </c>
      <c r="E80" s="16">
        <f>537+227+800+150+80</f>
        <v>1794</v>
      </c>
      <c r="F80" s="83">
        <v>0</v>
      </c>
      <c r="G80" s="34">
        <f t="shared" si="17"/>
        <v>12055.240000000002</v>
      </c>
      <c r="I80" s="2149" t="s">
        <v>6475</v>
      </c>
      <c r="J80" s="2087"/>
      <c r="K80" s="2087"/>
      <c r="L80" s="2087"/>
      <c r="M80" s="2087"/>
      <c r="N80" s="2087"/>
      <c r="O80" s="2087"/>
      <c r="W80" s="30">
        <f t="shared" si="10"/>
        <v>43788</v>
      </c>
      <c r="X80" s="83">
        <f t="shared" si="11"/>
        <v>0</v>
      </c>
    </row>
    <row r="81" spans="1:24">
      <c r="A81" s="30">
        <v>43818</v>
      </c>
      <c r="B81" s="12">
        <v>1396.29</v>
      </c>
      <c r="C81" s="13">
        <f t="shared" si="14"/>
        <v>5.5851600000000001E-2</v>
      </c>
      <c r="D81" s="16">
        <f>2390.63+644.18+651.24+483.14+350+750+2000+650</f>
        <v>7919.1900000000005</v>
      </c>
      <c r="E81" s="16">
        <f>537+0+1000+150+80</f>
        <v>1767</v>
      </c>
      <c r="F81" s="83">
        <v>0</v>
      </c>
      <c r="G81" s="34">
        <f t="shared" si="17"/>
        <v>11082.48</v>
      </c>
      <c r="I81" s="2088" t="s">
        <v>6476</v>
      </c>
      <c r="J81" s="2087"/>
      <c r="K81" s="2087"/>
      <c r="L81" s="2087"/>
      <c r="M81" s="2087"/>
      <c r="N81" s="2087"/>
      <c r="O81" s="2087"/>
      <c r="R81" s="9">
        <f>3441.12+1396.29</f>
        <v>4837.41</v>
      </c>
      <c r="S81" s="36"/>
      <c r="W81" s="30">
        <f t="shared" si="10"/>
        <v>43818</v>
      </c>
      <c r="X81" s="83">
        <f t="shared" si="11"/>
        <v>0</v>
      </c>
    </row>
    <row r="82" spans="1:24">
      <c r="A82" s="9" t="s">
        <v>6477</v>
      </c>
      <c r="B82" s="65">
        <f>AVERAGE(B70:B81)</f>
        <v>2661.5383333333334</v>
      </c>
      <c r="C82" s="13"/>
      <c r="D82" s="9" t="s">
        <v>6466</v>
      </c>
      <c r="E82" s="9" t="s">
        <v>3315</v>
      </c>
      <c r="F82" s="9" t="s">
        <v>6478</v>
      </c>
      <c r="G82" s="34">
        <f>SUM(G70:G81)</f>
        <v>151154.19</v>
      </c>
      <c r="I82" s="2088" t="s">
        <v>6479</v>
      </c>
      <c r="J82" s="2087"/>
      <c r="K82" s="2087"/>
      <c r="L82" s="2087"/>
      <c r="M82" s="2087"/>
      <c r="N82" s="2087"/>
      <c r="O82" s="2087"/>
      <c r="P82" s="16"/>
      <c r="R82" s="9">
        <f>4837.41/2</f>
        <v>2418.7049999999999</v>
      </c>
      <c r="W82" s="9" t="s">
        <v>659</v>
      </c>
      <c r="X82" s="894">
        <f>AVERAGE(X70:X78)</f>
        <v>930.00555555555547</v>
      </c>
    </row>
    <row r="83" spans="1:24">
      <c r="A83" s="30">
        <v>43485</v>
      </c>
      <c r="B83" s="12">
        <v>3441.12</v>
      </c>
      <c r="C83" s="13">
        <f t="shared" ref="C83:C91" si="18">B83*12/300000</f>
        <v>0.13764480000000001</v>
      </c>
      <c r="D83" s="16">
        <f>2390.63+644.18+651.24+483.14+350+750+2000+650</f>
        <v>7919.1900000000005</v>
      </c>
      <c r="E83" s="16">
        <f>537+1122+800+150+80</f>
        <v>2689</v>
      </c>
      <c r="F83" s="16">
        <v>2939.77</v>
      </c>
      <c r="G83" s="34">
        <f t="shared" ref="G83:G94" si="19">B83+D83+E83+F83</f>
        <v>16989.080000000002</v>
      </c>
      <c r="I83" s="2088" t="s">
        <v>6480</v>
      </c>
      <c r="J83" s="2087"/>
      <c r="K83" s="2087"/>
      <c r="L83" s="2087"/>
      <c r="M83" s="2087"/>
      <c r="N83" s="2087"/>
      <c r="O83" s="2087"/>
      <c r="P83" s="16"/>
      <c r="R83" s="13"/>
      <c r="S83" s="16"/>
    </row>
    <row r="84" spans="1:24">
      <c r="A84" s="30">
        <v>43516</v>
      </c>
      <c r="B84" s="12">
        <v>2294.08</v>
      </c>
      <c r="C84" s="13">
        <f t="shared" si="18"/>
        <v>9.1763200000000003E-2</v>
      </c>
      <c r="D84" s="16">
        <f>2390.63+644.18+651.24+483.14+350+750+2000+650</f>
        <v>7919.1900000000005</v>
      </c>
      <c r="E84" s="16">
        <f>594+1180+1450+776+80</f>
        <v>4080</v>
      </c>
      <c r="F84" s="16">
        <v>126.65</v>
      </c>
      <c r="G84" s="34">
        <f t="shared" si="19"/>
        <v>14419.92</v>
      </c>
      <c r="I84" s="2088" t="s">
        <v>6481</v>
      </c>
      <c r="J84" s="2087"/>
      <c r="K84" s="2087"/>
      <c r="L84" s="2087"/>
      <c r="M84" s="2087"/>
      <c r="N84" s="2087"/>
      <c r="O84" s="2087"/>
      <c r="R84" s="9">
        <f>3441.12*12/300000</f>
        <v>0.13764480000000001</v>
      </c>
      <c r="S84" s="13"/>
    </row>
    <row r="85" spans="1:24">
      <c r="A85" s="30">
        <v>43544</v>
      </c>
      <c r="B85" s="12">
        <v>2294.08</v>
      </c>
      <c r="C85" s="13">
        <f t="shared" si="18"/>
        <v>9.1763200000000003E-2</v>
      </c>
      <c r="D85" s="761">
        <v>5897</v>
      </c>
      <c r="E85" s="761">
        <v>1993</v>
      </c>
      <c r="F85" s="16">
        <v>626</v>
      </c>
      <c r="G85" s="34">
        <f t="shared" si="19"/>
        <v>10810.08</v>
      </c>
      <c r="I85" s="2088" t="s">
        <v>6482</v>
      </c>
      <c r="J85" s="2087"/>
      <c r="K85" s="2087"/>
      <c r="L85" s="2087"/>
      <c r="M85" s="2087"/>
      <c r="N85" s="2087"/>
      <c r="O85" s="2087"/>
    </row>
    <row r="86" spans="1:24">
      <c r="A86" s="30">
        <v>43575</v>
      </c>
      <c r="B86" s="12">
        <v>2294.08</v>
      </c>
      <c r="C86" s="13">
        <f t="shared" si="18"/>
        <v>9.1763200000000003E-2</v>
      </c>
      <c r="D86" s="761">
        <v>5897</v>
      </c>
      <c r="E86" s="761">
        <v>1974</v>
      </c>
      <c r="F86" s="16">
        <v>186.28</v>
      </c>
      <c r="G86" s="34">
        <f t="shared" si="19"/>
        <v>10351.36</v>
      </c>
      <c r="I86" s="2088"/>
      <c r="J86" s="2087"/>
      <c r="K86" s="2087"/>
      <c r="L86" s="2087"/>
      <c r="M86" s="2087"/>
      <c r="N86" s="2087"/>
      <c r="O86" s="2087"/>
      <c r="R86" s="9">
        <f>3441.12*12/350000</f>
        <v>0.11798125714285715</v>
      </c>
    </row>
    <row r="87" spans="1:24">
      <c r="A87" s="30">
        <v>43605</v>
      </c>
      <c r="B87" s="12">
        <v>1720.56</v>
      </c>
      <c r="C87" s="13">
        <f t="shared" si="18"/>
        <v>6.8822400000000006E-2</v>
      </c>
      <c r="D87" s="761">
        <v>5897</v>
      </c>
      <c r="E87" s="761">
        <v>2211</v>
      </c>
      <c r="F87" s="16">
        <v>0</v>
      </c>
      <c r="G87" s="34">
        <f t="shared" si="19"/>
        <v>9828.56</v>
      </c>
      <c r="I87" s="2088"/>
      <c r="J87" s="2087"/>
      <c r="K87" s="2087"/>
      <c r="L87" s="2087"/>
      <c r="M87" s="2087"/>
      <c r="N87" s="2087"/>
      <c r="O87" s="2087"/>
    </row>
    <row r="88" spans="1:24">
      <c r="A88" s="30">
        <v>44002</v>
      </c>
      <c r="B88" s="12">
        <v>1720.56</v>
      </c>
      <c r="C88" s="13">
        <f t="shared" si="18"/>
        <v>6.8822400000000006E-2</v>
      </c>
      <c r="D88" s="16">
        <v>7897</v>
      </c>
      <c r="E88" s="761">
        <v>2211</v>
      </c>
      <c r="F88" s="16">
        <f>746.7+652.7</f>
        <v>1399.4</v>
      </c>
      <c r="G88" s="34">
        <f t="shared" si="19"/>
        <v>13227.96</v>
      </c>
      <c r="I88" s="2088"/>
      <c r="J88" s="2087"/>
      <c r="K88" s="2087"/>
      <c r="L88" s="2087"/>
      <c r="M88" s="2087"/>
      <c r="N88" s="2087"/>
      <c r="O88" s="2087"/>
      <c r="R88" s="13"/>
    </row>
    <row r="89" spans="1:24">
      <c r="A89" s="30">
        <v>44032</v>
      </c>
      <c r="B89" s="12">
        <v>1720.56</v>
      </c>
      <c r="C89" s="13">
        <f t="shared" si="18"/>
        <v>6.8822400000000006E-2</v>
      </c>
      <c r="D89" s="761">
        <f>5506.69</f>
        <v>5506.69</v>
      </c>
      <c r="E89" s="759">
        <v>2211</v>
      </c>
      <c r="F89" s="16">
        <v>163.98</v>
      </c>
      <c r="G89" s="34">
        <f t="shared" si="19"/>
        <v>9602.23</v>
      </c>
      <c r="I89" s="2088"/>
      <c r="J89" s="2087"/>
      <c r="K89" s="2087"/>
      <c r="L89" s="2087"/>
      <c r="M89" s="2087"/>
      <c r="N89" s="2087"/>
      <c r="O89" s="2087"/>
      <c r="R89" s="13"/>
    </row>
    <row r="90" spans="1:24">
      <c r="A90" s="30">
        <v>44063</v>
      </c>
      <c r="B90" s="12">
        <v>1720.56</v>
      </c>
      <c r="C90" s="13">
        <f t="shared" si="18"/>
        <v>6.8822400000000006E-2</v>
      </c>
      <c r="D90" s="761">
        <f>5506.69-2000</f>
        <v>3506.6899999999996</v>
      </c>
      <c r="E90" s="9">
        <v>2211</v>
      </c>
      <c r="F90" s="9">
        <f>154.33</f>
        <v>154.33000000000001</v>
      </c>
      <c r="G90" s="34">
        <f t="shared" si="19"/>
        <v>7592.58</v>
      </c>
      <c r="I90" s="2088"/>
      <c r="J90" s="2087"/>
      <c r="K90" s="2087"/>
      <c r="L90" s="2087"/>
      <c r="M90" s="2087"/>
      <c r="N90" s="2087"/>
      <c r="O90" s="2087"/>
    </row>
    <row r="91" spans="1:24">
      <c r="A91" s="30">
        <v>44094</v>
      </c>
      <c r="B91" s="12">
        <v>1720.56</v>
      </c>
      <c r="C91" s="13">
        <f t="shared" si="18"/>
        <v>6.8822400000000006E-2</v>
      </c>
      <c r="D91" s="761">
        <f>5506.69-2000</f>
        <v>3506.6899999999996</v>
      </c>
      <c r="E91" s="893">
        <v>2211</v>
      </c>
      <c r="F91" s="894">
        <f>149.2+196.06+29.63</f>
        <v>374.89</v>
      </c>
      <c r="G91" s="34">
        <f t="shared" si="19"/>
        <v>7813.14</v>
      </c>
      <c r="H91" s="24"/>
      <c r="I91" s="2088"/>
      <c r="J91" s="2087"/>
      <c r="K91" s="2087"/>
      <c r="L91" s="2087"/>
      <c r="M91" s="2087"/>
      <c r="N91" s="2087"/>
      <c r="O91" s="2087"/>
    </row>
    <row r="92" spans="1:24">
      <c r="A92" s="30">
        <v>44124</v>
      </c>
      <c r="B92" s="12">
        <f>1720.56+1108.8+2414.52</f>
        <v>5243.8799999999992</v>
      </c>
      <c r="C92" s="13">
        <f>B92*12/850000</f>
        <v>7.4031247058823524E-2</v>
      </c>
      <c r="D92" s="761">
        <f>5506.69+1000</f>
        <v>6506.69</v>
      </c>
      <c r="E92" s="893">
        <v>2211</v>
      </c>
      <c r="F92" s="894">
        <f>36.7+94.67+90.92+335.56+56.27+53.8</f>
        <v>667.92</v>
      </c>
      <c r="G92" s="34">
        <f t="shared" si="19"/>
        <v>14629.49</v>
      </c>
      <c r="H92" s="24"/>
      <c r="I92" s="2088"/>
      <c r="J92" s="2087"/>
      <c r="K92" s="2087"/>
      <c r="L92" s="2087"/>
      <c r="M92" s="2087"/>
      <c r="N92" s="2087"/>
      <c r="O92" s="2087"/>
    </row>
    <row r="93" spans="1:24">
      <c r="A93" s="30">
        <v>44155</v>
      </c>
      <c r="B93" s="12">
        <f>1720.56</f>
        <v>1720.56</v>
      </c>
      <c r="C93" s="13">
        <f>B93*12/850000</f>
        <v>2.4290258823529413E-2</v>
      </c>
      <c r="D93" s="761">
        <f>5506.69+1000</f>
        <v>6506.69</v>
      </c>
      <c r="E93" s="893">
        <v>1000</v>
      </c>
      <c r="F93" s="894">
        <v>23608</v>
      </c>
      <c r="G93" s="34">
        <f t="shared" si="19"/>
        <v>32835.25</v>
      </c>
      <c r="H93" s="24"/>
      <c r="J93" s="16"/>
      <c r="O93" s="16"/>
    </row>
    <row r="94" spans="1:24">
      <c r="A94" s="30">
        <v>44185</v>
      </c>
      <c r="B94" s="9">
        <v>0</v>
      </c>
      <c r="C94" s="9">
        <v>0</v>
      </c>
      <c r="D94" s="761">
        <v>6507</v>
      </c>
      <c r="E94" s="893">
        <v>2211</v>
      </c>
      <c r="F94" s="894">
        <v>42514</v>
      </c>
      <c r="G94" s="34">
        <f t="shared" si="19"/>
        <v>51232</v>
      </c>
      <c r="H94" s="24"/>
      <c r="S94" s="16"/>
    </row>
    <row r="95" spans="1:24">
      <c r="A95" s="3">
        <v>2020</v>
      </c>
      <c r="B95" s="34">
        <f>SUM(B83:B94)</f>
        <v>25890.600000000002</v>
      </c>
      <c r="C95" s="34"/>
      <c r="D95" s="34">
        <f>SUM(D83:D94)</f>
        <v>73466.830000000016</v>
      </c>
      <c r="E95" s="34">
        <f>SUM(E83:E94)</f>
        <v>27213</v>
      </c>
      <c r="F95" s="34">
        <f>SUM(F83:F94)</f>
        <v>72761.22</v>
      </c>
      <c r="G95" s="34">
        <f>SUM(G83:G94)</f>
        <v>199331.65</v>
      </c>
      <c r="H95" s="24"/>
      <c r="S95" s="16"/>
    </row>
    <row r="96" spans="1:24">
      <c r="E96" s="893"/>
      <c r="F96" s="894"/>
      <c r="H96" s="24"/>
      <c r="S96" s="16"/>
    </row>
    <row r="97" spans="1:24">
      <c r="E97" s="893"/>
      <c r="F97" s="894"/>
      <c r="H97" s="24"/>
      <c r="R97" s="9">
        <v>150</v>
      </c>
      <c r="S97" s="16" t="s">
        <v>6483</v>
      </c>
    </row>
    <row r="98" spans="1:24">
      <c r="B98" s="65">
        <f>AVERAGE(B83:B92)</f>
        <v>2417.0039999999999</v>
      </c>
      <c r="C98" s="13">
        <f>AVERAGE(C83,C84)</f>
        <v>0.114704</v>
      </c>
      <c r="D98" s="9" t="s">
        <v>6484</v>
      </c>
      <c r="F98" s="9" t="s">
        <v>4392</v>
      </c>
      <c r="G98" s="34">
        <f>AVERAGE(G83:G94)</f>
        <v>16610.970833333333</v>
      </c>
      <c r="H98" s="24"/>
      <c r="I98" s="460" t="s">
        <v>6485</v>
      </c>
      <c r="J98" s="894">
        <v>16458.64</v>
      </c>
      <c r="K98" s="16">
        <v>12400</v>
      </c>
      <c r="M98" s="69" t="s">
        <v>3592</v>
      </c>
      <c r="N98" s="16">
        <f>J98-K98</f>
        <v>4058.6399999999994</v>
      </c>
      <c r="O98" s="9" t="s">
        <v>135</v>
      </c>
      <c r="R98" s="9">
        <v>1600</v>
      </c>
      <c r="S98" s="16" t="s">
        <v>4878</v>
      </c>
    </row>
    <row r="99" spans="1:24">
      <c r="E99" s="893"/>
      <c r="F99" s="894"/>
      <c r="H99" s="24"/>
      <c r="I99" s="460" t="s">
        <v>6486</v>
      </c>
      <c r="J99" s="894">
        <v>16432.009999999998</v>
      </c>
      <c r="K99" s="16">
        <v>13000</v>
      </c>
      <c r="M99" s="69" t="s">
        <v>3592</v>
      </c>
      <c r="N99" s="16">
        <f>J99-K99</f>
        <v>3432.0099999999984</v>
      </c>
      <c r="O99" s="9" t="s">
        <v>135</v>
      </c>
      <c r="R99" s="9">
        <f>R97*R98</f>
        <v>240000</v>
      </c>
      <c r="S99" s="16" t="s">
        <v>6487</v>
      </c>
    </row>
    <row r="100" spans="1:24">
      <c r="E100" s="893"/>
      <c r="F100" s="894"/>
      <c r="H100" s="24"/>
      <c r="I100" s="460" t="s">
        <v>6488</v>
      </c>
      <c r="J100" s="894">
        <v>16897</v>
      </c>
      <c r="K100" s="16">
        <v>10000</v>
      </c>
      <c r="M100" s="69" t="s">
        <v>3592</v>
      </c>
      <c r="N100" s="16">
        <f>J100-K100</f>
        <v>6897</v>
      </c>
      <c r="O100" s="9" t="s">
        <v>135</v>
      </c>
      <c r="S100" s="16"/>
    </row>
    <row r="101" spans="1:24">
      <c r="E101" s="893"/>
      <c r="F101" s="894"/>
      <c r="H101" s="24"/>
      <c r="I101" s="460" t="s">
        <v>6489</v>
      </c>
      <c r="J101" s="894">
        <v>14631</v>
      </c>
      <c r="K101" s="16">
        <v>15745</v>
      </c>
      <c r="L101" s="16"/>
      <c r="M101" s="16">
        <v>1729</v>
      </c>
      <c r="N101" s="16">
        <f t="shared" ref="N101:N109" si="20">J101-K101-M101</f>
        <v>-2843</v>
      </c>
      <c r="O101" s="9" t="s">
        <v>135</v>
      </c>
    </row>
    <row r="102" spans="1:24">
      <c r="E102" s="893"/>
      <c r="F102" s="894"/>
      <c r="H102" s="24"/>
      <c r="I102" s="460" t="s">
        <v>6490</v>
      </c>
      <c r="J102" s="894">
        <v>19250</v>
      </c>
      <c r="K102" s="16">
        <v>12000</v>
      </c>
      <c r="L102" s="16"/>
      <c r="M102" s="16">
        <v>1171</v>
      </c>
      <c r="N102" s="16">
        <f t="shared" si="20"/>
        <v>6079</v>
      </c>
      <c r="O102" s="9" t="s">
        <v>135</v>
      </c>
    </row>
    <row r="103" spans="1:24">
      <c r="E103" s="893"/>
      <c r="F103" s="894"/>
      <c r="H103" s="24"/>
      <c r="I103" s="460" t="s">
        <v>6491</v>
      </c>
      <c r="J103" s="894">
        <v>17109</v>
      </c>
      <c r="K103" s="16">
        <v>14107</v>
      </c>
      <c r="L103" s="16"/>
      <c r="M103" s="16">
        <v>841</v>
      </c>
      <c r="N103" s="16">
        <f t="shared" si="20"/>
        <v>2161</v>
      </c>
      <c r="O103" s="9" t="s">
        <v>135</v>
      </c>
    </row>
    <row r="104" spans="1:24">
      <c r="B104" s="16"/>
      <c r="C104" s="896"/>
      <c r="D104" s="896">
        <v>0.06</v>
      </c>
      <c r="E104" s="893"/>
      <c r="F104" s="894"/>
      <c r="H104" s="24"/>
      <c r="I104" s="460" t="s">
        <v>6492</v>
      </c>
      <c r="J104" s="894">
        <v>19733</v>
      </c>
      <c r="K104" s="16">
        <v>11000</v>
      </c>
      <c r="L104" s="16"/>
      <c r="M104" s="16">
        <v>6448</v>
      </c>
      <c r="N104" s="16">
        <f t="shared" si="20"/>
        <v>2285</v>
      </c>
    </row>
    <row r="105" spans="1:24">
      <c r="A105" s="2088" t="s">
        <v>6493</v>
      </c>
      <c r="B105" s="2087"/>
      <c r="C105" s="893">
        <v>28676</v>
      </c>
      <c r="D105" s="895">
        <f>D104*C105</f>
        <v>1720.56</v>
      </c>
      <c r="E105" s="893"/>
      <c r="F105" s="894"/>
      <c r="H105" s="24"/>
      <c r="I105" s="460" t="s">
        <v>6494</v>
      </c>
      <c r="J105" s="894">
        <v>15989</v>
      </c>
      <c r="K105" s="16">
        <v>11000</v>
      </c>
      <c r="L105" s="16"/>
      <c r="M105" s="16">
        <v>2566</v>
      </c>
      <c r="N105" s="16">
        <f t="shared" si="20"/>
        <v>2423</v>
      </c>
    </row>
    <row r="106" spans="1:24">
      <c r="A106" s="2088" t="s">
        <v>6495</v>
      </c>
      <c r="B106" s="2087"/>
      <c r="C106" s="893">
        <v>18480</v>
      </c>
      <c r="D106" s="895">
        <f>D104*C106</f>
        <v>1108.8</v>
      </c>
      <c r="E106" s="893"/>
      <c r="F106" s="894"/>
      <c r="H106" s="24"/>
      <c r="I106" s="460" t="s">
        <v>6496</v>
      </c>
      <c r="J106" s="894">
        <v>15219</v>
      </c>
      <c r="K106" s="16">
        <v>11000</v>
      </c>
      <c r="L106" s="16"/>
      <c r="M106" s="16">
        <v>2812</v>
      </c>
      <c r="N106" s="16">
        <f t="shared" si="20"/>
        <v>1407</v>
      </c>
      <c r="O106" s="9" t="s">
        <v>6497</v>
      </c>
      <c r="P106" s="9">
        <f>AVERAGE(K98:K109)</f>
        <v>11271</v>
      </c>
      <c r="S106" s="9" t="s">
        <v>6498</v>
      </c>
      <c r="T106" s="9" t="s">
        <v>6499</v>
      </c>
      <c r="U106" s="9" t="s">
        <v>6500</v>
      </c>
    </row>
    <row r="107" spans="1:24">
      <c r="A107" s="2088" t="s">
        <v>6501</v>
      </c>
      <c r="B107" s="2087"/>
      <c r="C107" s="893">
        <v>40242</v>
      </c>
      <c r="D107" s="895">
        <f>D104*C107</f>
        <v>2414.52</v>
      </c>
      <c r="E107" s="893"/>
      <c r="F107" s="894"/>
      <c r="H107" s="24"/>
      <c r="I107" s="460" t="s">
        <v>6502</v>
      </c>
      <c r="J107" s="894">
        <v>17863</v>
      </c>
      <c r="K107" s="16">
        <v>10000</v>
      </c>
      <c r="L107" s="16"/>
      <c r="M107" s="16">
        <v>1325</v>
      </c>
      <c r="N107" s="16">
        <f t="shared" si="20"/>
        <v>6538</v>
      </c>
      <c r="R107" s="9" t="s">
        <v>6503</v>
      </c>
      <c r="S107" s="9">
        <v>26.05</v>
      </c>
      <c r="T107" s="9">
        <v>13.6</v>
      </c>
      <c r="U107" s="9">
        <v>31.59</v>
      </c>
    </row>
    <row r="108" spans="1:24">
      <c r="A108" s="2088"/>
      <c r="B108" s="2087"/>
      <c r="C108" s="893"/>
      <c r="D108" s="895"/>
      <c r="E108" s="893"/>
      <c r="F108" s="894"/>
      <c r="H108" s="24"/>
      <c r="I108" s="460" t="s">
        <v>6504</v>
      </c>
      <c r="J108" s="16">
        <v>15351</v>
      </c>
      <c r="K108" s="16">
        <v>5000</v>
      </c>
      <c r="L108" s="16"/>
      <c r="M108" s="16">
        <v>3137</v>
      </c>
      <c r="N108" s="16">
        <f t="shared" si="20"/>
        <v>7214</v>
      </c>
      <c r="O108" s="9" t="s">
        <v>6505</v>
      </c>
      <c r="P108" s="9" t="s">
        <v>6506</v>
      </c>
      <c r="R108" s="9" t="s">
        <v>6507</v>
      </c>
      <c r="S108" s="9">
        <v>0.75</v>
      </c>
      <c r="T108" s="9">
        <v>0.25</v>
      </c>
      <c r="U108" s="9">
        <v>0.61850000000000005</v>
      </c>
      <c r="W108" s="9">
        <v>0.25</v>
      </c>
      <c r="X108" s="9">
        <v>0.54</v>
      </c>
    </row>
    <row r="109" spans="1:24">
      <c r="A109" s="2088" t="s">
        <v>6508</v>
      </c>
      <c r="B109" s="2087"/>
      <c r="C109" s="893">
        <f>SUM(C105:C107)</f>
        <v>87398</v>
      </c>
      <c r="D109" s="895">
        <f>SUM(D105:D107)</f>
        <v>5243.8799999999992</v>
      </c>
      <c r="E109" s="893"/>
      <c r="F109" s="894"/>
      <c r="H109" s="24"/>
      <c r="I109" s="460" t="s">
        <v>6509</v>
      </c>
      <c r="J109" s="894">
        <v>15782</v>
      </c>
      <c r="K109" s="16">
        <v>10000</v>
      </c>
      <c r="L109" s="16"/>
      <c r="M109" s="16">
        <v>418</v>
      </c>
      <c r="N109" s="16">
        <f t="shared" si="20"/>
        <v>5364</v>
      </c>
      <c r="O109" s="711">
        <f>SUM(K98:K109)</f>
        <v>135252</v>
      </c>
      <c r="P109" s="711">
        <f>SUM(J98:J109)</f>
        <v>200714.65</v>
      </c>
    </row>
    <row r="110" spans="1:24">
      <c r="B110" s="16"/>
      <c r="C110" s="896"/>
      <c r="D110" s="896"/>
      <c r="E110" s="893"/>
      <c r="F110" s="894"/>
      <c r="H110" s="24"/>
      <c r="I110" s="918" t="s">
        <v>6510</v>
      </c>
      <c r="J110" s="16">
        <v>17796</v>
      </c>
      <c r="K110" s="16">
        <v>12500</v>
      </c>
      <c r="L110" s="16">
        <v>561.29</v>
      </c>
      <c r="M110" s="16">
        <f t="shared" ref="M110:M117" si="21">J110-K110-N110</f>
        <v>-1174</v>
      </c>
      <c r="N110" s="16">
        <v>6470</v>
      </c>
      <c r="O110" s="711"/>
      <c r="R110" s="9" t="s">
        <v>6511</v>
      </c>
      <c r="S110" s="12">
        <f>S108/S107*100</f>
        <v>2.8790786948176583</v>
      </c>
      <c r="T110" s="12">
        <f>T108/T107*100</f>
        <v>1.8382352941176472</v>
      </c>
      <c r="U110" s="9">
        <f>U108/U107*100</f>
        <v>1.9578980690091803</v>
      </c>
    </row>
    <row r="111" spans="1:24">
      <c r="A111" s="2088" t="s">
        <v>5024</v>
      </c>
      <c r="B111" s="2087"/>
      <c r="C111" s="896"/>
      <c r="D111" s="895">
        <v>5506</v>
      </c>
      <c r="E111" s="893"/>
      <c r="F111" s="894"/>
      <c r="H111" s="24"/>
      <c r="I111" s="460" t="s">
        <v>6512</v>
      </c>
      <c r="J111" s="894">
        <v>13106</v>
      </c>
      <c r="K111" s="16">
        <v>8600</v>
      </c>
      <c r="L111" s="9">
        <v>548.88</v>
      </c>
      <c r="M111" s="16">
        <f t="shared" si="21"/>
        <v>3641</v>
      </c>
      <c r="N111" s="16">
        <v>865</v>
      </c>
      <c r="R111" s="9" t="s">
        <v>5648</v>
      </c>
      <c r="S111" s="16">
        <v>100000</v>
      </c>
      <c r="T111" s="16">
        <v>100000</v>
      </c>
      <c r="U111" s="16">
        <v>100000</v>
      </c>
    </row>
    <row r="112" spans="1:24">
      <c r="A112" s="3" t="s">
        <v>55</v>
      </c>
      <c r="B112" s="16"/>
      <c r="C112" s="896"/>
      <c r="D112" s="895">
        <v>1500</v>
      </c>
      <c r="E112" s="893"/>
      <c r="F112" s="894"/>
      <c r="H112" s="24"/>
      <c r="I112" s="460" t="s">
        <v>6513</v>
      </c>
      <c r="J112" s="16">
        <v>21129</v>
      </c>
      <c r="K112" s="16">
        <v>11000</v>
      </c>
      <c r="L112" s="9">
        <v>516</v>
      </c>
      <c r="M112" s="16">
        <f t="shared" si="21"/>
        <v>8753</v>
      </c>
      <c r="N112" s="9">
        <v>1376</v>
      </c>
      <c r="P112" s="16"/>
      <c r="R112" s="9" t="s">
        <v>6514</v>
      </c>
      <c r="S112" s="16">
        <f>S111/S107</f>
        <v>3838.7715930902109</v>
      </c>
      <c r="T112" s="16">
        <f>T111/T107</f>
        <v>7352.9411764705883</v>
      </c>
      <c r="U112" s="16">
        <f>U111/U107</f>
        <v>3165.5587211142765</v>
      </c>
    </row>
    <row r="113" spans="1:21">
      <c r="A113" s="9" t="s">
        <v>262</v>
      </c>
      <c r="C113" s="896"/>
      <c r="D113" s="895">
        <v>1000</v>
      </c>
      <c r="E113" s="893"/>
      <c r="F113" s="894"/>
      <c r="H113" s="24"/>
      <c r="I113" s="460" t="s">
        <v>6515</v>
      </c>
      <c r="J113" s="894">
        <v>14974</v>
      </c>
      <c r="K113" s="16">
        <v>17000</v>
      </c>
      <c r="L113" s="9">
        <v>519.82000000000005</v>
      </c>
      <c r="M113" s="16">
        <f t="shared" si="21"/>
        <v>-7784</v>
      </c>
      <c r="N113" s="9">
        <v>5758</v>
      </c>
      <c r="P113" s="16"/>
      <c r="R113" s="9" t="s">
        <v>6516</v>
      </c>
      <c r="S113" s="16">
        <f>S112*S110/3</f>
        <v>3684.0418359790892</v>
      </c>
      <c r="T113" s="16">
        <f>T112*T110/3</f>
        <v>4505.4786620530567</v>
      </c>
      <c r="U113" s="16">
        <f>U112*U110/3</f>
        <v>2065.9471024682707</v>
      </c>
    </row>
    <row r="114" spans="1:21">
      <c r="C114" s="896"/>
      <c r="D114" s="896"/>
      <c r="E114" s="893"/>
      <c r="F114" s="894"/>
      <c r="H114" s="24"/>
      <c r="I114" s="460" t="s">
        <v>6517</v>
      </c>
      <c r="J114" s="894">
        <v>14316</v>
      </c>
      <c r="K114" s="16">
        <v>12000</v>
      </c>
      <c r="L114" s="9">
        <v>551.28</v>
      </c>
      <c r="M114" s="16">
        <f t="shared" si="21"/>
        <v>303</v>
      </c>
      <c r="N114" s="9">
        <v>2013</v>
      </c>
      <c r="P114" s="16"/>
      <c r="R114" s="9" t="s">
        <v>6518</v>
      </c>
      <c r="S114" s="36">
        <f>S113*12/S111</f>
        <v>0.4420850203174907</v>
      </c>
      <c r="T114" s="36">
        <f>T113*12/T111</f>
        <v>0.54065743944636679</v>
      </c>
      <c r="U114" s="36">
        <f>U113*12/U111</f>
        <v>0.2479136522961925</v>
      </c>
    </row>
    <row r="115" spans="1:21">
      <c r="C115" s="896"/>
      <c r="D115" s="896"/>
      <c r="E115" s="893"/>
      <c r="F115" s="894"/>
      <c r="H115" s="24"/>
      <c r="I115" s="460" t="s">
        <v>6519</v>
      </c>
      <c r="J115" s="894">
        <v>19267</v>
      </c>
      <c r="K115" s="16">
        <v>11000</v>
      </c>
      <c r="L115" s="9">
        <v>554.55999999999995</v>
      </c>
      <c r="M115" s="16">
        <f t="shared" si="21"/>
        <v>6550</v>
      </c>
      <c r="N115" s="9">
        <v>1717</v>
      </c>
      <c r="P115" s="16"/>
    </row>
    <row r="116" spans="1:21">
      <c r="A116" s="2086" t="s">
        <v>6372</v>
      </c>
      <c r="B116" s="2087"/>
      <c r="C116" s="2087"/>
      <c r="D116" s="895"/>
      <c r="E116" s="893"/>
      <c r="F116" s="894" t="s">
        <v>135</v>
      </c>
      <c r="H116" s="24"/>
      <c r="I116" s="460" t="s">
        <v>6520</v>
      </c>
      <c r="J116" s="894">
        <v>13957</v>
      </c>
      <c r="K116" s="16">
        <v>10000</v>
      </c>
      <c r="L116" s="9">
        <v>517.54</v>
      </c>
      <c r="M116" s="16">
        <f t="shared" si="21"/>
        <v>3402</v>
      </c>
      <c r="N116" s="9">
        <v>555</v>
      </c>
      <c r="P116" s="16"/>
    </row>
    <row r="117" spans="1:21">
      <c r="B117" s="16"/>
      <c r="C117" s="896"/>
      <c r="D117" s="895"/>
      <c r="E117" s="893"/>
      <c r="F117" s="894"/>
      <c r="H117" s="24"/>
      <c r="I117" s="460" t="s">
        <v>6521</v>
      </c>
      <c r="J117" s="894">
        <v>17207</v>
      </c>
      <c r="K117" s="16">
        <v>10000</v>
      </c>
      <c r="L117" s="9">
        <v>582.98</v>
      </c>
      <c r="M117" s="16">
        <f t="shared" si="21"/>
        <v>7207</v>
      </c>
      <c r="P117" s="16"/>
    </row>
    <row r="118" spans="1:21">
      <c r="A118" s="9" t="s">
        <v>57</v>
      </c>
      <c r="B118" s="16">
        <v>200</v>
      </c>
      <c r="C118" s="896"/>
      <c r="D118" s="896"/>
      <c r="E118" s="893"/>
      <c r="F118" s="894"/>
      <c r="H118" s="24"/>
      <c r="I118" s="460" t="s">
        <v>6522</v>
      </c>
      <c r="J118" s="894">
        <v>12962</v>
      </c>
      <c r="K118" s="16">
        <v>11000</v>
      </c>
      <c r="L118" s="9">
        <v>437.14</v>
      </c>
      <c r="P118" s="16"/>
    </row>
    <row r="119" spans="1:21">
      <c r="B119" s="16"/>
      <c r="C119" s="896"/>
      <c r="D119" s="896"/>
      <c r="E119" s="893"/>
      <c r="F119" s="894"/>
      <c r="H119" s="24"/>
      <c r="I119" s="460" t="s">
        <v>6523</v>
      </c>
      <c r="J119" s="894">
        <v>16324</v>
      </c>
      <c r="K119" s="16">
        <v>10000</v>
      </c>
      <c r="L119" s="9">
        <v>559.38</v>
      </c>
      <c r="P119" s="16"/>
    </row>
    <row r="120" spans="1:21">
      <c r="A120" s="9" t="s">
        <v>6374</v>
      </c>
      <c r="B120" s="897">
        <v>600</v>
      </c>
      <c r="I120" s="460" t="s">
        <v>6524</v>
      </c>
      <c r="J120" s="894">
        <v>15441</v>
      </c>
      <c r="K120" s="16">
        <v>10000</v>
      </c>
      <c r="L120" s="9">
        <v>510.76</v>
      </c>
      <c r="O120" s="22" t="s">
        <v>6525</v>
      </c>
      <c r="P120" s="16">
        <f>AVERAGE(K110:K121)</f>
        <v>11008.333333333334</v>
      </c>
    </row>
    <row r="121" spans="1:21">
      <c r="A121" s="9" t="s">
        <v>6375</v>
      </c>
      <c r="B121" s="897">
        <v>70</v>
      </c>
      <c r="I121" s="460" t="s">
        <v>6526</v>
      </c>
      <c r="J121" s="894">
        <v>14270</v>
      </c>
      <c r="K121" s="16">
        <v>9000</v>
      </c>
      <c r="L121" s="9">
        <v>476.13</v>
      </c>
      <c r="O121" s="9" t="s">
        <v>6527</v>
      </c>
      <c r="P121" s="16" t="s">
        <v>6528</v>
      </c>
    </row>
    <row r="122" spans="1:21">
      <c r="A122" s="22" t="s">
        <v>6376</v>
      </c>
      <c r="B122" s="897">
        <v>283</v>
      </c>
      <c r="D122" s="16">
        <f>SUM(B118:B122)</f>
        <v>1153</v>
      </c>
      <c r="I122" s="460" t="s">
        <v>6529</v>
      </c>
      <c r="J122" s="894">
        <v>14352</v>
      </c>
      <c r="K122" s="16">
        <v>10000</v>
      </c>
      <c r="L122" s="9">
        <v>594.08000000000004</v>
      </c>
      <c r="O122" s="711">
        <f>SUM(K110:K121)</f>
        <v>132100</v>
      </c>
      <c r="P122" s="711">
        <f>SUM(J110:J121)</f>
        <v>190749</v>
      </c>
    </row>
    <row r="123" spans="1:21">
      <c r="A123" s="9"/>
      <c r="B123" s="711"/>
      <c r="I123" s="460" t="s">
        <v>6530</v>
      </c>
      <c r="J123" s="894">
        <v>15103</v>
      </c>
      <c r="K123" s="16">
        <v>9000</v>
      </c>
      <c r="L123" s="9">
        <v>594.07000000000005</v>
      </c>
      <c r="P123" s="16"/>
    </row>
    <row r="124" spans="1:21">
      <c r="A124" s="9" t="s">
        <v>67</v>
      </c>
      <c r="B124" s="711">
        <f>SUM(B117:B123)</f>
        <v>1153</v>
      </c>
      <c r="I124" s="460" t="s">
        <v>6531</v>
      </c>
      <c r="J124" s="894">
        <v>17603</v>
      </c>
      <c r="K124" s="16">
        <v>10000</v>
      </c>
      <c r="L124" s="9">
        <v>559.38</v>
      </c>
      <c r="P124" s="16"/>
    </row>
    <row r="125" spans="1:21">
      <c r="A125" s="9"/>
      <c r="B125" s="578"/>
      <c r="I125" s="460" t="s">
        <v>6532</v>
      </c>
      <c r="J125" s="894">
        <v>16626</v>
      </c>
      <c r="K125" s="16">
        <v>8000</v>
      </c>
      <c r="L125" s="9">
        <v>575.52</v>
      </c>
      <c r="P125" s="16"/>
    </row>
    <row r="126" spans="1:21">
      <c r="A126" s="9" t="s">
        <v>6533</v>
      </c>
      <c r="B126" s="711">
        <v>1222</v>
      </c>
      <c r="C126" s="9" t="s">
        <v>6534</v>
      </c>
      <c r="D126" s="9">
        <v>2024</v>
      </c>
      <c r="E126" s="9" t="s">
        <v>135</v>
      </c>
      <c r="F126" s="9" t="s">
        <v>135</v>
      </c>
      <c r="I126" s="460" t="s">
        <v>6535</v>
      </c>
      <c r="J126" s="894">
        <v>17449</v>
      </c>
      <c r="K126" s="16">
        <v>10000</v>
      </c>
      <c r="L126" s="9">
        <v>540.34</v>
      </c>
      <c r="P126" s="16"/>
    </row>
    <row r="127" spans="1:21">
      <c r="A127" s="9"/>
      <c r="B127" s="9"/>
      <c r="C127" s="9"/>
      <c r="D127" s="9"/>
      <c r="E127" s="9" t="s">
        <v>135</v>
      </c>
      <c r="F127" s="9" t="s">
        <v>135</v>
      </c>
      <c r="I127" s="460" t="s">
        <v>6536</v>
      </c>
      <c r="J127" s="894">
        <v>17007</v>
      </c>
      <c r="K127" s="16">
        <v>11000</v>
      </c>
      <c r="L127" s="9">
        <v>463.03</v>
      </c>
      <c r="P127" s="16"/>
    </row>
    <row r="128" spans="1:21">
      <c r="A128" s="9" t="s">
        <v>47</v>
      </c>
      <c r="B128" s="897">
        <v>7767</v>
      </c>
      <c r="C128" s="9"/>
      <c r="D128" s="9"/>
      <c r="E128" s="9" t="s">
        <v>135</v>
      </c>
      <c r="F128" s="9" t="s">
        <v>135</v>
      </c>
      <c r="I128" s="460" t="s">
        <v>6537</v>
      </c>
      <c r="J128" s="894">
        <v>12777</v>
      </c>
      <c r="K128" s="16">
        <v>11000</v>
      </c>
      <c r="L128" s="9">
        <v>500</v>
      </c>
      <c r="P128" s="16"/>
    </row>
    <row r="129" spans="1:16">
      <c r="A129" s="9"/>
      <c r="B129" s="711">
        <f>B124+B128</f>
        <v>8920</v>
      </c>
      <c r="C129" s="9"/>
      <c r="D129" s="9"/>
      <c r="E129" s="9" t="s">
        <v>135</v>
      </c>
      <c r="F129" s="9" t="s">
        <v>135</v>
      </c>
      <c r="I129" s="460" t="s">
        <v>6538</v>
      </c>
      <c r="J129" s="894">
        <v>9399</v>
      </c>
      <c r="K129" s="16">
        <v>9000</v>
      </c>
      <c r="L129" s="9">
        <v>517.27</v>
      </c>
      <c r="O129" s="9" t="s">
        <v>6539</v>
      </c>
      <c r="P129" s="16">
        <f>AVERAGE(K122:K133)</f>
        <v>10083.333333333334</v>
      </c>
    </row>
    <row r="130" spans="1:16">
      <c r="A130" s="9" t="s">
        <v>115</v>
      </c>
      <c r="B130" s="897">
        <f>B129*12</f>
        <v>107040</v>
      </c>
      <c r="C130" s="9"/>
      <c r="D130" s="9"/>
      <c r="E130" s="9" t="s">
        <v>135</v>
      </c>
      <c r="F130" s="9" t="s">
        <v>135</v>
      </c>
      <c r="I130" s="460" t="s">
        <v>6540</v>
      </c>
      <c r="J130" s="894">
        <v>18851</v>
      </c>
      <c r="K130" s="16">
        <v>11000</v>
      </c>
      <c r="L130" s="9">
        <v>517</v>
      </c>
      <c r="O130" s="9" t="s">
        <v>6541</v>
      </c>
      <c r="P130" s="16"/>
    </row>
    <row r="131" spans="1:16">
      <c r="A131" s="9"/>
      <c r="B131" s="578"/>
      <c r="C131" s="9"/>
      <c r="D131" s="9"/>
      <c r="E131" s="9" t="s">
        <v>135</v>
      </c>
      <c r="F131" s="9" t="s">
        <v>135</v>
      </c>
      <c r="I131" s="460" t="s">
        <v>6542</v>
      </c>
      <c r="J131" s="894">
        <v>16467</v>
      </c>
      <c r="K131" s="16">
        <v>10000</v>
      </c>
      <c r="L131" s="9">
        <v>542.16999999999996</v>
      </c>
      <c r="O131" s="711">
        <f>SUM(L122:L133)</f>
        <v>6448.6100000000006</v>
      </c>
      <c r="P131" s="16"/>
    </row>
    <row r="132" spans="1:16">
      <c r="A132" s="2105" t="s">
        <v>6543</v>
      </c>
      <c r="B132" s="2087"/>
      <c r="C132" s="2087"/>
      <c r="D132" s="9">
        <f>B128*2</f>
        <v>15534</v>
      </c>
      <c r="I132" s="460" t="s">
        <v>6544</v>
      </c>
      <c r="J132" s="894">
        <v>14557</v>
      </c>
      <c r="K132" s="16">
        <v>10000</v>
      </c>
      <c r="L132" s="9">
        <v>507.16</v>
      </c>
      <c r="P132" s="16"/>
    </row>
    <row r="133" spans="1:16">
      <c r="B133" s="578"/>
      <c r="C133" s="3"/>
      <c r="D133" s="16">
        <f>D122+D132</f>
        <v>16687</v>
      </c>
      <c r="I133" s="460" t="s">
        <v>6545</v>
      </c>
      <c r="J133" s="894">
        <v>15663</v>
      </c>
      <c r="K133" s="16">
        <v>12000</v>
      </c>
      <c r="L133" s="9">
        <v>538.59</v>
      </c>
      <c r="O133" s="9" t="s">
        <v>6546</v>
      </c>
      <c r="P133" s="16" t="s">
        <v>6547</v>
      </c>
    </row>
    <row r="134" spans="1:16">
      <c r="A134" s="30"/>
      <c r="B134" s="894"/>
      <c r="C134" s="894"/>
      <c r="D134" s="16">
        <f>D133*12</f>
        <v>200244</v>
      </c>
      <c r="F134" s="894"/>
      <c r="I134" s="460" t="s">
        <v>6548</v>
      </c>
      <c r="J134" s="16">
        <v>14970</v>
      </c>
      <c r="K134" s="16">
        <v>10000</v>
      </c>
      <c r="L134" s="9">
        <v>539</v>
      </c>
      <c r="O134" s="711">
        <f>SUM(K122:K133)</f>
        <v>121000</v>
      </c>
      <c r="P134" s="711">
        <f>SUM(J122:J133)</f>
        <v>185854</v>
      </c>
    </row>
    <row r="135" spans="1:16">
      <c r="A135" s="30"/>
      <c r="B135" s="894"/>
      <c r="C135" s="894"/>
      <c r="D135" s="16"/>
      <c r="F135" s="894"/>
      <c r="I135" s="460" t="s">
        <v>6549</v>
      </c>
      <c r="J135" s="16">
        <v>17548</v>
      </c>
      <c r="K135" s="16">
        <v>11000</v>
      </c>
      <c r="L135" s="9">
        <v>602</v>
      </c>
      <c r="P135" s="16"/>
    </row>
    <row r="136" spans="1:16">
      <c r="A136" s="30"/>
      <c r="B136" s="916"/>
      <c r="C136" s="916"/>
      <c r="D136" s="16"/>
      <c r="F136" s="916"/>
      <c r="I136" s="460" t="s">
        <v>6550</v>
      </c>
      <c r="J136" s="16">
        <v>15109</v>
      </c>
      <c r="K136" s="16">
        <v>11000</v>
      </c>
      <c r="L136" s="9">
        <v>602</v>
      </c>
      <c r="P136" s="16"/>
    </row>
    <row r="137" spans="1:16">
      <c r="A137" s="30"/>
      <c r="D137" s="16"/>
      <c r="I137" s="460" t="s">
        <v>6551</v>
      </c>
      <c r="J137" s="16">
        <v>13155</v>
      </c>
      <c r="K137" s="16">
        <v>12000</v>
      </c>
      <c r="L137" s="9">
        <v>522</v>
      </c>
      <c r="P137" s="16"/>
    </row>
    <row r="138" spans="1:16">
      <c r="A138" s="30"/>
      <c r="B138" s="894"/>
      <c r="C138" s="894"/>
      <c r="D138" s="16"/>
      <c r="F138" s="894"/>
      <c r="I138" s="460" t="s">
        <v>6552</v>
      </c>
      <c r="J138" s="16">
        <v>11338</v>
      </c>
      <c r="K138" s="16">
        <v>10000</v>
      </c>
      <c r="L138" s="9">
        <v>800</v>
      </c>
      <c r="P138" s="16"/>
    </row>
    <row r="139" spans="1:16">
      <c r="A139" s="30"/>
      <c r="B139" s="894"/>
      <c r="C139" s="894"/>
      <c r="D139" s="16"/>
      <c r="F139" s="894"/>
      <c r="I139" s="460" t="s">
        <v>6553</v>
      </c>
      <c r="J139" s="16">
        <v>17246</v>
      </c>
      <c r="K139" s="16">
        <v>7000</v>
      </c>
      <c r="L139" s="9">
        <v>500</v>
      </c>
      <c r="P139" s="16"/>
    </row>
    <row r="140" spans="1:16">
      <c r="A140" s="30"/>
      <c r="D140" s="16"/>
      <c r="I140" s="460" t="s">
        <v>6554</v>
      </c>
      <c r="J140" s="16">
        <v>13193</v>
      </c>
      <c r="K140" s="16">
        <v>6000</v>
      </c>
      <c r="L140" s="9">
        <v>633</v>
      </c>
    </row>
    <row r="141" spans="1:16">
      <c r="A141" s="30"/>
      <c r="B141" s="83"/>
      <c r="C141" s="83"/>
      <c r="D141" s="16"/>
      <c r="F141" s="83"/>
      <c r="I141" s="460" t="s">
        <v>6555</v>
      </c>
      <c r="J141" s="16">
        <v>14804</v>
      </c>
      <c r="K141" s="16">
        <v>10000</v>
      </c>
      <c r="L141" s="9">
        <v>500</v>
      </c>
    </row>
    <row r="142" spans="1:16">
      <c r="A142" s="30"/>
      <c r="B142" s="83"/>
      <c r="C142" s="83"/>
      <c r="D142" s="16"/>
      <c r="F142" s="83"/>
      <c r="I142" s="460" t="s">
        <v>6556</v>
      </c>
      <c r="J142" s="16">
        <f>1235+4185.5+1417+2497.22+2400+607+1710+1284</f>
        <v>15335.72</v>
      </c>
      <c r="K142" s="16">
        <v>9000</v>
      </c>
      <c r="L142" s="9">
        <v>523</v>
      </c>
    </row>
    <row r="143" spans="1:16">
      <c r="A143" s="30"/>
      <c r="B143" s="917"/>
      <c r="C143" s="917"/>
      <c r="D143" s="16"/>
      <c r="F143" s="917"/>
      <c r="I143" s="460" t="s">
        <v>6557</v>
      </c>
      <c r="J143" s="16">
        <v>14161.22</v>
      </c>
      <c r="K143" s="16">
        <v>10000</v>
      </c>
      <c r="L143" s="9">
        <v>520</v>
      </c>
      <c r="M143" s="9" t="s">
        <v>6558</v>
      </c>
      <c r="N143" s="16">
        <f>AVERAGE(K134:K145)</f>
        <v>9250</v>
      </c>
    </row>
    <row r="144" spans="1:16">
      <c r="A144" s="30"/>
      <c r="B144" s="83"/>
      <c r="C144" s="83"/>
      <c r="D144" s="16"/>
      <c r="E144" s="9"/>
      <c r="F144" s="83"/>
      <c r="I144" s="460" t="s">
        <v>6559</v>
      </c>
      <c r="J144" s="16">
        <v>10505.22</v>
      </c>
      <c r="K144" s="9">
        <v>6000</v>
      </c>
      <c r="L144" s="9">
        <v>500</v>
      </c>
    </row>
    <row r="145" spans="1:12">
      <c r="A145" s="30"/>
      <c r="B145" s="83"/>
      <c r="C145" s="83"/>
      <c r="D145" s="16"/>
      <c r="F145" s="83"/>
      <c r="I145" s="460" t="s">
        <v>6560</v>
      </c>
      <c r="J145" s="16">
        <v>14209.22</v>
      </c>
      <c r="K145" s="9">
        <v>9000</v>
      </c>
      <c r="L145" s="9">
        <v>500</v>
      </c>
    </row>
    <row r="147" spans="1:12">
      <c r="A147" s="3"/>
      <c r="B147" s="3"/>
      <c r="C147" s="3"/>
    </row>
    <row r="155" spans="1:12">
      <c r="J155" s="894"/>
      <c r="K155" s="16"/>
    </row>
    <row r="156" spans="1:12">
      <c r="J156" s="894"/>
      <c r="K156" s="16"/>
    </row>
    <row r="157" spans="1:12">
      <c r="J157" s="894"/>
      <c r="K157" s="16"/>
    </row>
    <row r="158" spans="1:12">
      <c r="J158" s="894"/>
      <c r="K158" s="16"/>
    </row>
    <row r="159" spans="1:12">
      <c r="J159" s="894"/>
      <c r="K159" s="16"/>
    </row>
    <row r="160" spans="1:12">
      <c r="J160" s="894"/>
      <c r="K160" s="16"/>
    </row>
    <row r="161" spans="10:11">
      <c r="J161" s="894"/>
      <c r="K161" s="16"/>
    </row>
    <row r="162" spans="10:11">
      <c r="J162" s="894"/>
      <c r="K162" s="16"/>
    </row>
    <row r="163" spans="10:11">
      <c r="J163" s="894"/>
      <c r="K163" s="16"/>
    </row>
    <row r="164" spans="10:11">
      <c r="J164" s="894"/>
      <c r="K164" s="16"/>
    </row>
    <row r="165" spans="10:11">
      <c r="J165" s="894"/>
      <c r="K165" s="16"/>
    </row>
    <row r="166" spans="10:11">
      <c r="J166" s="894"/>
      <c r="K166" s="16"/>
    </row>
    <row r="167" spans="10:11">
      <c r="J167" s="894"/>
      <c r="K167" s="16"/>
    </row>
    <row r="168" spans="10:11">
      <c r="J168" s="894"/>
      <c r="K168" s="16"/>
    </row>
    <row r="169" spans="10:11">
      <c r="J169" s="894"/>
      <c r="K169" s="16"/>
    </row>
    <row r="170" spans="10:11">
      <c r="J170" s="894"/>
      <c r="K170" s="16"/>
    </row>
  </sheetData>
  <mergeCells count="29">
    <mergeCell ref="A116:C116"/>
    <mergeCell ref="A132:C132"/>
    <mergeCell ref="I86:O86"/>
    <mergeCell ref="I87:O87"/>
    <mergeCell ref="I88:O88"/>
    <mergeCell ref="I89:O89"/>
    <mergeCell ref="I90:O90"/>
    <mergeCell ref="I91:O91"/>
    <mergeCell ref="I92:O92"/>
    <mergeCell ref="A106:B106"/>
    <mergeCell ref="A107:B107"/>
    <mergeCell ref="A108:B108"/>
    <mergeCell ref="A109:B109"/>
    <mergeCell ref="A111:B111"/>
    <mergeCell ref="I82:O82"/>
    <mergeCell ref="I83:O83"/>
    <mergeCell ref="I84:O84"/>
    <mergeCell ref="I85:O85"/>
    <mergeCell ref="A105:B105"/>
    <mergeCell ref="P51:Q51"/>
    <mergeCell ref="B69:C69"/>
    <mergeCell ref="I79:O79"/>
    <mergeCell ref="I80:O80"/>
    <mergeCell ref="I81:O81"/>
    <mergeCell ref="A19:C19"/>
    <mergeCell ref="O30:P30"/>
    <mergeCell ref="Q30:R30"/>
    <mergeCell ref="B42:C42"/>
    <mergeCell ref="R42:W42"/>
  </mergeCells>
  <printOptions horizontalCentered="1" gridLines="1"/>
  <pageMargins left="0.7" right="0.7" top="0.75" bottom="0.75" header="0" footer="0"/>
  <pageSetup fitToHeight="0" pageOrder="overThenDown" orientation="landscape" cellComments="atEnd"/>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pageSetUpPr fitToPage="1"/>
  </sheetPr>
  <dimension ref="A1:P139"/>
  <sheetViews>
    <sheetView workbookViewId="0"/>
  </sheetViews>
  <sheetFormatPr defaultColWidth="12.7109375" defaultRowHeight="12.75" customHeight="1"/>
  <cols>
    <col min="1" max="3" width="9.42578125" customWidth="1"/>
    <col min="4" max="4" width="14.28515625" customWidth="1"/>
    <col min="5" max="5" width="21.7109375" customWidth="1"/>
    <col min="6" max="6" width="9.7109375" customWidth="1"/>
    <col min="7" max="7" width="5.42578125" customWidth="1"/>
    <col min="8" max="8" width="7.28515625" customWidth="1"/>
    <col min="9" max="9" width="13.42578125" customWidth="1"/>
    <col min="12" max="12" width="26.28515625" customWidth="1"/>
    <col min="13" max="13" width="5.140625" customWidth="1"/>
    <col min="15" max="15" width="11" customWidth="1"/>
    <col min="16" max="16" width="24.7109375" customWidth="1"/>
  </cols>
  <sheetData>
    <row r="1" spans="1:16">
      <c r="A1" s="919"/>
      <c r="B1" s="919"/>
      <c r="C1" s="919"/>
      <c r="D1" s="919"/>
      <c r="E1" s="919"/>
      <c r="F1" s="919"/>
      <c r="G1" s="919"/>
      <c r="H1" s="919"/>
      <c r="I1" s="919"/>
      <c r="J1" s="919"/>
      <c r="K1" s="919"/>
      <c r="L1" s="919"/>
      <c r="M1" s="919"/>
      <c r="O1" s="2086" t="s">
        <v>6561</v>
      </c>
      <c r="P1" s="2087"/>
    </row>
    <row r="2" spans="1:16">
      <c r="A2" s="919"/>
      <c r="B2" s="919"/>
      <c r="C2" s="919"/>
      <c r="D2" s="920"/>
      <c r="E2" s="2150" t="s">
        <v>6562</v>
      </c>
      <c r="F2" s="2087"/>
      <c r="G2" s="2087"/>
      <c r="H2" s="2087"/>
      <c r="I2" s="919" t="s">
        <v>6563</v>
      </c>
      <c r="J2" s="919"/>
      <c r="K2" s="919"/>
      <c r="L2" s="919"/>
      <c r="M2" s="919"/>
      <c r="O2" s="40"/>
    </row>
    <row r="3" spans="1:16">
      <c r="A3" s="919"/>
      <c r="B3" s="919"/>
      <c r="C3" s="919"/>
      <c r="D3" s="920"/>
      <c r="E3" s="919"/>
      <c r="F3" s="919"/>
      <c r="G3" s="919"/>
      <c r="H3" s="919"/>
      <c r="I3" s="919"/>
      <c r="J3" s="919"/>
      <c r="K3" s="919"/>
      <c r="L3" s="919"/>
      <c r="M3" s="919"/>
      <c r="O3" s="40"/>
    </row>
    <row r="4" spans="1:16">
      <c r="A4" s="919"/>
      <c r="B4" s="919"/>
      <c r="C4" s="919"/>
      <c r="D4" s="920"/>
      <c r="E4" s="2150" t="s">
        <v>6564</v>
      </c>
      <c r="F4" s="2087"/>
      <c r="G4" s="2087"/>
      <c r="H4" s="2087"/>
      <c r="I4" s="919"/>
      <c r="J4" s="919"/>
      <c r="K4" s="919"/>
      <c r="L4" s="919"/>
      <c r="M4" s="919"/>
      <c r="O4" s="40" t="s">
        <v>6565</v>
      </c>
      <c r="P4" s="9" t="s">
        <v>5406</v>
      </c>
    </row>
    <row r="5" spans="1:16" ht="38.25">
      <c r="A5" s="921" t="s">
        <v>6566</v>
      </c>
      <c r="B5" s="921" t="s">
        <v>6567</v>
      </c>
      <c r="C5" s="922" t="s">
        <v>6568</v>
      </c>
      <c r="D5" s="922" t="s">
        <v>3534</v>
      </c>
      <c r="E5" s="922" t="s">
        <v>3278</v>
      </c>
      <c r="F5" s="922" t="s">
        <v>3279</v>
      </c>
      <c r="G5" s="922" t="s">
        <v>6569</v>
      </c>
      <c r="H5" s="922" t="s">
        <v>6570</v>
      </c>
      <c r="I5" s="922" t="s">
        <v>6571</v>
      </c>
      <c r="J5" s="922" t="s">
        <v>6572</v>
      </c>
      <c r="K5" s="922" t="s">
        <v>6573</v>
      </c>
      <c r="L5" s="922" t="s">
        <v>6574</v>
      </c>
      <c r="M5" s="921" t="s">
        <v>6575</v>
      </c>
    </row>
    <row r="6" spans="1:16">
      <c r="A6" s="923"/>
      <c r="B6" s="924"/>
      <c r="C6" s="925">
        <v>435398</v>
      </c>
      <c r="D6" s="926" t="s">
        <v>6576</v>
      </c>
      <c r="E6" s="926" t="s">
        <v>6577</v>
      </c>
      <c r="F6" s="926" t="s">
        <v>3287</v>
      </c>
      <c r="G6" s="926" t="s">
        <v>5422</v>
      </c>
      <c r="H6" s="926">
        <v>67579</v>
      </c>
      <c r="I6" s="927" t="s">
        <v>6578</v>
      </c>
      <c r="J6" s="927"/>
      <c r="K6" s="927"/>
      <c r="L6" s="927" t="s">
        <v>6579</v>
      </c>
      <c r="M6" s="928" t="s">
        <v>6580</v>
      </c>
      <c r="N6" s="69">
        <v>1</v>
      </c>
      <c r="O6" s="40" t="s">
        <v>23</v>
      </c>
      <c r="P6" s="9" t="s">
        <v>6581</v>
      </c>
    </row>
    <row r="7" spans="1:16">
      <c r="A7" s="923"/>
      <c r="B7" s="924"/>
      <c r="C7" s="925">
        <v>6575853</v>
      </c>
      <c r="D7" s="929" t="s">
        <v>6582</v>
      </c>
      <c r="E7" s="926" t="s">
        <v>6583</v>
      </c>
      <c r="F7" s="926" t="s">
        <v>3287</v>
      </c>
      <c r="G7" s="926" t="s">
        <v>5422</v>
      </c>
      <c r="H7" s="926">
        <v>67579</v>
      </c>
      <c r="I7" s="926"/>
      <c r="J7" s="926"/>
      <c r="K7" s="926"/>
      <c r="L7" s="927" t="s">
        <v>6584</v>
      </c>
      <c r="M7" s="930" t="s">
        <v>6580</v>
      </c>
      <c r="N7" s="69">
        <v>2</v>
      </c>
      <c r="O7" s="40"/>
    </row>
    <row r="8" spans="1:16" ht="25.5">
      <c r="A8" s="923"/>
      <c r="B8" s="924"/>
      <c r="C8" s="925">
        <v>10629428</v>
      </c>
      <c r="D8" s="926" t="s">
        <v>6585</v>
      </c>
      <c r="E8" s="926" t="s">
        <v>6586</v>
      </c>
      <c r="F8" s="926" t="s">
        <v>3287</v>
      </c>
      <c r="G8" s="926" t="s">
        <v>5422</v>
      </c>
      <c r="H8" s="926">
        <v>67579</v>
      </c>
      <c r="I8" s="926" t="s">
        <v>6587</v>
      </c>
      <c r="J8" s="926"/>
      <c r="K8" s="926"/>
      <c r="L8" s="927" t="s">
        <v>6588</v>
      </c>
      <c r="M8" s="930" t="s">
        <v>6580</v>
      </c>
      <c r="N8" s="69">
        <v>3</v>
      </c>
      <c r="O8" s="40"/>
    </row>
    <row r="9" spans="1:16">
      <c r="A9" s="923"/>
      <c r="B9" s="924"/>
      <c r="C9" s="925">
        <v>1815798</v>
      </c>
      <c r="D9" s="926" t="s">
        <v>6589</v>
      </c>
      <c r="E9" s="926" t="s">
        <v>6590</v>
      </c>
      <c r="F9" s="926" t="s">
        <v>3287</v>
      </c>
      <c r="G9" s="926" t="s">
        <v>5422</v>
      </c>
      <c r="H9" s="926">
        <v>67579</v>
      </c>
      <c r="I9" s="926" t="s">
        <v>6591</v>
      </c>
      <c r="J9" s="926" t="s">
        <v>6592</v>
      </c>
      <c r="K9" s="926"/>
      <c r="L9" s="927" t="s">
        <v>6593</v>
      </c>
      <c r="M9" s="930"/>
      <c r="N9" s="69">
        <v>4</v>
      </c>
      <c r="O9" s="40"/>
    </row>
    <row r="10" spans="1:16" ht="25.5">
      <c r="A10" s="923"/>
      <c r="B10" s="924"/>
      <c r="C10" s="925">
        <v>1368668</v>
      </c>
      <c r="D10" s="926" t="s">
        <v>6594</v>
      </c>
      <c r="E10" s="926" t="s">
        <v>6595</v>
      </c>
      <c r="F10" s="926" t="s">
        <v>3287</v>
      </c>
      <c r="G10" s="926" t="s">
        <v>5422</v>
      </c>
      <c r="H10" s="926">
        <v>67579</v>
      </c>
      <c r="I10" s="926" t="s">
        <v>6596</v>
      </c>
      <c r="J10" s="926" t="s">
        <v>6597</v>
      </c>
      <c r="K10" s="926"/>
      <c r="L10" s="927" t="s">
        <v>6598</v>
      </c>
      <c r="M10" s="930" t="s">
        <v>6580</v>
      </c>
      <c r="N10" s="69">
        <v>5</v>
      </c>
      <c r="O10" s="40" t="s">
        <v>6599</v>
      </c>
      <c r="P10" s="9" t="s">
        <v>6600</v>
      </c>
    </row>
    <row r="11" spans="1:16">
      <c r="A11" s="923"/>
      <c r="B11" s="924"/>
      <c r="C11" s="925">
        <v>10454898</v>
      </c>
      <c r="D11" s="926" t="s">
        <v>6601</v>
      </c>
      <c r="E11" s="926" t="s">
        <v>6602</v>
      </c>
      <c r="F11" s="926" t="s">
        <v>3287</v>
      </c>
      <c r="G11" s="926" t="s">
        <v>5422</v>
      </c>
      <c r="H11" s="926">
        <v>67579</v>
      </c>
      <c r="I11" s="926"/>
      <c r="J11" s="926"/>
      <c r="K11" s="926" t="s">
        <v>6603</v>
      </c>
      <c r="L11" s="927" t="s">
        <v>6604</v>
      </c>
      <c r="M11" s="930" t="s">
        <v>6580</v>
      </c>
      <c r="N11" s="69">
        <v>6</v>
      </c>
      <c r="O11" s="40"/>
    </row>
    <row r="12" spans="1:16">
      <c r="A12" s="923"/>
      <c r="B12" s="924"/>
      <c r="C12" s="925">
        <v>435390</v>
      </c>
      <c r="D12" s="926" t="s">
        <v>6605</v>
      </c>
      <c r="E12" s="926" t="s">
        <v>6606</v>
      </c>
      <c r="F12" s="926" t="s">
        <v>3287</v>
      </c>
      <c r="G12" s="926" t="s">
        <v>5422</v>
      </c>
      <c r="H12" s="926">
        <v>67579</v>
      </c>
      <c r="I12" s="926" t="s">
        <v>6607</v>
      </c>
      <c r="J12" s="926" t="s">
        <v>6608</v>
      </c>
      <c r="K12" s="926"/>
      <c r="L12" s="927" t="s">
        <v>6609</v>
      </c>
      <c r="M12" s="930"/>
      <c r="N12" s="69">
        <v>7</v>
      </c>
      <c r="O12" s="40"/>
    </row>
    <row r="13" spans="1:16">
      <c r="A13" s="923"/>
      <c r="B13" s="924"/>
      <c r="C13" s="925">
        <v>435402</v>
      </c>
      <c r="D13" s="926" t="s">
        <v>6610</v>
      </c>
      <c r="E13" s="926" t="s">
        <v>6611</v>
      </c>
      <c r="F13" s="926" t="s">
        <v>3287</v>
      </c>
      <c r="G13" s="926" t="s">
        <v>5422</v>
      </c>
      <c r="H13" s="926">
        <v>67579</v>
      </c>
      <c r="I13" s="926" t="s">
        <v>6612</v>
      </c>
      <c r="J13" s="926" t="s">
        <v>6613</v>
      </c>
      <c r="K13" s="926"/>
      <c r="L13" s="927" t="s">
        <v>6614</v>
      </c>
      <c r="M13" s="930" t="s">
        <v>6580</v>
      </c>
      <c r="N13" s="69">
        <v>8</v>
      </c>
      <c r="O13" s="811">
        <v>43772</v>
      </c>
      <c r="P13" s="9" t="s">
        <v>6615</v>
      </c>
    </row>
    <row r="14" spans="1:16">
      <c r="A14" s="923"/>
      <c r="B14" s="924"/>
      <c r="C14" s="925">
        <v>1866974</v>
      </c>
      <c r="D14" s="926" t="s">
        <v>6616</v>
      </c>
      <c r="E14" s="926" t="s">
        <v>6617</v>
      </c>
      <c r="F14" s="926" t="s">
        <v>3287</v>
      </c>
      <c r="G14" s="926" t="s">
        <v>6618</v>
      </c>
      <c r="H14" s="926">
        <v>67579</v>
      </c>
      <c r="I14" s="926" t="s">
        <v>6619</v>
      </c>
      <c r="J14" s="926"/>
      <c r="K14" s="926" t="s">
        <v>4099</v>
      </c>
      <c r="L14" s="927" t="s">
        <v>3692</v>
      </c>
      <c r="M14" s="930" t="s">
        <v>6580</v>
      </c>
      <c r="N14" s="69">
        <v>9</v>
      </c>
      <c r="O14" s="811">
        <v>43789</v>
      </c>
      <c r="P14" s="336" t="s">
        <v>6620</v>
      </c>
    </row>
    <row r="15" spans="1:16">
      <c r="A15" s="923"/>
      <c r="B15" s="924"/>
      <c r="C15" s="925">
        <v>10454883</v>
      </c>
      <c r="D15" s="926" t="s">
        <v>6621</v>
      </c>
      <c r="E15" s="926" t="s">
        <v>6622</v>
      </c>
      <c r="F15" s="926" t="s">
        <v>3287</v>
      </c>
      <c r="G15" s="926" t="s">
        <v>5422</v>
      </c>
      <c r="H15" s="926">
        <v>67579</v>
      </c>
      <c r="I15" s="926" t="s">
        <v>6619</v>
      </c>
      <c r="J15" s="926"/>
      <c r="K15" s="926" t="s">
        <v>6623</v>
      </c>
      <c r="L15" s="927" t="s">
        <v>3292</v>
      </c>
      <c r="M15" s="930" t="s">
        <v>6580</v>
      </c>
      <c r="N15" s="69">
        <v>10</v>
      </c>
      <c r="O15" s="40"/>
    </row>
    <row r="16" spans="1:16" ht="25.5">
      <c r="A16" s="923"/>
      <c r="B16" s="924"/>
      <c r="C16" s="925">
        <v>3258228</v>
      </c>
      <c r="D16" s="926" t="s">
        <v>6624</v>
      </c>
      <c r="E16" s="20" t="s">
        <v>6625</v>
      </c>
      <c r="F16" s="926" t="s">
        <v>3287</v>
      </c>
      <c r="G16" s="926" t="s">
        <v>5422</v>
      </c>
      <c r="H16" s="926">
        <v>67579</v>
      </c>
      <c r="I16" s="926"/>
      <c r="J16" s="20" t="s">
        <v>6626</v>
      </c>
      <c r="K16" s="926"/>
      <c r="L16" s="927" t="s">
        <v>6627</v>
      </c>
      <c r="M16" s="930"/>
      <c r="N16" s="69">
        <v>11</v>
      </c>
      <c r="O16" s="40" t="s">
        <v>6628</v>
      </c>
      <c r="P16" s="9" t="s">
        <v>6629</v>
      </c>
    </row>
    <row r="17" spans="1:16">
      <c r="A17" s="923"/>
      <c r="B17" s="924"/>
      <c r="C17" s="925">
        <v>10454895</v>
      </c>
      <c r="D17" s="926" t="s">
        <v>6630</v>
      </c>
      <c r="E17" s="926" t="s">
        <v>6631</v>
      </c>
      <c r="F17" s="926" t="s">
        <v>3287</v>
      </c>
      <c r="G17" s="926" t="s">
        <v>5422</v>
      </c>
      <c r="H17" s="926">
        <v>67579</v>
      </c>
      <c r="I17" s="926"/>
      <c r="J17" s="926"/>
      <c r="K17" s="926" t="s">
        <v>6632</v>
      </c>
      <c r="L17" s="927" t="s">
        <v>6633</v>
      </c>
      <c r="M17" s="930" t="s">
        <v>6580</v>
      </c>
      <c r="N17" s="69">
        <v>12</v>
      </c>
      <c r="O17" s="811">
        <v>43806</v>
      </c>
      <c r="P17" s="9" t="s">
        <v>6634</v>
      </c>
    </row>
    <row r="18" spans="1:16">
      <c r="A18" s="923"/>
      <c r="B18" s="924"/>
      <c r="C18" s="925">
        <v>10816417</v>
      </c>
      <c r="D18" s="926" t="s">
        <v>6635</v>
      </c>
      <c r="E18" s="926" t="s">
        <v>6631</v>
      </c>
      <c r="F18" s="926" t="s">
        <v>3287</v>
      </c>
      <c r="G18" s="926" t="s">
        <v>5422</v>
      </c>
      <c r="H18" s="926">
        <v>67579</v>
      </c>
      <c r="I18" s="926"/>
      <c r="J18" s="926"/>
      <c r="K18" s="926" t="s">
        <v>6636</v>
      </c>
      <c r="L18" s="931" t="s">
        <v>6637</v>
      </c>
      <c r="M18" s="930"/>
      <c r="N18" s="69">
        <v>13</v>
      </c>
      <c r="O18" s="811"/>
      <c r="P18" s="9"/>
    </row>
    <row r="19" spans="1:16">
      <c r="A19" s="923"/>
      <c r="B19" s="924"/>
      <c r="C19" s="925">
        <v>10454888</v>
      </c>
      <c r="D19" s="926" t="s">
        <v>6638</v>
      </c>
      <c r="E19" s="926" t="s">
        <v>6639</v>
      </c>
      <c r="F19" s="926" t="s">
        <v>3287</v>
      </c>
      <c r="G19" s="926" t="s">
        <v>5422</v>
      </c>
      <c r="H19" s="926">
        <v>67579</v>
      </c>
      <c r="I19" s="926"/>
      <c r="J19" s="926"/>
      <c r="K19" s="926"/>
      <c r="L19" s="927" t="s">
        <v>6640</v>
      </c>
      <c r="M19" s="930" t="s">
        <v>6641</v>
      </c>
      <c r="N19" s="69">
        <v>14</v>
      </c>
      <c r="O19" s="811">
        <v>43809</v>
      </c>
      <c r="P19" s="9" t="s">
        <v>6642</v>
      </c>
    </row>
    <row r="20" spans="1:16">
      <c r="A20" s="923"/>
      <c r="B20" s="924"/>
      <c r="C20" s="925">
        <v>5118361</v>
      </c>
      <c r="D20" s="926" t="s">
        <v>6643</v>
      </c>
      <c r="E20" s="926" t="s">
        <v>6644</v>
      </c>
      <c r="F20" s="926" t="s">
        <v>3287</v>
      </c>
      <c r="G20" s="926" t="s">
        <v>5422</v>
      </c>
      <c r="H20" s="926">
        <v>67579</v>
      </c>
      <c r="I20" s="926"/>
      <c r="J20" s="926"/>
      <c r="K20" s="926"/>
      <c r="L20" s="927" t="s">
        <v>6645</v>
      </c>
      <c r="M20" s="930"/>
      <c r="N20" s="69">
        <v>15</v>
      </c>
      <c r="O20" s="40"/>
    </row>
    <row r="21" spans="1:16">
      <c r="A21" s="923"/>
      <c r="B21" s="924"/>
      <c r="C21" s="925">
        <v>10524017</v>
      </c>
      <c r="D21" s="926" t="s">
        <v>6646</v>
      </c>
      <c r="E21" s="926" t="s">
        <v>6647</v>
      </c>
      <c r="F21" s="926" t="s">
        <v>6648</v>
      </c>
      <c r="G21" s="926" t="s">
        <v>5422</v>
      </c>
      <c r="H21" s="926">
        <v>67554</v>
      </c>
      <c r="I21" s="926"/>
      <c r="J21" s="926" t="s">
        <v>6649</v>
      </c>
      <c r="K21" s="926"/>
      <c r="L21" s="931" t="s">
        <v>6650</v>
      </c>
      <c r="M21" s="930" t="s">
        <v>6580</v>
      </c>
      <c r="N21" s="69">
        <v>16</v>
      </c>
      <c r="O21" s="40"/>
    </row>
    <row r="22" spans="1:16" ht="25.5">
      <c r="A22" s="923"/>
      <c r="B22" s="924"/>
      <c r="C22" s="925">
        <v>10790283</v>
      </c>
      <c r="D22" s="926" t="s">
        <v>6651</v>
      </c>
      <c r="E22" s="926" t="s">
        <v>6652</v>
      </c>
      <c r="F22" s="926" t="s">
        <v>6653</v>
      </c>
      <c r="G22" s="926" t="s">
        <v>5422</v>
      </c>
      <c r="H22" s="926">
        <v>67502</v>
      </c>
      <c r="I22" s="926" t="s">
        <v>6654</v>
      </c>
      <c r="K22" s="926"/>
      <c r="L22" s="927" t="s">
        <v>6655</v>
      </c>
      <c r="M22" s="930" t="s">
        <v>6580</v>
      </c>
      <c r="N22" s="69">
        <v>17</v>
      </c>
      <c r="O22" s="40"/>
    </row>
    <row r="23" spans="1:16">
      <c r="A23" s="923"/>
      <c r="B23" s="924"/>
      <c r="C23" s="925">
        <v>10609072</v>
      </c>
      <c r="D23" s="926" t="s">
        <v>6656</v>
      </c>
      <c r="E23" s="926" t="s">
        <v>6657</v>
      </c>
      <c r="F23" s="926" t="s">
        <v>3287</v>
      </c>
      <c r="G23" s="926" t="s">
        <v>5422</v>
      </c>
      <c r="H23" s="926">
        <v>67579</v>
      </c>
      <c r="I23" s="926"/>
      <c r="J23" s="926" t="s">
        <v>6658</v>
      </c>
      <c r="K23" s="926"/>
      <c r="L23" s="927" t="s">
        <v>6659</v>
      </c>
      <c r="M23" s="930"/>
      <c r="N23" s="69">
        <v>18</v>
      </c>
    </row>
    <row r="24" spans="1:16">
      <c r="A24" s="923"/>
      <c r="B24" s="923"/>
      <c r="C24" s="932">
        <v>10790281</v>
      </c>
      <c r="D24" s="929" t="s">
        <v>6660</v>
      </c>
      <c r="E24" s="932" t="s">
        <v>6661</v>
      </c>
      <c r="F24" s="932" t="s">
        <v>3287</v>
      </c>
      <c r="G24" s="932" t="s">
        <v>5422</v>
      </c>
      <c r="H24" s="932">
        <v>67579</v>
      </c>
      <c r="I24" s="932"/>
      <c r="J24" s="932" t="s">
        <v>6662</v>
      </c>
      <c r="K24" s="933"/>
      <c r="L24" s="927" t="s">
        <v>6663</v>
      </c>
      <c r="M24" s="930"/>
      <c r="N24" s="69">
        <v>19</v>
      </c>
    </row>
    <row r="25" spans="1:16" ht="25.5">
      <c r="A25" s="923"/>
      <c r="B25" s="923"/>
      <c r="C25" s="925">
        <v>8049476</v>
      </c>
      <c r="D25" s="926" t="s">
        <v>6664</v>
      </c>
      <c r="E25" s="932" t="s">
        <v>6665</v>
      </c>
      <c r="F25" s="926" t="s">
        <v>6653</v>
      </c>
      <c r="G25" s="926" t="s">
        <v>5422</v>
      </c>
      <c r="H25" s="926">
        <v>67502</v>
      </c>
      <c r="I25" s="926"/>
      <c r="J25" s="926"/>
      <c r="K25" s="926"/>
      <c r="L25" s="927" t="s">
        <v>6666</v>
      </c>
      <c r="M25" s="930"/>
      <c r="N25" s="69">
        <v>20</v>
      </c>
    </row>
    <row r="26" spans="1:16">
      <c r="A26" s="923"/>
      <c r="B26" s="923"/>
      <c r="L26" s="9"/>
      <c r="M26" s="930"/>
    </row>
    <row r="27" spans="1:16">
      <c r="A27" s="923"/>
      <c r="B27" s="923"/>
      <c r="M27" s="930"/>
    </row>
    <row r="28" spans="1:16">
      <c r="B28" s="923"/>
      <c r="C28" s="925"/>
      <c r="D28" s="929"/>
      <c r="E28" s="926"/>
      <c r="F28" s="926"/>
      <c r="G28" s="926"/>
      <c r="H28" s="926"/>
      <c r="I28" s="926"/>
      <c r="J28" s="926"/>
      <c r="K28" s="926"/>
      <c r="L28" s="926"/>
    </row>
    <row r="29" spans="1:16">
      <c r="B29" s="923"/>
      <c r="C29" s="925">
        <v>3258226</v>
      </c>
      <c r="D29" s="929" t="s">
        <v>6667</v>
      </c>
      <c r="E29" s="926" t="s">
        <v>6668</v>
      </c>
      <c r="F29" s="926" t="s">
        <v>3287</v>
      </c>
      <c r="G29" s="926" t="s">
        <v>5422</v>
      </c>
      <c r="H29" s="926">
        <v>67579</v>
      </c>
      <c r="I29" s="926" t="s">
        <v>6669</v>
      </c>
      <c r="J29" s="926"/>
      <c r="K29" s="926"/>
      <c r="L29" s="926" t="s">
        <v>6670</v>
      </c>
      <c r="N29" s="9">
        <v>20</v>
      </c>
    </row>
    <row r="30" spans="1:16">
      <c r="N30" s="43"/>
      <c r="O30" s="43"/>
      <c r="P30" s="43"/>
    </row>
    <row r="31" spans="1:16">
      <c r="C31" s="934">
        <v>3181717</v>
      </c>
      <c r="D31" s="935" t="s">
        <v>6671</v>
      </c>
      <c r="E31" s="935" t="s">
        <v>6672</v>
      </c>
      <c r="F31" s="935" t="s">
        <v>3287</v>
      </c>
      <c r="G31" s="935" t="s">
        <v>5422</v>
      </c>
      <c r="H31" s="935">
        <v>67579</v>
      </c>
      <c r="I31" s="935"/>
      <c r="J31" s="935"/>
      <c r="K31" s="935" t="s">
        <v>6673</v>
      </c>
      <c r="L31" s="935" t="s">
        <v>6674</v>
      </c>
      <c r="N31" s="43"/>
      <c r="O31" s="43"/>
      <c r="P31" s="43"/>
    </row>
    <row r="32" spans="1:16">
      <c r="J32" s="3"/>
      <c r="K32" s="3"/>
      <c r="N32" s="43"/>
      <c r="O32" s="43"/>
      <c r="P32" s="43"/>
    </row>
    <row r="33" spans="1:16">
      <c r="J33" s="3"/>
      <c r="K33" s="3"/>
      <c r="N33" s="43"/>
      <c r="O33" s="43"/>
      <c r="P33" s="43"/>
    </row>
    <row r="34" spans="1:16">
      <c r="J34" s="3"/>
      <c r="K34" s="3"/>
      <c r="N34" s="43"/>
      <c r="O34" s="43"/>
      <c r="P34" s="43"/>
    </row>
    <row r="35" spans="1:16">
      <c r="J35" s="2086" t="s">
        <v>6675</v>
      </c>
      <c r="K35" s="2087"/>
      <c r="N35" s="43" t="s">
        <v>116</v>
      </c>
      <c r="O35" s="43" t="s">
        <v>6676</v>
      </c>
      <c r="P35" s="43" t="s">
        <v>44</v>
      </c>
    </row>
    <row r="36" spans="1:16" ht="12.75" customHeight="1">
      <c r="J36" s="9" t="s">
        <v>6677</v>
      </c>
      <c r="K36" s="12">
        <v>23.32</v>
      </c>
      <c r="M36" s="936"/>
      <c r="N36" s="12">
        <f>O36/3</f>
        <v>11.333333333333334</v>
      </c>
      <c r="O36" s="9">
        <v>34</v>
      </c>
      <c r="P36" s="9">
        <v>136</v>
      </c>
    </row>
    <row r="37" spans="1:16" ht="12.75" customHeight="1">
      <c r="A37" s="3"/>
      <c r="B37" s="3"/>
      <c r="C37" s="2086" t="s">
        <v>6678</v>
      </c>
      <c r="D37" s="2087"/>
      <c r="E37" s="936"/>
      <c r="J37" s="9" t="s">
        <v>6679</v>
      </c>
      <c r="K37" s="12">
        <f>11.5/2</f>
        <v>5.75</v>
      </c>
      <c r="M37" s="936"/>
      <c r="N37" s="65">
        <f>O37/3</f>
        <v>7.7733333333333334</v>
      </c>
      <c r="O37" s="9">
        <f>P37/4</f>
        <v>23.32</v>
      </c>
      <c r="P37" s="9">
        <v>93.28</v>
      </c>
    </row>
    <row r="38" spans="1:16" ht="12.75" customHeight="1">
      <c r="A38" s="9"/>
      <c r="B38" s="9"/>
      <c r="C38" s="9" t="s">
        <v>6680</v>
      </c>
      <c r="E38" s="9" t="s">
        <v>6681</v>
      </c>
      <c r="J38" s="9" t="s">
        <v>6682</v>
      </c>
      <c r="K38" s="12">
        <f>19.72/4</f>
        <v>4.93</v>
      </c>
      <c r="M38" s="936"/>
      <c r="N38" s="65">
        <f>O39/3</f>
        <v>1.9166666666666667</v>
      </c>
      <c r="P38" s="9">
        <v>23</v>
      </c>
    </row>
    <row r="39" spans="1:16" ht="12.75" customHeight="1">
      <c r="A39" s="9"/>
      <c r="B39" s="9"/>
      <c r="C39" s="9" t="s">
        <v>6683</v>
      </c>
      <c r="E39" s="9" t="s">
        <v>6681</v>
      </c>
      <c r="J39" s="3" t="s">
        <v>67</v>
      </c>
      <c r="K39" s="65">
        <f>K36+K37+K38</f>
        <v>34</v>
      </c>
      <c r="M39" s="936"/>
      <c r="N39" s="12">
        <f>P39/12</f>
        <v>9.69</v>
      </c>
      <c r="O39" s="9">
        <f>P38/4</f>
        <v>5.75</v>
      </c>
      <c r="P39" s="9">
        <v>116.28</v>
      </c>
    </row>
    <row r="40" spans="1:16" ht="12.75" customHeight="1">
      <c r="A40" s="9"/>
      <c r="B40" s="9"/>
      <c r="C40" s="9" t="s">
        <v>6684</v>
      </c>
      <c r="D40" s="9" t="s">
        <v>6685</v>
      </c>
      <c r="E40" s="9" t="s">
        <v>6686</v>
      </c>
      <c r="J40" s="9" t="s">
        <v>6687</v>
      </c>
      <c r="K40" s="9">
        <v>6.93</v>
      </c>
      <c r="L40" s="9" t="s">
        <v>6688</v>
      </c>
      <c r="M40" s="936"/>
      <c r="N40" s="65">
        <f>P40/12</f>
        <v>1.6433333333333333</v>
      </c>
      <c r="O40" s="9">
        <f>P39/4</f>
        <v>29.07</v>
      </c>
      <c r="P40" s="9">
        <v>19.72</v>
      </c>
    </row>
    <row r="41" spans="1:16" ht="12.75" customHeight="1">
      <c r="A41" s="9"/>
      <c r="B41" s="9"/>
      <c r="C41" s="9" t="s">
        <v>6689</v>
      </c>
      <c r="E41" s="336" t="s">
        <v>6690</v>
      </c>
      <c r="J41" s="9" t="s">
        <v>6691</v>
      </c>
      <c r="K41" s="2088" t="s">
        <v>6692</v>
      </c>
      <c r="L41" s="2087"/>
      <c r="M41" s="936"/>
      <c r="N41" s="9">
        <f>O41/3</f>
        <v>0</v>
      </c>
    </row>
    <row r="42" spans="1:16" ht="12.75" customHeight="1">
      <c r="A42" s="9"/>
      <c r="B42" s="9"/>
      <c r="C42" s="9" t="s">
        <v>6693</v>
      </c>
      <c r="E42" s="336" t="s">
        <v>6694</v>
      </c>
      <c r="J42" s="936"/>
      <c r="K42" s="936"/>
      <c r="L42" s="936"/>
      <c r="M42" s="936"/>
      <c r="N42" s="9">
        <f>O42/3</f>
        <v>0</v>
      </c>
    </row>
    <row r="43" spans="1:16" ht="12.75" customHeight="1">
      <c r="C43" s="9" t="s">
        <v>6695</v>
      </c>
      <c r="E43" s="9" t="s">
        <v>6696</v>
      </c>
      <c r="J43" s="936"/>
      <c r="K43" s="936"/>
      <c r="L43" s="936"/>
      <c r="M43" s="936"/>
      <c r="N43" s="9">
        <f>O43/3</f>
        <v>0</v>
      </c>
    </row>
    <row r="44" spans="1:16" ht="12.75" customHeight="1">
      <c r="C44" s="2088" t="s">
        <v>6697</v>
      </c>
      <c r="D44" s="2087"/>
      <c r="E44" s="9" t="s">
        <v>6696</v>
      </c>
      <c r="J44" s="936"/>
      <c r="K44" s="936"/>
      <c r="L44" s="936"/>
      <c r="M44" s="936"/>
      <c r="N44" s="9">
        <f>O44/3</f>
        <v>0</v>
      </c>
    </row>
    <row r="45" spans="1:16">
      <c r="C45" s="9" t="s">
        <v>6698</v>
      </c>
      <c r="E45" s="9" t="s">
        <v>6699</v>
      </c>
    </row>
    <row r="46" spans="1:16" ht="25.5">
      <c r="A46" s="3"/>
      <c r="B46" s="3"/>
      <c r="C46" s="9" t="s">
        <v>3313</v>
      </c>
      <c r="E46" s="9" t="s">
        <v>6700</v>
      </c>
    </row>
    <row r="47" spans="1:16" ht="38.25">
      <c r="A47" s="9"/>
      <c r="B47" s="9"/>
      <c r="C47" s="9" t="s">
        <v>6701</v>
      </c>
      <c r="D47" s="9" t="s">
        <v>6702</v>
      </c>
      <c r="E47" s="9" t="s">
        <v>6696</v>
      </c>
      <c r="J47" s="3"/>
      <c r="K47" s="3"/>
      <c r="L47" s="3"/>
      <c r="M47" s="3"/>
      <c r="N47" s="65">
        <f>N37+N38+N40</f>
        <v>11.333333333333332</v>
      </c>
      <c r="O47" s="3">
        <f>N47*3</f>
        <v>34</v>
      </c>
      <c r="P47" s="3">
        <f>N47*12</f>
        <v>136</v>
      </c>
    </row>
    <row r="48" spans="1:16" ht="25.5">
      <c r="A48" s="9"/>
      <c r="B48" s="9"/>
      <c r="C48" s="9" t="s">
        <v>6703</v>
      </c>
      <c r="E48" s="9" t="s">
        <v>6704</v>
      </c>
    </row>
    <row r="49" spans="1:14">
      <c r="A49" s="9"/>
      <c r="B49" s="9"/>
      <c r="C49" s="9" t="s">
        <v>6705</v>
      </c>
      <c r="D49" s="9" t="s">
        <v>6706</v>
      </c>
      <c r="E49" s="9" t="s">
        <v>6696</v>
      </c>
      <c r="L49" s="2088" t="s">
        <v>6707</v>
      </c>
      <c r="M49" s="2087"/>
      <c r="N49" s="2087"/>
    </row>
    <row r="50" spans="1:14">
      <c r="A50" s="9"/>
      <c r="B50" s="9"/>
      <c r="L50" s="2088" t="s">
        <v>6708</v>
      </c>
      <c r="M50" s="2087"/>
      <c r="N50" s="2087"/>
    </row>
    <row r="51" spans="1:14">
      <c r="A51" s="9"/>
      <c r="B51" s="9"/>
      <c r="L51" s="2088" t="s">
        <v>6709</v>
      </c>
      <c r="M51" s="2087"/>
      <c r="N51" s="2087"/>
    </row>
    <row r="52" spans="1:14">
      <c r="L52" s="2088" t="s">
        <v>6710</v>
      </c>
      <c r="M52" s="2087"/>
      <c r="N52" s="2087"/>
    </row>
    <row r="53" spans="1:14">
      <c r="A53" s="3"/>
      <c r="L53" s="2088" t="s">
        <v>6711</v>
      </c>
      <c r="M53" s="2087"/>
      <c r="N53" s="2087"/>
    </row>
    <row r="54" spans="1:14">
      <c r="A54" s="3"/>
      <c r="L54" s="2088" t="s">
        <v>6712</v>
      </c>
      <c r="M54" s="2087"/>
      <c r="N54" s="2087"/>
    </row>
    <row r="55" spans="1:14">
      <c r="A55" s="3" t="s">
        <v>6713</v>
      </c>
      <c r="L55" s="2088" t="s">
        <v>6714</v>
      </c>
      <c r="M55" s="2087"/>
      <c r="N55" s="2087"/>
    </row>
    <row r="56" spans="1:14">
      <c r="A56" s="9" t="s">
        <v>6715</v>
      </c>
      <c r="D56" s="16">
        <v>1345</v>
      </c>
      <c r="L56" s="2088" t="s">
        <v>6716</v>
      </c>
      <c r="M56" s="2087"/>
      <c r="N56" s="2087"/>
    </row>
    <row r="57" spans="1:14">
      <c r="A57" s="9" t="s">
        <v>6717</v>
      </c>
      <c r="D57" s="16">
        <v>4521</v>
      </c>
      <c r="L57" s="2088" t="s">
        <v>6718</v>
      </c>
      <c r="M57" s="2087"/>
      <c r="N57" s="2087"/>
    </row>
    <row r="58" spans="1:14">
      <c r="C58" s="3" t="s">
        <v>61</v>
      </c>
      <c r="D58" s="34">
        <f>D56+D57</f>
        <v>5866</v>
      </c>
      <c r="L58" s="2088" t="s">
        <v>6719</v>
      </c>
      <c r="M58" s="2087"/>
      <c r="N58" s="2087"/>
    </row>
    <row r="59" spans="1:14">
      <c r="D59" s="16"/>
      <c r="L59" s="2088" t="s">
        <v>6720</v>
      </c>
      <c r="M59" s="2087"/>
      <c r="N59" s="2087"/>
    </row>
    <row r="60" spans="1:14">
      <c r="A60" s="9" t="s">
        <v>6721</v>
      </c>
      <c r="D60" s="16">
        <v>3678</v>
      </c>
      <c r="L60" s="2088" t="s">
        <v>6722</v>
      </c>
      <c r="M60" s="2087"/>
      <c r="N60" s="2087"/>
    </row>
    <row r="61" spans="1:14">
      <c r="L61" s="2088" t="s">
        <v>6723</v>
      </c>
      <c r="M61" s="2087"/>
      <c r="N61" s="2087"/>
    </row>
    <row r="62" spans="1:14" ht="25.5">
      <c r="A62" s="9" t="s">
        <v>6724</v>
      </c>
      <c r="B62" s="9" t="s">
        <v>6725</v>
      </c>
      <c r="D62" s="16">
        <v>1431</v>
      </c>
      <c r="L62" s="2088" t="s">
        <v>6726</v>
      </c>
      <c r="M62" s="2087"/>
      <c r="N62" s="2087"/>
    </row>
    <row r="63" spans="1:14" ht="25.5">
      <c r="A63" s="9" t="s">
        <v>6717</v>
      </c>
      <c r="B63" s="9" t="s">
        <v>6725</v>
      </c>
      <c r="D63" s="16">
        <v>2000</v>
      </c>
      <c r="L63" s="2088" t="s">
        <v>6727</v>
      </c>
      <c r="M63" s="2087"/>
      <c r="N63" s="2087"/>
    </row>
    <row r="64" spans="1:14" ht="25.5">
      <c r="B64" s="9" t="s">
        <v>6725</v>
      </c>
      <c r="D64" s="16">
        <v>2000</v>
      </c>
      <c r="L64" s="2088" t="s">
        <v>6728</v>
      </c>
      <c r="M64" s="2087"/>
      <c r="N64" s="2087"/>
    </row>
    <row r="65" spans="1:14" ht="25.5">
      <c r="B65" s="9" t="s">
        <v>6725</v>
      </c>
      <c r="D65" s="16">
        <v>1000</v>
      </c>
      <c r="L65" s="2088" t="s">
        <v>6729</v>
      </c>
      <c r="M65" s="2087"/>
      <c r="N65" s="2087"/>
    </row>
    <row r="66" spans="1:14" ht="25.5">
      <c r="B66" s="9" t="s">
        <v>6725</v>
      </c>
      <c r="D66" s="16">
        <v>10686</v>
      </c>
      <c r="L66" s="2088" t="s">
        <v>6730</v>
      </c>
      <c r="M66" s="2087"/>
      <c r="N66" s="2087"/>
    </row>
    <row r="67" spans="1:14" ht="25.5">
      <c r="B67" s="3" t="s">
        <v>6725</v>
      </c>
      <c r="C67" s="3" t="s">
        <v>61</v>
      </c>
      <c r="D67" s="34">
        <f>SUM(D62:D66)</f>
        <v>17117</v>
      </c>
      <c r="L67" s="2088" t="s">
        <v>6731</v>
      </c>
      <c r="M67" s="2087"/>
      <c r="N67" s="2087"/>
    </row>
    <row r="68" spans="1:14">
      <c r="L68" s="2088" t="s">
        <v>6732</v>
      </c>
      <c r="M68" s="2087"/>
      <c r="N68" s="2087"/>
    </row>
    <row r="69" spans="1:14">
      <c r="A69" s="2088" t="s">
        <v>6733</v>
      </c>
      <c r="B69" s="2087"/>
      <c r="D69" s="16">
        <v>4117.67</v>
      </c>
      <c r="L69" s="2088" t="s">
        <v>6734</v>
      </c>
      <c r="M69" s="2087"/>
      <c r="N69" s="2087"/>
    </row>
    <row r="73" spans="1:14">
      <c r="A73" s="3" t="s">
        <v>6735</v>
      </c>
    </row>
    <row r="74" spans="1:14">
      <c r="A74" s="9" t="s">
        <v>138</v>
      </c>
      <c r="B74" s="2088" t="s">
        <v>3874</v>
      </c>
      <c r="C74" s="2087"/>
    </row>
    <row r="75" spans="1:14">
      <c r="A75" s="9" t="s">
        <v>20</v>
      </c>
      <c r="B75" s="2088" t="s">
        <v>6736</v>
      </c>
      <c r="C75" s="2087"/>
    </row>
    <row r="76" spans="1:14">
      <c r="A76" s="9" t="s">
        <v>19</v>
      </c>
      <c r="B76" s="2088" t="s">
        <v>6737</v>
      </c>
      <c r="C76" s="2087"/>
    </row>
    <row r="77" spans="1:14">
      <c r="A77" s="9" t="s">
        <v>18</v>
      </c>
      <c r="B77" s="2088" t="s">
        <v>6738</v>
      </c>
      <c r="C77" s="2087"/>
    </row>
    <row r="78" spans="1:14">
      <c r="A78" s="9" t="s">
        <v>17</v>
      </c>
      <c r="B78" s="2088" t="s">
        <v>6739</v>
      </c>
      <c r="C78" s="2087"/>
    </row>
    <row r="79" spans="1:14">
      <c r="A79" s="9" t="s">
        <v>86</v>
      </c>
      <c r="B79" s="2088" t="s">
        <v>6740</v>
      </c>
      <c r="C79" s="2087"/>
    </row>
    <row r="80" spans="1:14">
      <c r="A80" s="9" t="s">
        <v>143</v>
      </c>
      <c r="B80" s="2088" t="s">
        <v>6741</v>
      </c>
      <c r="C80" s="2087"/>
    </row>
    <row r="81" spans="1:5">
      <c r="A81" s="9" t="s">
        <v>26</v>
      </c>
      <c r="B81" s="2088" t="s">
        <v>6742</v>
      </c>
      <c r="C81" s="2087"/>
    </row>
    <row r="82" spans="1:5">
      <c r="A82" s="9" t="s">
        <v>25</v>
      </c>
      <c r="B82" s="2088" t="s">
        <v>6743</v>
      </c>
      <c r="C82" s="2087"/>
    </row>
    <row r="83" spans="1:5">
      <c r="A83" s="9" t="s">
        <v>24</v>
      </c>
      <c r="B83" s="2088" t="s">
        <v>6744</v>
      </c>
      <c r="C83" s="2087"/>
    </row>
    <row r="84" spans="1:5">
      <c r="A84" s="9" t="s">
        <v>23</v>
      </c>
      <c r="B84" s="2088" t="s">
        <v>6745</v>
      </c>
      <c r="C84" s="2087"/>
    </row>
    <row r="85" spans="1:5">
      <c r="A85" s="9" t="s">
        <v>22</v>
      </c>
      <c r="B85" s="2088" t="s">
        <v>6746</v>
      </c>
      <c r="C85" s="2087"/>
    </row>
    <row r="88" spans="1:5">
      <c r="A88" s="3" t="s">
        <v>6747</v>
      </c>
    </row>
    <row r="89" spans="1:5">
      <c r="A89" s="2088" t="s">
        <v>6748</v>
      </c>
      <c r="B89" s="2087"/>
      <c r="C89" s="2087"/>
      <c r="D89" s="2087"/>
      <c r="E89" s="9" t="s">
        <v>6749</v>
      </c>
    </row>
    <row r="90" spans="1:5">
      <c r="A90" s="2088" t="s">
        <v>6750</v>
      </c>
      <c r="B90" s="2087"/>
      <c r="C90" s="2087"/>
      <c r="D90" s="2087"/>
      <c r="E90" s="9" t="s">
        <v>6751</v>
      </c>
    </row>
    <row r="91" spans="1:5">
      <c r="A91" s="2088" t="s">
        <v>6752</v>
      </c>
      <c r="B91" s="2087"/>
      <c r="C91" s="2087"/>
      <c r="D91" s="2087"/>
      <c r="E91" s="9" t="s">
        <v>6753</v>
      </c>
    </row>
    <row r="92" spans="1:5">
      <c r="A92" s="2088" t="s">
        <v>6754</v>
      </c>
      <c r="B92" s="2087"/>
      <c r="C92" s="2087"/>
      <c r="D92" s="2087"/>
      <c r="E92" s="30">
        <v>44154</v>
      </c>
    </row>
    <row r="93" spans="1:5">
      <c r="A93" s="2088" t="s">
        <v>6755</v>
      </c>
      <c r="B93" s="2087"/>
      <c r="C93" s="2087"/>
      <c r="D93" s="2087"/>
      <c r="E93" s="30">
        <v>44154</v>
      </c>
    </row>
    <row r="94" spans="1:5">
      <c r="A94" s="2088" t="s">
        <v>6756</v>
      </c>
      <c r="B94" s="2087"/>
      <c r="C94" s="2087"/>
      <c r="D94" s="2087"/>
      <c r="E94" s="937">
        <v>43857</v>
      </c>
    </row>
    <row r="95" spans="1:5">
      <c r="A95" s="2088" t="s">
        <v>6757</v>
      </c>
      <c r="B95" s="2087"/>
      <c r="C95" s="2087"/>
      <c r="D95" s="2087"/>
    </row>
    <row r="96" spans="1:5">
      <c r="A96" s="2088" t="s">
        <v>6758</v>
      </c>
      <c r="B96" s="2087"/>
      <c r="C96" s="2087"/>
      <c r="D96" s="2087"/>
      <c r="E96" s="9" t="s">
        <v>6759</v>
      </c>
    </row>
    <row r="97" spans="1:5">
      <c r="A97" s="2088" t="s">
        <v>6760</v>
      </c>
      <c r="B97" s="2087"/>
      <c r="C97" s="2087"/>
      <c r="D97" s="2087"/>
      <c r="E97" s="9" t="s">
        <v>6761</v>
      </c>
    </row>
    <row r="98" spans="1:5">
      <c r="A98" s="2088" t="s">
        <v>6762</v>
      </c>
      <c r="B98" s="2087"/>
      <c r="C98" s="2087"/>
      <c r="D98" s="2087"/>
      <c r="E98" s="9" t="s">
        <v>6763</v>
      </c>
    </row>
    <row r="99" spans="1:5">
      <c r="A99" s="2088" t="s">
        <v>6764</v>
      </c>
      <c r="B99" s="2087"/>
      <c r="C99" s="2087"/>
      <c r="D99" s="2087"/>
      <c r="E99" s="9" t="s">
        <v>6765</v>
      </c>
    </row>
    <row r="100" spans="1:5">
      <c r="A100" s="2088" t="s">
        <v>6766</v>
      </c>
      <c r="B100" s="2087"/>
      <c r="C100" s="2087"/>
      <c r="D100" s="2087"/>
    </row>
    <row r="101" spans="1:5">
      <c r="A101" s="2088" t="s">
        <v>6767</v>
      </c>
      <c r="B101" s="2087"/>
      <c r="C101" s="2087"/>
      <c r="D101" s="2087"/>
      <c r="E101" s="9" t="s">
        <v>6768</v>
      </c>
    </row>
    <row r="102" spans="1:5">
      <c r="A102" s="2088" t="s">
        <v>6769</v>
      </c>
      <c r="B102" s="2087"/>
      <c r="C102" s="2087"/>
      <c r="D102" s="2087"/>
      <c r="E102" s="9" t="s">
        <v>6770</v>
      </c>
    </row>
    <row r="103" spans="1:5">
      <c r="A103" s="2088" t="s">
        <v>6771</v>
      </c>
      <c r="B103" s="2087"/>
      <c r="C103" s="2087"/>
      <c r="D103" s="2087"/>
      <c r="E103" s="2">
        <v>43906</v>
      </c>
    </row>
    <row r="104" spans="1:5">
      <c r="A104" s="2088" t="s">
        <v>6772</v>
      </c>
      <c r="B104" s="2087"/>
      <c r="C104" s="2087"/>
      <c r="D104" s="2087"/>
      <c r="E104" s="2">
        <v>43952</v>
      </c>
    </row>
    <row r="108" spans="1:5" ht="12.75" customHeight="1">
      <c r="A108" s="2087"/>
      <c r="B108" s="2087"/>
      <c r="C108" s="2087"/>
      <c r="D108" s="2087"/>
    </row>
    <row r="109" spans="1:5" ht="12.75" customHeight="1">
      <c r="A109" s="2087"/>
      <c r="B109" s="2087"/>
      <c r="C109" s="2087"/>
      <c r="D109" s="2087"/>
    </row>
    <row r="110" spans="1:5">
      <c r="A110" s="2086" t="s">
        <v>6773</v>
      </c>
      <c r="B110" s="2087"/>
      <c r="C110" s="2087"/>
      <c r="D110" s="2087"/>
    </row>
    <row r="111" spans="1:5">
      <c r="A111" s="2088" t="s">
        <v>6774</v>
      </c>
      <c r="B111" s="2087"/>
      <c r="C111" s="2087"/>
      <c r="D111" s="2087"/>
    </row>
    <row r="112" spans="1:5">
      <c r="A112" s="2088" t="s">
        <v>6775</v>
      </c>
      <c r="B112" s="2087"/>
      <c r="C112" s="2087"/>
      <c r="D112" s="2087"/>
    </row>
    <row r="113" spans="1:14">
      <c r="A113" s="2088" t="s">
        <v>6776</v>
      </c>
      <c r="B113" s="2087"/>
      <c r="C113" s="2087"/>
      <c r="D113" s="2087"/>
    </row>
    <row r="114" spans="1:14">
      <c r="A114" s="2088" t="s">
        <v>6777</v>
      </c>
      <c r="B114" s="2087"/>
      <c r="C114" s="2087"/>
      <c r="D114" s="2087"/>
    </row>
    <row r="115" spans="1:14">
      <c r="A115" s="2088" t="s">
        <v>6778</v>
      </c>
      <c r="B115" s="2087"/>
      <c r="C115" s="2087"/>
      <c r="D115" s="2087"/>
    </row>
    <row r="116" spans="1:14">
      <c r="A116" s="2088" t="s">
        <v>6779</v>
      </c>
      <c r="B116" s="2087"/>
      <c r="C116" s="2087"/>
      <c r="D116" s="2087"/>
    </row>
    <row r="117" spans="1:14">
      <c r="A117" s="2088" t="s">
        <v>6780</v>
      </c>
      <c r="B117" s="2087"/>
      <c r="C117" s="2087"/>
      <c r="D117" s="2087"/>
    </row>
    <row r="118" spans="1:14" ht="12.75" customHeight="1">
      <c r="A118" s="2087"/>
      <c r="B118" s="2087"/>
      <c r="C118" s="2087"/>
      <c r="D118" s="2087"/>
    </row>
    <row r="120" spans="1:14">
      <c r="D120" s="9">
        <v>2021</v>
      </c>
    </row>
    <row r="121" spans="1:14" ht="38.25">
      <c r="C121" s="922" t="s">
        <v>6568</v>
      </c>
      <c r="D121" s="922" t="s">
        <v>3534</v>
      </c>
      <c r="E121" s="922" t="s">
        <v>3278</v>
      </c>
      <c r="F121" s="922" t="s">
        <v>3279</v>
      </c>
      <c r="G121" s="922" t="s">
        <v>6569</v>
      </c>
      <c r="H121" s="922" t="s">
        <v>6570</v>
      </c>
      <c r="I121" s="922" t="s">
        <v>6571</v>
      </c>
      <c r="J121" s="922" t="s">
        <v>6572</v>
      </c>
      <c r="K121" s="922" t="s">
        <v>6573</v>
      </c>
      <c r="L121" s="922" t="s">
        <v>6574</v>
      </c>
      <c r="M121" s="921" t="s">
        <v>6575</v>
      </c>
    </row>
    <row r="122" spans="1:14">
      <c r="C122" s="925">
        <v>435398</v>
      </c>
      <c r="D122" s="926" t="s">
        <v>6576</v>
      </c>
      <c r="E122" s="926" t="s">
        <v>6577</v>
      </c>
      <c r="F122" s="926" t="s">
        <v>3287</v>
      </c>
      <c r="G122" s="926" t="s">
        <v>5422</v>
      </c>
      <c r="H122" s="926">
        <v>67579</v>
      </c>
      <c r="I122" s="927" t="s">
        <v>6578</v>
      </c>
      <c r="J122" s="927"/>
      <c r="K122" s="927"/>
      <c r="L122" s="927" t="s">
        <v>6579</v>
      </c>
      <c r="M122" s="928" t="s">
        <v>6580</v>
      </c>
      <c r="N122" s="69">
        <v>1</v>
      </c>
    </row>
    <row r="123" spans="1:14">
      <c r="C123" s="925">
        <v>6575853</v>
      </c>
      <c r="D123" s="929" t="s">
        <v>6582</v>
      </c>
      <c r="E123" s="926" t="s">
        <v>6583</v>
      </c>
      <c r="F123" s="926" t="s">
        <v>3287</v>
      </c>
      <c r="G123" s="926" t="s">
        <v>5422</v>
      </c>
      <c r="H123" s="926">
        <v>67579</v>
      </c>
      <c r="I123" s="926"/>
      <c r="J123" s="926"/>
      <c r="K123" s="926"/>
      <c r="L123" s="927" t="s">
        <v>6584</v>
      </c>
      <c r="M123" s="930" t="s">
        <v>6580</v>
      </c>
      <c r="N123" s="69">
        <v>2</v>
      </c>
    </row>
    <row r="124" spans="1:14" ht="25.5">
      <c r="C124" s="925">
        <v>10629428</v>
      </c>
      <c r="D124" s="926" t="s">
        <v>6585</v>
      </c>
      <c r="E124" s="926" t="s">
        <v>6586</v>
      </c>
      <c r="F124" s="926" t="s">
        <v>3287</v>
      </c>
      <c r="G124" s="926" t="s">
        <v>5422</v>
      </c>
      <c r="H124" s="926">
        <v>67579</v>
      </c>
      <c r="I124" s="926" t="s">
        <v>6587</v>
      </c>
      <c r="J124" s="926"/>
      <c r="K124" s="926"/>
      <c r="L124" s="927" t="s">
        <v>6588</v>
      </c>
      <c r="M124" s="930" t="s">
        <v>6580</v>
      </c>
      <c r="N124" s="69">
        <v>3</v>
      </c>
    </row>
    <row r="125" spans="1:14">
      <c r="C125" s="925">
        <v>1815798</v>
      </c>
      <c r="D125" s="926" t="s">
        <v>6589</v>
      </c>
      <c r="E125" s="926" t="s">
        <v>6590</v>
      </c>
      <c r="F125" s="926" t="s">
        <v>3287</v>
      </c>
      <c r="G125" s="926" t="s">
        <v>5422</v>
      </c>
      <c r="H125" s="926">
        <v>67579</v>
      </c>
      <c r="I125" s="926" t="s">
        <v>6591</v>
      </c>
      <c r="J125" s="926" t="s">
        <v>6592</v>
      </c>
      <c r="K125" s="926"/>
      <c r="L125" s="927" t="s">
        <v>6593</v>
      </c>
      <c r="M125" s="930"/>
      <c r="N125" s="69">
        <v>4</v>
      </c>
    </row>
    <row r="126" spans="1:14">
      <c r="C126" s="925">
        <v>10454898</v>
      </c>
      <c r="D126" s="926" t="s">
        <v>6601</v>
      </c>
      <c r="E126" s="926" t="s">
        <v>6602</v>
      </c>
      <c r="F126" s="926" t="s">
        <v>3287</v>
      </c>
      <c r="G126" s="926" t="s">
        <v>5422</v>
      </c>
      <c r="H126" s="926">
        <v>67579</v>
      </c>
      <c r="I126" s="926"/>
      <c r="J126" s="926"/>
      <c r="K126" s="926" t="s">
        <v>6603</v>
      </c>
      <c r="L126" s="927" t="s">
        <v>6604</v>
      </c>
      <c r="M126" s="930" t="s">
        <v>6580</v>
      </c>
      <c r="N126" s="69">
        <v>5</v>
      </c>
    </row>
    <row r="127" spans="1:14">
      <c r="C127" s="925">
        <v>435390</v>
      </c>
      <c r="D127" s="926" t="s">
        <v>6605</v>
      </c>
      <c r="E127" s="926" t="s">
        <v>6606</v>
      </c>
      <c r="F127" s="926" t="s">
        <v>3287</v>
      </c>
      <c r="G127" s="926" t="s">
        <v>5422</v>
      </c>
      <c r="H127" s="926">
        <v>67579</v>
      </c>
      <c r="I127" s="926" t="s">
        <v>6607</v>
      </c>
      <c r="J127" s="926" t="s">
        <v>6608</v>
      </c>
      <c r="K127" s="926"/>
      <c r="L127" s="927" t="s">
        <v>6609</v>
      </c>
      <c r="M127" s="930"/>
      <c r="N127" s="69">
        <v>6</v>
      </c>
    </row>
    <row r="128" spans="1:14">
      <c r="C128" s="925">
        <v>435402</v>
      </c>
      <c r="D128" s="926" t="s">
        <v>6610</v>
      </c>
      <c r="E128" s="926" t="s">
        <v>6611</v>
      </c>
      <c r="F128" s="926" t="s">
        <v>3287</v>
      </c>
      <c r="G128" s="926" t="s">
        <v>5422</v>
      </c>
      <c r="H128" s="926">
        <v>67579</v>
      </c>
      <c r="I128" s="926" t="s">
        <v>6612</v>
      </c>
      <c r="J128" s="926" t="s">
        <v>6613</v>
      </c>
      <c r="K128" s="926"/>
      <c r="L128" s="927" t="s">
        <v>6614</v>
      </c>
      <c r="M128" s="930" t="s">
        <v>6580</v>
      </c>
      <c r="N128" s="69">
        <v>7</v>
      </c>
    </row>
    <row r="129" spans="3:14">
      <c r="C129" s="925">
        <v>1866974</v>
      </c>
      <c r="D129" s="926" t="s">
        <v>6616</v>
      </c>
      <c r="E129" s="926" t="s">
        <v>6617</v>
      </c>
      <c r="F129" s="926" t="s">
        <v>3287</v>
      </c>
      <c r="G129" s="926" t="s">
        <v>6618</v>
      </c>
      <c r="H129" s="926">
        <v>67579</v>
      </c>
      <c r="I129" s="926" t="s">
        <v>6619</v>
      </c>
      <c r="J129" s="926"/>
      <c r="K129" s="926" t="s">
        <v>4099</v>
      </c>
      <c r="L129" s="927" t="s">
        <v>3692</v>
      </c>
      <c r="M129" s="930" t="s">
        <v>6580</v>
      </c>
      <c r="N129" s="69">
        <v>8</v>
      </c>
    </row>
    <row r="130" spans="3:14">
      <c r="C130" s="925">
        <v>10454883</v>
      </c>
      <c r="D130" s="926" t="s">
        <v>6621</v>
      </c>
      <c r="E130" s="926" t="s">
        <v>6622</v>
      </c>
      <c r="F130" s="926" t="s">
        <v>3287</v>
      </c>
      <c r="G130" s="926" t="s">
        <v>5422</v>
      </c>
      <c r="H130" s="926">
        <v>67579</v>
      </c>
      <c r="I130" s="926" t="s">
        <v>6619</v>
      </c>
      <c r="J130" s="926"/>
      <c r="K130" s="926" t="s">
        <v>6623</v>
      </c>
      <c r="L130" s="927" t="s">
        <v>3292</v>
      </c>
      <c r="M130" s="930" t="s">
        <v>6580</v>
      </c>
      <c r="N130" s="69">
        <v>9</v>
      </c>
    </row>
    <row r="131" spans="3:14" ht="25.5">
      <c r="C131" s="925">
        <v>3258228</v>
      </c>
      <c r="D131" s="926" t="s">
        <v>6624</v>
      </c>
      <c r="E131" s="20" t="s">
        <v>6625</v>
      </c>
      <c r="F131" s="926" t="s">
        <v>3287</v>
      </c>
      <c r="G131" s="926" t="s">
        <v>5422</v>
      </c>
      <c r="H131" s="926">
        <v>67579</v>
      </c>
      <c r="I131" s="926"/>
      <c r="J131" s="20" t="s">
        <v>6626</v>
      </c>
      <c r="K131" s="926"/>
      <c r="L131" s="927" t="s">
        <v>6627</v>
      </c>
      <c r="M131" s="930"/>
      <c r="N131" s="69">
        <v>10</v>
      </c>
    </row>
    <row r="132" spans="3:14">
      <c r="C132" s="925">
        <v>5118361</v>
      </c>
      <c r="D132" s="926" t="s">
        <v>6643</v>
      </c>
      <c r="E132" s="926" t="s">
        <v>6644</v>
      </c>
      <c r="F132" s="926" t="s">
        <v>3287</v>
      </c>
      <c r="G132" s="926" t="s">
        <v>5422</v>
      </c>
      <c r="H132" s="926">
        <v>67579</v>
      </c>
      <c r="I132" s="926"/>
      <c r="J132" s="926"/>
      <c r="K132" s="926"/>
      <c r="L132" s="927" t="s">
        <v>6645</v>
      </c>
      <c r="M132" s="930"/>
      <c r="N132" s="69">
        <v>11</v>
      </c>
    </row>
    <row r="133" spans="3:14" ht="25.5">
      <c r="C133" s="925">
        <v>10790283</v>
      </c>
      <c r="D133" s="926" t="s">
        <v>6651</v>
      </c>
      <c r="E133" s="926" t="s">
        <v>6652</v>
      </c>
      <c r="F133" s="926" t="s">
        <v>6653</v>
      </c>
      <c r="G133" s="926" t="s">
        <v>5422</v>
      </c>
      <c r="H133" s="926">
        <v>67502</v>
      </c>
      <c r="I133" s="926" t="s">
        <v>6654</v>
      </c>
      <c r="K133" s="926"/>
      <c r="L133" s="927" t="s">
        <v>6655</v>
      </c>
      <c r="M133" s="930" t="s">
        <v>6580</v>
      </c>
      <c r="N133" s="69">
        <v>12</v>
      </c>
    </row>
    <row r="134" spans="3:14">
      <c r="C134" s="925">
        <v>10609072</v>
      </c>
      <c r="D134" s="926" t="s">
        <v>6656</v>
      </c>
      <c r="E134" s="926" t="s">
        <v>6657</v>
      </c>
      <c r="F134" s="926" t="s">
        <v>3287</v>
      </c>
      <c r="G134" s="926" t="s">
        <v>5422</v>
      </c>
      <c r="H134" s="926">
        <v>67579</v>
      </c>
      <c r="I134" s="926"/>
      <c r="J134" s="926" t="s">
        <v>6658</v>
      </c>
      <c r="K134" s="926"/>
      <c r="L134" s="927" t="s">
        <v>6659</v>
      </c>
      <c r="M134" s="930"/>
      <c r="N134" s="69">
        <v>13</v>
      </c>
    </row>
    <row r="136" spans="3:14" ht="38.25">
      <c r="C136" s="9" t="s">
        <v>6781</v>
      </c>
      <c r="D136" s="9" t="s">
        <v>6746</v>
      </c>
      <c r="L136" s="9" t="s">
        <v>6782</v>
      </c>
    </row>
    <row r="137" spans="3:14">
      <c r="D137" s="9" t="s">
        <v>6738</v>
      </c>
    </row>
    <row r="138" spans="3:14">
      <c r="D138" s="9" t="s">
        <v>6783</v>
      </c>
    </row>
    <row r="139" spans="3:14">
      <c r="D139" s="9" t="s">
        <v>6741</v>
      </c>
    </row>
  </sheetData>
  <mergeCells count="68">
    <mergeCell ref="A93:D93"/>
    <mergeCell ref="A94:D94"/>
    <mergeCell ref="A95:D95"/>
    <mergeCell ref="A96:D96"/>
    <mergeCell ref="B85:C85"/>
    <mergeCell ref="A89:D89"/>
    <mergeCell ref="A90:D90"/>
    <mergeCell ref="A91:D91"/>
    <mergeCell ref="A92:D92"/>
    <mergeCell ref="B80:C80"/>
    <mergeCell ref="B81:C81"/>
    <mergeCell ref="B82:C82"/>
    <mergeCell ref="B83:C83"/>
    <mergeCell ref="B84:C84"/>
    <mergeCell ref="B75:C75"/>
    <mergeCell ref="B76:C76"/>
    <mergeCell ref="B77:C77"/>
    <mergeCell ref="B78:C78"/>
    <mergeCell ref="B79:C79"/>
    <mergeCell ref="L67:N67"/>
    <mergeCell ref="L68:N68"/>
    <mergeCell ref="L69:N69"/>
    <mergeCell ref="A69:B69"/>
    <mergeCell ref="B74:C74"/>
    <mergeCell ref="L62:N62"/>
    <mergeCell ref="L63:N63"/>
    <mergeCell ref="L64:N64"/>
    <mergeCell ref="L65:N65"/>
    <mergeCell ref="L66:N66"/>
    <mergeCell ref="L57:N57"/>
    <mergeCell ref="L58:N58"/>
    <mergeCell ref="L59:N59"/>
    <mergeCell ref="L60:N60"/>
    <mergeCell ref="L61:N61"/>
    <mergeCell ref="L52:N52"/>
    <mergeCell ref="L53:N53"/>
    <mergeCell ref="L54:N54"/>
    <mergeCell ref="L55:N55"/>
    <mergeCell ref="L56:N56"/>
    <mergeCell ref="K41:L41"/>
    <mergeCell ref="C44:D44"/>
    <mergeCell ref="L49:N49"/>
    <mergeCell ref="L50:N50"/>
    <mergeCell ref="L51:N51"/>
    <mergeCell ref="O1:P1"/>
    <mergeCell ref="E2:H2"/>
    <mergeCell ref="E4:H4"/>
    <mergeCell ref="J35:K35"/>
    <mergeCell ref="C37:D37"/>
    <mergeCell ref="A117:D117"/>
    <mergeCell ref="A118:D118"/>
    <mergeCell ref="A104:D104"/>
    <mergeCell ref="A108:D108"/>
    <mergeCell ref="A109:D109"/>
    <mergeCell ref="A110:D110"/>
    <mergeCell ref="A111:D111"/>
    <mergeCell ref="A112:D112"/>
    <mergeCell ref="A113:D113"/>
    <mergeCell ref="A102:D102"/>
    <mergeCell ref="A103:D103"/>
    <mergeCell ref="A114:D114"/>
    <mergeCell ref="A115:D115"/>
    <mergeCell ref="A116:D116"/>
    <mergeCell ref="A97:D97"/>
    <mergeCell ref="A98:D98"/>
    <mergeCell ref="A99:D99"/>
    <mergeCell ref="A100:D100"/>
    <mergeCell ref="A101:D101"/>
  </mergeCells>
  <hyperlinks>
    <hyperlink ref="L18" r:id="rId1" xr:uid="{00000000-0004-0000-1F00-000000000000}"/>
    <hyperlink ref="L21" r:id="rId2" xr:uid="{00000000-0004-0000-1F00-000001000000}"/>
  </hyperlinks>
  <printOptions horizontalCentered="1" gridLines="1"/>
  <pageMargins left="0.7" right="0.7" top="0.75" bottom="0.75" header="0" footer="0"/>
  <pageSetup fitToHeight="0" pageOrder="overThenDown" orientation="landscape" cellComments="atEnd"/>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sheetPr>
  <dimension ref="A1:C43"/>
  <sheetViews>
    <sheetView workbookViewId="0"/>
  </sheetViews>
  <sheetFormatPr defaultColWidth="12.7109375" defaultRowHeight="12.75" customHeight="1"/>
  <cols>
    <col min="1" max="1" width="15.28515625" customWidth="1"/>
    <col min="2" max="2" width="16.28515625" customWidth="1"/>
    <col min="3" max="3" width="4.140625" customWidth="1"/>
  </cols>
  <sheetData>
    <row r="1" spans="1:2">
      <c r="A1" s="3" t="s">
        <v>6784</v>
      </c>
      <c r="B1" s="3" t="s">
        <v>6785</v>
      </c>
    </row>
    <row r="2" spans="1:2">
      <c r="A2" s="9" t="s">
        <v>6786</v>
      </c>
      <c r="B2" s="9" t="s">
        <v>6787</v>
      </c>
    </row>
    <row r="3" spans="1:2">
      <c r="A3" s="9" t="s">
        <v>6788</v>
      </c>
      <c r="B3" s="9" t="s">
        <v>4623</v>
      </c>
    </row>
    <row r="4" spans="1:2">
      <c r="A4" s="9" t="s">
        <v>6789</v>
      </c>
      <c r="B4" s="9" t="s">
        <v>6790</v>
      </c>
    </row>
    <row r="5" spans="1:2">
      <c r="A5" s="9" t="s">
        <v>6791</v>
      </c>
      <c r="B5" s="9" t="s">
        <v>6792</v>
      </c>
    </row>
    <row r="6" spans="1:2">
      <c r="A6" s="9" t="s">
        <v>6793</v>
      </c>
      <c r="B6" s="9" t="s">
        <v>4599</v>
      </c>
    </row>
    <row r="7" spans="1:2">
      <c r="A7" s="9" t="s">
        <v>6794</v>
      </c>
      <c r="B7" s="9" t="s">
        <v>4604</v>
      </c>
    </row>
    <row r="8" spans="1:2">
      <c r="A8" s="9" t="s">
        <v>6795</v>
      </c>
      <c r="B8" s="9" t="s">
        <v>4625</v>
      </c>
    </row>
    <row r="9" spans="1:2">
      <c r="A9" s="9" t="s">
        <v>6796</v>
      </c>
      <c r="B9" s="9" t="s">
        <v>6797</v>
      </c>
    </row>
    <row r="10" spans="1:2">
      <c r="A10" s="9" t="s">
        <v>6798</v>
      </c>
      <c r="B10" s="9" t="s">
        <v>6799</v>
      </c>
    </row>
    <row r="11" spans="1:2">
      <c r="A11" s="9" t="s">
        <v>6800</v>
      </c>
      <c r="B11" s="9" t="s">
        <v>4703</v>
      </c>
    </row>
    <row r="12" spans="1:2">
      <c r="A12" s="9" t="s">
        <v>6801</v>
      </c>
      <c r="B12" s="9" t="s">
        <v>4538</v>
      </c>
    </row>
    <row r="13" spans="1:2">
      <c r="A13" s="9" t="s">
        <v>6802</v>
      </c>
      <c r="B13" s="9" t="s">
        <v>4709</v>
      </c>
    </row>
    <row r="14" spans="1:2">
      <c r="A14" s="9" t="s">
        <v>6803</v>
      </c>
      <c r="B14" s="9" t="s">
        <v>4606</v>
      </c>
    </row>
    <row r="15" spans="1:2">
      <c r="A15" s="9" t="s">
        <v>6804</v>
      </c>
      <c r="B15" s="9" t="s">
        <v>6805</v>
      </c>
    </row>
    <row r="16" spans="1:2">
      <c r="A16" s="9" t="s">
        <v>6806</v>
      </c>
      <c r="B16" s="9" t="s">
        <v>4577</v>
      </c>
    </row>
    <row r="17" spans="1:2">
      <c r="A17" s="9" t="s">
        <v>6807</v>
      </c>
      <c r="B17" s="9" t="s">
        <v>4728</v>
      </c>
    </row>
    <row r="18" spans="1:2">
      <c r="A18" s="9" t="s">
        <v>6808</v>
      </c>
      <c r="B18" s="9" t="s">
        <v>4681</v>
      </c>
    </row>
    <row r="19" spans="1:2">
      <c r="A19" s="9" t="s">
        <v>6809</v>
      </c>
      <c r="B19" s="9" t="s">
        <v>4587</v>
      </c>
    </row>
    <row r="20" spans="1:2">
      <c r="A20" s="9" t="s">
        <v>6810</v>
      </c>
      <c r="B20" s="9" t="s">
        <v>4678</v>
      </c>
    </row>
    <row r="21" spans="1:2">
      <c r="A21" s="9" t="s">
        <v>6811</v>
      </c>
      <c r="B21" s="9" t="s">
        <v>4574</v>
      </c>
    </row>
    <row r="22" spans="1:2">
      <c r="A22" s="9" t="s">
        <v>6812</v>
      </c>
      <c r="B22" s="9" t="s">
        <v>4667</v>
      </c>
    </row>
    <row r="23" spans="1:2">
      <c r="A23" s="9" t="s">
        <v>6813</v>
      </c>
      <c r="B23" s="9" t="s">
        <v>6814</v>
      </c>
    </row>
    <row r="24" spans="1:2">
      <c r="A24" s="9" t="s">
        <v>6815</v>
      </c>
      <c r="B24" s="9" t="s">
        <v>4652</v>
      </c>
    </row>
    <row r="25" spans="1:2">
      <c r="A25" s="9" t="s">
        <v>6816</v>
      </c>
      <c r="B25" s="9" t="s">
        <v>4564</v>
      </c>
    </row>
    <row r="26" spans="1:2">
      <c r="A26" s="9" t="s">
        <v>6817</v>
      </c>
      <c r="B26" s="9" t="s">
        <v>4568</v>
      </c>
    </row>
    <row r="27" spans="1:2">
      <c r="A27" s="9" t="s">
        <v>6818</v>
      </c>
      <c r="B27" s="9" t="s">
        <v>4536</v>
      </c>
    </row>
    <row r="28" spans="1:2">
      <c r="A28" s="9" t="s">
        <v>1749</v>
      </c>
      <c r="B28" s="9" t="s">
        <v>6819</v>
      </c>
    </row>
    <row r="29" spans="1:2">
      <c r="A29" s="9" t="s">
        <v>6820</v>
      </c>
      <c r="B29" s="9" t="s">
        <v>6821</v>
      </c>
    </row>
    <row r="30" spans="1:2">
      <c r="A30" s="9" t="s">
        <v>6822</v>
      </c>
      <c r="B30" s="9" t="s">
        <v>4597</v>
      </c>
    </row>
    <row r="31" spans="1:2">
      <c r="A31" s="9" t="s">
        <v>6823</v>
      </c>
      <c r="B31" s="9" t="s">
        <v>6824</v>
      </c>
    </row>
    <row r="32" spans="1:2">
      <c r="A32" s="9" t="s">
        <v>6825</v>
      </c>
      <c r="B32" s="9" t="s">
        <v>4693</v>
      </c>
    </row>
    <row r="33" spans="1:3">
      <c r="A33" s="9" t="s">
        <v>6826</v>
      </c>
      <c r="B33" s="9" t="s">
        <v>6827</v>
      </c>
    </row>
    <row r="34" spans="1:3">
      <c r="A34" s="9" t="s">
        <v>6828</v>
      </c>
      <c r="B34" s="9" t="s">
        <v>6829</v>
      </c>
    </row>
    <row r="35" spans="1:3">
      <c r="B35" s="9" t="s">
        <v>6830</v>
      </c>
    </row>
    <row r="36" spans="1:3">
      <c r="B36" s="9" t="s">
        <v>4584</v>
      </c>
    </row>
    <row r="37" spans="1:3">
      <c r="B37" s="9" t="s">
        <v>6831</v>
      </c>
    </row>
    <row r="38" spans="1:3">
      <c r="B38" s="9" t="s">
        <v>6832</v>
      </c>
    </row>
    <row r="39" spans="1:3">
      <c r="B39" s="9" t="s">
        <v>6833</v>
      </c>
    </row>
    <row r="40" spans="1:3">
      <c r="B40" s="9" t="s">
        <v>6834</v>
      </c>
    </row>
    <row r="41" spans="1:3">
      <c r="B41" s="9" t="s">
        <v>4547</v>
      </c>
    </row>
    <row r="42" spans="1:3">
      <c r="B42" s="9" t="s">
        <v>4642</v>
      </c>
    </row>
    <row r="43" spans="1:3">
      <c r="B43" s="9" t="s">
        <v>4716</v>
      </c>
      <c r="C43" s="9">
        <v>42</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R79"/>
  <sheetViews>
    <sheetView workbookViewId="0"/>
  </sheetViews>
  <sheetFormatPr defaultColWidth="12.7109375" defaultRowHeight="12.75" customHeight="1"/>
  <cols>
    <col min="1" max="1" width="2.28515625" customWidth="1"/>
    <col min="2" max="2" width="19.85546875" customWidth="1"/>
    <col min="3" max="14" width="9.85546875" customWidth="1"/>
    <col min="15" max="15" width="9.28515625" customWidth="1"/>
    <col min="16" max="16" width="2.42578125" customWidth="1"/>
    <col min="17" max="17" width="8.28515625" customWidth="1"/>
  </cols>
  <sheetData>
    <row r="1" spans="1:17">
      <c r="B1" s="938" t="s">
        <v>5755</v>
      </c>
      <c r="C1" s="938" t="s">
        <v>6835</v>
      </c>
      <c r="D1" s="938" t="s">
        <v>6836</v>
      </c>
      <c r="E1" s="938" t="s">
        <v>6837</v>
      </c>
      <c r="F1" s="938" t="s">
        <v>6838</v>
      </c>
      <c r="G1" s="938" t="s">
        <v>6839</v>
      </c>
      <c r="H1" s="938" t="s">
        <v>6840</v>
      </c>
      <c r="I1" s="938" t="s">
        <v>6841</v>
      </c>
      <c r="J1" s="938" t="s">
        <v>6842</v>
      </c>
      <c r="K1" s="938" t="s">
        <v>6843</v>
      </c>
      <c r="L1" s="938" t="s">
        <v>6844</v>
      </c>
      <c r="M1" s="660"/>
      <c r="N1" s="660"/>
      <c r="O1" s="660"/>
      <c r="P1" s="660"/>
    </row>
    <row r="2" spans="1:17">
      <c r="A2" s="714"/>
      <c r="B2" s="2126" t="s">
        <v>6845</v>
      </c>
      <c r="C2" s="2127"/>
      <c r="D2" s="2127"/>
      <c r="E2" s="2127"/>
      <c r="F2" s="2127"/>
      <c r="G2" s="2127"/>
      <c r="H2" s="2127"/>
      <c r="I2" s="2127"/>
      <c r="J2" s="2127"/>
      <c r="K2" s="2127"/>
      <c r="L2" s="2127"/>
      <c r="M2" s="2127"/>
      <c r="N2" s="2127"/>
      <c r="O2" s="2128"/>
      <c r="P2" s="661"/>
    </row>
    <row r="3" spans="1:17">
      <c r="A3" s="714"/>
      <c r="B3" s="662" t="s">
        <v>6846</v>
      </c>
      <c r="C3" s="663" t="s">
        <v>143</v>
      </c>
      <c r="D3" s="663" t="s">
        <v>26</v>
      </c>
      <c r="E3" s="663" t="s">
        <v>25</v>
      </c>
      <c r="F3" s="663" t="s">
        <v>24</v>
      </c>
      <c r="G3" s="663" t="s">
        <v>23</v>
      </c>
      <c r="H3" s="663" t="s">
        <v>22</v>
      </c>
      <c r="I3" s="663" t="s">
        <v>21</v>
      </c>
      <c r="J3" s="663" t="s">
        <v>20</v>
      </c>
      <c r="K3" s="663" t="s">
        <v>256</v>
      </c>
      <c r="L3" s="663" t="s">
        <v>18</v>
      </c>
      <c r="M3" s="663" t="s">
        <v>17</v>
      </c>
      <c r="N3" s="663" t="s">
        <v>86</v>
      </c>
      <c r="O3" s="664" t="s">
        <v>67</v>
      </c>
      <c r="P3" s="665"/>
    </row>
    <row r="4" spans="1:17">
      <c r="A4" s="714"/>
      <c r="B4" s="666" t="s">
        <v>6847</v>
      </c>
      <c r="C4" s="667"/>
      <c r="D4" s="667"/>
      <c r="E4" s="667"/>
      <c r="F4" s="667"/>
      <c r="G4" s="667"/>
      <c r="H4" s="667"/>
      <c r="I4" s="667"/>
      <c r="J4" s="667"/>
      <c r="K4" s="667"/>
      <c r="L4" s="667"/>
      <c r="M4" s="667"/>
      <c r="N4" s="667"/>
      <c r="O4" s="668">
        <f>SUM(C4:N4)</f>
        <v>0</v>
      </c>
      <c r="P4" s="669"/>
    </row>
    <row r="5" spans="1:17">
      <c r="A5" s="714"/>
      <c r="B5" s="666" t="s">
        <v>4397</v>
      </c>
      <c r="C5" s="671"/>
      <c r="D5" s="671"/>
      <c r="E5" s="671"/>
      <c r="F5" s="671"/>
      <c r="G5" s="671"/>
      <c r="H5" s="671"/>
      <c r="I5" s="671"/>
      <c r="J5" s="671"/>
      <c r="K5" s="671"/>
      <c r="L5" s="671"/>
      <c r="M5" s="671"/>
      <c r="N5" s="671"/>
      <c r="O5" s="668"/>
      <c r="P5" s="672"/>
      <c r="Q5" s="9" t="s">
        <v>4392</v>
      </c>
    </row>
    <row r="6" spans="1:17">
      <c r="A6" s="714"/>
      <c r="B6" s="674" t="s">
        <v>1121</v>
      </c>
      <c r="C6" s="675">
        <v>800</v>
      </c>
      <c r="D6" s="675">
        <v>800</v>
      </c>
      <c r="E6" s="675">
        <v>800</v>
      </c>
      <c r="F6" s="675">
        <v>800</v>
      </c>
      <c r="G6" s="675">
        <v>800</v>
      </c>
      <c r="H6" s="675">
        <v>800</v>
      </c>
      <c r="I6" s="675">
        <v>800</v>
      </c>
      <c r="J6" s="675">
        <v>800</v>
      </c>
      <c r="K6" s="675">
        <v>800</v>
      </c>
      <c r="L6" s="675">
        <v>800</v>
      </c>
      <c r="M6" s="675">
        <v>800</v>
      </c>
      <c r="N6" s="675">
        <v>800</v>
      </c>
      <c r="O6" s="677">
        <f>SUM(C6:N6)</f>
        <v>9600</v>
      </c>
      <c r="P6" s="672"/>
    </row>
    <row r="7" spans="1:17">
      <c r="A7" s="714"/>
      <c r="B7" s="674" t="s">
        <v>6848</v>
      </c>
      <c r="C7" s="675"/>
      <c r="D7" s="675"/>
      <c r="E7" s="675"/>
      <c r="F7" s="675"/>
      <c r="G7" s="675"/>
      <c r="H7" s="675"/>
      <c r="I7" s="675"/>
      <c r="J7" s="675"/>
      <c r="K7" s="675"/>
      <c r="L7" s="675"/>
      <c r="M7" s="676"/>
      <c r="N7" s="675"/>
      <c r="O7" s="677">
        <f>SUM(C7:N7)</f>
        <v>0</v>
      </c>
      <c r="P7" s="672"/>
    </row>
    <row r="8" spans="1:17">
      <c r="A8" s="714"/>
      <c r="B8" s="674" t="s">
        <v>6849</v>
      </c>
      <c r="C8" s="675"/>
      <c r="D8" s="675"/>
      <c r="E8" s="675"/>
      <c r="F8" s="675"/>
      <c r="G8" s="675"/>
      <c r="H8" s="675"/>
      <c r="I8" s="675"/>
      <c r="J8" s="675"/>
      <c r="K8" s="675"/>
      <c r="L8" s="675"/>
      <c r="M8" s="675"/>
      <c r="N8" s="675"/>
      <c r="O8" s="677">
        <f>SUM(C8:N8)</f>
        <v>0</v>
      </c>
      <c r="P8" s="681"/>
      <c r="Q8" s="16" t="e">
        <f>AVERAGE(I8:M8)</f>
        <v>#DIV/0!</v>
      </c>
    </row>
    <row r="9" spans="1:17">
      <c r="A9" s="714"/>
      <c r="B9" s="674" t="s">
        <v>6850</v>
      </c>
      <c r="C9" s="675"/>
      <c r="D9" s="675"/>
      <c r="E9" s="675"/>
      <c r="F9" s="675"/>
      <c r="G9" s="675">
        <v>125.12</v>
      </c>
      <c r="H9" s="675"/>
      <c r="I9" s="675"/>
      <c r="J9" s="675"/>
      <c r="K9" s="675"/>
      <c r="L9" s="675"/>
      <c r="M9" s="675"/>
      <c r="N9" s="675"/>
      <c r="O9" s="677">
        <f>SUM(C9:N9)</f>
        <v>125.12</v>
      </c>
      <c r="P9" s="672"/>
      <c r="Q9" s="16" t="e">
        <f>AVERAGE(I9:L9)</f>
        <v>#DIV/0!</v>
      </c>
    </row>
    <row r="10" spans="1:17">
      <c r="A10" s="714"/>
      <c r="B10" s="939" t="s">
        <v>6851</v>
      </c>
      <c r="C10" s="940">
        <v>610.16</v>
      </c>
      <c r="D10" s="940"/>
      <c r="E10" s="940"/>
      <c r="F10" s="940"/>
      <c r="G10" s="940"/>
      <c r="H10" s="940"/>
      <c r="I10" s="940"/>
      <c r="J10" s="940"/>
      <c r="K10" s="940"/>
      <c r="L10" s="940"/>
      <c r="M10" s="940"/>
      <c r="N10" s="940"/>
      <c r="O10" s="941">
        <f>SUM(C10:M10)</f>
        <v>610.16</v>
      </c>
      <c r="P10" s="672"/>
      <c r="Q10" s="16" t="e">
        <f>AVERAGE(H10:N10)</f>
        <v>#DIV/0!</v>
      </c>
    </row>
    <row r="11" spans="1:17">
      <c r="A11" s="714"/>
      <c r="B11" s="942" t="s">
        <v>6852</v>
      </c>
      <c r="C11" s="680"/>
      <c r="D11" s="680"/>
      <c r="E11" s="680"/>
      <c r="F11" s="680"/>
      <c r="G11" s="680"/>
      <c r="H11" s="680"/>
      <c r="I11" s="680"/>
      <c r="J11" s="680"/>
      <c r="K11" s="680"/>
      <c r="L11" s="680"/>
      <c r="M11" s="680"/>
      <c r="N11" s="680"/>
      <c r="O11" s="943">
        <f>SUM(C11:N11)</f>
        <v>0</v>
      </c>
      <c r="P11" s="672"/>
    </row>
    <row r="12" spans="1:17">
      <c r="A12" s="714"/>
      <c r="B12" s="674" t="s">
        <v>6853</v>
      </c>
      <c r="C12" s="675"/>
      <c r="D12" s="675"/>
      <c r="E12" s="675"/>
      <c r="F12" s="685"/>
      <c r="G12" s="675"/>
      <c r="H12" s="675"/>
      <c r="I12" s="675"/>
      <c r="J12" s="675"/>
      <c r="K12" s="675"/>
      <c r="L12" s="685"/>
      <c r="M12" s="675"/>
      <c r="N12" s="675"/>
      <c r="O12" s="677"/>
      <c r="P12" s="672"/>
    </row>
    <row r="13" spans="1:17">
      <c r="A13" s="714"/>
      <c r="B13" s="674" t="s">
        <v>6854</v>
      </c>
      <c r="C13" s="675"/>
      <c r="D13" s="675"/>
      <c r="E13" s="675"/>
      <c r="F13" s="675"/>
      <c r="G13" s="675"/>
      <c r="H13" s="675"/>
      <c r="I13" s="675"/>
      <c r="J13" s="675"/>
      <c r="K13" s="675"/>
      <c r="L13" s="675"/>
      <c r="M13" s="675"/>
      <c r="N13" s="675"/>
      <c r="O13" s="677"/>
      <c r="P13" s="672"/>
    </row>
    <row r="14" spans="1:17">
      <c r="A14" s="714"/>
      <c r="B14" s="674" t="s">
        <v>6855</v>
      </c>
      <c r="C14" s="675"/>
      <c r="D14" s="675"/>
      <c r="E14" s="675"/>
      <c r="F14" s="675"/>
      <c r="G14" s="675"/>
      <c r="H14" s="675"/>
      <c r="I14" s="675"/>
      <c r="J14" s="675"/>
      <c r="K14" s="675"/>
      <c r="L14" s="675"/>
      <c r="M14" s="675"/>
      <c r="N14" s="675"/>
      <c r="O14" s="677">
        <f>SUM(C14:N14)</f>
        <v>0</v>
      </c>
      <c r="P14" s="672"/>
    </row>
    <row r="15" spans="1:17">
      <c r="A15" s="714"/>
      <c r="B15" s="674" t="s">
        <v>6856</v>
      </c>
      <c r="C15" s="675"/>
      <c r="D15" s="675"/>
      <c r="E15" s="675"/>
      <c r="F15" s="675"/>
      <c r="G15" s="675"/>
      <c r="H15" s="675"/>
      <c r="I15" s="675"/>
      <c r="J15" s="675"/>
      <c r="K15" s="675"/>
      <c r="L15" s="675"/>
      <c r="M15" s="675"/>
      <c r="N15" s="675"/>
      <c r="O15" s="677">
        <f>SUM(C15:N15)</f>
        <v>0</v>
      </c>
      <c r="P15" s="672"/>
    </row>
    <row r="16" spans="1:17">
      <c r="A16" s="714"/>
      <c r="B16" s="674" t="s">
        <v>6857</v>
      </c>
      <c r="C16" s="687"/>
      <c r="D16" s="687"/>
      <c r="E16" s="687"/>
      <c r="F16" s="687"/>
      <c r="G16" s="687"/>
      <c r="H16" s="687"/>
      <c r="I16" s="687"/>
      <c r="J16" s="687"/>
      <c r="K16" s="944"/>
      <c r="L16" s="687"/>
      <c r="M16" s="687"/>
      <c r="N16" s="687"/>
      <c r="O16" s="677">
        <f>SUM(C16:N16)</f>
        <v>0</v>
      </c>
      <c r="P16" s="672"/>
    </row>
    <row r="17" spans="1:17">
      <c r="A17" s="714"/>
      <c r="B17" s="674" t="s">
        <v>6858</v>
      </c>
      <c r="C17" s="675"/>
      <c r="D17" s="675"/>
      <c r="E17" s="675"/>
      <c r="F17" s="675"/>
      <c r="G17" s="675"/>
      <c r="H17" s="675"/>
      <c r="I17" s="675"/>
      <c r="J17" s="675"/>
      <c r="K17" s="675"/>
      <c r="L17" s="675"/>
      <c r="M17" s="675"/>
      <c r="N17" s="675"/>
      <c r="O17" s="668"/>
      <c r="P17" s="672"/>
    </row>
    <row r="18" spans="1:17">
      <c r="A18" s="714"/>
      <c r="B18" s="674" t="s">
        <v>6859</v>
      </c>
      <c r="C18" s="945"/>
      <c r="D18" s="945"/>
      <c r="E18" s="945"/>
      <c r="F18" s="945"/>
      <c r="G18" s="945"/>
      <c r="H18" s="945"/>
      <c r="I18" s="945"/>
      <c r="J18" s="945"/>
      <c r="K18" s="945"/>
      <c r="L18" s="945"/>
      <c r="M18" s="945"/>
      <c r="N18" s="945"/>
      <c r="O18" s="668">
        <f>SUM(C18:N18)</f>
        <v>0</v>
      </c>
      <c r="P18" s="672"/>
    </row>
    <row r="19" spans="1:17">
      <c r="A19" s="714"/>
      <c r="B19" s="666" t="s">
        <v>6323</v>
      </c>
      <c r="C19" s="677">
        <f t="shared" ref="C19:N19" si="0">SUM(C18)</f>
        <v>0</v>
      </c>
      <c r="D19" s="677">
        <f t="shared" si="0"/>
        <v>0</v>
      </c>
      <c r="E19" s="677">
        <f t="shared" si="0"/>
        <v>0</v>
      </c>
      <c r="F19" s="677">
        <f t="shared" si="0"/>
        <v>0</v>
      </c>
      <c r="G19" s="677">
        <f t="shared" si="0"/>
        <v>0</v>
      </c>
      <c r="H19" s="677">
        <f t="shared" si="0"/>
        <v>0</v>
      </c>
      <c r="I19" s="677">
        <f t="shared" si="0"/>
        <v>0</v>
      </c>
      <c r="J19" s="677">
        <f t="shared" si="0"/>
        <v>0</v>
      </c>
      <c r="K19" s="677">
        <f t="shared" si="0"/>
        <v>0</v>
      </c>
      <c r="L19" s="677">
        <f t="shared" si="0"/>
        <v>0</v>
      </c>
      <c r="M19" s="677">
        <f t="shared" si="0"/>
        <v>0</v>
      </c>
      <c r="N19" s="677">
        <f t="shared" si="0"/>
        <v>0</v>
      </c>
      <c r="O19" s="668">
        <f>SUM(C19:N19)</f>
        <v>0</v>
      </c>
      <c r="P19" s="669"/>
    </row>
    <row r="20" spans="1:17">
      <c r="A20" s="714"/>
      <c r="B20" s="689" t="s">
        <v>1126</v>
      </c>
      <c r="C20" s="690">
        <f t="shared" ref="C20:O20" si="1">SUM(C6:C18)</f>
        <v>1410.1599999999999</v>
      </c>
      <c r="D20" s="690">
        <f t="shared" si="1"/>
        <v>800</v>
      </c>
      <c r="E20" s="690">
        <f t="shared" si="1"/>
        <v>800</v>
      </c>
      <c r="F20" s="690">
        <f t="shared" si="1"/>
        <v>800</v>
      </c>
      <c r="G20" s="690">
        <f t="shared" si="1"/>
        <v>925.12</v>
      </c>
      <c r="H20" s="690">
        <f t="shared" si="1"/>
        <v>800</v>
      </c>
      <c r="I20" s="690">
        <f t="shared" si="1"/>
        <v>800</v>
      </c>
      <c r="J20" s="690">
        <f t="shared" si="1"/>
        <v>800</v>
      </c>
      <c r="K20" s="690">
        <f t="shared" si="1"/>
        <v>800</v>
      </c>
      <c r="L20" s="690">
        <f t="shared" si="1"/>
        <v>800</v>
      </c>
      <c r="M20" s="690">
        <f t="shared" si="1"/>
        <v>800</v>
      </c>
      <c r="N20" s="690">
        <f t="shared" si="1"/>
        <v>800</v>
      </c>
      <c r="O20" s="690">
        <f t="shared" si="1"/>
        <v>10335.280000000001</v>
      </c>
      <c r="P20" s="691"/>
    </row>
    <row r="21" spans="1:17">
      <c r="A21" s="715"/>
      <c r="B21" s="692" t="s">
        <v>791</v>
      </c>
      <c r="C21" s="946">
        <f t="shared" ref="C21:O21" si="2">C4-C20</f>
        <v>-1410.1599999999999</v>
      </c>
      <c r="D21" s="946">
        <f t="shared" si="2"/>
        <v>-800</v>
      </c>
      <c r="E21" s="946">
        <f t="shared" si="2"/>
        <v>-800</v>
      </c>
      <c r="F21" s="946">
        <f t="shared" si="2"/>
        <v>-800</v>
      </c>
      <c r="G21" s="946">
        <f t="shared" si="2"/>
        <v>-925.12</v>
      </c>
      <c r="H21" s="946">
        <f t="shared" si="2"/>
        <v>-800</v>
      </c>
      <c r="I21" s="946">
        <f t="shared" si="2"/>
        <v>-800</v>
      </c>
      <c r="J21" s="946">
        <f t="shared" si="2"/>
        <v>-800</v>
      </c>
      <c r="K21" s="946">
        <f t="shared" si="2"/>
        <v>-800</v>
      </c>
      <c r="L21" s="693">
        <f t="shared" si="2"/>
        <v>-800</v>
      </c>
      <c r="M21" s="693">
        <f t="shared" si="2"/>
        <v>-800</v>
      </c>
      <c r="N21" s="693">
        <f t="shared" si="2"/>
        <v>-800</v>
      </c>
      <c r="O21" s="693">
        <f t="shared" si="2"/>
        <v>-10335.280000000001</v>
      </c>
      <c r="P21" s="694"/>
    </row>
    <row r="22" spans="1:17">
      <c r="A22" s="947"/>
      <c r="B22" s="674" t="s">
        <v>6860</v>
      </c>
      <c r="C22" s="948"/>
      <c r="D22" s="948"/>
      <c r="E22" s="948"/>
      <c r="F22" s="948"/>
      <c r="G22" s="948"/>
      <c r="H22" s="948"/>
      <c r="I22" s="948"/>
      <c r="J22" s="948"/>
      <c r="K22" s="948">
        <f>20000+800+500+800</f>
        <v>22100</v>
      </c>
      <c r="L22" s="949">
        <v>0</v>
      </c>
      <c r="M22" s="950">
        <v>0</v>
      </c>
      <c r="N22" s="951">
        <v>0</v>
      </c>
      <c r="O22" s="952">
        <f>SUM(C22:N22)</f>
        <v>22100</v>
      </c>
      <c r="P22" s="953"/>
    </row>
    <row r="23" spans="1:17">
      <c r="A23" s="692"/>
      <c r="B23" s="709" t="s">
        <v>6861</v>
      </c>
      <c r="C23" s="954">
        <f t="shared" ref="C23:O23" si="3">C21-C22</f>
        <v>-1410.1599999999999</v>
      </c>
      <c r="D23" s="954">
        <f t="shared" si="3"/>
        <v>-800</v>
      </c>
      <c r="E23" s="954">
        <f t="shared" si="3"/>
        <v>-800</v>
      </c>
      <c r="F23" s="955">
        <f t="shared" si="3"/>
        <v>-800</v>
      </c>
      <c r="G23" s="954">
        <f t="shared" si="3"/>
        <v>-925.12</v>
      </c>
      <c r="H23" s="955">
        <f t="shared" si="3"/>
        <v>-800</v>
      </c>
      <c r="I23" s="955">
        <f t="shared" si="3"/>
        <v>-800</v>
      </c>
      <c r="J23" s="955">
        <f t="shared" si="3"/>
        <v>-800</v>
      </c>
      <c r="K23" s="955">
        <f t="shared" si="3"/>
        <v>-22900</v>
      </c>
      <c r="L23" s="956">
        <f t="shared" si="3"/>
        <v>-800</v>
      </c>
      <c r="M23" s="956">
        <f t="shared" si="3"/>
        <v>-800</v>
      </c>
      <c r="N23" s="956">
        <f t="shared" si="3"/>
        <v>-800</v>
      </c>
      <c r="O23" s="956">
        <f t="shared" si="3"/>
        <v>-32435.279999999999</v>
      </c>
      <c r="P23" s="709"/>
    </row>
    <row r="24" spans="1:17">
      <c r="A24" s="660"/>
      <c r="B24" s="660" t="s">
        <v>4822</v>
      </c>
      <c r="C24" s="2151" t="s">
        <v>6862</v>
      </c>
      <c r="D24" s="2152"/>
      <c r="E24" s="2152"/>
      <c r="F24" s="2152"/>
      <c r="G24" s="660"/>
      <c r="H24" s="660"/>
      <c r="I24" s="660"/>
      <c r="J24" s="660"/>
      <c r="K24" s="660"/>
      <c r="L24" s="660"/>
      <c r="M24" s="660"/>
      <c r="N24" s="660"/>
      <c r="O24" s="660"/>
      <c r="P24" s="660"/>
    </row>
    <row r="25" spans="1:17">
      <c r="B25" s="660"/>
      <c r="C25" s="660"/>
      <c r="D25" s="660"/>
      <c r="E25" s="660"/>
      <c r="F25" s="660"/>
      <c r="G25" s="660"/>
      <c r="H25" s="660"/>
      <c r="I25" s="660"/>
      <c r="J25" s="660"/>
      <c r="K25" s="660"/>
      <c r="L25" s="660"/>
      <c r="M25" s="660"/>
      <c r="N25" s="660"/>
      <c r="O25" s="660"/>
      <c r="P25" s="660"/>
    </row>
    <row r="26" spans="1:17">
      <c r="A26" s="714"/>
      <c r="B26" s="2126" t="s">
        <v>4389</v>
      </c>
      <c r="C26" s="2127"/>
      <c r="D26" s="2127"/>
      <c r="E26" s="2127"/>
      <c r="F26" s="2127"/>
      <c r="G26" s="2127"/>
      <c r="H26" s="2127"/>
      <c r="I26" s="2127"/>
      <c r="J26" s="2127"/>
      <c r="K26" s="2127"/>
      <c r="L26" s="2127"/>
      <c r="M26" s="2127"/>
      <c r="N26" s="2127"/>
      <c r="O26" s="2128"/>
      <c r="P26" s="661"/>
    </row>
    <row r="27" spans="1:17">
      <c r="A27" s="714"/>
      <c r="B27" s="662" t="s">
        <v>6846</v>
      </c>
      <c r="C27" s="663" t="s">
        <v>143</v>
      </c>
      <c r="D27" s="663" t="s">
        <v>26</v>
      </c>
      <c r="E27" s="663" t="s">
        <v>25</v>
      </c>
      <c r="F27" s="663" t="s">
        <v>24</v>
      </c>
      <c r="G27" s="663" t="s">
        <v>23</v>
      </c>
      <c r="H27" s="663" t="s">
        <v>22</v>
      </c>
      <c r="I27" s="663" t="s">
        <v>21</v>
      </c>
      <c r="J27" s="663" t="s">
        <v>20</v>
      </c>
      <c r="K27" s="663" t="s">
        <v>256</v>
      </c>
      <c r="L27" s="663" t="s">
        <v>18</v>
      </c>
      <c r="M27" s="663" t="s">
        <v>17</v>
      </c>
      <c r="N27" s="663" t="s">
        <v>86</v>
      </c>
      <c r="O27" s="664" t="s">
        <v>67</v>
      </c>
      <c r="P27" s="665"/>
      <c r="Q27" s="9" t="s">
        <v>4392</v>
      </c>
    </row>
    <row r="28" spans="1:17">
      <c r="A28" s="714"/>
      <c r="B28" s="666" t="s">
        <v>4395</v>
      </c>
      <c r="C28" s="667"/>
      <c r="D28" s="667"/>
      <c r="E28" s="667"/>
      <c r="F28" s="667"/>
      <c r="G28" s="667"/>
      <c r="H28" s="667"/>
      <c r="I28" s="667"/>
      <c r="J28" s="667"/>
      <c r="K28" s="667"/>
      <c r="L28" s="667"/>
      <c r="M28" s="667"/>
      <c r="N28" s="667"/>
      <c r="O28" s="668">
        <f>SUM(C28:N28)</f>
        <v>0</v>
      </c>
      <c r="P28" s="669"/>
    </row>
    <row r="29" spans="1:17">
      <c r="A29" s="714"/>
      <c r="B29" s="666" t="s">
        <v>4397</v>
      </c>
      <c r="C29" s="671"/>
      <c r="D29" s="671"/>
      <c r="E29" s="671"/>
      <c r="F29" s="671"/>
      <c r="G29" s="671"/>
      <c r="H29" s="671"/>
      <c r="I29" s="671"/>
      <c r="J29" s="671"/>
      <c r="K29" s="671"/>
      <c r="L29" s="671"/>
      <c r="M29" s="671"/>
      <c r="N29" s="671"/>
      <c r="O29" s="668"/>
      <c r="P29" s="672"/>
    </row>
    <row r="30" spans="1:17">
      <c r="A30" s="714"/>
      <c r="B30" s="674" t="s">
        <v>4399</v>
      </c>
      <c r="C30" s="675"/>
      <c r="D30" s="675"/>
      <c r="E30" s="675"/>
      <c r="F30" s="675"/>
      <c r="G30" s="675"/>
      <c r="H30" s="675"/>
      <c r="I30" s="675"/>
      <c r="J30" s="675"/>
      <c r="K30" s="675"/>
      <c r="L30" s="676">
        <f>2279.62</f>
        <v>2279.62</v>
      </c>
      <c r="M30" s="675"/>
      <c r="N30" s="675"/>
      <c r="O30" s="677">
        <f t="shared" ref="O30:O42" si="4">SUM(C30:N30)</f>
        <v>2279.62</v>
      </c>
      <c r="P30" s="672"/>
      <c r="Q30" s="84">
        <v>0</v>
      </c>
    </row>
    <row r="31" spans="1:17">
      <c r="A31" s="714"/>
      <c r="B31" s="680" t="s">
        <v>4401</v>
      </c>
      <c r="C31" s="680">
        <v>3.75</v>
      </c>
      <c r="D31" s="680">
        <v>3.75</v>
      </c>
      <c r="E31" s="680">
        <v>3.75</v>
      </c>
      <c r="F31" s="680">
        <v>3.75</v>
      </c>
      <c r="G31" s="680">
        <v>3.75</v>
      </c>
      <c r="H31" s="680">
        <v>3.75</v>
      </c>
      <c r="I31" s="680">
        <v>3.75</v>
      </c>
      <c r="J31" s="680">
        <v>3.75</v>
      </c>
      <c r="K31" s="680">
        <v>3.75</v>
      </c>
      <c r="L31" s="680">
        <v>3.75</v>
      </c>
      <c r="M31" s="680">
        <v>3.75</v>
      </c>
      <c r="N31" s="680">
        <v>3.75</v>
      </c>
      <c r="O31" s="677">
        <f t="shared" si="4"/>
        <v>45</v>
      </c>
      <c r="P31" s="681"/>
      <c r="Q31" s="16">
        <f t="shared" ref="Q31:Q40" si="5">AVERAGE(C31:N31)</f>
        <v>3.75</v>
      </c>
    </row>
    <row r="32" spans="1:17">
      <c r="A32" s="714"/>
      <c r="B32" s="685" t="s">
        <v>4403</v>
      </c>
      <c r="C32" s="685">
        <v>111.02</v>
      </c>
      <c r="D32" s="685">
        <v>123.88</v>
      </c>
      <c r="E32" s="685">
        <v>156.09</v>
      </c>
      <c r="F32" s="685">
        <v>129.68</v>
      </c>
      <c r="G32" s="685">
        <v>64.67</v>
      </c>
      <c r="H32" s="685">
        <v>36.78</v>
      </c>
      <c r="I32" s="685">
        <v>123.39</v>
      </c>
      <c r="J32" s="685">
        <v>91.28</v>
      </c>
      <c r="K32" s="685">
        <v>19.149999999999999</v>
      </c>
      <c r="L32" s="685">
        <v>100.61</v>
      </c>
      <c r="M32" s="685">
        <v>79.790000000000006</v>
      </c>
      <c r="N32" s="685">
        <v>186.73</v>
      </c>
      <c r="O32" s="677">
        <f t="shared" si="4"/>
        <v>1223.07</v>
      </c>
      <c r="P32" s="681"/>
      <c r="Q32" s="16">
        <f t="shared" si="5"/>
        <v>101.9225</v>
      </c>
    </row>
    <row r="33" spans="1:17">
      <c r="A33" s="714"/>
      <c r="B33" s="675" t="s">
        <v>4406</v>
      </c>
      <c r="C33" s="675">
        <v>21.35</v>
      </c>
      <c r="D33" s="675">
        <v>25.05</v>
      </c>
      <c r="E33" s="675">
        <v>32.07</v>
      </c>
      <c r="F33" s="675">
        <v>26.67</v>
      </c>
      <c r="G33" s="675">
        <v>12.95</v>
      </c>
      <c r="H33" s="675">
        <v>7.07</v>
      </c>
      <c r="I33" s="675">
        <v>25.41</v>
      </c>
      <c r="J33" s="675">
        <v>18.489999999999998</v>
      </c>
      <c r="K33" s="675">
        <v>3.09</v>
      </c>
      <c r="L33" s="675">
        <v>19.54</v>
      </c>
      <c r="M33" s="675">
        <v>15.08</v>
      </c>
      <c r="N33" s="675">
        <v>35.979999999999997</v>
      </c>
      <c r="O33" s="677">
        <f t="shared" si="4"/>
        <v>242.75</v>
      </c>
      <c r="P33" s="681"/>
      <c r="Q33" s="16">
        <f t="shared" si="5"/>
        <v>20.229166666666668</v>
      </c>
    </row>
    <row r="34" spans="1:17">
      <c r="A34" s="714"/>
      <c r="B34" s="685" t="s">
        <v>4408</v>
      </c>
      <c r="C34" s="685">
        <v>10.55</v>
      </c>
      <c r="D34" s="685">
        <v>10.55</v>
      </c>
      <c r="E34" s="685">
        <v>10.55</v>
      </c>
      <c r="F34" s="685">
        <v>10.55</v>
      </c>
      <c r="G34" s="685">
        <v>10.55</v>
      </c>
      <c r="H34" s="685">
        <v>8.75</v>
      </c>
      <c r="I34" s="685">
        <v>8.75</v>
      </c>
      <c r="J34" s="685">
        <v>8.75</v>
      </c>
      <c r="K34" s="685">
        <v>8.75</v>
      </c>
      <c r="L34" s="685">
        <v>8.75</v>
      </c>
      <c r="M34" s="685">
        <v>8.75</v>
      </c>
      <c r="N34" s="685">
        <v>8.75</v>
      </c>
      <c r="O34" s="677">
        <f t="shared" si="4"/>
        <v>114</v>
      </c>
      <c r="P34" s="681"/>
      <c r="Q34" s="16">
        <f t="shared" si="5"/>
        <v>9.5</v>
      </c>
    </row>
    <row r="35" spans="1:17">
      <c r="A35" s="714"/>
      <c r="B35" s="675" t="s">
        <v>4411</v>
      </c>
      <c r="C35" s="675">
        <v>19.18</v>
      </c>
      <c r="D35" s="675">
        <v>19.18</v>
      </c>
      <c r="E35" s="675">
        <v>19.18</v>
      </c>
      <c r="F35" s="675">
        <v>22.52</v>
      </c>
      <c r="G35" s="675">
        <v>22.52</v>
      </c>
      <c r="H35" s="675">
        <v>22.52</v>
      </c>
      <c r="I35" s="675">
        <v>22.52</v>
      </c>
      <c r="J35" s="675">
        <v>22.52</v>
      </c>
      <c r="K35" s="675">
        <v>22.52</v>
      </c>
      <c r="L35" s="675">
        <v>26.52</v>
      </c>
      <c r="M35" s="675">
        <v>26.52</v>
      </c>
      <c r="N35" s="675">
        <v>26.52</v>
      </c>
      <c r="O35" s="677">
        <f t="shared" si="4"/>
        <v>272.22000000000003</v>
      </c>
      <c r="P35" s="681"/>
      <c r="Q35" s="16">
        <f t="shared" si="5"/>
        <v>22.685000000000002</v>
      </c>
    </row>
    <row r="36" spans="1:17">
      <c r="A36" s="714"/>
      <c r="B36" s="685" t="s">
        <v>4414</v>
      </c>
      <c r="C36" s="685">
        <v>13</v>
      </c>
      <c r="D36" s="685">
        <v>25.9</v>
      </c>
      <c r="E36" s="685">
        <v>33.549999999999997</v>
      </c>
      <c r="F36" s="685">
        <v>22.3</v>
      </c>
      <c r="G36" s="685">
        <v>21.55</v>
      </c>
      <c r="H36" s="685">
        <v>19.55</v>
      </c>
      <c r="I36" s="685">
        <v>120.4</v>
      </c>
      <c r="J36" s="685">
        <v>26.95</v>
      </c>
      <c r="K36" s="685">
        <v>34.450000000000003</v>
      </c>
      <c r="L36" s="685">
        <v>34.15</v>
      </c>
      <c r="M36" s="685">
        <v>21.4</v>
      </c>
      <c r="N36" s="685">
        <v>21.55</v>
      </c>
      <c r="O36" s="677">
        <f t="shared" si="4"/>
        <v>394.74999999999994</v>
      </c>
      <c r="P36" s="681"/>
      <c r="Q36" s="16">
        <f t="shared" si="5"/>
        <v>32.895833333333329</v>
      </c>
    </row>
    <row r="37" spans="1:17">
      <c r="A37" s="714"/>
      <c r="B37" s="675" t="s">
        <v>4416</v>
      </c>
      <c r="C37" s="675">
        <v>0.02</v>
      </c>
      <c r="D37" s="675">
        <v>0.23</v>
      </c>
      <c r="E37" s="675">
        <v>0.23</v>
      </c>
      <c r="F37" s="675">
        <v>0.09</v>
      </c>
      <c r="G37" s="675">
        <v>7.0000000000000007E-2</v>
      </c>
      <c r="H37" s="675">
        <v>0.01</v>
      </c>
      <c r="I37" s="675">
        <v>1.01</v>
      </c>
      <c r="J37" s="675">
        <v>0.16</v>
      </c>
      <c r="K37" s="675">
        <v>0.24</v>
      </c>
      <c r="L37" s="675">
        <v>0.23</v>
      </c>
      <c r="M37" s="675">
        <v>7.0000000000000007E-2</v>
      </c>
      <c r="N37" s="675">
        <v>7.0000000000000007E-2</v>
      </c>
      <c r="O37" s="677">
        <f t="shared" si="4"/>
        <v>2.4299999999999993</v>
      </c>
      <c r="P37" s="681"/>
      <c r="Q37" s="909">
        <f t="shared" si="5"/>
        <v>0.20249999999999993</v>
      </c>
    </row>
    <row r="38" spans="1:17">
      <c r="A38" s="714"/>
      <c r="B38" s="685" t="s">
        <v>4417</v>
      </c>
      <c r="C38" s="685">
        <v>2.64</v>
      </c>
      <c r="D38" s="685">
        <v>2.98</v>
      </c>
      <c r="E38" s="685">
        <v>3.76</v>
      </c>
      <c r="F38" s="685">
        <v>3.12</v>
      </c>
      <c r="G38" s="685">
        <v>1.56</v>
      </c>
      <c r="H38" s="685">
        <v>0.88</v>
      </c>
      <c r="I38" s="685">
        <v>2.98</v>
      </c>
      <c r="J38" s="685">
        <v>2.2000000000000002</v>
      </c>
      <c r="K38" s="685">
        <v>0.44</v>
      </c>
      <c r="L38" s="685">
        <v>2.4</v>
      </c>
      <c r="M38" s="685">
        <v>1.9</v>
      </c>
      <c r="N38" s="685">
        <v>4.46</v>
      </c>
      <c r="O38" s="677">
        <f t="shared" si="4"/>
        <v>29.32</v>
      </c>
      <c r="P38" s="681"/>
      <c r="Q38" s="16">
        <f t="shared" si="5"/>
        <v>2.4433333333333334</v>
      </c>
    </row>
    <row r="39" spans="1:17">
      <c r="A39" s="714"/>
      <c r="B39" s="686" t="s">
        <v>6863</v>
      </c>
      <c r="C39" s="686">
        <f t="shared" ref="C39:N39" si="6">SUM(C31:C38)</f>
        <v>181.51000000000002</v>
      </c>
      <c r="D39" s="686">
        <f t="shared" si="6"/>
        <v>211.52</v>
      </c>
      <c r="E39" s="686">
        <f t="shared" si="6"/>
        <v>259.18</v>
      </c>
      <c r="F39" s="686">
        <f t="shared" si="6"/>
        <v>218.68000000000006</v>
      </c>
      <c r="G39" s="686">
        <f t="shared" si="6"/>
        <v>137.62</v>
      </c>
      <c r="H39" s="686">
        <f t="shared" si="6"/>
        <v>99.31</v>
      </c>
      <c r="I39" s="686">
        <f t="shared" si="6"/>
        <v>308.21000000000004</v>
      </c>
      <c r="J39" s="686">
        <f t="shared" si="6"/>
        <v>174.09999999999997</v>
      </c>
      <c r="K39" s="686">
        <f t="shared" si="6"/>
        <v>92.389999999999986</v>
      </c>
      <c r="L39" s="686">
        <f t="shared" si="6"/>
        <v>195.95000000000002</v>
      </c>
      <c r="M39" s="686">
        <f t="shared" si="6"/>
        <v>157.26000000000002</v>
      </c>
      <c r="N39" s="686">
        <f t="shared" si="6"/>
        <v>287.80999999999995</v>
      </c>
      <c r="O39" s="677">
        <f t="shared" si="4"/>
        <v>2323.54</v>
      </c>
      <c r="P39" s="681"/>
      <c r="Q39" s="34">
        <f t="shared" si="5"/>
        <v>193.62833333333333</v>
      </c>
    </row>
    <row r="40" spans="1:17">
      <c r="A40" s="714"/>
      <c r="B40" s="674" t="s">
        <v>4419</v>
      </c>
      <c r="C40" s="675">
        <v>306.82</v>
      </c>
      <c r="D40" s="675">
        <v>295.62</v>
      </c>
      <c r="E40" s="675">
        <v>20.079999999999998</v>
      </c>
      <c r="F40" s="675">
        <v>131.37</v>
      </c>
      <c r="G40" s="675">
        <v>97.85</v>
      </c>
      <c r="H40" s="675">
        <v>27.89</v>
      </c>
      <c r="I40" s="675">
        <v>49.96</v>
      </c>
      <c r="J40" s="675">
        <v>40.76</v>
      </c>
      <c r="K40" s="675">
        <v>32.1</v>
      </c>
      <c r="L40" s="675">
        <v>54.34</v>
      </c>
      <c r="M40" s="675">
        <v>191.72</v>
      </c>
      <c r="N40" s="675">
        <v>197.02</v>
      </c>
      <c r="O40" s="677">
        <f t="shared" si="4"/>
        <v>1445.5300000000002</v>
      </c>
      <c r="P40" s="672"/>
      <c r="Q40" s="16">
        <f t="shared" si="5"/>
        <v>120.46083333333335</v>
      </c>
    </row>
    <row r="41" spans="1:17">
      <c r="A41" s="714"/>
      <c r="B41" s="674" t="s">
        <v>4420</v>
      </c>
      <c r="C41" s="687"/>
      <c r="D41" s="687"/>
      <c r="E41" s="687"/>
      <c r="F41" s="687"/>
      <c r="G41" s="687"/>
      <c r="H41" s="687"/>
      <c r="I41" s="687"/>
      <c r="J41" s="687"/>
      <c r="K41" s="687"/>
      <c r="L41" s="687"/>
      <c r="M41" s="688">
        <v>2877</v>
      </c>
      <c r="N41" s="687"/>
      <c r="O41" s="677">
        <f t="shared" si="4"/>
        <v>2877</v>
      </c>
      <c r="P41" s="672"/>
      <c r="Q41" s="16">
        <f>M41/12</f>
        <v>239.75</v>
      </c>
    </row>
    <row r="42" spans="1:17">
      <c r="A42" s="714"/>
      <c r="B42" s="666" t="s">
        <v>6323</v>
      </c>
      <c r="C42" s="677">
        <f t="shared" ref="C42:N42" si="7">SUM(C39:C41)</f>
        <v>488.33000000000004</v>
      </c>
      <c r="D42" s="677">
        <f t="shared" si="7"/>
        <v>507.14</v>
      </c>
      <c r="E42" s="677">
        <f t="shared" si="7"/>
        <v>279.26</v>
      </c>
      <c r="F42" s="677">
        <f t="shared" si="7"/>
        <v>350.05000000000007</v>
      </c>
      <c r="G42" s="677">
        <f t="shared" si="7"/>
        <v>235.47</v>
      </c>
      <c r="H42" s="677">
        <f t="shared" si="7"/>
        <v>127.2</v>
      </c>
      <c r="I42" s="677">
        <f t="shared" si="7"/>
        <v>358.17</v>
      </c>
      <c r="J42" s="677">
        <f t="shared" si="7"/>
        <v>214.85999999999996</v>
      </c>
      <c r="K42" s="677">
        <f t="shared" si="7"/>
        <v>124.48999999999998</v>
      </c>
      <c r="L42" s="677">
        <f t="shared" si="7"/>
        <v>250.29000000000002</v>
      </c>
      <c r="M42" s="677">
        <f t="shared" si="7"/>
        <v>3225.98</v>
      </c>
      <c r="N42" s="677">
        <f t="shared" si="7"/>
        <v>484.82999999999993</v>
      </c>
      <c r="O42" s="668">
        <f t="shared" si="4"/>
        <v>6646.07</v>
      </c>
      <c r="P42" s="669"/>
      <c r="Q42" s="16">
        <f>AVERAGE(C42:L42)</f>
        <v>293.52600000000001</v>
      </c>
    </row>
    <row r="43" spans="1:17">
      <c r="A43" s="714"/>
      <c r="B43" s="689" t="s">
        <v>1126</v>
      </c>
      <c r="C43" s="690">
        <f t="shared" ref="C43:N43" si="8">C42</f>
        <v>488.33000000000004</v>
      </c>
      <c r="D43" s="690">
        <f t="shared" si="8"/>
        <v>507.14</v>
      </c>
      <c r="E43" s="690">
        <f t="shared" si="8"/>
        <v>279.26</v>
      </c>
      <c r="F43" s="690">
        <f t="shared" si="8"/>
        <v>350.05000000000007</v>
      </c>
      <c r="G43" s="690">
        <f t="shared" si="8"/>
        <v>235.47</v>
      </c>
      <c r="H43" s="690">
        <f t="shared" si="8"/>
        <v>127.2</v>
      </c>
      <c r="I43" s="690">
        <f t="shared" si="8"/>
        <v>358.17</v>
      </c>
      <c r="J43" s="690">
        <f t="shared" si="8"/>
        <v>214.85999999999996</v>
      </c>
      <c r="K43" s="690">
        <f t="shared" si="8"/>
        <v>124.48999999999998</v>
      </c>
      <c r="L43" s="690">
        <f t="shared" si="8"/>
        <v>250.29000000000002</v>
      </c>
      <c r="M43" s="690">
        <f t="shared" si="8"/>
        <v>3225.98</v>
      </c>
      <c r="N43" s="690">
        <f t="shared" si="8"/>
        <v>484.82999999999993</v>
      </c>
      <c r="O43" s="690">
        <f>SUM(O30:O41)</f>
        <v>11249.23</v>
      </c>
      <c r="P43" s="691"/>
      <c r="Q43" s="34">
        <f>AVERAGE(C43:L43)</f>
        <v>293.52600000000001</v>
      </c>
    </row>
    <row r="44" spans="1:17">
      <c r="A44" s="715"/>
      <c r="B44" s="692"/>
      <c r="C44" s="693"/>
      <c r="D44" s="693"/>
      <c r="E44" s="693"/>
      <c r="F44" s="693"/>
      <c r="G44" s="693"/>
      <c r="H44" s="693"/>
      <c r="I44" s="693"/>
      <c r="J44" s="693"/>
      <c r="K44" s="693"/>
      <c r="L44" s="693"/>
      <c r="M44" s="693"/>
      <c r="N44" s="693"/>
      <c r="O44" s="693"/>
      <c r="P44" s="694"/>
    </row>
    <row r="45" spans="1:17">
      <c r="B45" s="9"/>
      <c r="C45" s="9"/>
      <c r="D45" s="9"/>
      <c r="E45" s="9"/>
      <c r="F45" s="9"/>
      <c r="G45" s="9"/>
      <c r="H45" s="9"/>
      <c r="I45" s="9"/>
      <c r="J45" s="9"/>
      <c r="K45" s="9"/>
      <c r="L45" s="9"/>
    </row>
    <row r="47" spans="1:17">
      <c r="B47" s="938" t="s">
        <v>5755</v>
      </c>
      <c r="C47" s="938" t="s">
        <v>6835</v>
      </c>
      <c r="D47" s="938" t="s">
        <v>6836</v>
      </c>
      <c r="E47" s="938" t="s">
        <v>6837</v>
      </c>
      <c r="F47" s="938" t="s">
        <v>6838</v>
      </c>
      <c r="G47" s="938" t="s">
        <v>6839</v>
      </c>
      <c r="H47" s="938" t="s">
        <v>6840</v>
      </c>
      <c r="I47" s="938" t="s">
        <v>6841</v>
      </c>
      <c r="J47" s="938" t="s">
        <v>6842</v>
      </c>
      <c r="K47" s="938" t="s">
        <v>6843</v>
      </c>
      <c r="L47" s="938" t="s">
        <v>6844</v>
      </c>
      <c r="M47" s="660"/>
      <c r="N47" s="660"/>
      <c r="O47" s="660"/>
      <c r="P47" s="660"/>
    </row>
    <row r="48" spans="1:17">
      <c r="A48" s="714"/>
      <c r="B48" s="2126" t="s">
        <v>4423</v>
      </c>
      <c r="C48" s="2127"/>
      <c r="D48" s="2127"/>
      <c r="E48" s="2127"/>
      <c r="F48" s="2127"/>
      <c r="G48" s="2127"/>
      <c r="H48" s="2127"/>
      <c r="I48" s="2127"/>
      <c r="J48" s="2127"/>
      <c r="K48" s="2127"/>
      <c r="L48" s="2127"/>
      <c r="M48" s="2127"/>
      <c r="N48" s="2127"/>
      <c r="O48" s="2128"/>
      <c r="P48" s="661"/>
    </row>
    <row r="49" spans="1:18">
      <c r="A49" s="714"/>
      <c r="B49" s="662" t="s">
        <v>6846</v>
      </c>
      <c r="C49" s="663" t="s">
        <v>143</v>
      </c>
      <c r="D49" s="663" t="s">
        <v>26</v>
      </c>
      <c r="E49" s="663" t="s">
        <v>25</v>
      </c>
      <c r="F49" s="663" t="s">
        <v>24</v>
      </c>
      <c r="G49" s="663" t="s">
        <v>23</v>
      </c>
      <c r="H49" s="663" t="s">
        <v>22</v>
      </c>
      <c r="I49" s="663" t="s">
        <v>21</v>
      </c>
      <c r="J49" s="663" t="s">
        <v>20</v>
      </c>
      <c r="K49" s="663" t="s">
        <v>256</v>
      </c>
      <c r="L49" s="663" t="s">
        <v>18</v>
      </c>
      <c r="M49" s="663" t="s">
        <v>17</v>
      </c>
      <c r="N49" s="663" t="s">
        <v>86</v>
      </c>
      <c r="O49" s="664" t="s">
        <v>67</v>
      </c>
      <c r="P49" s="665"/>
    </row>
    <row r="50" spans="1:18">
      <c r="A50" s="714"/>
      <c r="B50" s="666" t="s">
        <v>4424</v>
      </c>
      <c r="C50" s="671"/>
      <c r="D50" s="671"/>
      <c r="E50" s="671"/>
      <c r="F50" s="671"/>
      <c r="G50" s="671"/>
      <c r="H50" s="671"/>
      <c r="I50" s="671"/>
      <c r="J50" s="671"/>
      <c r="K50" s="671"/>
      <c r="L50" s="671"/>
      <c r="M50" s="671"/>
      <c r="N50" s="671"/>
      <c r="O50" s="668"/>
      <c r="P50" s="672"/>
    </row>
    <row r="51" spans="1:18">
      <c r="A51" s="714"/>
      <c r="B51" s="674" t="s">
        <v>5056</v>
      </c>
      <c r="C51" s="685">
        <v>150</v>
      </c>
      <c r="D51" s="697"/>
      <c r="E51" s="697"/>
      <c r="F51" s="697"/>
      <c r="G51" s="697"/>
      <c r="H51" s="697"/>
      <c r="I51" s="697"/>
      <c r="J51" s="697"/>
      <c r="K51" s="697"/>
      <c r="L51" s="697"/>
      <c r="M51" s="697"/>
      <c r="N51" s="697"/>
      <c r="O51" s="668">
        <f t="shared" ref="O51:O59" si="9">SUM(C51:N51)</f>
        <v>150</v>
      </c>
      <c r="P51" s="672"/>
    </row>
    <row r="52" spans="1:18">
      <c r="A52" s="714"/>
      <c r="B52" s="674" t="s">
        <v>4426</v>
      </c>
      <c r="C52" s="685">
        <v>85</v>
      </c>
      <c r="D52" s="697"/>
      <c r="E52" s="697"/>
      <c r="F52" s="697"/>
      <c r="G52" s="697"/>
      <c r="H52" s="697"/>
      <c r="I52" s="697"/>
      <c r="J52" s="697"/>
      <c r="K52" s="697"/>
      <c r="L52" s="697"/>
      <c r="M52" s="697"/>
      <c r="N52" s="697"/>
      <c r="O52" s="668">
        <f t="shared" si="9"/>
        <v>85</v>
      </c>
      <c r="P52" s="672"/>
    </row>
    <row r="53" spans="1:18">
      <c r="A53" s="714"/>
      <c r="B53" s="674" t="s">
        <v>2329</v>
      </c>
      <c r="C53" s="685">
        <v>140</v>
      </c>
      <c r="D53" s="697"/>
      <c r="E53" s="697"/>
      <c r="F53" s="697"/>
      <c r="G53" s="697"/>
      <c r="H53" s="697"/>
      <c r="I53" s="697"/>
      <c r="J53" s="697"/>
      <c r="K53" s="697"/>
      <c r="L53" s="697"/>
      <c r="M53" s="697"/>
      <c r="N53" s="697"/>
      <c r="O53" s="668">
        <f t="shared" si="9"/>
        <v>140</v>
      </c>
      <c r="P53" s="672"/>
    </row>
    <row r="54" spans="1:18">
      <c r="A54" s="714"/>
      <c r="B54" s="957" t="s">
        <v>6864</v>
      </c>
      <c r="C54" s="685"/>
      <c r="D54" s="697"/>
      <c r="E54" s="697"/>
      <c r="F54" s="697"/>
      <c r="G54" s="697"/>
      <c r="H54" s="697"/>
      <c r="I54" s="697"/>
      <c r="J54" s="697"/>
      <c r="K54" s="697"/>
      <c r="L54" s="697"/>
      <c r="M54" s="697"/>
      <c r="N54" s="697"/>
      <c r="O54" s="668">
        <f t="shared" si="9"/>
        <v>0</v>
      </c>
      <c r="P54" s="672"/>
    </row>
    <row r="55" spans="1:18">
      <c r="A55" s="714"/>
      <c r="B55" s="957" t="s">
        <v>6865</v>
      </c>
      <c r="C55" s="697"/>
      <c r="D55" s="697"/>
      <c r="E55" s="697"/>
      <c r="F55" s="697"/>
      <c r="G55" s="685">
        <v>80</v>
      </c>
      <c r="H55" s="2153" t="s">
        <v>6866</v>
      </c>
      <c r="I55" s="2087"/>
      <c r="J55" s="697"/>
      <c r="K55" s="697"/>
      <c r="L55" s="697"/>
      <c r="M55" s="697"/>
      <c r="N55" s="697"/>
      <c r="O55" s="668">
        <f t="shared" si="9"/>
        <v>80</v>
      </c>
      <c r="P55" s="672"/>
    </row>
    <row r="56" spans="1:18">
      <c r="A56" s="714"/>
      <c r="B56" s="674" t="s">
        <v>4441</v>
      </c>
      <c r="C56" s="685">
        <v>380</v>
      </c>
      <c r="D56" s="697"/>
      <c r="E56" s="702" t="s">
        <v>4430</v>
      </c>
      <c r="F56" s="697"/>
      <c r="G56" s="697"/>
      <c r="H56" s="697"/>
      <c r="I56" s="697"/>
      <c r="J56" s="697"/>
      <c r="K56" s="697"/>
      <c r="L56" s="697"/>
      <c r="M56" s="697"/>
      <c r="N56" s="697"/>
      <c r="O56" s="668">
        <f t="shared" si="9"/>
        <v>380</v>
      </c>
      <c r="P56" s="672"/>
      <c r="Q56" s="2088" t="s">
        <v>4431</v>
      </c>
      <c r="R56" s="2087"/>
    </row>
    <row r="57" spans="1:18">
      <c r="A57" s="714"/>
      <c r="B57" s="674" t="s">
        <v>4310</v>
      </c>
      <c r="C57" s="697"/>
      <c r="D57" s="697"/>
      <c r="E57" s="697" t="s">
        <v>6867</v>
      </c>
      <c r="F57" s="685">
        <v>133</v>
      </c>
      <c r="G57" s="697"/>
      <c r="H57" s="697"/>
      <c r="I57" s="697"/>
      <c r="J57" s="697"/>
      <c r="K57" s="697"/>
      <c r="L57" s="697"/>
      <c r="M57" s="697"/>
      <c r="N57" s="697"/>
      <c r="O57" s="668">
        <f t="shared" si="9"/>
        <v>133</v>
      </c>
      <c r="P57" s="672"/>
    </row>
    <row r="58" spans="1:18">
      <c r="A58" s="714"/>
      <c r="B58" s="674" t="s">
        <v>4432</v>
      </c>
      <c r="C58" s="697">
        <v>0</v>
      </c>
      <c r="D58" s="697"/>
      <c r="E58" s="685">
        <v>145</v>
      </c>
      <c r="F58" s="697"/>
      <c r="G58" s="697"/>
      <c r="H58" s="697"/>
      <c r="I58" s="697"/>
      <c r="J58" s="697"/>
      <c r="K58" s="771"/>
      <c r="L58" s="697"/>
      <c r="M58" s="697"/>
      <c r="N58" s="697"/>
      <c r="O58" s="668">
        <f t="shared" si="9"/>
        <v>145</v>
      </c>
      <c r="P58" s="672"/>
    </row>
    <row r="59" spans="1:18">
      <c r="A59" s="714"/>
      <c r="B59" s="674"/>
      <c r="C59" s="697"/>
      <c r="D59" s="697"/>
      <c r="E59" s="697"/>
      <c r="F59" s="697"/>
      <c r="G59" s="697"/>
      <c r="H59" s="697"/>
      <c r="I59" s="697"/>
      <c r="J59" s="697"/>
      <c r="K59" s="697"/>
      <c r="L59" s="697"/>
      <c r="M59" s="697"/>
      <c r="N59" s="697"/>
      <c r="O59" s="668">
        <f t="shared" si="9"/>
        <v>0</v>
      </c>
      <c r="P59" s="672"/>
    </row>
    <row r="60" spans="1:18">
      <c r="A60" s="714"/>
      <c r="B60" s="674" t="s">
        <v>4323</v>
      </c>
      <c r="C60" s="705"/>
      <c r="D60" s="705"/>
      <c r="E60" s="705"/>
      <c r="F60" s="705"/>
      <c r="G60" s="705"/>
      <c r="H60" s="705"/>
      <c r="I60" s="705"/>
      <c r="J60" s="701">
        <v>60</v>
      </c>
      <c r="K60" s="705"/>
      <c r="L60" s="705"/>
      <c r="M60" s="705"/>
      <c r="N60" s="705"/>
      <c r="O60" s="668"/>
      <c r="P60" s="672"/>
    </row>
    <row r="61" spans="1:18">
      <c r="A61" s="714"/>
      <c r="B61" s="674" t="s">
        <v>4433</v>
      </c>
      <c r="C61" s="705"/>
      <c r="D61" s="705"/>
      <c r="E61" s="705"/>
      <c r="F61" s="705"/>
      <c r="G61" s="705"/>
      <c r="H61" s="705"/>
      <c r="I61" s="705"/>
      <c r="J61" s="705"/>
      <c r="K61" s="705"/>
      <c r="L61" s="705"/>
      <c r="M61" s="705"/>
      <c r="N61" s="705">
        <f>72.06+23.24</f>
        <v>95.3</v>
      </c>
      <c r="O61" s="668"/>
      <c r="P61" s="672"/>
      <c r="Q61" s="707">
        <f>SUM(O51:O59)</f>
        <v>1113</v>
      </c>
    </row>
    <row r="62" spans="1:18">
      <c r="A62" s="714"/>
      <c r="B62" s="674" t="s">
        <v>4434</v>
      </c>
      <c r="C62" s="708">
        <v>-35</v>
      </c>
      <c r="D62" s="708">
        <v>-35</v>
      </c>
      <c r="E62" s="708">
        <v>-35</v>
      </c>
      <c r="F62" s="708">
        <v>-35</v>
      </c>
      <c r="G62" s="708">
        <v>-35</v>
      </c>
      <c r="H62" s="708">
        <v>-35</v>
      </c>
      <c r="I62" s="708">
        <v>-35</v>
      </c>
      <c r="J62" s="708">
        <v>-35</v>
      </c>
      <c r="K62" s="708">
        <v>-35</v>
      </c>
      <c r="L62" s="708">
        <v>-35</v>
      </c>
      <c r="M62" s="708">
        <v>-35</v>
      </c>
      <c r="N62" s="708">
        <v>-35</v>
      </c>
      <c r="O62" s="668">
        <f>SUM(C62:N62)</f>
        <v>-420</v>
      </c>
      <c r="P62" s="672"/>
    </row>
    <row r="63" spans="1:18">
      <c r="A63" s="715"/>
      <c r="B63" s="677" t="s">
        <v>4435</v>
      </c>
      <c r="C63" s="677">
        <f t="shared" ref="C63:O63" si="10">SUM(C51:C62)</f>
        <v>720</v>
      </c>
      <c r="D63" s="677">
        <f t="shared" si="10"/>
        <v>-35</v>
      </c>
      <c r="E63" s="677">
        <f t="shared" si="10"/>
        <v>110</v>
      </c>
      <c r="F63" s="677">
        <f t="shared" si="10"/>
        <v>98</v>
      </c>
      <c r="G63" s="677">
        <f t="shared" si="10"/>
        <v>45</v>
      </c>
      <c r="H63" s="677">
        <f t="shared" si="10"/>
        <v>-35</v>
      </c>
      <c r="I63" s="677">
        <f t="shared" si="10"/>
        <v>-35</v>
      </c>
      <c r="J63" s="677">
        <f t="shared" si="10"/>
        <v>25</v>
      </c>
      <c r="K63" s="677">
        <f t="shared" si="10"/>
        <v>-35</v>
      </c>
      <c r="L63" s="677">
        <f t="shared" si="10"/>
        <v>-35</v>
      </c>
      <c r="M63" s="677">
        <f t="shared" si="10"/>
        <v>-35</v>
      </c>
      <c r="N63" s="677">
        <f t="shared" si="10"/>
        <v>60.3</v>
      </c>
      <c r="O63" s="677">
        <f t="shared" si="10"/>
        <v>693</v>
      </c>
      <c r="P63" s="691"/>
    </row>
    <row r="64" spans="1:18">
      <c r="A64" s="715" t="s">
        <v>135</v>
      </c>
      <c r="B64" s="709" t="s">
        <v>135</v>
      </c>
      <c r="C64" s="709"/>
      <c r="D64" s="709"/>
      <c r="E64" s="709"/>
      <c r="F64" s="709"/>
      <c r="G64" s="709"/>
      <c r="H64" s="709"/>
      <c r="I64" s="709"/>
      <c r="J64" s="709"/>
      <c r="K64" s="709"/>
      <c r="L64" s="709"/>
      <c r="M64" s="709"/>
      <c r="N64" s="709"/>
      <c r="O64" s="709"/>
      <c r="P64" s="710"/>
    </row>
    <row r="65" spans="2:16">
      <c r="B65" s="578"/>
      <c r="C65" s="578"/>
      <c r="D65" s="578"/>
      <c r="E65" s="578"/>
      <c r="F65" s="578"/>
      <c r="G65" s="578"/>
      <c r="H65" s="578"/>
      <c r="I65" s="578"/>
      <c r="J65" s="578"/>
      <c r="K65" s="578"/>
      <c r="L65" s="578"/>
      <c r="M65" s="2129" t="s">
        <v>4436</v>
      </c>
      <c r="N65" s="2087"/>
      <c r="O65" s="711">
        <f>800/12</f>
        <v>66.666666666666671</v>
      </c>
      <c r="P65" s="712"/>
    </row>
    <row r="66" spans="2:16">
      <c r="B66" s="938" t="s">
        <v>5755</v>
      </c>
      <c r="C66" s="938" t="s">
        <v>6835</v>
      </c>
      <c r="D66" s="938" t="s">
        <v>6836</v>
      </c>
      <c r="E66" s="938" t="s">
        <v>6837</v>
      </c>
      <c r="F66" s="938" t="s">
        <v>6838</v>
      </c>
      <c r="G66" s="938" t="s">
        <v>6839</v>
      </c>
      <c r="H66" s="938" t="s">
        <v>6840</v>
      </c>
      <c r="I66" s="938" t="s">
        <v>6841</v>
      </c>
      <c r="J66" s="938" t="s">
        <v>6842</v>
      </c>
      <c r="K66" s="938" t="s">
        <v>6843</v>
      </c>
      <c r="L66" s="938" t="s">
        <v>6844</v>
      </c>
      <c r="M66" s="660"/>
      <c r="N66" s="660"/>
      <c r="O66" s="660"/>
      <c r="P66" s="660"/>
    </row>
    <row r="67" spans="2:16">
      <c r="B67" s="938" t="s">
        <v>5755</v>
      </c>
      <c r="C67" s="938" t="s">
        <v>6835</v>
      </c>
      <c r="D67" s="938" t="s">
        <v>6836</v>
      </c>
      <c r="E67" s="938" t="s">
        <v>6837</v>
      </c>
      <c r="F67" s="938" t="s">
        <v>6838</v>
      </c>
      <c r="G67" s="938" t="s">
        <v>6839</v>
      </c>
      <c r="H67" s="938" t="s">
        <v>6840</v>
      </c>
      <c r="I67" s="938" t="s">
        <v>6841</v>
      </c>
      <c r="J67" s="938" t="s">
        <v>6842</v>
      </c>
      <c r="K67" s="938" t="s">
        <v>6843</v>
      </c>
      <c r="L67" s="938" t="s">
        <v>6844</v>
      </c>
      <c r="M67" s="660"/>
      <c r="N67" s="660"/>
      <c r="O67" s="660"/>
      <c r="P67" s="660"/>
    </row>
    <row r="70" spans="2:16">
      <c r="B70" s="2130" t="s">
        <v>5766</v>
      </c>
      <c r="C70" s="2087"/>
      <c r="D70" s="2087"/>
      <c r="E70" s="2087"/>
      <c r="F70" s="2087"/>
      <c r="G70" s="2087"/>
      <c r="H70" s="2087"/>
      <c r="I70" s="2087"/>
      <c r="J70" s="2087"/>
      <c r="K70" s="2087"/>
      <c r="L70" s="2087"/>
      <c r="M70" s="2087"/>
      <c r="N70" s="2087"/>
      <c r="P70" s="712"/>
    </row>
    <row r="71" spans="2:16">
      <c r="B71" s="2088" t="s">
        <v>6868</v>
      </c>
      <c r="C71" s="2087"/>
      <c r="D71" s="2087"/>
      <c r="E71" s="2087"/>
      <c r="F71" s="2087"/>
    </row>
    <row r="72" spans="2:16">
      <c r="B72" s="938" t="s">
        <v>5755</v>
      </c>
      <c r="C72" s="938" t="s">
        <v>6835</v>
      </c>
      <c r="D72" s="938" t="s">
        <v>6836</v>
      </c>
      <c r="E72" s="938" t="s">
        <v>6837</v>
      </c>
      <c r="F72" s="938" t="s">
        <v>6838</v>
      </c>
      <c r="G72" s="938" t="s">
        <v>6839</v>
      </c>
      <c r="H72" s="938" t="s">
        <v>6840</v>
      </c>
      <c r="I72" s="938" t="s">
        <v>6841</v>
      </c>
      <c r="J72" s="938" t="s">
        <v>6842</v>
      </c>
      <c r="K72" s="938" t="s">
        <v>6843</v>
      </c>
      <c r="L72" s="938" t="s">
        <v>6844</v>
      </c>
      <c r="M72" s="660"/>
      <c r="N72" s="660"/>
      <c r="O72" s="660"/>
      <c r="P72" s="660"/>
    </row>
    <row r="79" spans="2:16">
      <c r="L79" s="9">
        <f>150000*6/100</f>
        <v>9000</v>
      </c>
    </row>
  </sheetData>
  <mergeCells count="9">
    <mergeCell ref="Q56:R56"/>
    <mergeCell ref="M65:N65"/>
    <mergeCell ref="B70:N70"/>
    <mergeCell ref="B71:F71"/>
    <mergeCell ref="B2:O2"/>
    <mergeCell ref="C24:F24"/>
    <mergeCell ref="B26:O26"/>
    <mergeCell ref="B48:O48"/>
    <mergeCell ref="H55:I55"/>
  </mergeCells>
  <hyperlinks>
    <hyperlink ref="B1" location="Accounts17!A1:P24" display="Laundry" xr:uid="{00000000-0004-0000-2100-000000000000}"/>
    <hyperlink ref="C1" location="Accounts17!A47:P65" display="344 21st" xr:uid="{00000000-0004-0000-2100-000001000000}"/>
    <hyperlink ref="D1" location="Accounts17!A67:P93" display="357 20th" xr:uid="{00000000-0004-0000-2100-000002000000}"/>
    <hyperlink ref="E1" location="Accounts17!A95:P114" display="243 18th" xr:uid="{00000000-0004-0000-2100-000003000000}"/>
    <hyperlink ref="F1" location="Accounts17!A116:P137" display="224-8 25th" xr:uid="{00000000-0004-0000-2100-000004000000}"/>
    <hyperlink ref="G1" location="Accounts17!A139:P154" display="297 26th" xr:uid="{00000000-0004-0000-2100-000005000000}"/>
    <hyperlink ref="H1" location="Accounts17!A156:P171" display="405 Wash" xr:uid="{00000000-0004-0000-2100-000006000000}"/>
    <hyperlink ref="I1" location="Accounts17!A173:P188" display="282 23rd" xr:uid="{00000000-0004-0000-2100-000007000000}"/>
    <hyperlink ref="J1" location="Accounts17!A190:P205" display="293 28th" xr:uid="{00000000-0004-0000-2100-000008000000}"/>
    <hyperlink ref="K1" location="Accounts17!A207:P224" display="Web" xr:uid="{00000000-0004-0000-2100-000009000000}"/>
    <hyperlink ref="L1" location="Accounts17!A226:P244" display="LaurelWood" xr:uid="{00000000-0004-0000-2100-00000A000000}"/>
    <hyperlink ref="B47" location="Accounts17!A1:P24" display="Laundry" xr:uid="{00000000-0004-0000-2100-00000B000000}"/>
    <hyperlink ref="C47" location="Accounts17!A47:P65" display="344 21st" xr:uid="{00000000-0004-0000-2100-00000C000000}"/>
    <hyperlink ref="D47" location="Accounts17!A67:P93" display="357 20th" xr:uid="{00000000-0004-0000-2100-00000D000000}"/>
    <hyperlink ref="E47" location="Accounts17!A95:P114" display="243 18th" xr:uid="{00000000-0004-0000-2100-00000E000000}"/>
    <hyperlink ref="F47" location="Accounts17!A116:P137" display="224-8 25th" xr:uid="{00000000-0004-0000-2100-00000F000000}"/>
    <hyperlink ref="G47" location="Accounts17!A139:P154" display="297 26th" xr:uid="{00000000-0004-0000-2100-000010000000}"/>
    <hyperlink ref="H47" location="Accounts17!A156:P171" display="405 Wash" xr:uid="{00000000-0004-0000-2100-000011000000}"/>
    <hyperlink ref="I47" location="Accounts17!A173:P188" display="282 23rd" xr:uid="{00000000-0004-0000-2100-000012000000}"/>
    <hyperlink ref="J47" location="Accounts17!A190:P205" display="293 28th" xr:uid="{00000000-0004-0000-2100-000013000000}"/>
    <hyperlink ref="K47" location="Accounts17!A207:P224" display="Web" xr:uid="{00000000-0004-0000-2100-000014000000}"/>
    <hyperlink ref="L47" location="Accounts17!A226:P244" display="LaurelWood" xr:uid="{00000000-0004-0000-2100-000015000000}"/>
    <hyperlink ref="B66" location="Accounts17!A1:P24" display="Laundry" xr:uid="{00000000-0004-0000-2100-000016000000}"/>
    <hyperlink ref="C66" location="Accounts17!A47:P65" display="344 21st" xr:uid="{00000000-0004-0000-2100-000017000000}"/>
    <hyperlink ref="D66" location="Accounts17!A67:P93" display="357 20th" xr:uid="{00000000-0004-0000-2100-000018000000}"/>
    <hyperlink ref="E66" location="Accounts17!A95:P114" display="243 18th" xr:uid="{00000000-0004-0000-2100-000019000000}"/>
    <hyperlink ref="F66" location="Accounts17!A116:P137" display="224-8 25th" xr:uid="{00000000-0004-0000-2100-00001A000000}"/>
    <hyperlink ref="G66" location="Accounts17!A139:P154" display="297 26th" xr:uid="{00000000-0004-0000-2100-00001B000000}"/>
    <hyperlink ref="H66" location="Accounts17!A156:P171" display="405 Wash" xr:uid="{00000000-0004-0000-2100-00001C000000}"/>
    <hyperlink ref="I66" location="Accounts17!A173:P188" display="282 23rd" xr:uid="{00000000-0004-0000-2100-00001D000000}"/>
    <hyperlink ref="J66" location="Accounts17!A190:P205" display="293 28th" xr:uid="{00000000-0004-0000-2100-00001E000000}"/>
    <hyperlink ref="K66" location="Accounts17!A207:P224" display="Web" xr:uid="{00000000-0004-0000-2100-00001F000000}"/>
    <hyperlink ref="L66" location="Accounts17!A226:P244" display="LaurelWood" xr:uid="{00000000-0004-0000-2100-000020000000}"/>
    <hyperlink ref="B67" location="Accounts17!A1:P24" display="Laundry" xr:uid="{00000000-0004-0000-2100-000021000000}"/>
    <hyperlink ref="C67" location="Accounts17!A47:P65" display="344 21st" xr:uid="{00000000-0004-0000-2100-000022000000}"/>
    <hyperlink ref="D67" location="Accounts17!A67:P93" display="357 20th" xr:uid="{00000000-0004-0000-2100-000023000000}"/>
    <hyperlink ref="E67" location="Accounts17!A95:P114" display="243 18th" xr:uid="{00000000-0004-0000-2100-000024000000}"/>
    <hyperlink ref="F67" location="Accounts17!A116:P137" display="224-8 25th" xr:uid="{00000000-0004-0000-2100-000025000000}"/>
    <hyperlink ref="G67" location="Accounts17!A139:P154" display="297 26th" xr:uid="{00000000-0004-0000-2100-000026000000}"/>
    <hyperlink ref="H67" location="Accounts17!A156:P171" display="405 Wash" xr:uid="{00000000-0004-0000-2100-000027000000}"/>
    <hyperlink ref="I67" location="Accounts17!A173:P188" display="282 23rd" xr:uid="{00000000-0004-0000-2100-000028000000}"/>
    <hyperlink ref="J67" location="Accounts17!A190:P205" display="293 28th" xr:uid="{00000000-0004-0000-2100-000029000000}"/>
    <hyperlink ref="K67" location="Accounts17!A207:P224" display="Web" xr:uid="{00000000-0004-0000-2100-00002A000000}"/>
    <hyperlink ref="L67" location="Accounts17!A226:P244" display="LaurelWood" xr:uid="{00000000-0004-0000-2100-00002B000000}"/>
    <hyperlink ref="B72" location="Accounts17!A1:P24" display="Laundry" xr:uid="{00000000-0004-0000-2100-00002C000000}"/>
    <hyperlink ref="C72" location="Accounts17!A47:P65" display="344 21st" xr:uid="{00000000-0004-0000-2100-00002D000000}"/>
    <hyperlink ref="D72" location="Accounts17!A67:P93" display="357 20th" xr:uid="{00000000-0004-0000-2100-00002E000000}"/>
    <hyperlink ref="E72" location="Accounts17!A95:P114" display="243 18th" xr:uid="{00000000-0004-0000-2100-00002F000000}"/>
    <hyperlink ref="F72" location="Accounts17!A116:P137" display="224-8 25th" xr:uid="{00000000-0004-0000-2100-000030000000}"/>
    <hyperlink ref="G72" location="Accounts17!A139:P154" display="297 26th" xr:uid="{00000000-0004-0000-2100-000031000000}"/>
    <hyperlink ref="H72" location="Accounts17!A156:P171" display="405 Wash" xr:uid="{00000000-0004-0000-2100-000032000000}"/>
    <hyperlink ref="I72" location="Accounts17!A173:P188" display="282 23rd" xr:uid="{00000000-0004-0000-2100-000033000000}"/>
    <hyperlink ref="J72" location="Accounts17!A190:P205" display="293 28th" xr:uid="{00000000-0004-0000-2100-000034000000}"/>
    <hyperlink ref="K72" location="Accounts17!A207:P224" display="Web" xr:uid="{00000000-0004-0000-2100-000035000000}"/>
    <hyperlink ref="L72" location="Accounts17!A226:P244" display="LaurelWood" xr:uid="{00000000-0004-0000-2100-000036000000}"/>
  </hyperlink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pageSetUpPr fitToPage="1"/>
  </sheetPr>
  <dimension ref="A1:H210"/>
  <sheetViews>
    <sheetView workbookViewId="0"/>
  </sheetViews>
  <sheetFormatPr defaultColWidth="12.7109375" defaultRowHeight="12.75" customHeight="1"/>
  <cols>
    <col min="1" max="1" width="44.28515625" customWidth="1"/>
    <col min="2" max="2" width="33.28515625" customWidth="1"/>
    <col min="3" max="3" width="23.28515625" customWidth="1"/>
    <col min="4" max="4" width="39.28515625" customWidth="1"/>
    <col min="5" max="5" width="94.140625" customWidth="1"/>
    <col min="6" max="6" width="20.42578125" customWidth="1"/>
  </cols>
  <sheetData>
    <row r="1" spans="1:5" ht="14.25">
      <c r="A1" s="578" t="s">
        <v>3534</v>
      </c>
      <c r="B1" s="578" t="s">
        <v>3689</v>
      </c>
      <c r="C1" s="578" t="s">
        <v>3690</v>
      </c>
      <c r="D1" s="958"/>
      <c r="E1" s="578"/>
    </row>
    <row r="2" spans="1:5" ht="12.75" customHeight="1">
      <c r="A2" s="9" t="s">
        <v>6869</v>
      </c>
      <c r="B2" s="959" t="s">
        <v>4002</v>
      </c>
      <c r="C2" s="20" t="s">
        <v>3706</v>
      </c>
      <c r="D2" s="600"/>
      <c r="E2" s="9"/>
    </row>
    <row r="3" spans="1:5" ht="24">
      <c r="A3" s="253" t="s">
        <v>4006</v>
      </c>
      <c r="B3" s="608" t="s">
        <v>3692</v>
      </c>
      <c r="C3" s="20" t="s">
        <v>3756</v>
      </c>
      <c r="D3" s="600" t="s">
        <v>4007</v>
      </c>
      <c r="E3" s="9"/>
    </row>
    <row r="4" spans="1:5" ht="14.25">
      <c r="A4" s="336" t="s">
        <v>4008</v>
      </c>
      <c r="B4" s="608" t="s">
        <v>3764</v>
      </c>
      <c r="C4" s="20" t="s">
        <v>3785</v>
      </c>
      <c r="D4" s="600" t="s">
        <v>6870</v>
      </c>
      <c r="E4" s="9"/>
    </row>
    <row r="5" spans="1:5" ht="14.25">
      <c r="A5" s="336" t="s">
        <v>4011</v>
      </c>
      <c r="B5" s="608" t="s">
        <v>4012</v>
      </c>
      <c r="C5" s="20" t="s">
        <v>3734</v>
      </c>
      <c r="D5" s="600"/>
      <c r="E5" s="9"/>
    </row>
    <row r="6" spans="1:5" ht="14.25">
      <c r="A6" s="336" t="s">
        <v>4013</v>
      </c>
      <c r="B6" s="608" t="s">
        <v>3924</v>
      </c>
      <c r="C6" s="20" t="s">
        <v>3706</v>
      </c>
      <c r="D6" s="600"/>
      <c r="E6" s="9"/>
    </row>
    <row r="7" spans="1:5" ht="15">
      <c r="A7" s="336" t="s">
        <v>6871</v>
      </c>
      <c r="B7" s="614" t="s">
        <v>3700</v>
      </c>
      <c r="C7" s="20"/>
      <c r="D7" s="600" t="s">
        <v>6872</v>
      </c>
      <c r="E7" s="9"/>
    </row>
    <row r="8" spans="1:5" ht="14.25">
      <c r="A8" s="336" t="s">
        <v>6873</v>
      </c>
      <c r="B8" s="608" t="s">
        <v>3696</v>
      </c>
      <c r="C8" s="20" t="s">
        <v>4053</v>
      </c>
      <c r="D8" s="600"/>
      <c r="E8" s="9"/>
    </row>
    <row r="9" spans="1:5" ht="14.25">
      <c r="A9" s="336" t="s">
        <v>3705</v>
      </c>
      <c r="B9" s="608" t="s">
        <v>3288</v>
      </c>
      <c r="C9" s="20" t="s">
        <v>3706</v>
      </c>
      <c r="D9" s="600" t="s">
        <v>3707</v>
      </c>
      <c r="E9" s="9"/>
    </row>
    <row r="10" spans="1:5">
      <c r="A10" s="610" t="s">
        <v>3703</v>
      </c>
      <c r="B10" s="960" t="s">
        <v>3692</v>
      </c>
      <c r="C10" s="961" t="s">
        <v>3939</v>
      </c>
      <c r="D10" s="632" t="s">
        <v>6874</v>
      </c>
      <c r="E10" s="9"/>
    </row>
    <row r="11" spans="1:5">
      <c r="A11" s="9" t="s">
        <v>6875</v>
      </c>
      <c r="B11" s="9" t="s">
        <v>3292</v>
      </c>
      <c r="C11" s="9" t="s">
        <v>3709</v>
      </c>
      <c r="D11" s="600"/>
      <c r="E11" s="9"/>
    </row>
    <row r="12" spans="1:5">
      <c r="A12" s="578" t="s">
        <v>6876</v>
      </c>
      <c r="B12" s="59" t="s">
        <v>3692</v>
      </c>
      <c r="C12" s="59" t="s">
        <v>4053</v>
      </c>
      <c r="D12" s="9" t="s">
        <v>6877</v>
      </c>
      <c r="E12" s="9"/>
    </row>
    <row r="13" spans="1:5">
      <c r="A13" s="9" t="s">
        <v>4014</v>
      </c>
      <c r="B13" s="9" t="s">
        <v>3924</v>
      </c>
      <c r="C13" s="9" t="s">
        <v>3785</v>
      </c>
      <c r="E13" s="9"/>
    </row>
    <row r="14" spans="1:5" ht="14.25">
      <c r="A14" s="336" t="s">
        <v>2264</v>
      </c>
      <c r="B14" s="608" t="s">
        <v>3696</v>
      </c>
      <c r="C14" s="20"/>
      <c r="D14" s="600"/>
      <c r="E14" s="9"/>
    </row>
    <row r="15" spans="1:5" ht="14.25">
      <c r="A15" s="336" t="s">
        <v>4015</v>
      </c>
      <c r="B15" s="608" t="s">
        <v>3692</v>
      </c>
      <c r="C15" s="20" t="s">
        <v>3939</v>
      </c>
      <c r="D15" s="600" t="s">
        <v>4016</v>
      </c>
      <c r="E15" s="9"/>
    </row>
    <row r="16" spans="1:5" ht="14.25">
      <c r="A16" s="336" t="s">
        <v>4234</v>
      </c>
      <c r="B16" s="608" t="s">
        <v>3288</v>
      </c>
      <c r="C16" s="20" t="s">
        <v>3830</v>
      </c>
      <c r="D16" s="600" t="s">
        <v>4235</v>
      </c>
      <c r="E16" s="9"/>
    </row>
    <row r="17" spans="1:5" ht="14.25">
      <c r="A17" s="336" t="s">
        <v>3951</v>
      </c>
      <c r="B17" s="608" t="s">
        <v>3961</v>
      </c>
      <c r="C17" s="20" t="s">
        <v>3782</v>
      </c>
      <c r="D17" s="600"/>
      <c r="E17" s="9"/>
    </row>
    <row r="18" spans="1:5" ht="14.25">
      <c r="A18" s="615" t="s">
        <v>4017</v>
      </c>
      <c r="B18" s="608" t="s">
        <v>3755</v>
      </c>
      <c r="C18" s="20" t="s">
        <v>3785</v>
      </c>
      <c r="D18" s="600"/>
      <c r="E18" s="9"/>
    </row>
    <row r="19" spans="1:5" ht="14.25">
      <c r="A19" s="336" t="s">
        <v>4018</v>
      </c>
      <c r="B19" s="608"/>
      <c r="C19" s="20"/>
      <c r="D19" s="600"/>
      <c r="E19" s="9"/>
    </row>
    <row r="20" spans="1:5" ht="14.25">
      <c r="A20" s="336" t="s">
        <v>358</v>
      </c>
      <c r="B20" s="608" t="s">
        <v>3292</v>
      </c>
      <c r="C20" s="20" t="s">
        <v>6878</v>
      </c>
      <c r="D20" s="600"/>
      <c r="E20" s="9"/>
    </row>
    <row r="21" spans="1:5" ht="14.25">
      <c r="A21" s="615" t="s">
        <v>4020</v>
      </c>
      <c r="B21" s="608" t="s">
        <v>3755</v>
      </c>
      <c r="C21" s="20" t="s">
        <v>4021</v>
      </c>
      <c r="D21" s="600"/>
      <c r="E21" s="9"/>
    </row>
    <row r="22" spans="1:5" ht="14.25">
      <c r="A22" s="615" t="s">
        <v>6879</v>
      </c>
      <c r="B22" s="608" t="s">
        <v>3692</v>
      </c>
      <c r="C22" s="20" t="s">
        <v>3706</v>
      </c>
      <c r="D22" s="600"/>
      <c r="E22" s="9"/>
    </row>
    <row r="23" spans="1:5" ht="14.25">
      <c r="A23" s="615" t="s">
        <v>4024</v>
      </c>
      <c r="B23" s="608" t="s">
        <v>3692</v>
      </c>
      <c r="C23" s="20" t="s">
        <v>4025</v>
      </c>
      <c r="D23" s="600"/>
      <c r="E23" s="9"/>
    </row>
    <row r="24" spans="1:5" ht="14.25">
      <c r="A24" s="336" t="s">
        <v>4026</v>
      </c>
      <c r="B24" s="608" t="s">
        <v>3755</v>
      </c>
      <c r="C24" s="20" t="s">
        <v>4027</v>
      </c>
      <c r="D24" s="600"/>
      <c r="E24" s="9"/>
    </row>
    <row r="25" spans="1:5" ht="14.25">
      <c r="A25" s="336" t="s">
        <v>4028</v>
      </c>
      <c r="B25" s="608" t="s">
        <v>3692</v>
      </c>
      <c r="C25" s="609" t="s">
        <v>3785</v>
      </c>
      <c r="D25" s="600"/>
      <c r="E25" s="9"/>
    </row>
    <row r="26" spans="1:5" ht="14.25">
      <c r="A26" s="336" t="s">
        <v>4029</v>
      </c>
      <c r="B26" s="608" t="s">
        <v>3755</v>
      </c>
      <c r="C26" s="609" t="s">
        <v>3706</v>
      </c>
      <c r="D26" s="600"/>
      <c r="E26" s="9"/>
    </row>
    <row r="27" spans="1:5" ht="14.25">
      <c r="A27" s="336" t="s">
        <v>4003</v>
      </c>
      <c r="B27" s="608" t="s">
        <v>4004</v>
      </c>
      <c r="C27" s="609" t="s">
        <v>3785</v>
      </c>
      <c r="D27" s="600" t="s">
        <v>4005</v>
      </c>
      <c r="E27" s="9"/>
    </row>
    <row r="28" spans="1:5" ht="14.25">
      <c r="A28" s="336" t="s">
        <v>4030</v>
      </c>
      <c r="B28" s="608" t="s">
        <v>3692</v>
      </c>
      <c r="C28" s="609" t="s">
        <v>4031</v>
      </c>
      <c r="D28" s="600"/>
      <c r="E28" s="9"/>
    </row>
    <row r="29" spans="1:5" ht="14.25">
      <c r="A29" s="336" t="s">
        <v>6880</v>
      </c>
      <c r="B29" s="608" t="s">
        <v>3692</v>
      </c>
      <c r="C29" s="609" t="s">
        <v>3785</v>
      </c>
      <c r="D29" s="600" t="s">
        <v>3799</v>
      </c>
      <c r="E29" s="9"/>
    </row>
    <row r="30" spans="1:5" ht="14.25">
      <c r="A30" s="336" t="s">
        <v>4033</v>
      </c>
      <c r="B30" s="608" t="s">
        <v>4034</v>
      </c>
      <c r="C30" s="609">
        <v>123456</v>
      </c>
      <c r="D30" s="609" t="s">
        <v>4035</v>
      </c>
      <c r="E30" s="9" t="s">
        <v>4036</v>
      </c>
    </row>
    <row r="31" spans="1:5" ht="14.25">
      <c r="A31" s="336" t="s">
        <v>4037</v>
      </c>
      <c r="B31" s="608" t="s">
        <v>3692</v>
      </c>
      <c r="C31" s="610" t="s">
        <v>3785</v>
      </c>
      <c r="D31" s="609" t="s">
        <v>4038</v>
      </c>
      <c r="E31" s="9"/>
    </row>
    <row r="32" spans="1:5" ht="14.25">
      <c r="A32" s="336" t="s">
        <v>4039</v>
      </c>
      <c r="B32" s="608" t="s">
        <v>3781</v>
      </c>
      <c r="C32" s="610" t="s">
        <v>3734</v>
      </c>
      <c r="D32" s="609" t="s">
        <v>4040</v>
      </c>
      <c r="E32" s="9"/>
    </row>
    <row r="33" spans="1:8" ht="14.25">
      <c r="A33" s="336" t="s">
        <v>4041</v>
      </c>
      <c r="B33" s="608" t="s">
        <v>3692</v>
      </c>
      <c r="C33" s="610" t="s">
        <v>4042</v>
      </c>
      <c r="D33" s="609"/>
      <c r="E33" s="9" t="s">
        <v>135</v>
      </c>
    </row>
    <row r="34" spans="1:8" ht="14.25">
      <c r="A34" s="336" t="s">
        <v>4043</v>
      </c>
      <c r="B34" s="608" t="s">
        <v>3755</v>
      </c>
      <c r="C34" s="610" t="s">
        <v>4044</v>
      </c>
      <c r="D34" s="609"/>
      <c r="E34" s="9"/>
    </row>
    <row r="35" spans="1:8" ht="14.25">
      <c r="A35" s="336" t="s">
        <v>4045</v>
      </c>
      <c r="B35" s="608" t="s">
        <v>3781</v>
      </c>
      <c r="C35" s="610" t="s">
        <v>3782</v>
      </c>
      <c r="D35" s="609" t="s">
        <v>4046</v>
      </c>
      <c r="E35" s="9"/>
    </row>
    <row r="36" spans="1:8" ht="25.5">
      <c r="A36" s="336" t="s">
        <v>6881</v>
      </c>
      <c r="B36" s="608" t="s">
        <v>3802</v>
      </c>
      <c r="C36" s="610" t="s">
        <v>3782</v>
      </c>
      <c r="D36" s="609" t="s">
        <v>3803</v>
      </c>
      <c r="E36" s="9"/>
    </row>
    <row r="37" spans="1:8" ht="14.25">
      <c r="A37" s="336" t="s">
        <v>4047</v>
      </c>
      <c r="B37" s="608" t="s">
        <v>3692</v>
      </c>
      <c r="C37" s="610" t="s">
        <v>3785</v>
      </c>
      <c r="D37" s="609"/>
      <c r="E37" s="9"/>
    </row>
    <row r="38" spans="1:8" ht="14.25">
      <c r="A38" s="336" t="s">
        <v>4048</v>
      </c>
      <c r="B38" s="608">
        <v>23375</v>
      </c>
      <c r="C38" s="610" t="s">
        <v>3734</v>
      </c>
      <c r="D38" s="609"/>
      <c r="E38" s="9"/>
    </row>
    <row r="39" spans="1:8" ht="14.25">
      <c r="A39" s="336" t="s">
        <v>4049</v>
      </c>
      <c r="B39" s="608" t="s">
        <v>3755</v>
      </c>
      <c r="C39" s="610" t="s">
        <v>3845</v>
      </c>
      <c r="D39" s="609"/>
      <c r="E39" s="9"/>
    </row>
    <row r="40" spans="1:8" ht="14.25">
      <c r="A40" s="615" t="s">
        <v>4050</v>
      </c>
      <c r="B40" s="608" t="s">
        <v>3692</v>
      </c>
      <c r="C40" s="610"/>
      <c r="D40" s="609"/>
      <c r="E40" s="9"/>
    </row>
    <row r="41" spans="1:8" ht="14.25">
      <c r="A41" s="336" t="s">
        <v>4051</v>
      </c>
      <c r="B41" s="608" t="s">
        <v>3692</v>
      </c>
      <c r="C41" s="610" t="s">
        <v>3706</v>
      </c>
      <c r="D41" s="609"/>
      <c r="E41" s="9"/>
    </row>
    <row r="42" spans="1:8" ht="14.25">
      <c r="A42" s="336" t="s">
        <v>4052</v>
      </c>
      <c r="B42" s="608" t="s">
        <v>3692</v>
      </c>
      <c r="C42" s="610" t="s">
        <v>4053</v>
      </c>
      <c r="D42" s="609"/>
      <c r="E42" s="9"/>
    </row>
    <row r="43" spans="1:8" ht="14.25">
      <c r="A43" s="336" t="s">
        <v>4054</v>
      </c>
      <c r="B43" s="608" t="s">
        <v>3292</v>
      </c>
      <c r="C43" s="610" t="s">
        <v>4055</v>
      </c>
      <c r="D43" s="609"/>
      <c r="E43" s="9"/>
    </row>
    <row r="44" spans="1:8" ht="14.25">
      <c r="A44" s="336" t="s">
        <v>4060</v>
      </c>
      <c r="B44" s="608" t="s">
        <v>3692</v>
      </c>
      <c r="C44" s="610" t="s">
        <v>4044</v>
      </c>
      <c r="D44" s="609">
        <v>520268585372</v>
      </c>
      <c r="E44" s="9" t="s">
        <v>4061</v>
      </c>
    </row>
    <row r="45" spans="1:8" ht="14.25">
      <c r="A45" s="625" t="s">
        <v>4062</v>
      </c>
      <c r="B45" s="608" t="s">
        <v>4063</v>
      </c>
      <c r="C45" s="610" t="s">
        <v>3785</v>
      </c>
      <c r="D45" s="608"/>
      <c r="E45" s="578"/>
    </row>
    <row r="46" spans="1:8" ht="14.25">
      <c r="A46" s="626" t="s">
        <v>4064</v>
      </c>
      <c r="B46" s="608" t="s">
        <v>4065</v>
      </c>
      <c r="C46" s="610" t="s">
        <v>3785</v>
      </c>
      <c r="D46" s="608"/>
      <c r="E46" s="578"/>
      <c r="F46" s="9" t="s">
        <v>6882</v>
      </c>
      <c r="H46" s="9">
        <v>30</v>
      </c>
    </row>
    <row r="47" spans="1:8" ht="14.25">
      <c r="A47" s="336" t="s">
        <v>6883</v>
      </c>
      <c r="B47" s="25"/>
      <c r="C47" s="610" t="s">
        <v>3785</v>
      </c>
      <c r="D47" s="608"/>
      <c r="E47" s="578"/>
      <c r="F47" s="9" t="s">
        <v>6884</v>
      </c>
      <c r="G47" s="9">
        <v>240</v>
      </c>
      <c r="H47" s="9">
        <v>240</v>
      </c>
    </row>
    <row r="48" spans="1:8" ht="14.25">
      <c r="A48" s="336" t="s">
        <v>6885</v>
      </c>
      <c r="B48" s="608" t="s">
        <v>3692</v>
      </c>
      <c r="C48" s="610" t="s">
        <v>3785</v>
      </c>
      <c r="D48" s="608"/>
      <c r="E48" s="578"/>
      <c r="F48" s="9" t="s">
        <v>6886</v>
      </c>
      <c r="G48" s="9">
        <v>6000</v>
      </c>
      <c r="H48" s="9">
        <f>H46*H47</f>
        <v>7200</v>
      </c>
    </row>
    <row r="49" spans="1:5" ht="14.25">
      <c r="A49" s="627" t="s">
        <v>4066</v>
      </c>
      <c r="B49" s="608" t="s">
        <v>3692</v>
      </c>
      <c r="C49" s="610" t="s">
        <v>3706</v>
      </c>
      <c r="D49" s="608" t="s">
        <v>4067</v>
      </c>
      <c r="E49" s="578"/>
    </row>
    <row r="50" spans="1:5" ht="24">
      <c r="A50" s="627" t="s">
        <v>4068</v>
      </c>
      <c r="B50" s="608" t="s">
        <v>3692</v>
      </c>
      <c r="C50" s="610"/>
      <c r="D50" s="610"/>
      <c r="E50" s="578"/>
    </row>
    <row r="51" spans="1:5" ht="14.25">
      <c r="A51" s="627" t="s">
        <v>4069</v>
      </c>
      <c r="B51" s="628" t="s">
        <v>3692</v>
      </c>
      <c r="C51" s="610" t="s">
        <v>3706</v>
      </c>
      <c r="D51" s="610"/>
      <c r="E51" s="578"/>
    </row>
    <row r="52" spans="1:5" ht="14.25">
      <c r="A52" s="627" t="s">
        <v>4056</v>
      </c>
      <c r="B52" s="628" t="s">
        <v>3696</v>
      </c>
      <c r="C52" s="610" t="s">
        <v>4057</v>
      </c>
      <c r="D52" s="610"/>
      <c r="E52" s="578"/>
    </row>
    <row r="53" spans="1:5" ht="14.25">
      <c r="A53" s="629" t="s">
        <v>4070</v>
      </c>
      <c r="B53" s="628">
        <v>6202782524</v>
      </c>
      <c r="C53" s="610" t="s">
        <v>3785</v>
      </c>
      <c r="D53" s="610" t="s">
        <v>4071</v>
      </c>
      <c r="E53" s="578"/>
    </row>
    <row r="54" spans="1:5" ht="14.25">
      <c r="A54" s="610" t="s">
        <v>6887</v>
      </c>
      <c r="B54" s="608" t="s">
        <v>4073</v>
      </c>
      <c r="C54" s="610" t="s">
        <v>3734</v>
      </c>
      <c r="D54" s="610" t="s">
        <v>4075</v>
      </c>
      <c r="E54" s="962" t="s">
        <v>4076</v>
      </c>
    </row>
    <row r="55" spans="1:5">
      <c r="A55" s="610" t="s">
        <v>4078</v>
      </c>
      <c r="B55" s="610" t="s">
        <v>3292</v>
      </c>
      <c r="C55" s="610" t="s">
        <v>6878</v>
      </c>
      <c r="D55" s="610"/>
      <c r="E55" s="578"/>
    </row>
    <row r="56" spans="1:5">
      <c r="A56" s="610" t="s">
        <v>4079</v>
      </c>
      <c r="B56" s="610" t="s">
        <v>3692</v>
      </c>
      <c r="C56" s="610" t="s">
        <v>3885</v>
      </c>
      <c r="D56" s="610" t="s">
        <v>4080</v>
      </c>
      <c r="E56" s="578"/>
    </row>
    <row r="57" spans="1:5">
      <c r="A57" s="610" t="s">
        <v>4081</v>
      </c>
      <c r="B57" s="631" t="s">
        <v>3924</v>
      </c>
      <c r="C57" s="609" t="s">
        <v>3939</v>
      </c>
      <c r="D57" s="632" t="s">
        <v>6888</v>
      </c>
      <c r="E57" s="578"/>
    </row>
    <row r="58" spans="1:5">
      <c r="A58" s="610" t="s">
        <v>4083</v>
      </c>
      <c r="B58" s="631" t="s">
        <v>3696</v>
      </c>
      <c r="C58" s="609" t="s">
        <v>4084</v>
      </c>
      <c r="D58" s="632"/>
      <c r="E58" s="578"/>
    </row>
    <row r="59" spans="1:5">
      <c r="A59" s="610" t="s">
        <v>4085</v>
      </c>
      <c r="B59" s="631" t="s">
        <v>3292</v>
      </c>
      <c r="C59" s="609" t="s">
        <v>3782</v>
      </c>
      <c r="D59" s="632" t="s">
        <v>4086</v>
      </c>
      <c r="E59" s="578"/>
    </row>
    <row r="60" spans="1:5">
      <c r="A60" s="610" t="s">
        <v>6889</v>
      </c>
      <c r="B60" s="631" t="s">
        <v>3755</v>
      </c>
      <c r="C60" s="609" t="s">
        <v>4053</v>
      </c>
      <c r="D60" s="632" t="s">
        <v>6890</v>
      </c>
      <c r="E60" s="963" t="s">
        <v>6891</v>
      </c>
    </row>
    <row r="61" spans="1:5">
      <c r="A61" s="610" t="s">
        <v>4087</v>
      </c>
      <c r="B61" s="631" t="s">
        <v>3692</v>
      </c>
      <c r="C61" s="609"/>
      <c r="D61" s="632" t="s">
        <v>4088</v>
      </c>
      <c r="E61" s="578"/>
    </row>
    <row r="62" spans="1:5" ht="28.5">
      <c r="A62" s="610" t="s">
        <v>4089</v>
      </c>
      <c r="B62" s="631" t="s">
        <v>4090</v>
      </c>
      <c r="C62" s="609"/>
      <c r="D62" s="633" t="s">
        <v>4092</v>
      </c>
      <c r="E62" s="578"/>
    </row>
    <row r="63" spans="1:5" ht="14.25">
      <c r="A63" s="610" t="s">
        <v>6892</v>
      </c>
      <c r="B63" s="610"/>
      <c r="C63" s="609">
        <v>28166</v>
      </c>
      <c r="D63" s="958"/>
      <c r="E63" s="578"/>
    </row>
    <row r="64" spans="1:5" ht="14.25">
      <c r="A64" s="964" t="s">
        <v>4093</v>
      </c>
      <c r="B64" s="354" t="s">
        <v>3755</v>
      </c>
      <c r="C64" s="20" t="s">
        <v>3706</v>
      </c>
      <c r="D64" s="354"/>
      <c r="E64" s="634"/>
    </row>
    <row r="65" spans="1:5">
      <c r="A65" s="20" t="s">
        <v>4094</v>
      </c>
      <c r="B65" s="354" t="s">
        <v>3692</v>
      </c>
      <c r="C65" s="20" t="s">
        <v>3706</v>
      </c>
      <c r="D65" s="354" t="s">
        <v>3755</v>
      </c>
      <c r="E65" s="634"/>
    </row>
    <row r="66" spans="1:5">
      <c r="A66" s="635" t="s">
        <v>4095</v>
      </c>
      <c r="B66" s="354" t="s">
        <v>3924</v>
      </c>
      <c r="C66" s="20" t="s">
        <v>3785</v>
      </c>
      <c r="D66" s="354"/>
      <c r="E66" s="634"/>
    </row>
    <row r="67" spans="1:5">
      <c r="A67" s="20" t="s">
        <v>6893</v>
      </c>
      <c r="B67" s="354" t="s">
        <v>3755</v>
      </c>
      <c r="C67" s="20" t="s">
        <v>3785</v>
      </c>
      <c r="D67" s="354" t="s">
        <v>4102</v>
      </c>
      <c r="E67" s="634"/>
    </row>
    <row r="68" spans="1:5">
      <c r="A68" s="20" t="s">
        <v>4104</v>
      </c>
      <c r="B68" s="354"/>
      <c r="C68" s="20"/>
      <c r="D68" s="354" t="s">
        <v>4105</v>
      </c>
      <c r="E68" s="9"/>
    </row>
    <row r="69" spans="1:5">
      <c r="A69" s="20" t="s">
        <v>4106</v>
      </c>
      <c r="B69" s="354" t="s">
        <v>2654</v>
      </c>
      <c r="C69" s="20" t="s">
        <v>3999</v>
      </c>
      <c r="D69" s="354"/>
    </row>
    <row r="70" spans="1:5">
      <c r="A70" s="20" t="s">
        <v>4107</v>
      </c>
      <c r="B70" s="354" t="s">
        <v>4108</v>
      </c>
      <c r="C70" s="20" t="s">
        <v>3706</v>
      </c>
      <c r="D70" s="354" t="s">
        <v>4109</v>
      </c>
      <c r="E70" s="634"/>
    </row>
    <row r="71" spans="1:5">
      <c r="A71" s="20" t="s">
        <v>6894</v>
      </c>
      <c r="B71" s="354" t="s">
        <v>3755</v>
      </c>
      <c r="C71" s="20" t="s">
        <v>3706</v>
      </c>
      <c r="D71" s="354"/>
      <c r="E71" s="634"/>
    </row>
    <row r="72" spans="1:5">
      <c r="A72" s="20" t="s">
        <v>6895</v>
      </c>
      <c r="B72" s="354" t="s">
        <v>3755</v>
      </c>
      <c r="C72" s="20" t="s">
        <v>3785</v>
      </c>
      <c r="D72" s="354"/>
      <c r="E72" s="634"/>
    </row>
    <row r="73" spans="1:5">
      <c r="A73" s="20" t="s">
        <v>4113</v>
      </c>
      <c r="B73" s="354" t="s">
        <v>3755</v>
      </c>
      <c r="C73" s="20"/>
      <c r="D73" s="354">
        <v>133433</v>
      </c>
      <c r="E73" s="634"/>
    </row>
    <row r="74" spans="1:5" ht="25.5">
      <c r="A74" s="20" t="s">
        <v>4114</v>
      </c>
      <c r="B74" s="354" t="s">
        <v>3692</v>
      </c>
      <c r="C74" s="20" t="s">
        <v>4115</v>
      </c>
      <c r="D74" s="20" t="s">
        <v>6896</v>
      </c>
      <c r="E74" s="634" t="s">
        <v>4117</v>
      </c>
    </row>
    <row r="75" spans="1:5">
      <c r="A75" s="20" t="s">
        <v>1576</v>
      </c>
      <c r="B75" s="354" t="s">
        <v>3692</v>
      </c>
      <c r="C75" s="20" t="s">
        <v>3706</v>
      </c>
      <c r="D75" s="20"/>
      <c r="E75" s="634"/>
    </row>
    <row r="76" spans="1:5">
      <c r="A76" s="20" t="s">
        <v>4118</v>
      </c>
      <c r="B76" s="354" t="s">
        <v>3755</v>
      </c>
      <c r="C76" s="20" t="s">
        <v>3785</v>
      </c>
      <c r="D76" s="20"/>
      <c r="E76" s="634"/>
    </row>
    <row r="77" spans="1:5" ht="15.75">
      <c r="A77" s="20" t="s">
        <v>4119</v>
      </c>
      <c r="B77" s="636" t="s">
        <v>3292</v>
      </c>
      <c r="C77" s="636" t="s">
        <v>3782</v>
      </c>
      <c r="D77" s="637"/>
      <c r="E77" s="634"/>
    </row>
    <row r="78" spans="1:5" ht="15.75">
      <c r="A78" s="20" t="s">
        <v>4120</v>
      </c>
      <c r="B78" s="636" t="s">
        <v>3696</v>
      </c>
      <c r="C78" s="636" t="s">
        <v>3830</v>
      </c>
      <c r="D78" s="637"/>
      <c r="E78" s="634"/>
    </row>
    <row r="79" spans="1:5" ht="15.75">
      <c r="A79" s="20" t="s">
        <v>4120</v>
      </c>
      <c r="B79" s="636" t="s">
        <v>3692</v>
      </c>
      <c r="C79" s="636" t="s">
        <v>4044</v>
      </c>
      <c r="D79" s="637"/>
      <c r="E79" s="634"/>
    </row>
    <row r="80" spans="1:5" ht="15.75">
      <c r="A80" s="20" t="s">
        <v>6897</v>
      </c>
      <c r="B80" s="636" t="s">
        <v>3692</v>
      </c>
      <c r="C80" s="636" t="s">
        <v>3785</v>
      </c>
      <c r="D80" s="637"/>
      <c r="E80" s="634"/>
    </row>
    <row r="81" spans="1:5" ht="15.75">
      <c r="A81" s="20" t="s">
        <v>195</v>
      </c>
      <c r="B81" s="636" t="s">
        <v>3692</v>
      </c>
      <c r="C81" s="636" t="s">
        <v>3706</v>
      </c>
      <c r="D81" s="638" t="s">
        <v>4121</v>
      </c>
      <c r="E81" s="634"/>
    </row>
    <row r="82" spans="1:5">
      <c r="A82" s="20" t="s">
        <v>4122</v>
      </c>
      <c r="B82" s="20" t="s">
        <v>3692</v>
      </c>
      <c r="C82" s="20" t="s">
        <v>3785</v>
      </c>
      <c r="D82" s="454" t="s">
        <v>4123</v>
      </c>
      <c r="E82" s="634"/>
    </row>
    <row r="83" spans="1:5">
      <c r="A83" s="639" t="s">
        <v>4124</v>
      </c>
      <c r="B83" s="20" t="s">
        <v>3292</v>
      </c>
      <c r="C83" s="20" t="s">
        <v>3782</v>
      </c>
      <c r="D83" s="20"/>
      <c r="E83" s="634"/>
    </row>
    <row r="84" spans="1:5">
      <c r="A84" s="639" t="s">
        <v>4124</v>
      </c>
      <c r="B84" s="20" t="s">
        <v>3692</v>
      </c>
      <c r="C84" s="20" t="s">
        <v>3785</v>
      </c>
      <c r="D84" s="20"/>
      <c r="E84" s="634"/>
    </row>
    <row r="85" spans="1:5">
      <c r="A85" s="639" t="s">
        <v>4125</v>
      </c>
      <c r="B85" s="20" t="s">
        <v>3692</v>
      </c>
      <c r="C85" s="20" t="s">
        <v>3885</v>
      </c>
      <c r="D85" s="20" t="s">
        <v>4126</v>
      </c>
      <c r="E85" s="634" t="s">
        <v>4127</v>
      </c>
    </row>
    <row r="86" spans="1:5">
      <c r="A86" s="639" t="s">
        <v>4128</v>
      </c>
      <c r="B86" s="20" t="s">
        <v>3755</v>
      </c>
      <c r="C86" s="20" t="s">
        <v>3939</v>
      </c>
      <c r="D86" s="20" t="s">
        <v>4129</v>
      </c>
      <c r="E86" s="634"/>
    </row>
    <row r="87" spans="1:5">
      <c r="A87" s="639" t="s">
        <v>6898</v>
      </c>
      <c r="B87" s="20" t="s">
        <v>3692</v>
      </c>
      <c r="C87" s="20" t="s">
        <v>3706</v>
      </c>
      <c r="D87" s="20">
        <v>58</v>
      </c>
      <c r="E87" s="634"/>
    </row>
    <row r="88" spans="1:5">
      <c r="A88" s="639" t="s">
        <v>6899</v>
      </c>
      <c r="B88" s="20" t="s">
        <v>3292</v>
      </c>
      <c r="C88" s="20" t="s">
        <v>3782</v>
      </c>
      <c r="D88" s="20"/>
      <c r="E88" s="634"/>
    </row>
    <row r="89" spans="1:5">
      <c r="A89" s="639" t="s">
        <v>4131</v>
      </c>
      <c r="B89" s="20" t="s">
        <v>3692</v>
      </c>
      <c r="C89" s="20" t="s">
        <v>3706</v>
      </c>
      <c r="D89" s="20"/>
      <c r="E89" s="634"/>
    </row>
    <row r="90" spans="1:5">
      <c r="A90" s="639" t="s">
        <v>6900</v>
      </c>
      <c r="B90" s="20" t="s">
        <v>3755</v>
      </c>
      <c r="C90" s="20" t="s">
        <v>4044</v>
      </c>
      <c r="D90" s="20"/>
      <c r="E90" s="634"/>
    </row>
    <row r="91" spans="1:5">
      <c r="A91" s="639" t="s">
        <v>4133</v>
      </c>
      <c r="B91" s="20" t="s">
        <v>3781</v>
      </c>
      <c r="C91" s="20" t="s">
        <v>3782</v>
      </c>
      <c r="D91" s="20"/>
      <c r="E91" s="634"/>
    </row>
    <row r="92" spans="1:5">
      <c r="A92" s="639" t="s">
        <v>4136</v>
      </c>
      <c r="B92" s="20" t="s">
        <v>3692</v>
      </c>
      <c r="C92" s="20" t="s">
        <v>4137</v>
      </c>
      <c r="D92" s="20"/>
      <c r="E92" s="634"/>
    </row>
    <row r="93" spans="1:5">
      <c r="A93" s="639" t="s">
        <v>4136</v>
      </c>
      <c r="B93" s="20" t="s">
        <v>3696</v>
      </c>
      <c r="C93" s="20" t="s">
        <v>3706</v>
      </c>
      <c r="D93" s="20"/>
      <c r="E93" s="634"/>
    </row>
    <row r="94" spans="1:5">
      <c r="A94" s="639" t="s">
        <v>6901</v>
      </c>
      <c r="B94" s="20" t="s">
        <v>3755</v>
      </c>
      <c r="C94" s="20" t="s">
        <v>3785</v>
      </c>
      <c r="D94" s="20"/>
      <c r="E94" s="634"/>
    </row>
    <row r="95" spans="1:5">
      <c r="A95" s="639" t="s">
        <v>6902</v>
      </c>
      <c r="B95" s="20" t="s">
        <v>3716</v>
      </c>
      <c r="C95" s="9" t="s">
        <v>3782</v>
      </c>
      <c r="D95" s="20">
        <v>28162816</v>
      </c>
      <c r="E95" s="634"/>
    </row>
    <row r="96" spans="1:5">
      <c r="A96" s="639" t="s">
        <v>1237</v>
      </c>
      <c r="B96" s="20" t="s">
        <v>3692</v>
      </c>
      <c r="C96" s="20" t="s">
        <v>3785</v>
      </c>
      <c r="D96" s="20">
        <v>2816</v>
      </c>
      <c r="E96" s="634"/>
    </row>
    <row r="97" spans="1:6" ht="25.5">
      <c r="A97" s="639" t="s">
        <v>5035</v>
      </c>
      <c r="B97" s="20" t="s">
        <v>4143</v>
      </c>
      <c r="C97" s="20" t="s">
        <v>4144</v>
      </c>
      <c r="D97" s="20" t="s">
        <v>4145</v>
      </c>
      <c r="E97" s="634" t="s">
        <v>4146</v>
      </c>
    </row>
    <row r="98" spans="1:6" ht="15">
      <c r="A98" s="639" t="s">
        <v>4154</v>
      </c>
      <c r="B98" s="641" t="s">
        <v>3692</v>
      </c>
      <c r="C98" s="20" t="s">
        <v>3706</v>
      </c>
      <c r="D98" s="640" t="s">
        <v>4155</v>
      </c>
      <c r="E98" s="634"/>
    </row>
    <row r="99" spans="1:6" ht="15">
      <c r="A99" s="639" t="s">
        <v>4157</v>
      </c>
      <c r="B99" s="641" t="s">
        <v>3692</v>
      </c>
      <c r="C99" s="20" t="s">
        <v>3706</v>
      </c>
      <c r="D99" s="9" t="s">
        <v>4158</v>
      </c>
      <c r="E99" s="634"/>
    </row>
    <row r="100" spans="1:6" ht="15">
      <c r="A100" s="642" t="s">
        <v>4160</v>
      </c>
      <c r="B100" s="641" t="s">
        <v>3755</v>
      </c>
      <c r="C100" s="634" t="s">
        <v>3785</v>
      </c>
      <c r="D100" s="9"/>
      <c r="E100" s="634"/>
    </row>
    <row r="101" spans="1:6" ht="15">
      <c r="A101" s="639" t="s">
        <v>4161</v>
      </c>
      <c r="B101" s="641" t="s">
        <v>4162</v>
      </c>
      <c r="C101" s="20" t="s">
        <v>4163</v>
      </c>
      <c r="D101" s="643" t="s">
        <v>4164</v>
      </c>
      <c r="E101" s="644" t="s">
        <v>4165</v>
      </c>
    </row>
    <row r="102" spans="1:6" ht="15">
      <c r="A102" s="642" t="s">
        <v>4166</v>
      </c>
      <c r="B102" s="641" t="s">
        <v>3692</v>
      </c>
      <c r="C102" s="634" t="s">
        <v>3785</v>
      </c>
      <c r="D102" s="9"/>
      <c r="E102" s="634"/>
    </row>
    <row r="103" spans="1:6" ht="26.25">
      <c r="A103" s="639" t="s">
        <v>4167</v>
      </c>
      <c r="B103" s="641" t="s">
        <v>4034</v>
      </c>
      <c r="C103" s="634" t="s">
        <v>4168</v>
      </c>
      <c r="D103" s="9" t="s">
        <v>6903</v>
      </c>
      <c r="E103" s="634" t="s">
        <v>4170</v>
      </c>
      <c r="F103" s="9" t="s">
        <v>4168</v>
      </c>
    </row>
    <row r="104" spans="1:6" ht="25.5">
      <c r="A104" s="639" t="s">
        <v>4171</v>
      </c>
      <c r="B104" s="634" t="s">
        <v>3755</v>
      </c>
      <c r="C104" s="645" t="s">
        <v>4172</v>
      </c>
      <c r="D104" s="9" t="s">
        <v>4173</v>
      </c>
      <c r="E104" s="634" t="s">
        <v>4174</v>
      </c>
    </row>
    <row r="105" spans="1:6">
      <c r="A105" s="634" t="s">
        <v>4175</v>
      </c>
      <c r="B105" s="634" t="s">
        <v>3755</v>
      </c>
      <c r="C105" s="634" t="s">
        <v>3706</v>
      </c>
      <c r="D105" s="9" t="s">
        <v>4176</v>
      </c>
      <c r="E105" s="634"/>
    </row>
    <row r="106" spans="1:6">
      <c r="A106" s="634" t="s">
        <v>4177</v>
      </c>
      <c r="B106" s="634" t="s">
        <v>3755</v>
      </c>
      <c r="C106" s="634" t="s">
        <v>3785</v>
      </c>
      <c r="D106" s="9" t="s">
        <v>4178</v>
      </c>
      <c r="E106" s="634" t="s">
        <v>4179</v>
      </c>
    </row>
    <row r="107" spans="1:6">
      <c r="A107" s="634" t="s">
        <v>4180</v>
      </c>
      <c r="B107" s="634" t="s">
        <v>4181</v>
      </c>
      <c r="C107" s="634" t="s">
        <v>3782</v>
      </c>
      <c r="D107" s="646"/>
      <c r="E107" s="9"/>
    </row>
    <row r="108" spans="1:6">
      <c r="A108" s="634" t="s">
        <v>4183</v>
      </c>
      <c r="B108" s="634" t="s">
        <v>3755</v>
      </c>
      <c r="C108" s="634" t="s">
        <v>3779</v>
      </c>
      <c r="D108" s="40" t="s">
        <v>6904</v>
      </c>
      <c r="E108" s="20" t="s">
        <v>4185</v>
      </c>
    </row>
    <row r="109" spans="1:6">
      <c r="A109" s="634" t="s">
        <v>4190</v>
      </c>
      <c r="B109" s="634" t="s">
        <v>3692</v>
      </c>
      <c r="C109" s="634" t="s">
        <v>3706</v>
      </c>
      <c r="D109" s="40" t="s">
        <v>3696</v>
      </c>
      <c r="E109" s="647"/>
    </row>
    <row r="110" spans="1:6">
      <c r="A110" s="634" t="s">
        <v>4191</v>
      </c>
      <c r="B110" s="634" t="s">
        <v>3716</v>
      </c>
      <c r="C110" s="634" t="s">
        <v>3782</v>
      </c>
      <c r="D110" s="40"/>
      <c r="E110" s="647"/>
    </row>
    <row r="111" spans="1:6">
      <c r="A111" s="634" t="s">
        <v>4192</v>
      </c>
      <c r="B111" s="634" t="s">
        <v>4193</v>
      </c>
      <c r="C111" s="634" t="s">
        <v>4194</v>
      </c>
      <c r="D111" s="40"/>
      <c r="E111" s="9"/>
    </row>
    <row r="112" spans="1:6" ht="25.5">
      <c r="A112" s="9" t="s">
        <v>4195</v>
      </c>
      <c r="B112" s="9" t="s">
        <v>4196</v>
      </c>
      <c r="C112" s="9" t="s">
        <v>4197</v>
      </c>
      <c r="D112" s="9" t="s">
        <v>4198</v>
      </c>
      <c r="E112" s="9" t="s">
        <v>6905</v>
      </c>
    </row>
    <row r="113" spans="1:8" ht="25.5">
      <c r="A113" s="9" t="s">
        <v>4202</v>
      </c>
      <c r="B113" s="634" t="s">
        <v>3692</v>
      </c>
      <c r="C113" s="40" t="s">
        <v>3706</v>
      </c>
      <c r="D113" s="253" t="s">
        <v>4203</v>
      </c>
    </row>
    <row r="114" spans="1:8">
      <c r="A114" s="9" t="s">
        <v>4139</v>
      </c>
      <c r="B114" s="9" t="s">
        <v>2654</v>
      </c>
      <c r="C114" s="40">
        <v>28162816</v>
      </c>
    </row>
    <row r="115" spans="1:8">
      <c r="A115" s="9" t="s">
        <v>6906</v>
      </c>
      <c r="B115" s="9" t="s">
        <v>3696</v>
      </c>
      <c r="C115" s="9" t="s">
        <v>3939</v>
      </c>
      <c r="D115" s="9">
        <v>28162816</v>
      </c>
    </row>
    <row r="116" spans="1:8">
      <c r="A116" s="9" t="s">
        <v>725</v>
      </c>
      <c r="B116" s="9" t="s">
        <v>3692</v>
      </c>
      <c r="C116" s="9" t="s">
        <v>3706</v>
      </c>
    </row>
    <row r="117" spans="1:8">
      <c r="A117" s="597" t="s">
        <v>725</v>
      </c>
      <c r="B117" s="597" t="s">
        <v>3292</v>
      </c>
      <c r="C117" s="597" t="s">
        <v>3782</v>
      </c>
      <c r="D117" s="597"/>
      <c r="E117" s="597"/>
      <c r="F117" s="597"/>
      <c r="G117" s="597"/>
      <c r="H117" s="597"/>
    </row>
    <row r="118" spans="1:8">
      <c r="A118" s="597" t="s">
        <v>4208</v>
      </c>
      <c r="B118" s="597" t="s">
        <v>4209</v>
      </c>
      <c r="C118" s="597" t="s">
        <v>4210</v>
      </c>
      <c r="D118" s="597" t="s">
        <v>4211</v>
      </c>
      <c r="E118" s="597"/>
      <c r="F118" s="597"/>
      <c r="G118" s="597"/>
      <c r="H118" s="597"/>
    </row>
    <row r="119" spans="1:8">
      <c r="A119" s="597" t="s">
        <v>4212</v>
      </c>
      <c r="B119" s="597" t="s">
        <v>4213</v>
      </c>
      <c r="C119" s="597" t="s">
        <v>3706</v>
      </c>
      <c r="D119" s="597" t="s">
        <v>4214</v>
      </c>
      <c r="E119" s="597"/>
      <c r="F119" s="597"/>
      <c r="G119" s="597"/>
      <c r="H119" s="597"/>
    </row>
    <row r="120" spans="1:8">
      <c r="A120" s="597" t="s">
        <v>4215</v>
      </c>
      <c r="B120" s="597" t="s">
        <v>4216</v>
      </c>
      <c r="C120" s="597" t="s">
        <v>4217</v>
      </c>
      <c r="D120" s="597"/>
      <c r="E120" s="597"/>
      <c r="F120" s="597"/>
      <c r="G120" s="597"/>
      <c r="H120" s="597"/>
    </row>
    <row r="121" spans="1:8">
      <c r="A121" s="597" t="s">
        <v>4231</v>
      </c>
      <c r="B121" s="597" t="s">
        <v>3692</v>
      </c>
      <c r="C121" s="597" t="s">
        <v>3939</v>
      </c>
      <c r="D121" s="597">
        <v>2816</v>
      </c>
      <c r="E121" s="597"/>
      <c r="F121" s="597"/>
      <c r="G121" s="597"/>
      <c r="H121" s="597"/>
    </row>
    <row r="122" spans="1:8" ht="25.5">
      <c r="A122" s="597" t="s">
        <v>4218</v>
      </c>
      <c r="B122" s="597" t="s">
        <v>4219</v>
      </c>
      <c r="C122" s="597" t="s">
        <v>4220</v>
      </c>
      <c r="D122" s="597" t="s">
        <v>4221</v>
      </c>
      <c r="E122" s="597"/>
      <c r="F122" s="597"/>
      <c r="G122" s="597"/>
      <c r="H122" s="597"/>
    </row>
    <row r="123" spans="1:8">
      <c r="A123" s="597" t="s">
        <v>4222</v>
      </c>
      <c r="B123" s="597" t="s">
        <v>4223</v>
      </c>
      <c r="C123" s="597" t="s">
        <v>4224</v>
      </c>
      <c r="D123" s="597" t="s">
        <v>4225</v>
      </c>
      <c r="E123" s="597"/>
      <c r="F123" s="597"/>
      <c r="G123" s="597"/>
      <c r="H123" s="597"/>
    </row>
    <row r="124" spans="1:8">
      <c r="A124" s="597" t="s">
        <v>4226</v>
      </c>
      <c r="B124" s="597" t="s">
        <v>4227</v>
      </c>
      <c r="C124" s="648">
        <v>28162816</v>
      </c>
      <c r="D124" s="597"/>
      <c r="E124" s="597"/>
      <c r="F124" s="597"/>
      <c r="G124" s="597"/>
      <c r="H124" s="597"/>
    </row>
    <row r="125" spans="1:8">
      <c r="A125" s="597" t="s">
        <v>4204</v>
      </c>
      <c r="B125" s="597" t="s">
        <v>4205</v>
      </c>
      <c r="C125" s="597" t="s">
        <v>3706</v>
      </c>
      <c r="D125" s="597"/>
      <c r="E125" s="597"/>
      <c r="F125" s="597"/>
      <c r="G125" s="597"/>
      <c r="H125" s="597"/>
    </row>
    <row r="126" spans="1:8">
      <c r="A126" s="597" t="s">
        <v>4228</v>
      </c>
      <c r="B126" s="597" t="s">
        <v>4229</v>
      </c>
      <c r="C126" s="597" t="s">
        <v>4230</v>
      </c>
      <c r="D126" s="597"/>
      <c r="E126" s="597"/>
      <c r="F126" s="597"/>
      <c r="G126" s="597"/>
      <c r="H126" s="597"/>
    </row>
    <row r="127" spans="1:8">
      <c r="A127" s="649" t="s">
        <v>4236</v>
      </c>
      <c r="B127" s="649" t="s">
        <v>4237</v>
      </c>
      <c r="C127" s="649" t="s">
        <v>3782</v>
      </c>
      <c r="D127" s="649"/>
      <c r="E127" s="649"/>
      <c r="F127" s="649"/>
      <c r="G127" s="649"/>
      <c r="H127" s="649"/>
    </row>
    <row r="128" spans="1:8">
      <c r="A128" s="649" t="s">
        <v>4238</v>
      </c>
      <c r="B128" s="649" t="s">
        <v>4223</v>
      </c>
      <c r="C128" s="650" t="s">
        <v>4224</v>
      </c>
      <c r="D128" s="649"/>
      <c r="E128" s="649"/>
      <c r="F128" s="649"/>
      <c r="G128" s="649"/>
      <c r="H128" s="649"/>
    </row>
    <row r="129" spans="1:8">
      <c r="A129" s="649" t="s">
        <v>4239</v>
      </c>
      <c r="B129" s="649" t="s">
        <v>3692</v>
      </c>
      <c r="C129" s="649" t="s">
        <v>3785</v>
      </c>
      <c r="D129" s="649"/>
      <c r="E129" s="649"/>
      <c r="F129" s="649"/>
      <c r="G129" s="649"/>
      <c r="H129" s="649"/>
    </row>
    <row r="130" spans="1:8">
      <c r="A130" s="651" t="s">
        <v>4241</v>
      </c>
      <c r="B130" s="651">
        <v>1305916</v>
      </c>
      <c r="C130" s="651" t="s">
        <v>3706</v>
      </c>
      <c r="D130" s="651" t="s">
        <v>4243</v>
      </c>
      <c r="E130" s="651" t="s">
        <v>4244</v>
      </c>
      <c r="F130" s="651"/>
      <c r="G130" s="651"/>
      <c r="H130" s="651"/>
    </row>
    <row r="131" spans="1:8">
      <c r="A131" s="651" t="s">
        <v>4245</v>
      </c>
      <c r="B131" s="651" t="s">
        <v>4246</v>
      </c>
      <c r="C131" s="651" t="s">
        <v>3785</v>
      </c>
      <c r="D131" s="651" t="s">
        <v>4248</v>
      </c>
      <c r="E131" s="651" t="s">
        <v>4249</v>
      </c>
      <c r="F131" s="651"/>
      <c r="G131" s="651"/>
      <c r="H131" s="651"/>
    </row>
    <row r="132" spans="1:8" ht="25.5">
      <c r="A132" s="651" t="s">
        <v>6907</v>
      </c>
      <c r="B132" s="651" t="s">
        <v>4251</v>
      </c>
      <c r="C132" s="651" t="s">
        <v>4268</v>
      </c>
      <c r="D132" s="651" t="s">
        <v>4252</v>
      </c>
      <c r="E132" s="651" t="s">
        <v>4253</v>
      </c>
      <c r="F132" s="651"/>
      <c r="G132" s="651"/>
      <c r="H132" s="651"/>
    </row>
    <row r="133" spans="1:8">
      <c r="A133" s="651" t="s">
        <v>4254</v>
      </c>
      <c r="B133" s="651" t="s">
        <v>2654</v>
      </c>
      <c r="C133" s="651" t="s">
        <v>3782</v>
      </c>
      <c r="D133" s="651" t="s">
        <v>4255</v>
      </c>
      <c r="E133" s="651" t="s">
        <v>4256</v>
      </c>
      <c r="F133" s="651"/>
      <c r="G133" s="651"/>
      <c r="H133" s="651"/>
    </row>
    <row r="134" spans="1:8">
      <c r="A134" s="651" t="s">
        <v>4257</v>
      </c>
      <c r="B134" s="651">
        <v>425279</v>
      </c>
      <c r="C134" s="651">
        <v>2816</v>
      </c>
      <c r="D134" s="651" t="s">
        <v>4260</v>
      </c>
      <c r="E134" s="651"/>
      <c r="F134" s="651"/>
      <c r="G134" s="651"/>
      <c r="H134" s="651"/>
    </row>
    <row r="135" spans="1:8">
      <c r="A135" s="651" t="s">
        <v>4261</v>
      </c>
      <c r="B135" s="651" t="s">
        <v>3755</v>
      </c>
      <c r="C135" s="651" t="s">
        <v>3785</v>
      </c>
      <c r="D135" s="651" t="s">
        <v>4262</v>
      </c>
      <c r="E135" s="651"/>
      <c r="F135" s="651"/>
      <c r="G135" s="651"/>
      <c r="H135" s="651"/>
    </row>
    <row r="136" spans="1:8">
      <c r="A136" s="651" t="s">
        <v>6908</v>
      </c>
      <c r="B136" s="651" t="s">
        <v>4264</v>
      </c>
      <c r="C136" s="651" t="s">
        <v>4268</v>
      </c>
      <c r="D136" s="651" t="s">
        <v>4265</v>
      </c>
      <c r="E136" s="651"/>
      <c r="F136" s="651"/>
      <c r="G136" s="651"/>
      <c r="H136" s="651"/>
    </row>
    <row r="137" spans="1:8">
      <c r="A137" s="651" t="s">
        <v>4266</v>
      </c>
      <c r="B137" s="651" t="s">
        <v>4267</v>
      </c>
      <c r="C137" s="651" t="s">
        <v>4268</v>
      </c>
      <c r="D137" s="651" t="s">
        <v>4269</v>
      </c>
      <c r="E137" s="651"/>
      <c r="F137" s="651"/>
      <c r="G137" s="651"/>
      <c r="H137" s="651"/>
    </row>
    <row r="138" spans="1:8" ht="25.5">
      <c r="A138" s="965" t="s">
        <v>6909</v>
      </c>
      <c r="B138" s="651" t="s">
        <v>6910</v>
      </c>
      <c r="C138" s="651"/>
      <c r="D138" s="651"/>
      <c r="E138" s="651"/>
      <c r="F138" s="651"/>
      <c r="G138" s="651"/>
      <c r="H138" s="651"/>
    </row>
    <row r="139" spans="1:8">
      <c r="A139" s="9" t="s">
        <v>3723</v>
      </c>
      <c r="B139" s="9" t="s">
        <v>3692</v>
      </c>
      <c r="C139" s="9" t="s">
        <v>6911</v>
      </c>
      <c r="D139" s="9" t="s">
        <v>3725</v>
      </c>
    </row>
    <row r="140" spans="1:8" ht="38.25">
      <c r="A140" s="9" t="s">
        <v>4270</v>
      </c>
      <c r="B140" s="9" t="s">
        <v>3692</v>
      </c>
      <c r="C140" s="9" t="s">
        <v>3706</v>
      </c>
      <c r="D140" s="9" t="s">
        <v>4271</v>
      </c>
      <c r="E140" s="9" t="s">
        <v>6912</v>
      </c>
    </row>
    <row r="141" spans="1:8">
      <c r="A141" s="581"/>
      <c r="B141" s="581"/>
      <c r="C141" s="581"/>
      <c r="D141" s="581"/>
      <c r="E141" s="581"/>
      <c r="F141" s="581"/>
      <c r="G141" s="581"/>
      <c r="H141" s="581"/>
    </row>
    <row r="142" spans="1:8">
      <c r="A142" s="581" t="s">
        <v>6913</v>
      </c>
      <c r="B142" s="581" t="s">
        <v>3292</v>
      </c>
      <c r="C142" s="581" t="s">
        <v>3851</v>
      </c>
      <c r="D142" s="581"/>
      <c r="E142" s="581"/>
      <c r="F142" s="581"/>
      <c r="G142" s="581"/>
      <c r="H142" s="581"/>
    </row>
    <row r="143" spans="1:8">
      <c r="A143" s="581" t="s">
        <v>6914</v>
      </c>
      <c r="B143" s="581" t="s">
        <v>3692</v>
      </c>
      <c r="C143" s="581" t="s">
        <v>6915</v>
      </c>
      <c r="D143" s="581" t="s">
        <v>6916</v>
      </c>
      <c r="E143" s="581"/>
      <c r="F143" s="581"/>
      <c r="G143" s="581"/>
      <c r="H143" s="581"/>
    </row>
    <row r="144" spans="1:8" ht="25.5">
      <c r="A144" s="581" t="s">
        <v>3742</v>
      </c>
      <c r="B144" s="581" t="s">
        <v>3743</v>
      </c>
      <c r="C144" s="806">
        <v>2816</v>
      </c>
      <c r="D144" s="581"/>
      <c r="E144" s="581"/>
      <c r="F144" s="581"/>
      <c r="G144" s="581"/>
      <c r="H144" s="581"/>
    </row>
    <row r="145" spans="1:8">
      <c r="A145" s="581" t="s">
        <v>3744</v>
      </c>
      <c r="B145" s="581" t="s">
        <v>3745</v>
      </c>
      <c r="C145" s="2154" t="s">
        <v>3746</v>
      </c>
      <c r="D145" s="2087"/>
      <c r="E145" s="581"/>
      <c r="F145" s="581"/>
      <c r="G145" s="581"/>
      <c r="H145" s="581"/>
    </row>
    <row r="146" spans="1:8">
      <c r="A146" s="581" t="s">
        <v>3747</v>
      </c>
      <c r="B146" s="581" t="s">
        <v>3696</v>
      </c>
      <c r="C146" s="806" t="s">
        <v>3939</v>
      </c>
      <c r="D146" s="581"/>
      <c r="E146" s="581"/>
      <c r="F146" s="581"/>
      <c r="G146" s="581"/>
      <c r="H146" s="581"/>
    </row>
    <row r="147" spans="1:8">
      <c r="A147" s="9" t="s">
        <v>4273</v>
      </c>
      <c r="B147" s="9" t="s">
        <v>4274</v>
      </c>
      <c r="C147" s="9" t="s">
        <v>3706</v>
      </c>
    </row>
    <row r="148" spans="1:8">
      <c r="A148" s="9" t="s">
        <v>4275</v>
      </c>
      <c r="C148" s="9" t="s">
        <v>4276</v>
      </c>
    </row>
    <row r="149" spans="1:8">
      <c r="A149" s="9" t="s">
        <v>4278</v>
      </c>
      <c r="B149" s="9" t="s">
        <v>3924</v>
      </c>
      <c r="C149" s="9" t="s">
        <v>3706</v>
      </c>
      <c r="D149" s="9" t="s">
        <v>4279</v>
      </c>
      <c r="E149" s="9" t="s">
        <v>4280</v>
      </c>
    </row>
    <row r="150" spans="1:8">
      <c r="A150" s="9" t="s">
        <v>4281</v>
      </c>
      <c r="B150" s="9" t="s">
        <v>3755</v>
      </c>
      <c r="C150" s="9" t="s">
        <v>4282</v>
      </c>
      <c r="D150" s="9"/>
    </row>
    <row r="151" spans="1:8">
      <c r="A151" s="9" t="s">
        <v>1217</v>
      </c>
      <c r="B151" s="9" t="s">
        <v>3939</v>
      </c>
      <c r="C151" s="9" t="s">
        <v>3706</v>
      </c>
    </row>
    <row r="152" spans="1:8">
      <c r="A152" s="9" t="s">
        <v>4283</v>
      </c>
      <c r="B152" s="9" t="s">
        <v>3755</v>
      </c>
      <c r="C152" s="9" t="s">
        <v>4284</v>
      </c>
    </row>
    <row r="153" spans="1:8">
      <c r="A153" s="9" t="s">
        <v>4285</v>
      </c>
      <c r="B153" s="9" t="s">
        <v>3692</v>
      </c>
      <c r="C153" s="9" t="s">
        <v>3706</v>
      </c>
      <c r="D153" s="9" t="s">
        <v>4286</v>
      </c>
      <c r="E153" s="615" t="s">
        <v>4287</v>
      </c>
      <c r="F153" s="336"/>
    </row>
    <row r="154" spans="1:8">
      <c r="A154" s="9" t="s">
        <v>4288</v>
      </c>
      <c r="B154" s="9"/>
      <c r="C154" s="9"/>
      <c r="D154" s="9" t="s">
        <v>4289</v>
      </c>
      <c r="E154" s="9" t="s">
        <v>4290</v>
      </c>
    </row>
    <row r="155" spans="1:8">
      <c r="A155" s="9" t="s">
        <v>6917</v>
      </c>
      <c r="B155" s="9" t="s">
        <v>3692</v>
      </c>
      <c r="C155" s="9" t="s">
        <v>3706</v>
      </c>
      <c r="D155" s="9" t="s">
        <v>6918</v>
      </c>
    </row>
    <row r="156" spans="1:8">
      <c r="A156" s="9" t="s">
        <v>4291</v>
      </c>
      <c r="B156" s="9" t="s">
        <v>3692</v>
      </c>
      <c r="C156" s="9" t="s">
        <v>3785</v>
      </c>
      <c r="D156" s="9" t="s">
        <v>4292</v>
      </c>
    </row>
    <row r="157" spans="1:8">
      <c r="A157" s="9" t="s">
        <v>4293</v>
      </c>
      <c r="B157" s="9" t="s">
        <v>3692</v>
      </c>
      <c r="C157" s="20" t="s">
        <v>4163</v>
      </c>
    </row>
    <row r="158" spans="1:8">
      <c r="A158" s="9" t="s">
        <v>4294</v>
      </c>
      <c r="B158" s="40" t="s">
        <v>3755</v>
      </c>
      <c r="C158" s="9" t="s">
        <v>4295</v>
      </c>
    </row>
    <row r="159" spans="1:8">
      <c r="A159" s="9" t="s">
        <v>3719</v>
      </c>
      <c r="B159" s="9" t="s">
        <v>3720</v>
      </c>
      <c r="D159" s="9" t="s">
        <v>3721</v>
      </c>
      <c r="E159" s="653" t="s">
        <v>3722</v>
      </c>
    </row>
    <row r="160" spans="1:8">
      <c r="A160" s="9" t="s">
        <v>4296</v>
      </c>
      <c r="B160" s="9" t="s">
        <v>4297</v>
      </c>
      <c r="C160" s="9" t="s">
        <v>3706</v>
      </c>
      <c r="D160" s="9" t="s">
        <v>3692</v>
      </c>
    </row>
    <row r="161" spans="1:8">
      <c r="A161" s="9" t="s">
        <v>4301</v>
      </c>
      <c r="B161" s="9" t="s">
        <v>4302</v>
      </c>
      <c r="C161" s="9" t="s">
        <v>4303</v>
      </c>
      <c r="D161" s="20" t="s">
        <v>4304</v>
      </c>
    </row>
    <row r="162" spans="1:8">
      <c r="A162" s="9" t="s">
        <v>6919</v>
      </c>
      <c r="B162" s="9" t="s">
        <v>4306</v>
      </c>
    </row>
    <row r="163" spans="1:8">
      <c r="A163" s="581" t="s">
        <v>3772</v>
      </c>
      <c r="B163" s="581" t="s">
        <v>3696</v>
      </c>
      <c r="C163" s="581" t="s">
        <v>4053</v>
      </c>
      <c r="D163" s="581" t="s">
        <v>6920</v>
      </c>
      <c r="E163" s="581">
        <v>2816</v>
      </c>
      <c r="F163" s="581"/>
      <c r="G163" s="581"/>
      <c r="H163" s="581"/>
    </row>
    <row r="164" spans="1:8">
      <c r="A164" s="581" t="s">
        <v>3776</v>
      </c>
      <c r="B164" s="581" t="s">
        <v>3292</v>
      </c>
      <c r="C164" s="581" t="s">
        <v>6921</v>
      </c>
      <c r="D164" s="581" t="s">
        <v>6922</v>
      </c>
      <c r="E164" s="581" t="s">
        <v>6923</v>
      </c>
      <c r="F164" s="581"/>
      <c r="G164" s="581"/>
      <c r="H164" s="581"/>
    </row>
    <row r="165" spans="1:8">
      <c r="A165" s="581" t="s">
        <v>6924</v>
      </c>
      <c r="B165" s="581" t="s">
        <v>3288</v>
      </c>
      <c r="C165" s="581" t="s">
        <v>3706</v>
      </c>
      <c r="D165" s="581"/>
      <c r="E165" s="581"/>
      <c r="F165" s="581"/>
      <c r="G165" s="581"/>
      <c r="H165" s="581"/>
    </row>
    <row r="166" spans="1:8">
      <c r="A166" s="9" t="s">
        <v>3772</v>
      </c>
      <c r="B166" s="9" t="s">
        <v>3692</v>
      </c>
      <c r="C166" s="9" t="s">
        <v>3785</v>
      </c>
      <c r="D166" s="9"/>
      <c r="E166" s="9"/>
    </row>
    <row r="167" spans="1:8">
      <c r="A167" s="253" t="s">
        <v>4307</v>
      </c>
      <c r="B167" s="9" t="s">
        <v>4308</v>
      </c>
      <c r="C167" s="9" t="s">
        <v>4309</v>
      </c>
      <c r="D167" s="9"/>
      <c r="E167" s="9"/>
    </row>
    <row r="168" spans="1:8">
      <c r="A168" s="9" t="s">
        <v>4310</v>
      </c>
      <c r="B168" s="9" t="s">
        <v>4311</v>
      </c>
      <c r="C168" s="9" t="s">
        <v>4312</v>
      </c>
      <c r="D168" s="653" t="s">
        <v>4313</v>
      </c>
      <c r="E168" s="9" t="s">
        <v>4314</v>
      </c>
    </row>
    <row r="169" spans="1:8">
      <c r="A169" s="9" t="s">
        <v>4315</v>
      </c>
      <c r="B169" s="9" t="s">
        <v>4316</v>
      </c>
      <c r="D169" s="653" t="s">
        <v>4317</v>
      </c>
      <c r="E169" s="9" t="s">
        <v>4318</v>
      </c>
    </row>
    <row r="170" spans="1:8">
      <c r="A170" s="9" t="s">
        <v>6925</v>
      </c>
      <c r="B170" s="9" t="s">
        <v>3716</v>
      </c>
      <c r="C170" s="9" t="s">
        <v>6926</v>
      </c>
      <c r="D170" s="9" t="s">
        <v>3718</v>
      </c>
    </row>
    <row r="171" spans="1:8">
      <c r="A171" s="9" t="s">
        <v>4319</v>
      </c>
      <c r="B171" s="9" t="s">
        <v>3859</v>
      </c>
      <c r="C171" s="9" t="s">
        <v>3785</v>
      </c>
      <c r="D171" s="9" t="s">
        <v>4320</v>
      </c>
    </row>
    <row r="172" spans="1:8">
      <c r="A172" s="9" t="s">
        <v>4321</v>
      </c>
      <c r="B172" s="9" t="s">
        <v>3692</v>
      </c>
      <c r="C172" s="40">
        <v>2816</v>
      </c>
      <c r="D172" s="9" t="s">
        <v>4322</v>
      </c>
    </row>
    <row r="173" spans="1:8">
      <c r="A173" s="9" t="s">
        <v>6927</v>
      </c>
      <c r="B173" s="9" t="s">
        <v>6928</v>
      </c>
      <c r="C173" s="9" t="s">
        <v>3939</v>
      </c>
      <c r="D173" s="9" t="s">
        <v>6929</v>
      </c>
    </row>
    <row r="174" spans="1:8">
      <c r="A174" s="9" t="s">
        <v>4323</v>
      </c>
      <c r="B174" s="9" t="s">
        <v>4324</v>
      </c>
      <c r="C174" s="9" t="s">
        <v>4325</v>
      </c>
      <c r="D174" s="9" t="s">
        <v>4326</v>
      </c>
    </row>
    <row r="175" spans="1:8">
      <c r="A175" s="9" t="s">
        <v>4327</v>
      </c>
      <c r="B175" s="9" t="s">
        <v>4328</v>
      </c>
      <c r="C175" s="9" t="s">
        <v>4295</v>
      </c>
    </row>
    <row r="176" spans="1:8">
      <c r="A176" s="9" t="s">
        <v>4329</v>
      </c>
      <c r="B176" s="9" t="s">
        <v>4330</v>
      </c>
      <c r="C176" s="9" t="s">
        <v>4055</v>
      </c>
    </row>
    <row r="177" spans="1:5">
      <c r="A177" s="9" t="s">
        <v>4329</v>
      </c>
      <c r="B177" s="9" t="s">
        <v>3692</v>
      </c>
      <c r="C177" s="9" t="s">
        <v>3706</v>
      </c>
    </row>
    <row r="178" spans="1:5">
      <c r="A178" s="9" t="s">
        <v>3711</v>
      </c>
      <c r="B178" s="9" t="s">
        <v>3692</v>
      </c>
      <c r="C178" s="9" t="s">
        <v>4053</v>
      </c>
      <c r="D178" s="9" t="s">
        <v>3713</v>
      </c>
      <c r="E178" s="9" t="s">
        <v>3714</v>
      </c>
    </row>
    <row r="179" spans="1:5">
      <c r="A179" s="9" t="s">
        <v>6930</v>
      </c>
      <c r="D179" s="9" t="s">
        <v>6931</v>
      </c>
    </row>
    <row r="180" spans="1:5">
      <c r="A180" s="9" t="s">
        <v>6932</v>
      </c>
      <c r="B180" s="9" t="s">
        <v>3755</v>
      </c>
      <c r="C180" s="9" t="s">
        <v>3706</v>
      </c>
    </row>
    <row r="181" spans="1:5">
      <c r="A181" s="9" t="s">
        <v>6933</v>
      </c>
      <c r="B181" s="9" t="s">
        <v>6934</v>
      </c>
      <c r="C181" s="9" t="s">
        <v>6935</v>
      </c>
    </row>
    <row r="182" spans="1:5">
      <c r="A182" s="9" t="s">
        <v>6936</v>
      </c>
      <c r="B182" s="9" t="s">
        <v>6937</v>
      </c>
      <c r="C182" s="9" t="s">
        <v>6938</v>
      </c>
    </row>
    <row r="183" spans="1:5">
      <c r="A183" s="9" t="s">
        <v>4298</v>
      </c>
      <c r="B183" s="9" t="s">
        <v>4299</v>
      </c>
      <c r="C183" s="9" t="s">
        <v>3782</v>
      </c>
      <c r="D183" s="9" t="s">
        <v>4300</v>
      </c>
    </row>
    <row r="184" spans="1:5">
      <c r="A184" s="9" t="s">
        <v>4332</v>
      </c>
      <c r="B184" s="9" t="s">
        <v>4333</v>
      </c>
      <c r="C184" s="9" t="s">
        <v>3785</v>
      </c>
    </row>
    <row r="185" spans="1:5">
      <c r="A185" s="9" t="s">
        <v>3750</v>
      </c>
      <c r="B185" s="9" t="s">
        <v>3751</v>
      </c>
      <c r="D185" s="9" t="s">
        <v>210</v>
      </c>
      <c r="E185" s="9" t="s">
        <v>3752</v>
      </c>
    </row>
    <row r="186" spans="1:5">
      <c r="A186" s="9" t="s">
        <v>4334</v>
      </c>
      <c r="B186" s="9" t="s">
        <v>4335</v>
      </c>
      <c r="C186" s="9" t="s">
        <v>3785</v>
      </c>
      <c r="D186" s="653" t="s">
        <v>4336</v>
      </c>
      <c r="E186" s="653" t="s">
        <v>4337</v>
      </c>
    </row>
    <row r="187" spans="1:5">
      <c r="A187" s="253" t="s">
        <v>4338</v>
      </c>
      <c r="B187" s="9" t="s">
        <v>3692</v>
      </c>
      <c r="C187" s="9" t="s">
        <v>3785</v>
      </c>
      <c r="D187" s="653" t="s">
        <v>4339</v>
      </c>
      <c r="E187" s="9" t="s">
        <v>4340</v>
      </c>
    </row>
    <row r="188" spans="1:5">
      <c r="A188" s="9" t="s">
        <v>4341</v>
      </c>
      <c r="B188" s="9" t="s">
        <v>3692</v>
      </c>
      <c r="C188" s="9" t="s">
        <v>3785</v>
      </c>
      <c r="D188" s="9">
        <v>43245713</v>
      </c>
      <c r="E188" s="9" t="s">
        <v>4343</v>
      </c>
    </row>
    <row r="189" spans="1:5">
      <c r="A189" s="9" t="s">
        <v>4344</v>
      </c>
      <c r="B189" s="9" t="s">
        <v>3692</v>
      </c>
      <c r="C189" s="9" t="s">
        <v>3785</v>
      </c>
      <c r="E189" s="653" t="s">
        <v>4346</v>
      </c>
    </row>
    <row r="190" spans="1:5">
      <c r="A190" s="578"/>
      <c r="E190" s="653" t="s">
        <v>6939</v>
      </c>
    </row>
    <row r="191" spans="1:5">
      <c r="A191" s="9" t="s">
        <v>4347</v>
      </c>
      <c r="B191" s="9" t="s">
        <v>3924</v>
      </c>
      <c r="C191" s="9" t="s">
        <v>3785</v>
      </c>
    </row>
    <row r="192" spans="1:5">
      <c r="A192" s="9" t="s">
        <v>3716</v>
      </c>
      <c r="B192" s="9" t="s">
        <v>3781</v>
      </c>
      <c r="C192" s="9" t="s">
        <v>3782</v>
      </c>
    </row>
    <row r="193" spans="1:5">
      <c r="A193" s="9" t="s">
        <v>6940</v>
      </c>
      <c r="B193" s="9" t="s">
        <v>3781</v>
      </c>
      <c r="C193" s="9" t="s">
        <v>3782</v>
      </c>
    </row>
    <row r="194" spans="1:5">
      <c r="A194" s="9" t="s">
        <v>6941</v>
      </c>
      <c r="B194" s="9" t="s">
        <v>3696</v>
      </c>
      <c r="C194" s="9" t="s">
        <v>3785</v>
      </c>
    </row>
    <row r="195" spans="1:5">
      <c r="A195" s="9" t="s">
        <v>4159</v>
      </c>
      <c r="B195" s="9" t="s">
        <v>3692</v>
      </c>
      <c r="C195" s="9" t="s">
        <v>3785</v>
      </c>
    </row>
    <row r="196" spans="1:5" ht="25.5">
      <c r="A196" s="9" t="s">
        <v>4097</v>
      </c>
      <c r="B196" s="9" t="s">
        <v>3924</v>
      </c>
      <c r="C196" s="9" t="s">
        <v>3785</v>
      </c>
      <c r="D196" s="578" t="s">
        <v>4098</v>
      </c>
      <c r="E196" s="9" t="s">
        <v>4099</v>
      </c>
    </row>
    <row r="199" spans="1:5" ht="14.25">
      <c r="A199" s="9" t="s">
        <v>6942</v>
      </c>
      <c r="B199" s="9" t="s">
        <v>6943</v>
      </c>
      <c r="C199" s="658" t="s">
        <v>6944</v>
      </c>
      <c r="D199" s="966" t="s">
        <v>4354</v>
      </c>
      <c r="E199" s="9"/>
    </row>
    <row r="200" spans="1:5">
      <c r="A200" s="9" t="s">
        <v>4355</v>
      </c>
      <c r="B200" s="9" t="s">
        <v>3292</v>
      </c>
      <c r="C200" s="9" t="s">
        <v>4356</v>
      </c>
      <c r="D200" s="9"/>
      <c r="E200" s="9"/>
    </row>
    <row r="201" spans="1:5">
      <c r="A201" s="9" t="s">
        <v>4357</v>
      </c>
      <c r="B201" s="9" t="s">
        <v>3755</v>
      </c>
      <c r="C201" s="9" t="s">
        <v>4358</v>
      </c>
      <c r="D201" s="9"/>
      <c r="E201" s="9"/>
    </row>
    <row r="202" spans="1:5">
      <c r="A202" s="9" t="s">
        <v>4359</v>
      </c>
      <c r="B202" s="9" t="s">
        <v>4360</v>
      </c>
      <c r="C202" s="20"/>
      <c r="D202" s="9" t="s">
        <v>4361</v>
      </c>
      <c r="E202" s="9"/>
    </row>
    <row r="203" spans="1:5">
      <c r="A203" s="9" t="s">
        <v>4362</v>
      </c>
      <c r="B203" s="9" t="s">
        <v>3755</v>
      </c>
      <c r="C203" s="9" t="s">
        <v>4363</v>
      </c>
      <c r="D203" s="20" t="s">
        <v>4364</v>
      </c>
      <c r="E203" s="9" t="s">
        <v>4365</v>
      </c>
    </row>
    <row r="204" spans="1:5">
      <c r="A204" s="9" t="s">
        <v>4366</v>
      </c>
      <c r="B204" s="9" t="s">
        <v>3755</v>
      </c>
      <c r="C204" s="9" t="s">
        <v>3785</v>
      </c>
      <c r="D204" s="9" t="s">
        <v>4367</v>
      </c>
    </row>
    <row r="205" spans="1:5">
      <c r="A205" s="9" t="s">
        <v>4368</v>
      </c>
      <c r="B205" s="9" t="s">
        <v>4369</v>
      </c>
      <c r="C205" s="9" t="s">
        <v>4370</v>
      </c>
      <c r="D205" s="9" t="s">
        <v>4371</v>
      </c>
    </row>
    <row r="206" spans="1:5">
      <c r="A206" s="653" t="s">
        <v>4372</v>
      </c>
      <c r="B206" s="9" t="s">
        <v>4373</v>
      </c>
      <c r="D206" s="9" t="s">
        <v>4374</v>
      </c>
    </row>
    <row r="207" spans="1:5">
      <c r="A207" s="9" t="s">
        <v>4375</v>
      </c>
      <c r="B207" s="9" t="s">
        <v>4376</v>
      </c>
      <c r="C207" s="9" t="s">
        <v>4377</v>
      </c>
    </row>
    <row r="208" spans="1:5">
      <c r="A208" s="9" t="s">
        <v>4378</v>
      </c>
      <c r="B208" s="9" t="s">
        <v>4379</v>
      </c>
      <c r="C208" s="9" t="s">
        <v>4380</v>
      </c>
    </row>
    <row r="209" spans="1:4">
      <c r="A209" s="9" t="s">
        <v>4381</v>
      </c>
      <c r="B209" s="9" t="s">
        <v>4382</v>
      </c>
      <c r="C209" s="9" t="s">
        <v>3692</v>
      </c>
    </row>
    <row r="210" spans="1:4">
      <c r="A210" s="9" t="s">
        <v>4383</v>
      </c>
      <c r="B210" s="9" t="s">
        <v>3920</v>
      </c>
      <c r="C210" s="9" t="s">
        <v>4384</v>
      </c>
      <c r="D210" s="9" t="s">
        <v>4385</v>
      </c>
    </row>
  </sheetData>
  <mergeCells count="1">
    <mergeCell ref="C145:D145"/>
  </mergeCells>
  <hyperlinks>
    <hyperlink ref="D1" r:id="rId1" display="https://www.bonanza.com/" xr:uid="{00000000-0004-0000-2200-000000000000}"/>
    <hyperlink ref="A3" r:id="rId2" xr:uid="{00000000-0004-0000-2200-000001000000}"/>
    <hyperlink ref="A18" r:id="rId3" xr:uid="{00000000-0004-0000-2200-000002000000}"/>
    <hyperlink ref="A21" r:id="rId4" xr:uid="{00000000-0004-0000-2200-000003000000}"/>
    <hyperlink ref="A22" r:id="rId5" xr:uid="{00000000-0004-0000-2200-000004000000}"/>
    <hyperlink ref="A23" r:id="rId6" xr:uid="{00000000-0004-0000-2200-000005000000}"/>
    <hyperlink ref="A40" r:id="rId7" xr:uid="{00000000-0004-0000-2200-000006000000}"/>
    <hyperlink ref="A45" r:id="rId8" xr:uid="{00000000-0004-0000-2200-000007000000}"/>
    <hyperlink ref="A46" r:id="rId9" xr:uid="{00000000-0004-0000-2200-000008000000}"/>
    <hyperlink ref="A53" r:id="rId10" xr:uid="{00000000-0004-0000-2200-000009000000}"/>
    <hyperlink ref="E54" r:id="rId11" xr:uid="{00000000-0004-0000-2200-00000A000000}"/>
    <hyperlink ref="D62" r:id="rId12" location="/oneClickARSearch/BusinessSearch" xr:uid="{00000000-0004-0000-2200-00000B000000}"/>
    <hyperlink ref="A66" r:id="rId13" xr:uid="{00000000-0004-0000-2200-00000C000000}"/>
    <hyperlink ref="D81" r:id="rId14" xr:uid="{00000000-0004-0000-2200-00000D000000}"/>
    <hyperlink ref="A100" r:id="rId15" xr:uid="{00000000-0004-0000-2200-00000E000000}"/>
    <hyperlink ref="A102" r:id="rId16" xr:uid="{00000000-0004-0000-2200-00000F000000}"/>
    <hyperlink ref="D113" r:id="rId17" location="/purchases" xr:uid="{00000000-0004-0000-2200-000010000000}"/>
    <hyperlink ref="A138" r:id="rId18" xr:uid="{00000000-0004-0000-2200-000011000000}"/>
    <hyperlink ref="E153" r:id="rId19" xr:uid="{00000000-0004-0000-2200-000012000000}"/>
    <hyperlink ref="E159" r:id="rId20" xr:uid="{00000000-0004-0000-2200-000013000000}"/>
    <hyperlink ref="A167" r:id="rId21" xr:uid="{00000000-0004-0000-2200-000014000000}"/>
    <hyperlink ref="D168" r:id="rId22" xr:uid="{00000000-0004-0000-2200-000015000000}"/>
    <hyperlink ref="D169" r:id="rId23" xr:uid="{00000000-0004-0000-2200-000016000000}"/>
    <hyperlink ref="D186" r:id="rId24" xr:uid="{00000000-0004-0000-2200-000017000000}"/>
    <hyperlink ref="E186" r:id="rId25" xr:uid="{00000000-0004-0000-2200-000018000000}"/>
    <hyperlink ref="A187" r:id="rId26" xr:uid="{00000000-0004-0000-2200-000019000000}"/>
    <hyperlink ref="D187" r:id="rId27" xr:uid="{00000000-0004-0000-2200-00001A000000}"/>
    <hyperlink ref="E189" r:id="rId28" xr:uid="{00000000-0004-0000-2200-00001B000000}"/>
    <hyperlink ref="E190" r:id="rId29" xr:uid="{00000000-0004-0000-2200-00001C000000}"/>
    <hyperlink ref="D199" r:id="rId30" xr:uid="{00000000-0004-0000-2200-00001D000000}"/>
    <hyperlink ref="A206" r:id="rId31" xr:uid="{00000000-0004-0000-2200-00001E000000}"/>
  </hyperlinks>
  <printOptions horizontalCentered="1" gridLines="1"/>
  <pageMargins left="0.7" right="0.7" top="0.75" bottom="0.75" header="0" footer="0"/>
  <pageSetup fitToHeight="0" pageOrder="overThenDown" orientation="portrait" cellComments="atEnd"/>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sheetPr>
  <dimension ref="A1:FT136"/>
  <sheetViews>
    <sheetView workbookViewId="0">
      <pane xSplit="1" topLeftCell="B1" activePane="topRight" state="frozen"/>
      <selection pane="topRight" activeCell="C2" sqref="C2"/>
    </sheetView>
  </sheetViews>
  <sheetFormatPr defaultColWidth="12.7109375" defaultRowHeight="12.75" customHeight="1"/>
  <cols>
    <col min="1" max="1" width="18.42578125" customWidth="1"/>
    <col min="2" max="12" width="3.140625" customWidth="1"/>
    <col min="13" max="13" width="3.28515625" customWidth="1"/>
    <col min="14" max="14" width="3.140625" customWidth="1"/>
    <col min="15" max="15" width="3.28515625" customWidth="1"/>
    <col min="16" max="16" width="3.140625" customWidth="1"/>
    <col min="17" max="17" width="3.28515625" customWidth="1"/>
    <col min="18" max="18" width="3.140625" customWidth="1"/>
    <col min="19" max="19" width="3.28515625" customWidth="1"/>
    <col min="20" max="20" width="3.140625" customWidth="1"/>
    <col min="21" max="21" width="3.28515625" customWidth="1"/>
    <col min="22" max="22" width="3.140625" customWidth="1"/>
    <col min="23" max="23" width="3.28515625" customWidth="1"/>
    <col min="24" max="24" width="3.140625" customWidth="1"/>
    <col min="25" max="25" width="3.28515625" customWidth="1"/>
    <col min="26" max="26" width="3.140625" customWidth="1"/>
    <col min="27" max="27" width="3.28515625" customWidth="1"/>
    <col min="28" max="28" width="3.140625" customWidth="1"/>
    <col min="29" max="29" width="3.28515625" customWidth="1"/>
    <col min="30" max="30" width="3.140625" customWidth="1"/>
    <col min="31" max="31" width="3.28515625" customWidth="1"/>
    <col min="32" max="32" width="3.140625" customWidth="1"/>
    <col min="33" max="33" width="3.28515625" customWidth="1"/>
    <col min="34" max="34" width="3.140625" customWidth="1"/>
    <col min="35" max="35" width="3.28515625" customWidth="1"/>
    <col min="36" max="36" width="3.140625" customWidth="1"/>
    <col min="37" max="37" width="3.28515625" customWidth="1"/>
    <col min="38" max="38" width="3.140625" customWidth="1"/>
    <col min="39" max="39" width="3.28515625" customWidth="1"/>
    <col min="40" max="40" width="3.140625" customWidth="1"/>
    <col min="41" max="41" width="3.28515625" customWidth="1"/>
    <col min="42" max="42" width="3.140625" customWidth="1"/>
    <col min="43" max="43" width="3.28515625" customWidth="1"/>
    <col min="44" max="44" width="3.140625" customWidth="1"/>
    <col min="45" max="45" width="3.28515625" customWidth="1"/>
    <col min="46" max="46" width="3.140625" customWidth="1"/>
    <col min="47" max="47" width="3.28515625" customWidth="1"/>
    <col min="48" max="48" width="3.140625" customWidth="1"/>
    <col min="49" max="49" width="3.28515625" customWidth="1"/>
    <col min="50" max="50" width="3.140625" customWidth="1"/>
    <col min="51" max="51" width="3.28515625" customWidth="1"/>
    <col min="52" max="52" width="3.140625" customWidth="1"/>
    <col min="53" max="53" width="3.85546875" customWidth="1"/>
    <col min="54" max="54" width="3.140625" customWidth="1"/>
    <col min="55" max="55" width="3.85546875" customWidth="1"/>
    <col min="56" max="56" width="3.140625" customWidth="1"/>
    <col min="57" max="57" width="3.85546875" customWidth="1"/>
    <col min="58" max="58" width="3.140625" customWidth="1"/>
    <col min="59" max="60" width="3.85546875" customWidth="1"/>
    <col min="61" max="61" width="4.140625" customWidth="1"/>
    <col min="62" max="62" width="3.85546875" customWidth="1"/>
    <col min="63" max="63" width="4.140625" customWidth="1"/>
    <col min="64" max="64" width="3.85546875" customWidth="1"/>
    <col min="65" max="65" width="4.140625" customWidth="1"/>
    <col min="66" max="66" width="3.85546875" customWidth="1"/>
    <col min="67" max="67" width="4.140625" customWidth="1"/>
    <col min="68" max="68" width="3.85546875" customWidth="1"/>
    <col min="69" max="69" width="4.140625" customWidth="1"/>
    <col min="70" max="70" width="3.85546875" customWidth="1"/>
    <col min="71" max="71" width="4.140625" customWidth="1"/>
    <col min="72" max="72" width="3.42578125" customWidth="1"/>
    <col min="73" max="74" width="3.85546875" customWidth="1"/>
    <col min="75" max="75" width="4.28515625" customWidth="1"/>
    <col min="76" max="76" width="3.28515625" customWidth="1"/>
    <col min="77" max="77" width="3.140625" customWidth="1"/>
    <col min="78" max="78" width="3.28515625" customWidth="1"/>
    <col min="79" max="79" width="3.140625" customWidth="1"/>
    <col min="80" max="80" width="4" customWidth="1"/>
    <col min="81" max="81" width="3.28515625" customWidth="1"/>
    <col min="82" max="82" width="3.7109375" customWidth="1"/>
    <col min="83" max="83" width="4.140625" customWidth="1"/>
    <col min="84" max="174" width="3.28515625" customWidth="1"/>
    <col min="175" max="175" width="21.7109375" customWidth="1"/>
    <col min="176" max="176" width="18.42578125" customWidth="1"/>
  </cols>
  <sheetData>
    <row r="1" spans="1:176" ht="38.25">
      <c r="A1" s="967" t="s">
        <v>6945</v>
      </c>
      <c r="B1" s="2155" t="s">
        <v>18</v>
      </c>
      <c r="C1" s="2144"/>
      <c r="D1" s="2155" t="s">
        <v>256</v>
      </c>
      <c r="E1" s="2144"/>
      <c r="F1" s="2155" t="s">
        <v>20</v>
      </c>
      <c r="G1" s="2144"/>
      <c r="H1" s="2157">
        <v>43299</v>
      </c>
      <c r="I1" s="2144"/>
      <c r="J1" s="967"/>
      <c r="K1" s="967"/>
      <c r="L1" s="2155" t="s">
        <v>256</v>
      </c>
      <c r="M1" s="2144"/>
      <c r="N1" s="2155" t="s">
        <v>20</v>
      </c>
      <c r="O1" s="2144"/>
      <c r="P1" s="2155" t="s">
        <v>21</v>
      </c>
      <c r="Q1" s="2144"/>
      <c r="R1" s="2155" t="s">
        <v>22</v>
      </c>
      <c r="S1" s="2144"/>
      <c r="T1" s="2155" t="s">
        <v>23</v>
      </c>
      <c r="U1" s="2144"/>
      <c r="V1" s="2155" t="s">
        <v>24</v>
      </c>
      <c r="W1" s="2144"/>
      <c r="X1" s="2155" t="s">
        <v>25</v>
      </c>
      <c r="Y1" s="2144"/>
      <c r="Z1" s="2156" t="s">
        <v>26</v>
      </c>
      <c r="AA1" s="2144"/>
      <c r="AB1" s="2156" t="s">
        <v>6412</v>
      </c>
      <c r="AC1" s="2144"/>
      <c r="AD1" s="2156" t="s">
        <v>6409</v>
      </c>
      <c r="AE1" s="2144"/>
      <c r="AF1" s="2155" t="s">
        <v>17</v>
      </c>
      <c r="AG1" s="2144"/>
      <c r="AH1" s="2155" t="s">
        <v>18</v>
      </c>
      <c r="AI1" s="2144"/>
      <c r="AJ1" s="2155" t="s">
        <v>256</v>
      </c>
      <c r="AK1" s="2144"/>
      <c r="AL1" s="2155" t="s">
        <v>20</v>
      </c>
      <c r="AM1" s="2144"/>
      <c r="AN1" s="2155" t="s">
        <v>21</v>
      </c>
      <c r="AO1" s="2144"/>
      <c r="AP1" s="2155" t="s">
        <v>22</v>
      </c>
      <c r="AQ1" s="2144"/>
      <c r="AR1" s="2155" t="s">
        <v>23</v>
      </c>
      <c r="AS1" s="2144"/>
      <c r="AT1" s="2156" t="s">
        <v>24</v>
      </c>
      <c r="AU1" s="2144"/>
      <c r="AV1" s="2156" t="s">
        <v>25</v>
      </c>
      <c r="AW1" s="2144"/>
      <c r="AX1" s="2156" t="s">
        <v>26</v>
      </c>
      <c r="AY1" s="2144"/>
      <c r="AZ1" s="2156" t="s">
        <v>6387</v>
      </c>
      <c r="BA1" s="2144"/>
      <c r="BB1" s="2156" t="s">
        <v>6469</v>
      </c>
      <c r="BC1" s="2144"/>
      <c r="BD1" s="2155" t="s">
        <v>17</v>
      </c>
      <c r="BE1" s="2144"/>
      <c r="BF1" s="2155" t="s">
        <v>18</v>
      </c>
      <c r="BG1" s="2144"/>
      <c r="BH1" s="2155" t="s">
        <v>256</v>
      </c>
      <c r="BI1" s="2144"/>
      <c r="BJ1" s="2155" t="s">
        <v>20</v>
      </c>
      <c r="BK1" s="2144"/>
      <c r="BL1" s="2155" t="s">
        <v>21</v>
      </c>
      <c r="BM1" s="2144"/>
      <c r="BN1" s="2155" t="s">
        <v>22</v>
      </c>
      <c r="BO1" s="2144"/>
      <c r="BP1" s="2155" t="s">
        <v>23</v>
      </c>
      <c r="BQ1" s="2144"/>
      <c r="BR1" s="2155" t="s">
        <v>24</v>
      </c>
      <c r="BS1" s="2144"/>
      <c r="BT1" s="2155" t="s">
        <v>25</v>
      </c>
      <c r="BU1" s="2144"/>
      <c r="BV1" s="2155" t="s">
        <v>26</v>
      </c>
      <c r="BW1" s="2144"/>
      <c r="BX1" s="2156" t="s">
        <v>6946</v>
      </c>
      <c r="BY1" s="2144"/>
      <c r="BZ1" s="2156" t="s">
        <v>6947</v>
      </c>
      <c r="CA1" s="2144"/>
      <c r="CB1" s="2155" t="s">
        <v>17</v>
      </c>
      <c r="CC1" s="2144"/>
      <c r="CD1" s="2156" t="s">
        <v>18</v>
      </c>
      <c r="CE1" s="2144"/>
      <c r="CF1" s="2155" t="s">
        <v>256</v>
      </c>
      <c r="CG1" s="2144"/>
      <c r="CH1" s="2155" t="s">
        <v>20</v>
      </c>
      <c r="CI1" s="2144"/>
      <c r="CJ1" s="2156" t="s">
        <v>21</v>
      </c>
      <c r="CK1" s="2144"/>
      <c r="CL1" s="2156" t="s">
        <v>22</v>
      </c>
      <c r="CM1" s="2144"/>
      <c r="CN1" s="2155" t="s">
        <v>23</v>
      </c>
      <c r="CO1" s="2144"/>
      <c r="CP1" s="2155" t="s">
        <v>24</v>
      </c>
      <c r="CQ1" s="2144"/>
      <c r="CR1" s="2155" t="s">
        <v>25</v>
      </c>
      <c r="CS1" s="2144"/>
      <c r="CT1" s="2155" t="s">
        <v>26</v>
      </c>
      <c r="CU1" s="2144"/>
      <c r="CV1" s="2155" t="s">
        <v>6948</v>
      </c>
      <c r="CW1" s="2144"/>
      <c r="CX1" s="2155" t="s">
        <v>6949</v>
      </c>
      <c r="CY1" s="2144"/>
      <c r="CZ1" s="2155" t="s">
        <v>17</v>
      </c>
      <c r="DA1" s="2144"/>
      <c r="DB1" s="2155" t="s">
        <v>18</v>
      </c>
      <c r="DC1" s="2144"/>
      <c r="DD1" s="2155" t="s">
        <v>256</v>
      </c>
      <c r="DE1" s="2144"/>
      <c r="DF1" s="2155" t="s">
        <v>20</v>
      </c>
      <c r="DG1" s="2144"/>
      <c r="DH1" s="2155" t="s">
        <v>21</v>
      </c>
      <c r="DI1" s="2144"/>
      <c r="DJ1" s="2155" t="s">
        <v>22</v>
      </c>
      <c r="DK1" s="2144"/>
      <c r="DL1" s="2155" t="s">
        <v>23</v>
      </c>
      <c r="DM1" s="2144"/>
      <c r="DN1" s="2155" t="s">
        <v>24</v>
      </c>
      <c r="DO1" s="2144"/>
      <c r="DP1" s="2155" t="s">
        <v>25</v>
      </c>
      <c r="DQ1" s="2144"/>
      <c r="DR1" s="2156" t="s">
        <v>26</v>
      </c>
      <c r="DS1" s="2144"/>
      <c r="DT1" s="2155" t="s">
        <v>6950</v>
      </c>
      <c r="DU1" s="2144"/>
      <c r="DV1" s="2155" t="s">
        <v>6951</v>
      </c>
      <c r="DW1" s="2144"/>
      <c r="DX1" s="2155" t="s">
        <v>17</v>
      </c>
      <c r="DY1" s="2144"/>
      <c r="DZ1" s="2155" t="s">
        <v>18</v>
      </c>
      <c r="EA1" s="2144"/>
      <c r="EB1" s="2155" t="s">
        <v>256</v>
      </c>
      <c r="EC1" s="2144"/>
      <c r="ED1" s="2155" t="s">
        <v>20</v>
      </c>
      <c r="EE1" s="2144"/>
      <c r="EF1" s="2155" t="s">
        <v>21</v>
      </c>
      <c r="EG1" s="2144"/>
      <c r="EH1" s="2155" t="s">
        <v>22</v>
      </c>
      <c r="EI1" s="2144"/>
      <c r="EJ1" s="2155" t="s">
        <v>23</v>
      </c>
      <c r="EK1" s="2144"/>
      <c r="EL1" s="2155" t="s">
        <v>24</v>
      </c>
      <c r="EM1" s="2144"/>
      <c r="EN1" s="2155" t="s">
        <v>25</v>
      </c>
      <c r="EO1" s="2144"/>
      <c r="EP1" s="2155" t="s">
        <v>26</v>
      </c>
      <c r="EQ1" s="2144"/>
      <c r="ER1" s="2155" t="s">
        <v>6952</v>
      </c>
      <c r="ES1" s="2144"/>
      <c r="ET1" s="2155" t="s">
        <v>6953</v>
      </c>
      <c r="EU1" s="2144"/>
      <c r="EV1" s="2155" t="s">
        <v>17</v>
      </c>
      <c r="EW1" s="2144"/>
      <c r="EX1" s="2155" t="s">
        <v>18</v>
      </c>
      <c r="EY1" s="2144"/>
      <c r="EZ1" s="2155" t="s">
        <v>256</v>
      </c>
      <c r="FA1" s="2144"/>
      <c r="FB1" s="2155" t="s">
        <v>20</v>
      </c>
      <c r="FC1" s="2144"/>
      <c r="FD1" s="2155" t="s">
        <v>21</v>
      </c>
      <c r="FE1" s="2144"/>
      <c r="FF1" s="2155" t="s">
        <v>22</v>
      </c>
      <c r="FG1" s="2144"/>
      <c r="FH1" s="2155" t="s">
        <v>23</v>
      </c>
      <c r="FI1" s="2144"/>
      <c r="FJ1" s="2155" t="s">
        <v>24</v>
      </c>
      <c r="FK1" s="2144"/>
      <c r="FL1" s="967" t="s">
        <v>25</v>
      </c>
      <c r="FM1" s="968"/>
      <c r="FN1" s="968" t="s">
        <v>26</v>
      </c>
      <c r="FO1" s="968"/>
      <c r="FP1" s="968" t="s">
        <v>6954</v>
      </c>
      <c r="FQ1" s="968"/>
      <c r="FR1" s="968" t="s">
        <v>3616</v>
      </c>
      <c r="FS1" s="968" t="s">
        <v>69</v>
      </c>
      <c r="FT1" s="968" t="s">
        <v>6945</v>
      </c>
    </row>
    <row r="2" spans="1:176">
      <c r="A2" s="38" t="s">
        <v>6955</v>
      </c>
      <c r="B2" s="38">
        <v>1</v>
      </c>
      <c r="C2" s="969">
        <f>5*B2</f>
        <v>5</v>
      </c>
      <c r="D2" s="38">
        <v>0</v>
      </c>
      <c r="E2" s="969">
        <f>5*D2</f>
        <v>0</v>
      </c>
      <c r="F2" s="38">
        <v>1</v>
      </c>
      <c r="G2" s="969">
        <f>5*F2</f>
        <v>5</v>
      </c>
      <c r="H2" s="38">
        <v>1</v>
      </c>
      <c r="I2" s="969">
        <f>5*H2</f>
        <v>5</v>
      </c>
      <c r="J2" s="38"/>
      <c r="K2" s="38"/>
      <c r="L2" s="38">
        <v>2</v>
      </c>
      <c r="M2" s="969">
        <f>5*L2</f>
        <v>10</v>
      </c>
      <c r="N2" s="38">
        <v>1</v>
      </c>
      <c r="O2" s="969">
        <f>5*N2</f>
        <v>5</v>
      </c>
      <c r="P2" s="38">
        <v>1</v>
      </c>
      <c r="Q2" s="969">
        <f>5*P2</f>
        <v>5</v>
      </c>
      <c r="R2" s="38"/>
      <c r="S2" s="969">
        <f>5*R2</f>
        <v>0</v>
      </c>
      <c r="T2" s="38">
        <v>1</v>
      </c>
      <c r="U2" s="969">
        <f>5*T2</f>
        <v>5</v>
      </c>
      <c r="V2" s="38">
        <v>1</v>
      </c>
      <c r="W2" s="969">
        <f>5*V2</f>
        <v>5</v>
      </c>
      <c r="X2" s="38">
        <v>1</v>
      </c>
      <c r="Y2" s="969">
        <f>5*X2</f>
        <v>5</v>
      </c>
      <c r="Z2" s="38">
        <v>2</v>
      </c>
      <c r="AA2" s="969">
        <f>5*Z2</f>
        <v>10</v>
      </c>
      <c r="AB2" s="38">
        <v>1</v>
      </c>
      <c r="AC2" s="969">
        <f>5*AB2</f>
        <v>5</v>
      </c>
      <c r="AD2" s="38">
        <v>1</v>
      </c>
      <c r="AE2" s="969">
        <f>5*AD2</f>
        <v>5</v>
      </c>
      <c r="AF2" s="38">
        <v>1</v>
      </c>
      <c r="AG2" s="969">
        <f>5*AF2</f>
        <v>5</v>
      </c>
      <c r="AH2" s="38">
        <v>1</v>
      </c>
      <c r="AI2" s="969">
        <f>5*AH2</f>
        <v>5</v>
      </c>
      <c r="AJ2" s="38">
        <v>0</v>
      </c>
      <c r="AK2" s="969">
        <f>5*AJ2</f>
        <v>0</v>
      </c>
      <c r="AL2" s="38">
        <v>1</v>
      </c>
      <c r="AM2" s="969">
        <f>5*AL2</f>
        <v>5</v>
      </c>
      <c r="AN2" s="38">
        <v>1</v>
      </c>
      <c r="AO2" s="969">
        <f>5*AN2</f>
        <v>5</v>
      </c>
      <c r="AP2" s="38">
        <v>1</v>
      </c>
      <c r="AQ2" s="969">
        <f>5*AP2</f>
        <v>5</v>
      </c>
      <c r="AR2" s="38">
        <v>0</v>
      </c>
      <c r="AS2" s="969">
        <f>5*AR2</f>
        <v>0</v>
      </c>
      <c r="AT2" s="38">
        <v>1</v>
      </c>
      <c r="AU2" s="969">
        <f>5*AT2</f>
        <v>5</v>
      </c>
      <c r="AV2" s="38">
        <v>1</v>
      </c>
      <c r="AW2" s="969">
        <f>5*AV2</f>
        <v>5</v>
      </c>
      <c r="AX2" s="38">
        <v>6</v>
      </c>
      <c r="AY2" s="969">
        <f>5*AX2</f>
        <v>30</v>
      </c>
      <c r="AZ2" s="38">
        <v>1</v>
      </c>
      <c r="BA2" s="969">
        <f>5*AZ2</f>
        <v>5</v>
      </c>
      <c r="BB2" s="38">
        <v>2</v>
      </c>
      <c r="BC2" s="969">
        <f>5*BB2</f>
        <v>10</v>
      </c>
      <c r="BD2" s="38">
        <v>2</v>
      </c>
      <c r="BE2" s="969">
        <f>5*BD2</f>
        <v>10</v>
      </c>
      <c r="BF2" s="38">
        <v>3</v>
      </c>
      <c r="BG2" s="969">
        <f>5*BF2</f>
        <v>15</v>
      </c>
      <c r="BH2" s="38">
        <v>2</v>
      </c>
      <c r="BI2" s="969">
        <f>5*BH2</f>
        <v>10</v>
      </c>
      <c r="BJ2" s="38">
        <v>3</v>
      </c>
      <c r="BK2" s="969">
        <f>5*BJ2</f>
        <v>15</v>
      </c>
      <c r="BL2" s="38">
        <v>0</v>
      </c>
      <c r="BM2" s="969">
        <f>5*BL2</f>
        <v>0</v>
      </c>
      <c r="BN2" s="38">
        <v>1</v>
      </c>
      <c r="BO2" s="969">
        <f>5*BN2</f>
        <v>5</v>
      </c>
      <c r="BP2" s="38">
        <v>4</v>
      </c>
      <c r="BQ2" s="969">
        <f>5*BP2</f>
        <v>20</v>
      </c>
      <c r="BR2" s="38">
        <v>0</v>
      </c>
      <c r="BS2" s="969">
        <f>5*BR2</f>
        <v>0</v>
      </c>
      <c r="BT2" s="38">
        <v>1</v>
      </c>
      <c r="BU2" s="969">
        <f>5*BT2</f>
        <v>5</v>
      </c>
      <c r="BV2" s="38">
        <v>0</v>
      </c>
      <c r="BW2" s="969">
        <f>5*BV2</f>
        <v>0</v>
      </c>
      <c r="BX2" s="38">
        <v>2</v>
      </c>
      <c r="BY2" s="969">
        <f>5*BX2</f>
        <v>10</v>
      </c>
      <c r="BZ2" s="38">
        <v>1</v>
      </c>
      <c r="CA2" s="969">
        <f>5*BZ2</f>
        <v>5</v>
      </c>
      <c r="CB2" s="38">
        <v>3</v>
      </c>
      <c r="CC2" s="969">
        <f>5*CB2</f>
        <v>15</v>
      </c>
      <c r="CD2" s="38">
        <v>4</v>
      </c>
      <c r="CE2" s="969">
        <f>5*CD2</f>
        <v>20</v>
      </c>
      <c r="CF2" s="38">
        <v>2</v>
      </c>
      <c r="CG2" s="969">
        <f>5*CF2</f>
        <v>10</v>
      </c>
      <c r="CH2" s="38">
        <v>2</v>
      </c>
      <c r="CI2" s="969">
        <f>5*CH2</f>
        <v>10</v>
      </c>
      <c r="CJ2" s="38">
        <v>0</v>
      </c>
      <c r="CK2" s="969">
        <f>5*CJ2</f>
        <v>0</v>
      </c>
      <c r="CL2" s="38">
        <v>1</v>
      </c>
      <c r="CM2" s="969">
        <f>5*CL2</f>
        <v>5</v>
      </c>
      <c r="CN2" s="38">
        <v>2</v>
      </c>
      <c r="CO2" s="969">
        <f>5*CN2</f>
        <v>10</v>
      </c>
      <c r="CP2" s="38">
        <v>0</v>
      </c>
      <c r="CQ2" s="969">
        <v>0</v>
      </c>
      <c r="CR2" s="38">
        <v>4</v>
      </c>
      <c r="CS2" s="969">
        <v>20</v>
      </c>
      <c r="CT2" s="38">
        <v>3</v>
      </c>
      <c r="CU2" s="969">
        <v>15</v>
      </c>
      <c r="CV2" s="38">
        <v>5</v>
      </c>
      <c r="CW2" s="969">
        <v>25</v>
      </c>
      <c r="CX2" s="38">
        <v>3</v>
      </c>
      <c r="CY2" s="969">
        <v>15</v>
      </c>
      <c r="CZ2" s="38">
        <v>1</v>
      </c>
      <c r="DA2" s="969">
        <v>5</v>
      </c>
      <c r="DB2" s="38">
        <v>5</v>
      </c>
      <c r="DC2" s="969">
        <v>25</v>
      </c>
      <c r="DD2" s="38">
        <v>2</v>
      </c>
      <c r="DE2" s="969">
        <v>10</v>
      </c>
      <c r="DF2" s="38">
        <v>4</v>
      </c>
      <c r="DG2" s="969">
        <v>20</v>
      </c>
      <c r="DH2" s="38">
        <v>4</v>
      </c>
      <c r="DI2" s="969">
        <v>20</v>
      </c>
      <c r="DJ2" s="38">
        <v>1</v>
      </c>
      <c r="DK2" s="969">
        <v>5</v>
      </c>
      <c r="DL2" s="38">
        <v>2</v>
      </c>
      <c r="DM2" s="969">
        <v>10</v>
      </c>
      <c r="DN2" s="38">
        <v>3</v>
      </c>
      <c r="DO2" s="969">
        <v>15</v>
      </c>
      <c r="DP2" s="38">
        <v>0</v>
      </c>
      <c r="DQ2" s="969">
        <v>0</v>
      </c>
      <c r="DR2" s="38">
        <v>5</v>
      </c>
      <c r="DS2" s="969">
        <v>25</v>
      </c>
      <c r="DT2" s="38">
        <v>3</v>
      </c>
      <c r="DU2" s="969">
        <v>15</v>
      </c>
      <c r="DV2" s="38">
        <v>3</v>
      </c>
      <c r="DW2" s="969">
        <v>15</v>
      </c>
      <c r="DX2" s="38">
        <v>1</v>
      </c>
      <c r="DY2" s="969">
        <v>5</v>
      </c>
      <c r="DZ2" s="38">
        <v>7</v>
      </c>
      <c r="EA2" s="969">
        <v>35</v>
      </c>
      <c r="EB2" s="38">
        <v>4</v>
      </c>
      <c r="EC2" s="969">
        <v>20</v>
      </c>
      <c r="ED2" s="38">
        <v>4</v>
      </c>
      <c r="EE2" s="969">
        <v>20</v>
      </c>
      <c r="EF2" s="38">
        <v>0</v>
      </c>
      <c r="EG2" s="969">
        <v>0</v>
      </c>
      <c r="EH2" s="38">
        <v>1</v>
      </c>
      <c r="EI2" s="969">
        <v>5</v>
      </c>
      <c r="EJ2" s="38">
        <v>0</v>
      </c>
      <c r="EK2" s="969">
        <v>0</v>
      </c>
      <c r="EL2" s="38">
        <v>4</v>
      </c>
      <c r="EM2" s="969">
        <v>20</v>
      </c>
      <c r="EN2" s="38">
        <v>3</v>
      </c>
      <c r="EO2" s="969">
        <v>15</v>
      </c>
      <c r="EP2" s="38">
        <v>2</v>
      </c>
      <c r="EQ2" s="969">
        <v>10</v>
      </c>
      <c r="ER2" s="38">
        <v>1</v>
      </c>
      <c r="ES2" s="969">
        <v>5</v>
      </c>
      <c r="ET2" s="38">
        <v>7</v>
      </c>
      <c r="EU2" s="969">
        <v>35</v>
      </c>
      <c r="EV2" s="38">
        <v>3</v>
      </c>
      <c r="EW2" s="969">
        <v>15</v>
      </c>
      <c r="EX2" s="38">
        <v>5</v>
      </c>
      <c r="EY2" s="969">
        <v>25</v>
      </c>
      <c r="EZ2" s="38">
        <v>3</v>
      </c>
      <c r="FA2" s="969">
        <v>15</v>
      </c>
      <c r="FB2" s="38">
        <v>2</v>
      </c>
      <c r="FC2" s="969">
        <v>10</v>
      </c>
      <c r="FD2" s="38">
        <v>1</v>
      </c>
      <c r="FE2" s="969">
        <v>5</v>
      </c>
      <c r="FF2" s="38">
        <v>4</v>
      </c>
      <c r="FG2" s="969">
        <v>20</v>
      </c>
      <c r="FH2" s="38">
        <v>2</v>
      </c>
      <c r="FI2" s="969">
        <v>10</v>
      </c>
      <c r="FJ2" s="970">
        <v>5</v>
      </c>
      <c r="FK2" s="969">
        <v>25</v>
      </c>
      <c r="FL2" s="971">
        <v>6</v>
      </c>
      <c r="FM2" s="9">
        <v>30</v>
      </c>
      <c r="FN2" s="968">
        <v>4</v>
      </c>
      <c r="FO2" s="9">
        <v>20</v>
      </c>
      <c r="FP2" s="9">
        <v>9</v>
      </c>
      <c r="FQ2" s="9">
        <v>45</v>
      </c>
      <c r="FR2" s="9">
        <v>330</v>
      </c>
      <c r="FS2" s="9" t="s">
        <v>6956</v>
      </c>
      <c r="FT2" s="9" t="s">
        <v>6955</v>
      </c>
    </row>
    <row r="3" spans="1:176">
      <c r="A3" s="972" t="s">
        <v>6957</v>
      </c>
      <c r="B3" s="973"/>
      <c r="C3" s="974">
        <v>0</v>
      </c>
      <c r="D3" s="973"/>
      <c r="E3" s="974">
        <v>0</v>
      </c>
      <c r="F3" s="973"/>
      <c r="G3" s="974">
        <v>0</v>
      </c>
      <c r="H3" s="973"/>
      <c r="I3" s="974">
        <v>0</v>
      </c>
      <c r="J3" s="973"/>
      <c r="K3" s="973"/>
      <c r="L3" s="973"/>
      <c r="M3" s="974">
        <v>0</v>
      </c>
      <c r="N3" s="973"/>
      <c r="O3" s="974">
        <v>0</v>
      </c>
      <c r="P3" s="973"/>
      <c r="Q3" s="974">
        <v>0</v>
      </c>
      <c r="R3" s="973"/>
      <c r="S3" s="974">
        <v>0</v>
      </c>
      <c r="T3" s="973"/>
      <c r="U3" s="974">
        <v>0</v>
      </c>
      <c r="V3" s="973"/>
      <c r="W3" s="974">
        <v>0</v>
      </c>
      <c r="X3" s="973"/>
      <c r="Y3" s="974">
        <v>0</v>
      </c>
      <c r="Z3" s="973"/>
      <c r="AA3" s="974">
        <v>0</v>
      </c>
      <c r="AB3" s="973"/>
      <c r="AC3" s="974">
        <v>0</v>
      </c>
      <c r="AD3" s="973"/>
      <c r="AE3" s="974">
        <v>0</v>
      </c>
      <c r="AF3" s="973"/>
      <c r="AG3" s="974">
        <v>0</v>
      </c>
      <c r="AH3" s="973"/>
      <c r="AI3" s="974">
        <v>0</v>
      </c>
      <c r="AJ3" s="973"/>
      <c r="AK3" s="974">
        <v>0</v>
      </c>
      <c r="AL3" s="973"/>
      <c r="AM3" s="974">
        <v>0</v>
      </c>
      <c r="AN3" s="973"/>
      <c r="AO3" s="974">
        <v>0</v>
      </c>
      <c r="AP3" s="973"/>
      <c r="AQ3" s="974">
        <v>0</v>
      </c>
      <c r="AR3" s="973"/>
      <c r="AS3" s="974">
        <v>0</v>
      </c>
      <c r="AT3" s="973"/>
      <c r="AU3" s="974">
        <v>0</v>
      </c>
      <c r="AV3" s="973"/>
      <c r="AW3" s="974">
        <v>0</v>
      </c>
      <c r="AX3" s="973"/>
      <c r="AY3" s="974">
        <v>0</v>
      </c>
      <c r="AZ3" s="973"/>
      <c r="BA3" s="974">
        <v>0</v>
      </c>
      <c r="BB3" s="973"/>
      <c r="BC3" s="974">
        <v>0</v>
      </c>
      <c r="BD3" s="973"/>
      <c r="BE3" s="974">
        <v>0</v>
      </c>
      <c r="BF3" s="973"/>
      <c r="BG3" s="974">
        <v>0</v>
      </c>
      <c r="BH3" s="973"/>
      <c r="BI3" s="974">
        <v>0</v>
      </c>
      <c r="BJ3" s="973">
        <v>0</v>
      </c>
      <c r="BK3" s="974">
        <v>0</v>
      </c>
      <c r="BL3" s="973">
        <v>0</v>
      </c>
      <c r="BM3" s="974">
        <v>0</v>
      </c>
      <c r="BN3" s="973">
        <v>0</v>
      </c>
      <c r="BO3" s="974">
        <v>0</v>
      </c>
      <c r="BP3" s="973">
        <v>0</v>
      </c>
      <c r="BQ3" s="974">
        <v>0</v>
      </c>
      <c r="BR3" s="973">
        <v>0</v>
      </c>
      <c r="BS3" s="974">
        <v>0</v>
      </c>
      <c r="BT3" s="973">
        <v>0</v>
      </c>
      <c r="BU3" s="974">
        <v>0</v>
      </c>
      <c r="BV3" s="973">
        <v>0</v>
      </c>
      <c r="BW3" s="974">
        <v>0</v>
      </c>
      <c r="BX3" s="973">
        <v>0</v>
      </c>
      <c r="BY3" s="974">
        <v>0</v>
      </c>
      <c r="BZ3" s="973">
        <v>0</v>
      </c>
      <c r="CA3" s="974">
        <v>0</v>
      </c>
      <c r="CB3" s="973">
        <v>0</v>
      </c>
      <c r="CC3" s="974">
        <v>0</v>
      </c>
      <c r="CD3" s="973">
        <v>0</v>
      </c>
      <c r="CE3" s="974">
        <v>0</v>
      </c>
      <c r="CF3" s="973">
        <v>0</v>
      </c>
      <c r="CG3" s="974">
        <v>0</v>
      </c>
      <c r="CH3" s="973">
        <v>0</v>
      </c>
      <c r="CI3" s="974">
        <v>0</v>
      </c>
      <c r="CJ3" s="973">
        <v>0</v>
      </c>
      <c r="CK3" s="974">
        <v>0</v>
      </c>
      <c r="CL3" s="973">
        <v>0</v>
      </c>
      <c r="CM3" s="974">
        <v>0</v>
      </c>
      <c r="CN3" s="973">
        <v>0</v>
      </c>
      <c r="CO3" s="974">
        <v>0</v>
      </c>
      <c r="CP3" s="973">
        <v>0</v>
      </c>
      <c r="CQ3" s="974">
        <v>0</v>
      </c>
      <c r="CR3" s="973">
        <v>0</v>
      </c>
      <c r="CS3" s="974">
        <v>0</v>
      </c>
      <c r="CT3" s="973">
        <v>0</v>
      </c>
      <c r="CU3" s="974">
        <v>0</v>
      </c>
      <c r="CV3" s="973">
        <v>0</v>
      </c>
      <c r="CW3" s="974">
        <v>0</v>
      </c>
      <c r="CX3" s="973">
        <v>0</v>
      </c>
      <c r="CY3" s="974">
        <v>0</v>
      </c>
      <c r="CZ3" s="973">
        <v>0</v>
      </c>
      <c r="DA3" s="974">
        <v>0</v>
      </c>
      <c r="DB3" s="973">
        <v>0</v>
      </c>
      <c r="DC3" s="974">
        <v>0</v>
      </c>
      <c r="DD3" s="973">
        <v>0</v>
      </c>
      <c r="DE3" s="974">
        <v>0</v>
      </c>
      <c r="DF3" s="973">
        <v>0</v>
      </c>
      <c r="DG3" s="974">
        <v>0</v>
      </c>
      <c r="DH3" s="973">
        <v>0</v>
      </c>
      <c r="DI3" s="974">
        <v>0</v>
      </c>
      <c r="DJ3" s="973">
        <v>0</v>
      </c>
      <c r="DK3" s="974">
        <v>0</v>
      </c>
      <c r="DL3" s="973">
        <v>0</v>
      </c>
      <c r="DM3" s="974">
        <v>0</v>
      </c>
      <c r="DN3" s="973">
        <v>0</v>
      </c>
      <c r="DO3" s="974">
        <v>0</v>
      </c>
      <c r="DP3" s="973">
        <v>0</v>
      </c>
      <c r="DQ3" s="974">
        <v>0</v>
      </c>
      <c r="DR3" s="973">
        <v>0</v>
      </c>
      <c r="DS3" s="974">
        <v>0</v>
      </c>
      <c r="DT3" s="973">
        <v>0</v>
      </c>
      <c r="DU3" s="974">
        <v>0</v>
      </c>
      <c r="DV3" s="973">
        <v>0</v>
      </c>
      <c r="DW3" s="974">
        <v>0</v>
      </c>
      <c r="DX3" s="973">
        <v>0</v>
      </c>
      <c r="DY3" s="974">
        <v>0</v>
      </c>
      <c r="DZ3" s="973">
        <v>0</v>
      </c>
      <c r="EA3" s="974">
        <v>0</v>
      </c>
      <c r="EB3" s="973">
        <v>0</v>
      </c>
      <c r="EC3" s="974">
        <v>0</v>
      </c>
      <c r="ED3" s="973">
        <v>0</v>
      </c>
      <c r="EE3" s="974">
        <v>0</v>
      </c>
      <c r="EF3" s="973">
        <v>0</v>
      </c>
      <c r="EG3" s="974">
        <v>0</v>
      </c>
      <c r="EH3" s="973">
        <v>0</v>
      </c>
      <c r="EI3" s="974">
        <v>0</v>
      </c>
      <c r="EJ3" s="973">
        <v>0</v>
      </c>
      <c r="EK3" s="974">
        <v>0</v>
      </c>
      <c r="EL3" s="973">
        <v>0</v>
      </c>
      <c r="EM3" s="974">
        <v>0</v>
      </c>
      <c r="EN3" s="973">
        <v>0</v>
      </c>
      <c r="EO3" s="974">
        <v>0</v>
      </c>
      <c r="EP3" s="973">
        <v>0</v>
      </c>
      <c r="EQ3" s="974">
        <v>0</v>
      </c>
      <c r="ER3" s="973">
        <v>0</v>
      </c>
      <c r="ES3" s="974">
        <v>0</v>
      </c>
      <c r="ET3" s="973">
        <v>0</v>
      </c>
      <c r="EU3" s="974">
        <v>0</v>
      </c>
      <c r="EV3" s="973">
        <v>0</v>
      </c>
      <c r="EW3" s="974">
        <v>0</v>
      </c>
      <c r="EX3" s="973">
        <v>0</v>
      </c>
      <c r="EY3" s="974">
        <v>0</v>
      </c>
      <c r="EZ3" s="973">
        <v>0</v>
      </c>
      <c r="FA3" s="974">
        <v>0</v>
      </c>
      <c r="FB3" s="973">
        <v>0</v>
      </c>
      <c r="FC3" s="974">
        <v>0</v>
      </c>
      <c r="FD3" s="973">
        <v>0</v>
      </c>
      <c r="FE3" s="974">
        <v>0</v>
      </c>
      <c r="FF3" s="973">
        <v>0</v>
      </c>
      <c r="FG3" s="974">
        <v>0</v>
      </c>
      <c r="FH3" s="973">
        <v>0</v>
      </c>
      <c r="FI3" s="974">
        <v>0</v>
      </c>
      <c r="FJ3" s="975">
        <v>0</v>
      </c>
      <c r="FK3" s="974">
        <v>0</v>
      </c>
      <c r="FL3" s="971">
        <v>0</v>
      </c>
      <c r="FM3" s="976">
        <v>0</v>
      </c>
      <c r="FN3" s="968">
        <v>0</v>
      </c>
      <c r="FO3" s="976">
        <v>0</v>
      </c>
      <c r="FP3" s="976">
        <v>0</v>
      </c>
      <c r="FQ3" s="976">
        <v>0</v>
      </c>
      <c r="FR3" s="976">
        <v>0</v>
      </c>
      <c r="FS3" s="976"/>
      <c r="FT3" s="976" t="s">
        <v>6957</v>
      </c>
    </row>
    <row r="4" spans="1:176" ht="25.5">
      <c r="A4" s="38" t="s">
        <v>6958</v>
      </c>
      <c r="B4" s="38">
        <v>0</v>
      </c>
      <c r="C4" s="969">
        <f>6*B4</f>
        <v>0</v>
      </c>
      <c r="D4" s="38">
        <v>3</v>
      </c>
      <c r="E4" s="969">
        <f>6*D4</f>
        <v>18</v>
      </c>
      <c r="F4" s="38"/>
      <c r="G4" s="969">
        <f>6*F4</f>
        <v>0</v>
      </c>
      <c r="H4" s="38"/>
      <c r="I4" s="969">
        <f>6*H4</f>
        <v>0</v>
      </c>
      <c r="J4" s="38"/>
      <c r="K4" s="38"/>
      <c r="L4" s="38">
        <v>0</v>
      </c>
      <c r="M4" s="969">
        <f>6*L4</f>
        <v>0</v>
      </c>
      <c r="N4" s="38">
        <v>0</v>
      </c>
      <c r="O4" s="969">
        <f>6*N4</f>
        <v>0</v>
      </c>
      <c r="P4" s="38">
        <v>0</v>
      </c>
      <c r="Q4" s="969">
        <f>6*P4</f>
        <v>0</v>
      </c>
      <c r="R4" s="38">
        <v>1</v>
      </c>
      <c r="S4" s="969">
        <f>6*R4</f>
        <v>6</v>
      </c>
      <c r="T4" s="38"/>
      <c r="U4" s="969">
        <f>6*T4</f>
        <v>0</v>
      </c>
      <c r="V4" s="38"/>
      <c r="W4" s="969">
        <f>6*V4</f>
        <v>0</v>
      </c>
      <c r="X4" s="38"/>
      <c r="Y4" s="969">
        <f>6*X4</f>
        <v>0</v>
      </c>
      <c r="Z4" s="38">
        <v>1</v>
      </c>
      <c r="AA4" s="969">
        <f>6*Z4</f>
        <v>6</v>
      </c>
      <c r="AB4" s="38"/>
      <c r="AC4" s="969">
        <f>6*AB4</f>
        <v>0</v>
      </c>
      <c r="AD4" s="38">
        <v>1</v>
      </c>
      <c r="AE4" s="969">
        <f>6*AD4</f>
        <v>6</v>
      </c>
      <c r="AF4" s="38">
        <v>4</v>
      </c>
      <c r="AG4" s="969">
        <f>6*AF4</f>
        <v>24</v>
      </c>
      <c r="AH4" s="38">
        <v>1</v>
      </c>
      <c r="AI4" s="969">
        <f>6*AH4</f>
        <v>6</v>
      </c>
      <c r="AJ4" s="38">
        <v>3</v>
      </c>
      <c r="AK4" s="969">
        <f>6*AJ4</f>
        <v>18</v>
      </c>
      <c r="AL4" s="38"/>
      <c r="AM4" s="969">
        <f>6*AL4</f>
        <v>0</v>
      </c>
      <c r="AN4" s="38"/>
      <c r="AO4" s="969">
        <f>6*AN4</f>
        <v>0</v>
      </c>
      <c r="AP4" s="38"/>
      <c r="AQ4" s="969">
        <f>6*AP4</f>
        <v>0</v>
      </c>
      <c r="AR4" s="38"/>
      <c r="AS4" s="969">
        <f>6*AR4</f>
        <v>0</v>
      </c>
      <c r="AT4" s="38"/>
      <c r="AU4" s="969">
        <f>6*AT4</f>
        <v>0</v>
      </c>
      <c r="AV4" s="38"/>
      <c r="AW4" s="969">
        <f>6*AV4</f>
        <v>0</v>
      </c>
      <c r="AX4" s="38">
        <v>1</v>
      </c>
      <c r="AY4" s="969">
        <f>6*AX4</f>
        <v>6</v>
      </c>
      <c r="AZ4" s="38">
        <v>3</v>
      </c>
      <c r="BA4" s="969">
        <f>6*AZ4</f>
        <v>18</v>
      </c>
      <c r="BB4" s="38">
        <v>0</v>
      </c>
      <c r="BC4" s="969">
        <f>5*BB4</f>
        <v>0</v>
      </c>
      <c r="BD4" s="38">
        <v>1</v>
      </c>
      <c r="BE4" s="969">
        <f>5*BD4</f>
        <v>5</v>
      </c>
      <c r="BF4" s="38">
        <v>1</v>
      </c>
      <c r="BG4" s="969">
        <f>5*BF4</f>
        <v>5</v>
      </c>
      <c r="BH4" s="38">
        <v>4</v>
      </c>
      <c r="BI4" s="969">
        <f>5*BH4</f>
        <v>20</v>
      </c>
      <c r="BJ4" s="38">
        <v>0</v>
      </c>
      <c r="BK4" s="969">
        <f>5*BJ4</f>
        <v>0</v>
      </c>
      <c r="BL4" s="38">
        <v>0</v>
      </c>
      <c r="BM4" s="969">
        <f>5*BL4</f>
        <v>0</v>
      </c>
      <c r="BN4" s="38">
        <v>0</v>
      </c>
      <c r="BO4" s="969">
        <f>5*BN4</f>
        <v>0</v>
      </c>
      <c r="BP4" s="38">
        <v>0</v>
      </c>
      <c r="BQ4" s="969">
        <f>5*BP4</f>
        <v>0</v>
      </c>
      <c r="BR4" s="38">
        <v>1</v>
      </c>
      <c r="BS4" s="969">
        <f>5*BR4</f>
        <v>5</v>
      </c>
      <c r="BT4" s="38">
        <v>1</v>
      </c>
      <c r="BU4" s="969">
        <f>5*BT4</f>
        <v>5</v>
      </c>
      <c r="BV4" s="38">
        <v>0</v>
      </c>
      <c r="BW4" s="969">
        <f>5*BV4</f>
        <v>0</v>
      </c>
      <c r="BX4" s="38">
        <v>1</v>
      </c>
      <c r="BY4" s="969">
        <f>5*BX4</f>
        <v>5</v>
      </c>
      <c r="BZ4" s="38">
        <v>0</v>
      </c>
      <c r="CA4" s="969">
        <f>5*BZ4</f>
        <v>0</v>
      </c>
      <c r="CB4" s="38">
        <v>0</v>
      </c>
      <c r="CC4" s="969">
        <f>5*CB4</f>
        <v>0</v>
      </c>
      <c r="CD4" s="38">
        <v>3</v>
      </c>
      <c r="CE4" s="969">
        <f>5*CD4</f>
        <v>15</v>
      </c>
      <c r="CF4" s="38">
        <v>2</v>
      </c>
      <c r="CG4" s="969">
        <f>5*CF4</f>
        <v>10</v>
      </c>
      <c r="CH4" s="38">
        <v>1</v>
      </c>
      <c r="CI4" s="969">
        <f>5*CH4</f>
        <v>5</v>
      </c>
      <c r="CJ4" s="38">
        <v>1</v>
      </c>
      <c r="CK4" s="969">
        <f>5*CJ4</f>
        <v>5</v>
      </c>
      <c r="CL4" s="38">
        <v>0</v>
      </c>
      <c r="CM4" s="969">
        <f>5*CL4</f>
        <v>0</v>
      </c>
      <c r="CN4" s="38">
        <v>0</v>
      </c>
      <c r="CO4" s="969">
        <f>5*CN4</f>
        <v>0</v>
      </c>
      <c r="CP4" s="38">
        <v>0</v>
      </c>
      <c r="CQ4" s="969">
        <v>0</v>
      </c>
      <c r="CR4" s="38">
        <v>1</v>
      </c>
      <c r="CS4" s="969">
        <v>5</v>
      </c>
      <c r="CT4" s="38">
        <v>1</v>
      </c>
      <c r="CU4" s="969">
        <v>5</v>
      </c>
      <c r="CV4" s="38">
        <v>1</v>
      </c>
      <c r="CW4" s="969">
        <v>5</v>
      </c>
      <c r="CX4" s="38">
        <v>0</v>
      </c>
      <c r="CY4" s="969">
        <v>0</v>
      </c>
      <c r="CZ4" s="38">
        <v>3</v>
      </c>
      <c r="DA4" s="969">
        <v>15</v>
      </c>
      <c r="DB4" s="38">
        <v>1</v>
      </c>
      <c r="DC4" s="969">
        <v>5</v>
      </c>
      <c r="DD4" s="38">
        <v>0</v>
      </c>
      <c r="DE4" s="969">
        <v>0</v>
      </c>
      <c r="DF4" s="38">
        <v>1</v>
      </c>
      <c r="DG4" s="969">
        <v>5</v>
      </c>
      <c r="DH4" s="38">
        <v>1</v>
      </c>
      <c r="DI4" s="969">
        <v>5</v>
      </c>
      <c r="DJ4" s="38">
        <v>0</v>
      </c>
      <c r="DK4" s="969">
        <v>0</v>
      </c>
      <c r="DL4" s="38">
        <v>1</v>
      </c>
      <c r="DM4" s="969">
        <v>5</v>
      </c>
      <c r="DN4" s="38">
        <v>0</v>
      </c>
      <c r="DO4" s="969">
        <v>0</v>
      </c>
      <c r="DP4" s="38">
        <v>0</v>
      </c>
      <c r="DQ4" s="969">
        <v>0</v>
      </c>
      <c r="DR4" s="38">
        <v>2</v>
      </c>
      <c r="DS4" s="969">
        <v>10</v>
      </c>
      <c r="DT4" s="38">
        <v>1</v>
      </c>
      <c r="DU4" s="969">
        <v>5</v>
      </c>
      <c r="DV4" s="38">
        <v>1</v>
      </c>
      <c r="DW4" s="969">
        <v>5</v>
      </c>
      <c r="DX4" s="38">
        <v>3</v>
      </c>
      <c r="DY4" s="969">
        <v>15</v>
      </c>
      <c r="DZ4" s="38">
        <v>5</v>
      </c>
      <c r="EA4" s="969">
        <v>25</v>
      </c>
      <c r="EB4" s="38">
        <v>1</v>
      </c>
      <c r="EC4" s="969">
        <v>5</v>
      </c>
      <c r="ED4" s="38">
        <v>5</v>
      </c>
      <c r="EE4" s="969">
        <v>25</v>
      </c>
      <c r="EF4" s="38">
        <v>1</v>
      </c>
      <c r="EG4" s="969">
        <v>5</v>
      </c>
      <c r="EH4" s="38">
        <v>1</v>
      </c>
      <c r="EI4" s="969">
        <v>5</v>
      </c>
      <c r="EJ4" s="38">
        <v>2</v>
      </c>
      <c r="EK4" s="969">
        <v>10</v>
      </c>
      <c r="EL4" s="38">
        <v>2</v>
      </c>
      <c r="EM4" s="969">
        <v>10</v>
      </c>
      <c r="EN4" s="38">
        <v>0</v>
      </c>
      <c r="EO4" s="969">
        <v>0</v>
      </c>
      <c r="EP4" s="38">
        <v>0</v>
      </c>
      <c r="EQ4" s="969">
        <v>0</v>
      </c>
      <c r="ER4" s="38">
        <v>0</v>
      </c>
      <c r="ES4" s="969">
        <v>0</v>
      </c>
      <c r="ET4" s="38">
        <v>2</v>
      </c>
      <c r="EU4" s="969">
        <v>10</v>
      </c>
      <c r="EV4" s="38">
        <v>1</v>
      </c>
      <c r="EW4" s="969">
        <v>5</v>
      </c>
      <c r="EX4" s="38">
        <v>3</v>
      </c>
      <c r="EY4" s="969">
        <v>15</v>
      </c>
      <c r="EZ4" s="38">
        <v>2</v>
      </c>
      <c r="FA4" s="969">
        <v>10</v>
      </c>
      <c r="FB4" s="38">
        <v>1</v>
      </c>
      <c r="FC4" s="969">
        <v>5</v>
      </c>
      <c r="FD4" s="38">
        <v>0</v>
      </c>
      <c r="FE4" s="969">
        <v>0</v>
      </c>
      <c r="FF4" s="38">
        <v>0</v>
      </c>
      <c r="FG4" s="969">
        <v>0</v>
      </c>
      <c r="FH4" s="38">
        <v>0</v>
      </c>
      <c r="FI4" s="969">
        <v>0</v>
      </c>
      <c r="FJ4" s="970">
        <v>1</v>
      </c>
      <c r="FK4" s="969">
        <v>5</v>
      </c>
      <c r="FL4" s="971">
        <v>1</v>
      </c>
      <c r="FM4" s="9">
        <v>5</v>
      </c>
      <c r="FN4" s="968">
        <v>2</v>
      </c>
      <c r="FO4" s="9">
        <v>10</v>
      </c>
      <c r="FP4" s="9">
        <v>0</v>
      </c>
      <c r="FQ4" s="9">
        <v>0</v>
      </c>
      <c r="FR4" s="9">
        <v>120</v>
      </c>
      <c r="FS4" s="9" t="s">
        <v>6959</v>
      </c>
      <c r="FT4" s="9" t="s">
        <v>6960</v>
      </c>
    </row>
    <row r="5" spans="1:176" ht="38.25">
      <c r="A5" s="972" t="s">
        <v>6961</v>
      </c>
      <c r="B5" s="973">
        <v>0</v>
      </c>
      <c r="C5" s="974">
        <f>B5*12</f>
        <v>0</v>
      </c>
      <c r="D5" s="973">
        <v>1</v>
      </c>
      <c r="E5" s="974">
        <f>D5*12</f>
        <v>12</v>
      </c>
      <c r="F5" s="973"/>
      <c r="G5" s="974">
        <v>0</v>
      </c>
      <c r="H5" s="973"/>
      <c r="I5" s="974">
        <v>0</v>
      </c>
      <c r="J5" s="973"/>
      <c r="K5" s="973"/>
      <c r="L5" s="973"/>
      <c r="M5" s="974">
        <v>0</v>
      </c>
      <c r="N5" s="973"/>
      <c r="O5" s="974">
        <v>0</v>
      </c>
      <c r="P5" s="973"/>
      <c r="Q5" s="974">
        <v>0</v>
      </c>
      <c r="R5" s="973"/>
      <c r="S5" s="974">
        <v>0</v>
      </c>
      <c r="T5" s="973"/>
      <c r="U5" s="974">
        <v>0</v>
      </c>
      <c r="V5" s="973"/>
      <c r="W5" s="974">
        <v>0</v>
      </c>
      <c r="X5" s="973"/>
      <c r="Y5" s="974">
        <v>0</v>
      </c>
      <c r="Z5" s="973"/>
      <c r="AA5" s="974">
        <v>0</v>
      </c>
      <c r="AB5" s="973" t="s">
        <v>3358</v>
      </c>
      <c r="AC5" s="974">
        <v>0</v>
      </c>
      <c r="AD5" s="973"/>
      <c r="AE5" s="974">
        <v>0</v>
      </c>
      <c r="AF5" s="973"/>
      <c r="AG5" s="974">
        <v>0</v>
      </c>
      <c r="AH5" s="973"/>
      <c r="AI5" s="974">
        <v>0</v>
      </c>
      <c r="AJ5" s="973"/>
      <c r="AK5" s="974">
        <v>0</v>
      </c>
      <c r="AL5" s="973"/>
      <c r="AM5" s="974">
        <v>0</v>
      </c>
      <c r="AN5" s="973"/>
      <c r="AO5" s="974">
        <v>0</v>
      </c>
      <c r="AP5" s="973"/>
      <c r="AQ5" s="974">
        <v>0</v>
      </c>
      <c r="AR5" s="973"/>
      <c r="AS5" s="974">
        <v>0</v>
      </c>
      <c r="AT5" s="973"/>
      <c r="AU5" s="974">
        <v>0</v>
      </c>
      <c r="AV5" s="973"/>
      <c r="AW5" s="974">
        <v>0</v>
      </c>
      <c r="AX5" s="973"/>
      <c r="AY5" s="974">
        <v>0</v>
      </c>
      <c r="AZ5" s="973"/>
      <c r="BA5" s="974">
        <v>0</v>
      </c>
      <c r="BB5" s="973"/>
      <c r="BC5" s="974">
        <v>0</v>
      </c>
      <c r="BD5" s="973"/>
      <c r="BE5" s="974">
        <v>0</v>
      </c>
      <c r="BF5" s="973"/>
      <c r="BG5" s="974">
        <v>0</v>
      </c>
      <c r="BH5" s="973"/>
      <c r="BI5" s="974">
        <v>0</v>
      </c>
      <c r="BJ5" s="973">
        <v>0</v>
      </c>
      <c r="BK5" s="974">
        <v>0</v>
      </c>
      <c r="BL5" s="973">
        <v>0</v>
      </c>
      <c r="BM5" s="974">
        <v>0</v>
      </c>
      <c r="BN5" s="973">
        <v>0</v>
      </c>
      <c r="BO5" s="974">
        <v>0</v>
      </c>
      <c r="BP5" s="973">
        <v>0</v>
      </c>
      <c r="BQ5" s="974">
        <v>0</v>
      </c>
      <c r="BR5" s="973">
        <v>0</v>
      </c>
      <c r="BS5" s="974">
        <v>0</v>
      </c>
      <c r="BT5" s="973">
        <v>0</v>
      </c>
      <c r="BU5" s="974">
        <v>0</v>
      </c>
      <c r="BV5" s="973">
        <v>0</v>
      </c>
      <c r="BW5" s="974">
        <v>0</v>
      </c>
      <c r="BX5" s="973">
        <v>0</v>
      </c>
      <c r="BY5" s="974">
        <v>0</v>
      </c>
      <c r="BZ5" s="973">
        <v>0</v>
      </c>
      <c r="CA5" s="974">
        <v>0</v>
      </c>
      <c r="CB5" s="973">
        <v>0</v>
      </c>
      <c r="CC5" s="974">
        <v>0</v>
      </c>
      <c r="CD5" s="973">
        <v>0</v>
      </c>
      <c r="CE5" s="974">
        <v>0</v>
      </c>
      <c r="CF5" s="973">
        <v>0</v>
      </c>
      <c r="CG5" s="974">
        <v>0</v>
      </c>
      <c r="CH5" s="973">
        <v>0</v>
      </c>
      <c r="CI5" s="974">
        <v>0</v>
      </c>
      <c r="CJ5" s="973">
        <v>0</v>
      </c>
      <c r="CK5" s="974">
        <v>0</v>
      </c>
      <c r="CL5" s="973">
        <v>0</v>
      </c>
      <c r="CM5" s="974">
        <v>0</v>
      </c>
      <c r="CN5" s="973">
        <v>0</v>
      </c>
      <c r="CO5" s="974">
        <v>0</v>
      </c>
      <c r="CP5" s="973">
        <v>0</v>
      </c>
      <c r="CQ5" s="974">
        <v>0</v>
      </c>
      <c r="CR5" s="973">
        <v>0</v>
      </c>
      <c r="CS5" s="974">
        <v>0</v>
      </c>
      <c r="CT5" s="973">
        <v>0</v>
      </c>
      <c r="CU5" s="974">
        <v>0</v>
      </c>
      <c r="CV5" s="973">
        <v>0</v>
      </c>
      <c r="CW5" s="974">
        <v>0</v>
      </c>
      <c r="CX5" s="973">
        <v>0</v>
      </c>
      <c r="CY5" s="974">
        <v>0</v>
      </c>
      <c r="CZ5" s="973">
        <v>0</v>
      </c>
      <c r="DA5" s="974">
        <v>0</v>
      </c>
      <c r="DB5" s="973">
        <v>0</v>
      </c>
      <c r="DC5" s="974">
        <v>0</v>
      </c>
      <c r="DD5" s="973">
        <v>0</v>
      </c>
      <c r="DE5" s="974">
        <v>0</v>
      </c>
      <c r="DF5" s="973">
        <v>0</v>
      </c>
      <c r="DG5" s="974">
        <v>0</v>
      </c>
      <c r="DH5" s="973">
        <v>0</v>
      </c>
      <c r="DI5" s="974">
        <v>0</v>
      </c>
      <c r="DJ5" s="973">
        <v>0</v>
      </c>
      <c r="DK5" s="974">
        <v>0</v>
      </c>
      <c r="DL5" s="973">
        <v>0</v>
      </c>
      <c r="DM5" s="974">
        <v>0</v>
      </c>
      <c r="DN5" s="973">
        <v>0</v>
      </c>
      <c r="DO5" s="974">
        <v>0</v>
      </c>
      <c r="DP5" s="973">
        <v>0</v>
      </c>
      <c r="DQ5" s="974">
        <v>0</v>
      </c>
      <c r="DR5" s="973">
        <v>0</v>
      </c>
      <c r="DS5" s="974">
        <v>14</v>
      </c>
      <c r="DT5" s="973">
        <v>0</v>
      </c>
      <c r="DU5" s="974">
        <v>14</v>
      </c>
      <c r="DV5" s="973">
        <v>0</v>
      </c>
      <c r="DW5" s="974">
        <v>7</v>
      </c>
      <c r="DX5" s="973">
        <v>0</v>
      </c>
      <c r="DY5" s="974">
        <v>14</v>
      </c>
      <c r="DZ5" s="973">
        <v>0</v>
      </c>
      <c r="EA5" s="974">
        <v>12</v>
      </c>
      <c r="EB5" s="973">
        <v>0</v>
      </c>
      <c r="EC5" s="974">
        <v>14</v>
      </c>
      <c r="ED5" s="973">
        <v>0</v>
      </c>
      <c r="EE5" s="974">
        <v>0</v>
      </c>
      <c r="EF5" s="973">
        <v>0</v>
      </c>
      <c r="EG5" s="974">
        <v>25</v>
      </c>
      <c r="EH5" s="973">
        <v>0</v>
      </c>
      <c r="EI5" s="974">
        <v>14</v>
      </c>
      <c r="EJ5" s="973">
        <v>0</v>
      </c>
      <c r="EK5" s="974">
        <v>17</v>
      </c>
      <c r="EL5" s="973">
        <v>1</v>
      </c>
      <c r="EM5" s="974">
        <v>6</v>
      </c>
      <c r="EN5" s="973">
        <v>6</v>
      </c>
      <c r="EO5" s="974">
        <v>32</v>
      </c>
      <c r="EP5" s="973">
        <v>5</v>
      </c>
      <c r="EQ5" s="974">
        <v>41</v>
      </c>
      <c r="ER5" s="973">
        <v>9</v>
      </c>
      <c r="ES5" s="974">
        <v>59</v>
      </c>
      <c r="ET5" s="973">
        <v>4</v>
      </c>
      <c r="EU5" s="974">
        <v>28</v>
      </c>
      <c r="EV5" s="973">
        <v>0</v>
      </c>
      <c r="EW5" s="974">
        <v>0</v>
      </c>
      <c r="EX5" s="973">
        <v>0</v>
      </c>
      <c r="EY5" s="974">
        <v>0</v>
      </c>
      <c r="EZ5" s="973">
        <v>0</v>
      </c>
      <c r="FA5" s="974">
        <v>0</v>
      </c>
      <c r="FB5" s="973">
        <v>0</v>
      </c>
      <c r="FC5" s="974">
        <v>0</v>
      </c>
      <c r="FD5" s="973">
        <v>0</v>
      </c>
      <c r="FE5" s="974">
        <v>0</v>
      </c>
      <c r="FF5" s="973">
        <v>0</v>
      </c>
      <c r="FG5" s="974">
        <v>0</v>
      </c>
      <c r="FH5" s="973">
        <v>0</v>
      </c>
      <c r="FI5" s="974">
        <v>0</v>
      </c>
      <c r="FJ5" s="975">
        <v>0</v>
      </c>
      <c r="FK5" s="974">
        <v>0</v>
      </c>
      <c r="FL5" s="971">
        <v>0</v>
      </c>
      <c r="FM5" s="976">
        <v>0</v>
      </c>
      <c r="FN5" s="968">
        <v>0</v>
      </c>
      <c r="FO5" s="976">
        <v>0</v>
      </c>
      <c r="FP5" s="976">
        <v>0</v>
      </c>
      <c r="FQ5" s="976">
        <v>0</v>
      </c>
      <c r="FR5" s="976">
        <v>222</v>
      </c>
      <c r="FS5" s="976"/>
      <c r="FT5" s="976" t="s">
        <v>3358</v>
      </c>
    </row>
    <row r="6" spans="1:176">
      <c r="A6" s="38" t="s">
        <v>6962</v>
      </c>
      <c r="B6" s="38"/>
      <c r="C6" s="969">
        <v>0</v>
      </c>
      <c r="D6" s="38"/>
      <c r="E6" s="969">
        <v>0</v>
      </c>
      <c r="F6" s="38"/>
      <c r="G6" s="969">
        <v>0</v>
      </c>
      <c r="H6" s="38"/>
      <c r="I6" s="969">
        <v>0</v>
      </c>
      <c r="J6" s="38"/>
      <c r="K6" s="38"/>
      <c r="L6" s="38"/>
      <c r="M6" s="969">
        <v>0</v>
      </c>
      <c r="N6" s="38"/>
      <c r="O6" s="969">
        <v>0</v>
      </c>
      <c r="P6" s="38"/>
      <c r="Q6" s="969">
        <v>0</v>
      </c>
      <c r="R6" s="38"/>
      <c r="S6" s="969">
        <v>0</v>
      </c>
      <c r="T6" s="38"/>
      <c r="U6" s="969">
        <v>0</v>
      </c>
      <c r="V6" s="38"/>
      <c r="W6" s="969">
        <v>0</v>
      </c>
      <c r="X6" s="38"/>
      <c r="Y6" s="969">
        <v>0</v>
      </c>
      <c r="Z6" s="38"/>
      <c r="AA6" s="969">
        <v>0</v>
      </c>
      <c r="AB6" s="38"/>
      <c r="AC6" s="969">
        <v>0</v>
      </c>
      <c r="AD6" s="38"/>
      <c r="AE6" s="969">
        <v>0</v>
      </c>
      <c r="AF6" s="38"/>
      <c r="AG6" s="969">
        <v>0</v>
      </c>
      <c r="AH6" s="38"/>
      <c r="AI6" s="969">
        <v>0</v>
      </c>
      <c r="AJ6" s="38"/>
      <c r="AK6" s="969">
        <v>0</v>
      </c>
      <c r="AL6" s="38"/>
      <c r="AM6" s="969">
        <v>0</v>
      </c>
      <c r="AN6" s="38"/>
      <c r="AO6" s="969">
        <v>0</v>
      </c>
      <c r="AP6" s="38"/>
      <c r="AQ6" s="969">
        <v>0</v>
      </c>
      <c r="AR6" s="38"/>
      <c r="AS6" s="969">
        <v>0</v>
      </c>
      <c r="AT6" s="38"/>
      <c r="AU6" s="969">
        <v>0</v>
      </c>
      <c r="AV6" s="38"/>
      <c r="AW6" s="969">
        <v>0</v>
      </c>
      <c r="AX6" s="38"/>
      <c r="AY6" s="969">
        <v>0</v>
      </c>
      <c r="AZ6" s="38"/>
      <c r="BA6" s="969">
        <v>0</v>
      </c>
      <c r="BB6" s="38"/>
      <c r="BC6" s="969">
        <v>0</v>
      </c>
      <c r="BD6" s="38"/>
      <c r="BE6" s="969">
        <v>0</v>
      </c>
      <c r="BF6" s="38"/>
      <c r="BG6" s="969">
        <v>0</v>
      </c>
      <c r="BH6" s="38"/>
      <c r="BI6" s="969">
        <v>0</v>
      </c>
      <c r="BJ6" s="38">
        <v>0</v>
      </c>
      <c r="BK6" s="969">
        <v>0</v>
      </c>
      <c r="BL6" s="38">
        <v>0</v>
      </c>
      <c r="BM6" s="969">
        <v>0</v>
      </c>
      <c r="BN6" s="38">
        <v>0</v>
      </c>
      <c r="BO6" s="969">
        <v>0</v>
      </c>
      <c r="BP6" s="38">
        <v>0</v>
      </c>
      <c r="BQ6" s="969">
        <v>0</v>
      </c>
      <c r="BR6" s="38">
        <v>0</v>
      </c>
      <c r="BS6" s="969">
        <v>0</v>
      </c>
      <c r="BT6" s="38">
        <v>0</v>
      </c>
      <c r="BU6" s="969">
        <v>0</v>
      </c>
      <c r="BV6" s="38">
        <v>0</v>
      </c>
      <c r="BW6" s="969">
        <v>0</v>
      </c>
      <c r="BX6" s="38">
        <v>0</v>
      </c>
      <c r="BY6" s="969">
        <v>0</v>
      </c>
      <c r="BZ6" s="38">
        <v>0</v>
      </c>
      <c r="CA6" s="969">
        <v>0</v>
      </c>
      <c r="CB6" s="38">
        <v>0</v>
      </c>
      <c r="CC6" s="969">
        <v>0</v>
      </c>
      <c r="CD6" s="38">
        <v>0</v>
      </c>
      <c r="CE6" s="969">
        <v>0</v>
      </c>
      <c r="CF6" s="38">
        <v>0</v>
      </c>
      <c r="CG6" s="969">
        <v>0</v>
      </c>
      <c r="CH6" s="38">
        <v>0</v>
      </c>
      <c r="CI6" s="969">
        <v>0</v>
      </c>
      <c r="CJ6" s="38">
        <v>0</v>
      </c>
      <c r="CK6" s="969">
        <v>0</v>
      </c>
      <c r="CL6" s="38">
        <v>0</v>
      </c>
      <c r="CM6" s="969">
        <v>0</v>
      </c>
      <c r="CN6" s="38">
        <v>0</v>
      </c>
      <c r="CO6" s="969">
        <v>0</v>
      </c>
      <c r="CP6" s="38">
        <v>0</v>
      </c>
      <c r="CQ6" s="969">
        <v>0</v>
      </c>
      <c r="CR6" s="38">
        <v>0</v>
      </c>
      <c r="CS6" s="969">
        <v>0</v>
      </c>
      <c r="CT6" s="38">
        <v>0</v>
      </c>
      <c r="CU6" s="969">
        <v>0</v>
      </c>
      <c r="CV6" s="38">
        <v>0</v>
      </c>
      <c r="CW6" s="969">
        <v>0</v>
      </c>
      <c r="CX6" s="38">
        <v>0</v>
      </c>
      <c r="CY6" s="969">
        <v>0</v>
      </c>
      <c r="CZ6" s="38">
        <v>1</v>
      </c>
      <c r="DA6" s="969">
        <v>5</v>
      </c>
      <c r="DB6" s="38">
        <v>0</v>
      </c>
      <c r="DC6" s="969">
        <v>0</v>
      </c>
      <c r="DD6" s="38">
        <v>0</v>
      </c>
      <c r="DE6" s="969">
        <v>0</v>
      </c>
      <c r="DF6" s="38">
        <v>0</v>
      </c>
      <c r="DG6" s="969">
        <v>0</v>
      </c>
      <c r="DH6" s="38">
        <v>2</v>
      </c>
      <c r="DI6" s="969">
        <v>10</v>
      </c>
      <c r="DJ6" s="38">
        <v>0</v>
      </c>
      <c r="DK6" s="969">
        <v>0</v>
      </c>
      <c r="DL6" s="38">
        <v>0</v>
      </c>
      <c r="DM6" s="969">
        <v>0</v>
      </c>
      <c r="DN6" s="38">
        <v>1</v>
      </c>
      <c r="DO6" s="969">
        <v>10</v>
      </c>
      <c r="DP6" s="38">
        <v>0</v>
      </c>
      <c r="DQ6" s="969">
        <v>0</v>
      </c>
      <c r="DR6" s="38">
        <v>0</v>
      </c>
      <c r="DS6" s="969">
        <v>0</v>
      </c>
      <c r="DT6" s="38">
        <v>0</v>
      </c>
      <c r="DU6" s="969">
        <v>0</v>
      </c>
      <c r="DV6" s="38">
        <v>0</v>
      </c>
      <c r="DW6" s="969">
        <v>0</v>
      </c>
      <c r="DX6" s="38">
        <v>1</v>
      </c>
      <c r="DY6" s="969">
        <v>10</v>
      </c>
      <c r="DZ6" s="38">
        <v>0</v>
      </c>
      <c r="EA6" s="969">
        <v>0</v>
      </c>
      <c r="EB6" s="38">
        <v>0</v>
      </c>
      <c r="EC6" s="969">
        <v>0</v>
      </c>
      <c r="ED6" s="38">
        <v>0</v>
      </c>
      <c r="EE6" s="969">
        <v>0</v>
      </c>
      <c r="EF6" s="38">
        <v>0</v>
      </c>
      <c r="EG6" s="969">
        <v>0</v>
      </c>
      <c r="EH6" s="38">
        <v>1</v>
      </c>
      <c r="EI6" s="969">
        <v>10</v>
      </c>
      <c r="EJ6" s="38">
        <v>0</v>
      </c>
      <c r="EK6" s="969">
        <v>0</v>
      </c>
      <c r="EL6" s="38">
        <v>0</v>
      </c>
      <c r="EM6" s="969">
        <v>0</v>
      </c>
      <c r="EN6" s="38">
        <v>1</v>
      </c>
      <c r="EO6" s="969">
        <v>10</v>
      </c>
      <c r="EP6" s="38">
        <v>0</v>
      </c>
      <c r="EQ6" s="969">
        <v>0</v>
      </c>
      <c r="ER6" s="38">
        <v>0</v>
      </c>
      <c r="ES6" s="969">
        <v>0</v>
      </c>
      <c r="ET6" s="38">
        <v>0</v>
      </c>
      <c r="EU6" s="969">
        <v>0</v>
      </c>
      <c r="EV6" s="38">
        <v>0</v>
      </c>
      <c r="EW6" s="969">
        <v>0</v>
      </c>
      <c r="EX6" s="38">
        <v>0</v>
      </c>
      <c r="EY6" s="969">
        <v>0</v>
      </c>
      <c r="EZ6" s="38">
        <v>0</v>
      </c>
      <c r="FA6" s="969">
        <v>0</v>
      </c>
      <c r="FB6" s="38">
        <v>1</v>
      </c>
      <c r="FC6" s="969">
        <v>10</v>
      </c>
      <c r="FD6" s="38">
        <v>1</v>
      </c>
      <c r="FE6" s="969">
        <v>10</v>
      </c>
      <c r="FF6" s="38">
        <v>0</v>
      </c>
      <c r="FG6" s="969">
        <v>0</v>
      </c>
      <c r="FH6" s="38">
        <v>0</v>
      </c>
      <c r="FI6" s="969">
        <v>0</v>
      </c>
      <c r="FJ6" s="970">
        <v>0</v>
      </c>
      <c r="FK6" s="969">
        <v>0</v>
      </c>
      <c r="FL6" s="971">
        <v>0</v>
      </c>
      <c r="FM6" s="9">
        <v>0</v>
      </c>
      <c r="FN6" s="968">
        <v>0</v>
      </c>
      <c r="FO6" s="9">
        <v>0</v>
      </c>
      <c r="FP6" s="9">
        <v>0</v>
      </c>
      <c r="FQ6" s="9">
        <v>0</v>
      </c>
      <c r="FR6" s="9">
        <v>40</v>
      </c>
      <c r="FS6" s="9" t="s">
        <v>6956</v>
      </c>
      <c r="FT6" s="9" t="s">
        <v>6962</v>
      </c>
    </row>
    <row r="7" spans="1:176" ht="25.5">
      <c r="A7" s="972" t="s">
        <v>6963</v>
      </c>
      <c r="B7" s="973">
        <v>0</v>
      </c>
      <c r="C7" s="974">
        <f>B7*8</f>
        <v>0</v>
      </c>
      <c r="D7" s="973">
        <v>2</v>
      </c>
      <c r="E7" s="974">
        <f>D7*8</f>
        <v>16</v>
      </c>
      <c r="F7" s="973"/>
      <c r="G7" s="974">
        <f>F7*8</f>
        <v>0</v>
      </c>
      <c r="H7" s="973"/>
      <c r="I7" s="974">
        <f>H7*8</f>
        <v>0</v>
      </c>
      <c r="J7" s="973"/>
      <c r="K7" s="973"/>
      <c r="L7" s="973">
        <v>0</v>
      </c>
      <c r="M7" s="974">
        <f>L7*8</f>
        <v>0</v>
      </c>
      <c r="N7" s="973">
        <v>0</v>
      </c>
      <c r="O7" s="974">
        <f>N7*8</f>
        <v>0</v>
      </c>
      <c r="P7" s="973">
        <v>0</v>
      </c>
      <c r="Q7" s="974">
        <f>P7*8</f>
        <v>0</v>
      </c>
      <c r="R7" s="973">
        <v>1</v>
      </c>
      <c r="S7" s="974">
        <f>R7*8</f>
        <v>8</v>
      </c>
      <c r="T7" s="973">
        <v>3</v>
      </c>
      <c r="U7" s="974">
        <f>T7*8</f>
        <v>24</v>
      </c>
      <c r="V7" s="973"/>
      <c r="W7" s="974">
        <f>V7*8</f>
        <v>0</v>
      </c>
      <c r="X7" s="973">
        <v>1</v>
      </c>
      <c r="Y7" s="974">
        <f>X7*8</f>
        <v>8</v>
      </c>
      <c r="Z7" s="973"/>
      <c r="AA7" s="974">
        <f>Z7*8</f>
        <v>0</v>
      </c>
      <c r="AB7" s="973">
        <v>13</v>
      </c>
      <c r="AC7" s="974">
        <f>AB7*8</f>
        <v>104</v>
      </c>
      <c r="AD7" s="973">
        <v>1</v>
      </c>
      <c r="AE7" s="974">
        <f>7*AD7</f>
        <v>7</v>
      </c>
      <c r="AF7" s="973">
        <v>0</v>
      </c>
      <c r="AG7" s="974">
        <f>7*AF7</f>
        <v>0</v>
      </c>
      <c r="AH7" s="973">
        <v>0</v>
      </c>
      <c r="AI7" s="974">
        <f>7*AH7</f>
        <v>0</v>
      </c>
      <c r="AJ7" s="973">
        <v>0</v>
      </c>
      <c r="AK7" s="974">
        <f>7*AJ7</f>
        <v>0</v>
      </c>
      <c r="AL7" s="973">
        <v>0</v>
      </c>
      <c r="AM7" s="974">
        <f>7*AL7</f>
        <v>0</v>
      </c>
      <c r="AN7" s="973">
        <v>0</v>
      </c>
      <c r="AO7" s="974">
        <f>7*AN7</f>
        <v>0</v>
      </c>
      <c r="AP7" s="973">
        <v>0</v>
      </c>
      <c r="AQ7" s="974">
        <f>7*AP7</f>
        <v>0</v>
      </c>
      <c r="AR7" s="973">
        <v>0</v>
      </c>
      <c r="AS7" s="974">
        <f>7*AR7</f>
        <v>0</v>
      </c>
      <c r="AT7" s="973">
        <v>1</v>
      </c>
      <c r="AU7" s="974">
        <f>7*AT7</f>
        <v>7</v>
      </c>
      <c r="AV7" s="973">
        <v>6</v>
      </c>
      <c r="AW7" s="974">
        <f>7*AV7</f>
        <v>42</v>
      </c>
      <c r="AX7" s="973">
        <v>1</v>
      </c>
      <c r="AY7" s="974">
        <f>7*AX7</f>
        <v>7</v>
      </c>
      <c r="AZ7" s="973">
        <v>1</v>
      </c>
      <c r="BA7" s="974">
        <f>7*AZ7</f>
        <v>7</v>
      </c>
      <c r="BB7" s="973"/>
      <c r="BC7" s="974">
        <f>7*BB7</f>
        <v>0</v>
      </c>
      <c r="BD7" s="973"/>
      <c r="BE7" s="974">
        <f>7*BD7</f>
        <v>0</v>
      </c>
      <c r="BF7" s="973"/>
      <c r="BG7" s="974">
        <f>7*BF7</f>
        <v>0</v>
      </c>
      <c r="BH7" s="973">
        <v>2</v>
      </c>
      <c r="BI7" s="974">
        <f>7*BH7</f>
        <v>14</v>
      </c>
      <c r="BJ7" s="973">
        <v>1</v>
      </c>
      <c r="BK7" s="974">
        <f>7*BJ7</f>
        <v>7</v>
      </c>
      <c r="BL7" s="973">
        <v>0</v>
      </c>
      <c r="BM7" s="974">
        <f>7*BL7</f>
        <v>0</v>
      </c>
      <c r="BN7" s="973">
        <v>1</v>
      </c>
      <c r="BO7" s="974">
        <f>7*BN7</f>
        <v>7</v>
      </c>
      <c r="BP7" s="973">
        <v>0</v>
      </c>
      <c r="BQ7" s="974">
        <f>7*BP7</f>
        <v>0</v>
      </c>
      <c r="BR7" s="973">
        <v>1</v>
      </c>
      <c r="BS7" s="974">
        <f>7*BR7</f>
        <v>7</v>
      </c>
      <c r="BT7" s="973">
        <v>1</v>
      </c>
      <c r="BU7" s="974">
        <f>7*BT7</f>
        <v>7</v>
      </c>
      <c r="BV7" s="973">
        <v>2</v>
      </c>
      <c r="BW7" s="974">
        <f>7*BV7</f>
        <v>14</v>
      </c>
      <c r="BX7" s="973">
        <v>1</v>
      </c>
      <c r="BY7" s="974">
        <f>7*BX7</f>
        <v>7</v>
      </c>
      <c r="BZ7" s="973">
        <v>3</v>
      </c>
      <c r="CA7" s="974">
        <f>7*BZ7</f>
        <v>21</v>
      </c>
      <c r="CB7" s="973">
        <v>3</v>
      </c>
      <c r="CC7" s="974">
        <f>7*CB7</f>
        <v>21</v>
      </c>
      <c r="CD7" s="973">
        <v>0</v>
      </c>
      <c r="CE7" s="974">
        <f>7*CD7</f>
        <v>0</v>
      </c>
      <c r="CF7" s="973">
        <v>0</v>
      </c>
      <c r="CG7" s="974">
        <f>7*CF7</f>
        <v>0</v>
      </c>
      <c r="CH7" s="973">
        <v>0</v>
      </c>
      <c r="CI7" s="974">
        <f>7*CH7</f>
        <v>0</v>
      </c>
      <c r="CJ7" s="973">
        <v>0</v>
      </c>
      <c r="CK7" s="974">
        <f>7*CJ7</f>
        <v>0</v>
      </c>
      <c r="CL7" s="973">
        <v>1</v>
      </c>
      <c r="CM7" s="974">
        <f>7*CL7</f>
        <v>7</v>
      </c>
      <c r="CN7" s="973">
        <v>2</v>
      </c>
      <c r="CO7" s="974">
        <f>7*CN7</f>
        <v>14</v>
      </c>
      <c r="CP7" s="973">
        <v>1</v>
      </c>
      <c r="CQ7" s="974">
        <v>7</v>
      </c>
      <c r="CR7" s="973">
        <v>2</v>
      </c>
      <c r="CS7" s="974">
        <v>14</v>
      </c>
      <c r="CT7" s="973">
        <v>0</v>
      </c>
      <c r="CU7" s="974">
        <v>0</v>
      </c>
      <c r="CV7" s="973">
        <v>1</v>
      </c>
      <c r="CW7" s="974">
        <v>7</v>
      </c>
      <c r="CX7" s="973">
        <v>1</v>
      </c>
      <c r="CY7" s="974">
        <v>7</v>
      </c>
      <c r="CZ7" s="973">
        <v>0</v>
      </c>
      <c r="DA7" s="974">
        <v>0</v>
      </c>
      <c r="DB7" s="973">
        <v>0</v>
      </c>
      <c r="DC7" s="974">
        <v>0</v>
      </c>
      <c r="DD7" s="973">
        <v>1</v>
      </c>
      <c r="DE7" s="974">
        <v>7</v>
      </c>
      <c r="DF7" s="973">
        <v>0</v>
      </c>
      <c r="DG7" s="974">
        <v>0</v>
      </c>
      <c r="DH7" s="973">
        <v>2</v>
      </c>
      <c r="DI7" s="974">
        <v>14</v>
      </c>
      <c r="DJ7" s="973">
        <v>0</v>
      </c>
      <c r="DK7" s="974">
        <v>0</v>
      </c>
      <c r="DL7" s="973">
        <v>5</v>
      </c>
      <c r="DM7" s="974">
        <v>35</v>
      </c>
      <c r="DN7" s="973">
        <v>2</v>
      </c>
      <c r="DO7" s="974">
        <v>14</v>
      </c>
      <c r="DP7" s="973">
        <v>2</v>
      </c>
      <c r="DQ7" s="974">
        <v>14</v>
      </c>
      <c r="DR7" s="973">
        <v>1</v>
      </c>
      <c r="DS7" s="974">
        <v>7</v>
      </c>
      <c r="DT7" s="973">
        <v>5</v>
      </c>
      <c r="DU7" s="974">
        <v>35</v>
      </c>
      <c r="DV7" s="973">
        <v>2</v>
      </c>
      <c r="DW7" s="974">
        <v>14</v>
      </c>
      <c r="DX7" s="973">
        <v>1</v>
      </c>
      <c r="DY7" s="974">
        <v>7</v>
      </c>
      <c r="DZ7" s="973">
        <v>5</v>
      </c>
      <c r="EA7" s="974">
        <v>35</v>
      </c>
      <c r="EB7" s="973">
        <v>1</v>
      </c>
      <c r="EC7" s="974">
        <v>7</v>
      </c>
      <c r="ED7" s="973">
        <v>2</v>
      </c>
      <c r="EE7" s="974">
        <v>14</v>
      </c>
      <c r="EF7" s="973">
        <v>4</v>
      </c>
      <c r="EG7" s="974">
        <v>28</v>
      </c>
      <c r="EH7" s="973">
        <v>7</v>
      </c>
      <c r="EI7" s="974">
        <v>49</v>
      </c>
      <c r="EJ7" s="973">
        <v>3</v>
      </c>
      <c r="EK7" s="974">
        <v>21</v>
      </c>
      <c r="EL7" s="973">
        <v>4</v>
      </c>
      <c r="EM7" s="974">
        <v>28</v>
      </c>
      <c r="EN7" s="973">
        <v>1</v>
      </c>
      <c r="EO7" s="974">
        <v>10</v>
      </c>
      <c r="EP7" s="973">
        <v>0</v>
      </c>
      <c r="EQ7" s="974">
        <v>0</v>
      </c>
      <c r="ER7" s="973">
        <v>0</v>
      </c>
      <c r="ES7" s="974">
        <v>0</v>
      </c>
      <c r="ET7" s="973">
        <v>0</v>
      </c>
      <c r="EU7" s="974">
        <v>0</v>
      </c>
      <c r="EV7" s="973">
        <v>0</v>
      </c>
      <c r="EW7" s="974">
        <v>0</v>
      </c>
      <c r="EX7" s="973">
        <v>0</v>
      </c>
      <c r="EY7" s="974">
        <v>0</v>
      </c>
      <c r="EZ7" s="973">
        <v>0</v>
      </c>
      <c r="FA7" s="974">
        <v>0</v>
      </c>
      <c r="FB7" s="973">
        <v>0</v>
      </c>
      <c r="FC7" s="974">
        <v>0</v>
      </c>
      <c r="FD7" s="973">
        <v>0</v>
      </c>
      <c r="FE7" s="974">
        <v>0</v>
      </c>
      <c r="FF7" s="973">
        <v>0</v>
      </c>
      <c r="FG7" s="974">
        <v>0</v>
      </c>
      <c r="FH7" s="973">
        <v>0</v>
      </c>
      <c r="FI7" s="974">
        <v>0</v>
      </c>
      <c r="FJ7" s="975">
        <v>0</v>
      </c>
      <c r="FK7" s="974">
        <v>0</v>
      </c>
      <c r="FL7" s="971">
        <v>0</v>
      </c>
      <c r="FM7" s="976">
        <v>0</v>
      </c>
      <c r="FN7" s="968">
        <v>0</v>
      </c>
      <c r="FO7" s="976">
        <v>0</v>
      </c>
      <c r="FP7" s="976">
        <v>0</v>
      </c>
      <c r="FQ7" s="976">
        <v>0</v>
      </c>
      <c r="FR7" s="976">
        <v>150</v>
      </c>
      <c r="FS7" s="976"/>
      <c r="FT7" s="976" t="s">
        <v>6963</v>
      </c>
    </row>
    <row r="8" spans="1:176">
      <c r="A8" s="38" t="s">
        <v>6964</v>
      </c>
      <c r="B8" s="38"/>
      <c r="C8" s="969">
        <f>10*B8</f>
        <v>0</v>
      </c>
      <c r="D8" s="38"/>
      <c r="E8" s="969">
        <f>10*D8</f>
        <v>0</v>
      </c>
      <c r="F8" s="38"/>
      <c r="G8" s="969">
        <f>10*F8</f>
        <v>0</v>
      </c>
      <c r="H8" s="38"/>
      <c r="I8" s="969">
        <f>10*H8</f>
        <v>0</v>
      </c>
      <c r="J8" s="38"/>
      <c r="K8" s="38"/>
      <c r="L8" s="38"/>
      <c r="M8" s="969">
        <f>10*L8</f>
        <v>0</v>
      </c>
      <c r="N8" s="38"/>
      <c r="O8" s="969">
        <f>10*N8</f>
        <v>0</v>
      </c>
      <c r="P8" s="38"/>
      <c r="Q8" s="969">
        <f>10*P8</f>
        <v>0</v>
      </c>
      <c r="R8" s="38"/>
      <c r="S8" s="969">
        <f>10*R8</f>
        <v>0</v>
      </c>
      <c r="T8" s="38"/>
      <c r="U8" s="969">
        <f>10*T8</f>
        <v>0</v>
      </c>
      <c r="V8" s="38"/>
      <c r="W8" s="969">
        <f>10*V8</f>
        <v>0</v>
      </c>
      <c r="X8" s="38"/>
      <c r="Y8" s="969">
        <f>10*X8</f>
        <v>0</v>
      </c>
      <c r="Z8" s="38"/>
      <c r="AA8" s="969">
        <f>10*Z8</f>
        <v>0</v>
      </c>
      <c r="AB8" s="38"/>
      <c r="AC8" s="969">
        <f>10*AB8</f>
        <v>0</v>
      </c>
      <c r="AD8" s="38"/>
      <c r="AE8" s="969">
        <f>10*AD8</f>
        <v>0</v>
      </c>
      <c r="AF8" s="38"/>
      <c r="AG8" s="969">
        <f>10*AF8</f>
        <v>0</v>
      </c>
      <c r="AH8" s="38"/>
      <c r="AI8" s="969">
        <f>10*AH8</f>
        <v>0</v>
      </c>
      <c r="AJ8" s="38"/>
      <c r="AK8" s="969">
        <f>10*AJ8</f>
        <v>0</v>
      </c>
      <c r="AL8" s="38"/>
      <c r="AM8" s="969">
        <f>10*AL8</f>
        <v>0</v>
      </c>
      <c r="AN8" s="38"/>
      <c r="AO8" s="969">
        <f>10*AN8</f>
        <v>0</v>
      </c>
      <c r="AP8" s="38"/>
      <c r="AQ8" s="969">
        <f>10*AP8</f>
        <v>0</v>
      </c>
      <c r="AR8" s="38"/>
      <c r="AS8" s="969">
        <f>10*AR8</f>
        <v>0</v>
      </c>
      <c r="AT8" s="38"/>
      <c r="AU8" s="969">
        <f>10*AT8</f>
        <v>0</v>
      </c>
      <c r="AV8" s="38"/>
      <c r="AW8" s="969">
        <f>10*AV8</f>
        <v>0</v>
      </c>
      <c r="AX8" s="38"/>
      <c r="AY8" s="969">
        <f>10*AX8</f>
        <v>0</v>
      </c>
      <c r="AZ8" s="38"/>
      <c r="BA8" s="969">
        <f>10*AZ8</f>
        <v>0</v>
      </c>
      <c r="BB8" s="38">
        <v>1</v>
      </c>
      <c r="BC8" s="969">
        <f>10*BB8</f>
        <v>10</v>
      </c>
      <c r="BD8" s="38"/>
      <c r="BE8" s="969">
        <f>10*BD8</f>
        <v>0</v>
      </c>
      <c r="BF8" s="38"/>
      <c r="BG8" s="969">
        <f>10*BF8</f>
        <v>0</v>
      </c>
      <c r="BH8" s="38"/>
      <c r="BI8" s="969">
        <f>10*BH8</f>
        <v>0</v>
      </c>
      <c r="BJ8" s="38">
        <v>0</v>
      </c>
      <c r="BK8" s="969">
        <f>10*BJ8</f>
        <v>0</v>
      </c>
      <c r="BL8" s="38">
        <v>1</v>
      </c>
      <c r="BM8" s="969">
        <f>10*BL8</f>
        <v>10</v>
      </c>
      <c r="BN8" s="38">
        <v>0</v>
      </c>
      <c r="BO8" s="969">
        <f>10*BN8</f>
        <v>0</v>
      </c>
      <c r="BP8" s="38">
        <v>0</v>
      </c>
      <c r="BQ8" s="969">
        <f>10*BP8</f>
        <v>0</v>
      </c>
      <c r="BR8" s="38">
        <v>0</v>
      </c>
      <c r="BS8" s="969">
        <f>10*BR8</f>
        <v>0</v>
      </c>
      <c r="BT8" s="38">
        <v>0</v>
      </c>
      <c r="BU8" s="969">
        <f>10*BT8</f>
        <v>0</v>
      </c>
      <c r="BV8" s="38">
        <v>3</v>
      </c>
      <c r="BW8" s="969">
        <f>10*BV8</f>
        <v>30</v>
      </c>
      <c r="BX8" s="38">
        <v>1</v>
      </c>
      <c r="BY8" s="969">
        <f>10*BX8</f>
        <v>10</v>
      </c>
      <c r="BZ8" s="38">
        <v>1</v>
      </c>
      <c r="CA8" s="969">
        <f>10*BZ8</f>
        <v>10</v>
      </c>
      <c r="CB8" s="38">
        <v>0</v>
      </c>
      <c r="CC8" s="969">
        <f>10*CB8</f>
        <v>0</v>
      </c>
      <c r="CD8" s="38">
        <v>0</v>
      </c>
      <c r="CE8" s="969">
        <f>10*CD8</f>
        <v>0</v>
      </c>
      <c r="CF8" s="38">
        <v>1</v>
      </c>
      <c r="CG8" s="969">
        <f>10*CF8</f>
        <v>10</v>
      </c>
      <c r="CH8" s="38">
        <v>3</v>
      </c>
      <c r="CI8" s="969">
        <f>10*CH8</f>
        <v>30</v>
      </c>
      <c r="CJ8" s="38">
        <v>1</v>
      </c>
      <c r="CK8" s="969">
        <f>10*CJ8</f>
        <v>10</v>
      </c>
      <c r="CL8" s="38">
        <v>1</v>
      </c>
      <c r="CM8" s="969">
        <f>10*CL8</f>
        <v>10</v>
      </c>
      <c r="CN8" s="38">
        <v>0</v>
      </c>
      <c r="CO8" s="969">
        <v>0</v>
      </c>
      <c r="CP8" s="38">
        <v>1</v>
      </c>
      <c r="CQ8" s="969">
        <v>10</v>
      </c>
      <c r="CR8" s="38">
        <v>0</v>
      </c>
      <c r="CS8" s="969">
        <v>0</v>
      </c>
      <c r="CT8" s="38">
        <v>0</v>
      </c>
      <c r="CU8" s="969">
        <v>0</v>
      </c>
      <c r="CV8" s="38">
        <v>1</v>
      </c>
      <c r="CW8" s="969">
        <v>20</v>
      </c>
      <c r="CX8" s="38">
        <v>0</v>
      </c>
      <c r="CY8" s="969">
        <v>0</v>
      </c>
      <c r="CZ8" s="38">
        <v>0</v>
      </c>
      <c r="DA8" s="969">
        <v>0</v>
      </c>
      <c r="DB8" s="38">
        <v>0</v>
      </c>
      <c r="DC8" s="969">
        <v>0</v>
      </c>
      <c r="DD8" s="38">
        <v>2</v>
      </c>
      <c r="DE8" s="969">
        <v>40</v>
      </c>
      <c r="DF8" s="38">
        <v>2</v>
      </c>
      <c r="DG8" s="969">
        <v>40</v>
      </c>
      <c r="DH8" s="38">
        <v>0</v>
      </c>
      <c r="DI8" s="969">
        <v>0</v>
      </c>
      <c r="DJ8" s="38">
        <v>0</v>
      </c>
      <c r="DK8" s="969">
        <v>0</v>
      </c>
      <c r="DL8" s="38">
        <v>0</v>
      </c>
      <c r="DM8" s="969">
        <v>0</v>
      </c>
      <c r="DN8" s="38">
        <v>0</v>
      </c>
      <c r="DO8" s="969">
        <v>0</v>
      </c>
      <c r="DP8" s="38">
        <v>0</v>
      </c>
      <c r="DQ8" s="969">
        <v>0</v>
      </c>
      <c r="DR8" s="38">
        <v>0</v>
      </c>
      <c r="DS8" s="969">
        <v>0</v>
      </c>
      <c r="DT8" s="38">
        <v>0</v>
      </c>
      <c r="DU8" s="969">
        <v>0</v>
      </c>
      <c r="DV8" s="38">
        <v>2</v>
      </c>
      <c r="DW8" s="969">
        <v>40</v>
      </c>
      <c r="DX8" s="38">
        <v>0</v>
      </c>
      <c r="DY8" s="969">
        <v>0</v>
      </c>
      <c r="DZ8" s="38">
        <v>0</v>
      </c>
      <c r="EA8" s="969">
        <v>0</v>
      </c>
      <c r="EB8" s="38">
        <v>1</v>
      </c>
      <c r="EC8" s="969">
        <v>20</v>
      </c>
      <c r="ED8" s="38">
        <v>0</v>
      </c>
      <c r="EE8" s="969">
        <v>0</v>
      </c>
      <c r="EF8" s="38">
        <v>1</v>
      </c>
      <c r="EG8" s="969">
        <v>20</v>
      </c>
      <c r="EH8" s="38">
        <v>2</v>
      </c>
      <c r="EI8" s="969">
        <v>40</v>
      </c>
      <c r="EJ8" s="38">
        <v>0</v>
      </c>
      <c r="EK8" s="969">
        <v>0</v>
      </c>
      <c r="EL8" s="38">
        <v>0</v>
      </c>
      <c r="EM8" s="969">
        <v>0</v>
      </c>
      <c r="EN8" s="38">
        <v>0</v>
      </c>
      <c r="EO8" s="969">
        <v>0</v>
      </c>
      <c r="EP8" s="38">
        <v>0</v>
      </c>
      <c r="EQ8" s="969">
        <v>0</v>
      </c>
      <c r="ER8" s="38">
        <v>1</v>
      </c>
      <c r="ES8" s="969">
        <v>20</v>
      </c>
      <c r="ET8" s="38">
        <v>1</v>
      </c>
      <c r="EU8" s="969">
        <v>20</v>
      </c>
      <c r="EV8" s="38">
        <v>1</v>
      </c>
      <c r="EW8" s="969">
        <v>20</v>
      </c>
      <c r="EX8" s="38"/>
      <c r="EY8" s="969">
        <v>0</v>
      </c>
      <c r="EZ8" s="38"/>
      <c r="FA8" s="969">
        <v>0</v>
      </c>
      <c r="FB8" s="38"/>
      <c r="FC8" s="969">
        <v>0</v>
      </c>
      <c r="FD8" s="38"/>
      <c r="FE8" s="969">
        <v>0</v>
      </c>
      <c r="FF8" s="38"/>
      <c r="FG8" s="969">
        <v>0</v>
      </c>
      <c r="FH8" s="38"/>
      <c r="FI8" s="969">
        <v>0</v>
      </c>
      <c r="FJ8" s="970"/>
      <c r="FK8" s="969">
        <v>0</v>
      </c>
      <c r="FL8" s="971"/>
      <c r="FM8" s="9">
        <v>0</v>
      </c>
      <c r="FN8" s="968"/>
      <c r="FO8" s="9">
        <v>0</v>
      </c>
      <c r="FP8" s="9"/>
      <c r="FQ8" s="9">
        <v>0</v>
      </c>
      <c r="FR8" s="9">
        <v>120</v>
      </c>
      <c r="FS8" s="9" t="s">
        <v>6956</v>
      </c>
      <c r="FT8" s="9" t="s">
        <v>6964</v>
      </c>
    </row>
    <row r="9" spans="1:176">
      <c r="A9" s="972" t="s">
        <v>6965</v>
      </c>
      <c r="B9" s="973">
        <v>1</v>
      </c>
      <c r="C9" s="974">
        <f>B9*5</f>
        <v>5</v>
      </c>
      <c r="D9" s="973">
        <v>0</v>
      </c>
      <c r="E9" s="974">
        <f>D9*5</f>
        <v>0</v>
      </c>
      <c r="F9" s="973">
        <v>0</v>
      </c>
      <c r="G9" s="974">
        <f>F9*5</f>
        <v>0</v>
      </c>
      <c r="H9" s="973">
        <v>1</v>
      </c>
      <c r="I9" s="974">
        <f>H9*5</f>
        <v>5</v>
      </c>
      <c r="J9" s="973"/>
      <c r="K9" s="973"/>
      <c r="L9" s="973"/>
      <c r="M9" s="974"/>
      <c r="N9" s="973"/>
      <c r="O9" s="974"/>
      <c r="P9" s="973"/>
      <c r="Q9" s="974"/>
      <c r="R9" s="973"/>
      <c r="S9" s="974"/>
      <c r="T9" s="973"/>
      <c r="U9" s="974"/>
      <c r="V9" s="973"/>
      <c r="W9" s="974"/>
      <c r="X9" s="973"/>
      <c r="Y9" s="974"/>
      <c r="Z9" s="973"/>
      <c r="AA9" s="974"/>
      <c r="AB9" s="973"/>
      <c r="AC9" s="974"/>
      <c r="AD9" s="973"/>
      <c r="AE9" s="974"/>
      <c r="AF9" s="973"/>
      <c r="AG9" s="974"/>
      <c r="AH9" s="973"/>
      <c r="AI9" s="974"/>
      <c r="AJ9" s="973"/>
      <c r="AK9" s="974"/>
      <c r="AL9" s="973"/>
      <c r="AM9" s="974"/>
      <c r="AN9" s="973"/>
      <c r="AO9" s="974"/>
      <c r="AP9" s="973"/>
      <c r="AQ9" s="974"/>
      <c r="AR9" s="973"/>
      <c r="AS9" s="974"/>
      <c r="AT9" s="973"/>
      <c r="AU9" s="974"/>
      <c r="AV9" s="973"/>
      <c r="AW9" s="974"/>
      <c r="AX9" s="973"/>
      <c r="AY9" s="974"/>
      <c r="AZ9" s="973"/>
      <c r="BA9" s="974"/>
      <c r="BB9" s="973"/>
      <c r="BC9" s="974"/>
      <c r="BD9" s="973"/>
      <c r="BE9" s="974"/>
      <c r="BF9" s="973"/>
      <c r="BG9" s="974"/>
      <c r="BH9" s="973"/>
      <c r="BI9" s="974"/>
      <c r="BJ9" s="973"/>
      <c r="BK9" s="974"/>
      <c r="BL9" s="973"/>
      <c r="BM9" s="974"/>
      <c r="BN9" s="973"/>
      <c r="BO9" s="974"/>
      <c r="BP9" s="973"/>
      <c r="BQ9" s="974"/>
      <c r="BR9" s="973"/>
      <c r="BS9" s="974"/>
      <c r="BT9" s="973"/>
      <c r="BU9" s="974"/>
      <c r="BV9" s="973"/>
      <c r="BW9" s="974"/>
      <c r="BX9" s="973"/>
      <c r="BY9" s="974"/>
      <c r="BZ9" s="973"/>
      <c r="CA9" s="974"/>
      <c r="CB9" s="973"/>
      <c r="CC9" s="974"/>
      <c r="CD9" s="973"/>
      <c r="CE9" s="974"/>
      <c r="CF9" s="973"/>
      <c r="CG9" s="974"/>
      <c r="CH9" s="973"/>
      <c r="CI9" s="974"/>
      <c r="CJ9" s="973"/>
      <c r="CK9" s="974"/>
      <c r="CL9" s="973"/>
      <c r="CM9" s="974"/>
      <c r="CN9" s="973"/>
      <c r="CO9" s="974"/>
      <c r="CP9" s="973"/>
      <c r="CQ9" s="974"/>
      <c r="CR9" s="973"/>
      <c r="CS9" s="974"/>
      <c r="CT9" s="973"/>
      <c r="CU9" s="974"/>
      <c r="CV9" s="973"/>
      <c r="CW9" s="974"/>
      <c r="CX9" s="973"/>
      <c r="CY9" s="974"/>
      <c r="CZ9" s="973"/>
      <c r="DA9" s="974"/>
      <c r="DB9" s="973"/>
      <c r="DC9" s="974"/>
      <c r="DD9" s="973"/>
      <c r="DE9" s="974"/>
      <c r="DF9" s="973"/>
      <c r="DG9" s="974"/>
      <c r="DH9" s="973"/>
      <c r="DI9" s="974"/>
      <c r="DJ9" s="973"/>
      <c r="DK9" s="974"/>
      <c r="DL9" s="973"/>
      <c r="DM9" s="974"/>
      <c r="DN9" s="973"/>
      <c r="DO9" s="974"/>
      <c r="DP9" s="973"/>
      <c r="DQ9" s="974"/>
      <c r="DR9" s="973"/>
      <c r="DS9" s="974"/>
      <c r="DT9" s="973"/>
      <c r="DU9" s="974"/>
      <c r="DV9" s="973"/>
      <c r="DW9" s="974"/>
      <c r="DX9" s="973"/>
      <c r="DY9" s="974"/>
      <c r="DZ9" s="973"/>
      <c r="EA9" s="974"/>
      <c r="EB9" s="973"/>
      <c r="EC9" s="974"/>
      <c r="ED9" s="973"/>
      <c r="EE9" s="974"/>
      <c r="EF9" s="973"/>
      <c r="EG9" s="974"/>
      <c r="EH9" s="973"/>
      <c r="EI9" s="974"/>
      <c r="EJ9" s="973"/>
      <c r="EK9" s="974"/>
      <c r="EL9" s="973"/>
      <c r="EM9" s="974"/>
      <c r="EN9" s="973"/>
      <c r="EO9" s="974"/>
      <c r="EP9" s="973"/>
      <c r="EQ9" s="974"/>
      <c r="ER9" s="973"/>
      <c r="ES9" s="974"/>
      <c r="ET9" s="973"/>
      <c r="EU9" s="974"/>
      <c r="EV9" s="973"/>
      <c r="EW9" s="974"/>
      <c r="EX9" s="973"/>
      <c r="EY9" s="974"/>
      <c r="EZ9" s="973"/>
      <c r="FA9" s="974"/>
      <c r="FB9" s="973"/>
      <c r="FC9" s="974"/>
      <c r="FD9" s="973"/>
      <c r="FE9" s="974"/>
      <c r="FF9" s="973"/>
      <c r="FG9" s="974"/>
      <c r="FH9" s="973"/>
      <c r="FI9" s="974"/>
      <c r="FJ9" s="975"/>
      <c r="FK9" s="974"/>
      <c r="FL9" s="971"/>
      <c r="FM9" s="976"/>
      <c r="FN9" s="968"/>
      <c r="FO9" s="976"/>
      <c r="FP9" s="976"/>
      <c r="FQ9" s="976"/>
      <c r="FR9" s="976"/>
      <c r="FS9" s="976"/>
      <c r="FT9" s="976"/>
    </row>
    <row r="10" spans="1:176">
      <c r="A10" s="38" t="s">
        <v>6966</v>
      </c>
      <c r="B10" s="38">
        <v>0</v>
      </c>
      <c r="C10" s="969">
        <f>10*B10</f>
        <v>0</v>
      </c>
      <c r="D10" s="38">
        <v>1</v>
      </c>
      <c r="E10" s="969">
        <f>10*D10</f>
        <v>10</v>
      </c>
      <c r="F10" s="38">
        <v>0</v>
      </c>
      <c r="G10" s="969">
        <f>10*F10</f>
        <v>0</v>
      </c>
      <c r="H10" s="38">
        <v>3</v>
      </c>
      <c r="I10" s="969">
        <f>10*H10</f>
        <v>30</v>
      </c>
      <c r="J10" s="38"/>
      <c r="K10" s="38"/>
      <c r="L10" s="38">
        <v>0</v>
      </c>
      <c r="M10" s="969">
        <f>10*L10</f>
        <v>0</v>
      </c>
      <c r="N10" s="38">
        <v>4</v>
      </c>
      <c r="O10" s="969">
        <f>10*N10</f>
        <v>40</v>
      </c>
      <c r="P10" s="38"/>
      <c r="Q10" s="969">
        <f>10*P10</f>
        <v>0</v>
      </c>
      <c r="R10" s="38"/>
      <c r="S10" s="969">
        <f>10*R10</f>
        <v>0</v>
      </c>
      <c r="T10" s="38">
        <v>8</v>
      </c>
      <c r="U10" s="969">
        <f>10*T10</f>
        <v>80</v>
      </c>
      <c r="V10" s="38"/>
      <c r="W10" s="969">
        <f>10*V10</f>
        <v>0</v>
      </c>
      <c r="X10" s="38">
        <v>3</v>
      </c>
      <c r="Y10" s="969">
        <f>10*X10</f>
        <v>30</v>
      </c>
      <c r="Z10" s="38">
        <v>5</v>
      </c>
      <c r="AA10" s="969">
        <f>10*Z10</f>
        <v>50</v>
      </c>
      <c r="AB10" s="38">
        <v>1</v>
      </c>
      <c r="AC10" s="969">
        <f>10*AB10</f>
        <v>10</v>
      </c>
      <c r="AD10" s="38">
        <v>3</v>
      </c>
      <c r="AE10" s="969">
        <f>10*AD10</f>
        <v>30</v>
      </c>
      <c r="AF10" s="38">
        <v>2</v>
      </c>
      <c r="AG10" s="969">
        <f>10*AF10</f>
        <v>20</v>
      </c>
      <c r="AH10" s="38">
        <v>3</v>
      </c>
      <c r="AI10" s="969">
        <f>10*AH10</f>
        <v>30</v>
      </c>
      <c r="AJ10" s="38">
        <v>2</v>
      </c>
      <c r="AK10" s="969">
        <f>10*AJ10</f>
        <v>20</v>
      </c>
      <c r="AL10" s="38">
        <v>6</v>
      </c>
      <c r="AM10" s="969">
        <f>10*AL10</f>
        <v>60</v>
      </c>
      <c r="AN10" s="38">
        <v>0</v>
      </c>
      <c r="AO10" s="969">
        <f>10*AN10</f>
        <v>0</v>
      </c>
      <c r="AP10" s="38">
        <v>1</v>
      </c>
      <c r="AQ10" s="969">
        <f>10*AP10</f>
        <v>10</v>
      </c>
      <c r="AR10" s="38">
        <v>3</v>
      </c>
      <c r="AS10" s="969">
        <f>10*AR10</f>
        <v>30</v>
      </c>
      <c r="AT10" s="38">
        <v>0</v>
      </c>
      <c r="AU10" s="969">
        <f>10*AT10</f>
        <v>0</v>
      </c>
      <c r="AV10" s="38">
        <v>7</v>
      </c>
      <c r="AW10" s="969">
        <f>10*AV10</f>
        <v>70</v>
      </c>
      <c r="AX10" s="38">
        <v>2</v>
      </c>
      <c r="AY10" s="969">
        <f>10*AX10</f>
        <v>20</v>
      </c>
      <c r="AZ10" s="38"/>
      <c r="BA10" s="969">
        <f>10*AZ10</f>
        <v>0</v>
      </c>
      <c r="BB10" s="38">
        <v>5</v>
      </c>
      <c r="BC10" s="969">
        <f>10*BB10</f>
        <v>50</v>
      </c>
      <c r="BD10" s="38">
        <v>1</v>
      </c>
      <c r="BE10" s="969">
        <f>10*BD10</f>
        <v>10</v>
      </c>
      <c r="BF10" s="38">
        <v>1</v>
      </c>
      <c r="BG10" s="969">
        <f>10*BF10</f>
        <v>10</v>
      </c>
      <c r="BH10" s="38"/>
      <c r="BI10" s="969">
        <f>10*BH10</f>
        <v>0</v>
      </c>
      <c r="BJ10" s="38">
        <v>1</v>
      </c>
      <c r="BK10" s="969">
        <f>10*BJ10</f>
        <v>10</v>
      </c>
      <c r="BL10" s="38">
        <v>0</v>
      </c>
      <c r="BM10" s="969">
        <f>10*BL10</f>
        <v>0</v>
      </c>
      <c r="BN10" s="38">
        <v>0</v>
      </c>
      <c r="BO10" s="969">
        <f>10*BN10</f>
        <v>0</v>
      </c>
      <c r="BP10" s="38">
        <v>6</v>
      </c>
      <c r="BQ10" s="969">
        <f>10*BP10</f>
        <v>60</v>
      </c>
      <c r="BR10" s="38">
        <v>1</v>
      </c>
      <c r="BS10" s="969">
        <f>10*BR10</f>
        <v>10</v>
      </c>
      <c r="BT10" s="38">
        <v>4</v>
      </c>
      <c r="BU10" s="969">
        <f>10*BT10</f>
        <v>40</v>
      </c>
      <c r="BV10" s="38">
        <v>3</v>
      </c>
      <c r="BW10" s="969">
        <f>10*BV10</f>
        <v>30</v>
      </c>
      <c r="BX10" s="38">
        <v>2</v>
      </c>
      <c r="BY10" s="969">
        <f>10*BX10</f>
        <v>20</v>
      </c>
      <c r="BZ10" s="38">
        <v>3</v>
      </c>
      <c r="CA10" s="969">
        <f>10*BZ10</f>
        <v>30</v>
      </c>
      <c r="CB10" s="38">
        <v>1</v>
      </c>
      <c r="CC10" s="969">
        <f>10*CB10</f>
        <v>10</v>
      </c>
      <c r="CD10" s="38">
        <v>1</v>
      </c>
      <c r="CE10" s="969">
        <f>10*CD10</f>
        <v>10</v>
      </c>
      <c r="CF10" s="38">
        <v>3</v>
      </c>
      <c r="CG10" s="969">
        <f>10*CF10</f>
        <v>30</v>
      </c>
      <c r="CH10" s="38">
        <v>5</v>
      </c>
      <c r="CI10" s="969">
        <f>10*CH10</f>
        <v>50</v>
      </c>
      <c r="CJ10" s="38">
        <v>2</v>
      </c>
      <c r="CK10" s="969">
        <f>10*CJ10</f>
        <v>20</v>
      </c>
      <c r="CL10" s="38">
        <v>12</v>
      </c>
      <c r="CM10" s="969">
        <f>10*CL10</f>
        <v>120</v>
      </c>
      <c r="CN10" s="38">
        <v>3</v>
      </c>
      <c r="CO10" s="969">
        <f>10*CN10</f>
        <v>30</v>
      </c>
      <c r="CP10" s="38">
        <v>6</v>
      </c>
      <c r="CQ10" s="969">
        <v>60</v>
      </c>
      <c r="CR10" s="38">
        <v>1</v>
      </c>
      <c r="CS10" s="969">
        <v>10</v>
      </c>
      <c r="CT10" s="38">
        <v>1</v>
      </c>
      <c r="CU10" s="969">
        <v>10</v>
      </c>
      <c r="CV10" s="38">
        <v>0</v>
      </c>
      <c r="CW10" s="969">
        <v>0</v>
      </c>
      <c r="CX10" s="38">
        <v>2</v>
      </c>
      <c r="CY10" s="969">
        <v>20</v>
      </c>
      <c r="CZ10" s="38">
        <v>0</v>
      </c>
      <c r="DA10" s="969">
        <v>0</v>
      </c>
      <c r="DB10" s="38">
        <v>3</v>
      </c>
      <c r="DC10" s="969">
        <v>30</v>
      </c>
      <c r="DD10" s="38">
        <v>0</v>
      </c>
      <c r="DE10" s="969">
        <v>0</v>
      </c>
      <c r="DF10" s="38">
        <v>1</v>
      </c>
      <c r="DG10" s="969">
        <v>10</v>
      </c>
      <c r="DH10" s="38">
        <v>0</v>
      </c>
      <c r="DI10" s="969">
        <v>0</v>
      </c>
      <c r="DJ10" s="38">
        <v>0</v>
      </c>
      <c r="DK10" s="969">
        <v>0</v>
      </c>
      <c r="DL10" s="38">
        <v>6</v>
      </c>
      <c r="DM10" s="969">
        <v>60</v>
      </c>
      <c r="DN10" s="38">
        <v>10</v>
      </c>
      <c r="DO10" s="969">
        <v>100</v>
      </c>
      <c r="DP10" s="38">
        <v>3</v>
      </c>
      <c r="DQ10" s="969">
        <v>30</v>
      </c>
      <c r="DR10" s="38">
        <v>1</v>
      </c>
      <c r="DS10" s="969">
        <v>10</v>
      </c>
      <c r="DT10" s="38">
        <v>4</v>
      </c>
      <c r="DU10" s="969">
        <v>40</v>
      </c>
      <c r="DV10" s="38">
        <v>6</v>
      </c>
      <c r="DW10" s="969">
        <v>60</v>
      </c>
      <c r="DX10" s="38">
        <v>9</v>
      </c>
      <c r="DY10" s="969">
        <v>90</v>
      </c>
      <c r="DZ10" s="38">
        <v>6</v>
      </c>
      <c r="EA10" s="969">
        <v>60</v>
      </c>
      <c r="EB10" s="38">
        <v>4</v>
      </c>
      <c r="EC10" s="969">
        <v>40</v>
      </c>
      <c r="ED10" s="38">
        <v>0</v>
      </c>
      <c r="EE10" s="969">
        <v>0</v>
      </c>
      <c r="EF10" s="38">
        <v>6</v>
      </c>
      <c r="EG10" s="969">
        <v>60</v>
      </c>
      <c r="EH10" s="38">
        <v>3</v>
      </c>
      <c r="EI10" s="969">
        <v>30</v>
      </c>
      <c r="EJ10" s="38">
        <v>1</v>
      </c>
      <c r="EK10" s="969">
        <v>10</v>
      </c>
      <c r="EL10" s="38">
        <v>1</v>
      </c>
      <c r="EM10" s="969">
        <v>10</v>
      </c>
      <c r="EN10" s="38">
        <v>3</v>
      </c>
      <c r="EO10" s="969">
        <v>30</v>
      </c>
      <c r="EP10" s="38">
        <v>0</v>
      </c>
      <c r="EQ10" s="969">
        <v>0</v>
      </c>
      <c r="ER10" s="38">
        <v>0</v>
      </c>
      <c r="ES10" s="969">
        <v>0</v>
      </c>
      <c r="ET10" s="38">
        <v>0</v>
      </c>
      <c r="EU10" s="969">
        <v>0</v>
      </c>
      <c r="EV10" s="38">
        <v>0</v>
      </c>
      <c r="EW10" s="969">
        <v>0</v>
      </c>
      <c r="EX10" s="38"/>
      <c r="EY10" s="969">
        <v>0</v>
      </c>
      <c r="EZ10" s="38"/>
      <c r="FA10" s="969">
        <v>0</v>
      </c>
      <c r="FB10" s="38"/>
      <c r="FC10" s="969">
        <v>0</v>
      </c>
      <c r="FD10" s="38"/>
      <c r="FE10" s="969">
        <v>0</v>
      </c>
      <c r="FF10" s="38"/>
      <c r="FG10" s="969">
        <v>0</v>
      </c>
      <c r="FH10" s="38"/>
      <c r="FI10" s="969">
        <v>0</v>
      </c>
      <c r="FJ10" s="970"/>
      <c r="FK10" s="969">
        <v>0</v>
      </c>
      <c r="FL10" s="971"/>
      <c r="FM10" s="9">
        <v>0</v>
      </c>
      <c r="FN10" s="968"/>
      <c r="FO10" s="9">
        <v>0</v>
      </c>
      <c r="FP10" s="9"/>
      <c r="FQ10" s="9">
        <v>0</v>
      </c>
      <c r="FR10" s="9">
        <v>140</v>
      </c>
      <c r="FS10" s="9"/>
      <c r="FT10" s="9" t="s">
        <v>6966</v>
      </c>
    </row>
    <row r="11" spans="1:176" ht="25.5">
      <c r="A11" s="972" t="s">
        <v>6967</v>
      </c>
      <c r="B11" s="973"/>
      <c r="C11" s="974">
        <f>10*B11</f>
        <v>0</v>
      </c>
      <c r="D11" s="973"/>
      <c r="E11" s="974">
        <f>10*D11</f>
        <v>0</v>
      </c>
      <c r="F11" s="973"/>
      <c r="G11" s="974">
        <f>10*F11</f>
        <v>0</v>
      </c>
      <c r="H11" s="973"/>
      <c r="I11" s="974">
        <f>10*H11</f>
        <v>0</v>
      </c>
      <c r="J11" s="973"/>
      <c r="K11" s="973"/>
      <c r="L11" s="973"/>
      <c r="M11" s="974">
        <f>10*L11</f>
        <v>0</v>
      </c>
      <c r="N11" s="973"/>
      <c r="O11" s="974">
        <f>10*N11</f>
        <v>0</v>
      </c>
      <c r="P11" s="973"/>
      <c r="Q11" s="974">
        <f>10*P11</f>
        <v>0</v>
      </c>
      <c r="R11" s="973"/>
      <c r="S11" s="974">
        <f>10*R11</f>
        <v>0</v>
      </c>
      <c r="T11" s="973"/>
      <c r="U11" s="974">
        <f>10*T11</f>
        <v>0</v>
      </c>
      <c r="V11" s="973"/>
      <c r="W11" s="974">
        <f>10*V11</f>
        <v>0</v>
      </c>
      <c r="X11" s="973"/>
      <c r="Y11" s="974">
        <f>10*X11</f>
        <v>0</v>
      </c>
      <c r="Z11" s="973"/>
      <c r="AA11" s="974">
        <f>10*Z11</f>
        <v>0</v>
      </c>
      <c r="AB11" s="973">
        <v>1</v>
      </c>
      <c r="AC11" s="974">
        <f>10*AB11</f>
        <v>10</v>
      </c>
      <c r="AD11" s="973">
        <v>1</v>
      </c>
      <c r="AE11" s="974">
        <f>10*AD11</f>
        <v>10</v>
      </c>
      <c r="AF11" s="973">
        <v>0</v>
      </c>
      <c r="AG11" s="974">
        <f>10*AF11</f>
        <v>0</v>
      </c>
      <c r="AH11" s="973">
        <v>0</v>
      </c>
      <c r="AI11" s="974">
        <f>10*AH11</f>
        <v>0</v>
      </c>
      <c r="AJ11" s="973">
        <v>0</v>
      </c>
      <c r="AK11" s="974">
        <f>10*AJ11</f>
        <v>0</v>
      </c>
      <c r="AL11" s="973">
        <v>0</v>
      </c>
      <c r="AM11" s="974">
        <f>10*AL11</f>
        <v>0</v>
      </c>
      <c r="AN11" s="973">
        <v>1</v>
      </c>
      <c r="AO11" s="974">
        <f>10*AN11</f>
        <v>10</v>
      </c>
      <c r="AP11" s="973">
        <v>0</v>
      </c>
      <c r="AQ11" s="974">
        <f>10*AP11</f>
        <v>0</v>
      </c>
      <c r="AR11" s="973">
        <v>0</v>
      </c>
      <c r="AS11" s="974">
        <f>10*AR11</f>
        <v>0</v>
      </c>
      <c r="AT11" s="973">
        <v>1</v>
      </c>
      <c r="AU11" s="974">
        <f>10*AT11</f>
        <v>10</v>
      </c>
      <c r="AV11" s="973">
        <v>1</v>
      </c>
      <c r="AW11" s="974">
        <f>10*AV11</f>
        <v>10</v>
      </c>
      <c r="AX11" s="973"/>
      <c r="AY11" s="974">
        <f>10*AX11</f>
        <v>0</v>
      </c>
      <c r="AZ11" s="973">
        <v>1</v>
      </c>
      <c r="BA11" s="974">
        <f>10*AZ11</f>
        <v>10</v>
      </c>
      <c r="BB11" s="973">
        <v>0</v>
      </c>
      <c r="BC11" s="974">
        <f>10*BB11</f>
        <v>0</v>
      </c>
      <c r="BD11" s="973">
        <v>0</v>
      </c>
      <c r="BE11" s="974">
        <f>10*BD11</f>
        <v>0</v>
      </c>
      <c r="BF11" s="973">
        <v>1</v>
      </c>
      <c r="BG11" s="974">
        <f>10*BF11</f>
        <v>10</v>
      </c>
      <c r="BH11" s="973">
        <v>1</v>
      </c>
      <c r="BI11" s="974">
        <f>10*BH11</f>
        <v>10</v>
      </c>
      <c r="BJ11" s="973">
        <v>0</v>
      </c>
      <c r="BK11" s="974">
        <f>10*BJ11</f>
        <v>0</v>
      </c>
      <c r="BL11" s="973">
        <v>4</v>
      </c>
      <c r="BM11" s="974">
        <f>10*BL11</f>
        <v>40</v>
      </c>
      <c r="BN11" s="973">
        <v>0</v>
      </c>
      <c r="BO11" s="974">
        <f>10*BN11</f>
        <v>0</v>
      </c>
      <c r="BP11" s="973">
        <v>1</v>
      </c>
      <c r="BQ11" s="974">
        <f>10*BP11</f>
        <v>10</v>
      </c>
      <c r="BR11" s="973">
        <v>0</v>
      </c>
      <c r="BS11" s="974">
        <f>10*BR11</f>
        <v>0</v>
      </c>
      <c r="BT11" s="973">
        <v>0</v>
      </c>
      <c r="BU11" s="974">
        <f>10*BT11</f>
        <v>0</v>
      </c>
      <c r="BV11" s="973">
        <v>0</v>
      </c>
      <c r="BW11" s="974">
        <f>10*BV11</f>
        <v>0</v>
      </c>
      <c r="BX11" s="973">
        <v>0</v>
      </c>
      <c r="BY11" s="974">
        <f>10*BX11</f>
        <v>0</v>
      </c>
      <c r="BZ11" s="973">
        <v>1</v>
      </c>
      <c r="CA11" s="974">
        <f>10*BZ11</f>
        <v>10</v>
      </c>
      <c r="CB11" s="973">
        <v>1</v>
      </c>
      <c r="CC11" s="974">
        <f>10*CB11</f>
        <v>10</v>
      </c>
      <c r="CD11" s="973">
        <v>0</v>
      </c>
      <c r="CE11" s="974">
        <f>10*CD11</f>
        <v>0</v>
      </c>
      <c r="CF11" s="973">
        <v>0</v>
      </c>
      <c r="CG11" s="974">
        <f>10*CF11</f>
        <v>0</v>
      </c>
      <c r="CH11" s="973">
        <v>0</v>
      </c>
      <c r="CI11" s="974">
        <f>10*CH11</f>
        <v>0</v>
      </c>
      <c r="CJ11" s="973">
        <v>0</v>
      </c>
      <c r="CK11" s="974">
        <f>10*CJ11</f>
        <v>0</v>
      </c>
      <c r="CL11" s="973">
        <v>1</v>
      </c>
      <c r="CM11" s="974">
        <f>10*CL11</f>
        <v>10</v>
      </c>
      <c r="CN11" s="973">
        <v>0</v>
      </c>
      <c r="CO11" s="974">
        <v>0</v>
      </c>
      <c r="CP11" s="973">
        <v>2</v>
      </c>
      <c r="CQ11" s="974">
        <v>18</v>
      </c>
      <c r="CR11" s="973">
        <v>0</v>
      </c>
      <c r="CS11" s="974">
        <v>0</v>
      </c>
      <c r="CT11" s="973">
        <v>1</v>
      </c>
      <c r="CU11" s="974">
        <v>9</v>
      </c>
      <c r="CV11" s="973">
        <v>0</v>
      </c>
      <c r="CW11" s="974">
        <v>0</v>
      </c>
      <c r="CX11" s="973">
        <v>0</v>
      </c>
      <c r="CY11" s="974">
        <v>0</v>
      </c>
      <c r="CZ11" s="973">
        <v>0</v>
      </c>
      <c r="DA11" s="974">
        <v>0</v>
      </c>
      <c r="DB11" s="973">
        <v>0</v>
      </c>
      <c r="DC11" s="974">
        <v>0</v>
      </c>
      <c r="DD11" s="973">
        <v>0</v>
      </c>
      <c r="DE11" s="974">
        <v>0</v>
      </c>
      <c r="DF11" s="973">
        <v>0</v>
      </c>
      <c r="DG11" s="974">
        <v>0</v>
      </c>
      <c r="DH11" s="973">
        <v>0</v>
      </c>
      <c r="DI11" s="974">
        <v>0</v>
      </c>
      <c r="DJ11" s="973">
        <v>0</v>
      </c>
      <c r="DK11" s="974">
        <v>0</v>
      </c>
      <c r="DL11" s="973">
        <v>0</v>
      </c>
      <c r="DM11" s="974">
        <v>0</v>
      </c>
      <c r="DN11" s="973">
        <v>0</v>
      </c>
      <c r="DO11" s="974">
        <v>0</v>
      </c>
      <c r="DP11" s="973">
        <v>0</v>
      </c>
      <c r="DQ11" s="974">
        <v>0</v>
      </c>
      <c r="DR11" s="973">
        <v>0</v>
      </c>
      <c r="DS11" s="974">
        <v>0</v>
      </c>
      <c r="DT11" s="973">
        <v>0</v>
      </c>
      <c r="DU11" s="974">
        <v>0</v>
      </c>
      <c r="DV11" s="973">
        <v>0</v>
      </c>
      <c r="DW11" s="974">
        <v>0</v>
      </c>
      <c r="DX11" s="973">
        <v>0</v>
      </c>
      <c r="DY11" s="974">
        <v>0</v>
      </c>
      <c r="DZ11" s="973">
        <v>0</v>
      </c>
      <c r="EA11" s="974">
        <v>0</v>
      </c>
      <c r="EB11" s="973">
        <v>0</v>
      </c>
      <c r="EC11" s="974">
        <v>0</v>
      </c>
      <c r="ED11" s="973">
        <v>0</v>
      </c>
      <c r="EE11" s="974">
        <v>0</v>
      </c>
      <c r="EF11" s="973">
        <v>0</v>
      </c>
      <c r="EG11" s="974">
        <v>0</v>
      </c>
      <c r="EH11" s="973">
        <v>0</v>
      </c>
      <c r="EI11" s="974">
        <v>0</v>
      </c>
      <c r="EJ11" s="973">
        <v>0</v>
      </c>
      <c r="EK11" s="974">
        <v>0</v>
      </c>
      <c r="EL11" s="973">
        <v>4</v>
      </c>
      <c r="EM11" s="974">
        <v>15</v>
      </c>
      <c r="EN11" s="973">
        <v>0</v>
      </c>
      <c r="EO11" s="974">
        <v>0</v>
      </c>
      <c r="EP11" s="973">
        <v>0</v>
      </c>
      <c r="EQ11" s="974">
        <v>0</v>
      </c>
      <c r="ER11" s="973">
        <v>0</v>
      </c>
      <c r="ES11" s="974">
        <v>0</v>
      </c>
      <c r="ET11" s="973">
        <v>0</v>
      </c>
      <c r="EU11" s="974">
        <v>0</v>
      </c>
      <c r="EV11" s="973">
        <v>0</v>
      </c>
      <c r="EW11" s="974">
        <v>0</v>
      </c>
      <c r="EX11" s="973">
        <v>0</v>
      </c>
      <c r="EY11" s="974">
        <v>0</v>
      </c>
      <c r="EZ11" s="973">
        <v>0</v>
      </c>
      <c r="FA11" s="974">
        <v>0</v>
      </c>
      <c r="FB11" s="973">
        <v>0</v>
      </c>
      <c r="FC11" s="974">
        <v>0</v>
      </c>
      <c r="FD11" s="973">
        <v>0</v>
      </c>
      <c r="FE11" s="974">
        <v>0</v>
      </c>
      <c r="FF11" s="973">
        <v>0</v>
      </c>
      <c r="FG11" s="974">
        <v>0</v>
      </c>
      <c r="FH11" s="973">
        <v>0</v>
      </c>
      <c r="FI11" s="974">
        <v>0</v>
      </c>
      <c r="FJ11" s="975">
        <v>0</v>
      </c>
      <c r="FK11" s="974">
        <v>0</v>
      </c>
      <c r="FL11" s="971">
        <v>0</v>
      </c>
      <c r="FM11" s="976">
        <v>0</v>
      </c>
      <c r="FN11" s="968">
        <v>0</v>
      </c>
      <c r="FO11" s="976">
        <v>0</v>
      </c>
      <c r="FP11" s="976">
        <v>0</v>
      </c>
      <c r="FQ11" s="976">
        <v>0</v>
      </c>
      <c r="FR11" s="976">
        <v>15</v>
      </c>
      <c r="FS11" s="976"/>
      <c r="FT11" s="976" t="s">
        <v>6967</v>
      </c>
    </row>
    <row r="12" spans="1:176" ht="25.5">
      <c r="A12" s="38" t="s">
        <v>6968</v>
      </c>
      <c r="B12" s="38"/>
      <c r="C12" s="969">
        <f>10*B12</f>
        <v>0</v>
      </c>
      <c r="D12" s="38"/>
      <c r="E12" s="969">
        <f>10*D12</f>
        <v>0</v>
      </c>
      <c r="F12" s="38"/>
      <c r="G12" s="969">
        <f>10*F12</f>
        <v>0</v>
      </c>
      <c r="H12" s="38"/>
      <c r="I12" s="969">
        <f>10*H12</f>
        <v>0</v>
      </c>
      <c r="J12" s="38"/>
      <c r="K12" s="38"/>
      <c r="L12" s="38">
        <v>0</v>
      </c>
      <c r="M12" s="969">
        <f>10*L12</f>
        <v>0</v>
      </c>
      <c r="N12" s="38">
        <v>0</v>
      </c>
      <c r="O12" s="969">
        <f>10*N12</f>
        <v>0</v>
      </c>
      <c r="P12" s="38">
        <v>0</v>
      </c>
      <c r="Q12" s="969">
        <f>10*P12</f>
        <v>0</v>
      </c>
      <c r="R12" s="38">
        <v>1</v>
      </c>
      <c r="S12" s="969">
        <f>10*R12</f>
        <v>10</v>
      </c>
      <c r="T12" s="38"/>
      <c r="U12" s="969">
        <f>10*T12</f>
        <v>0</v>
      </c>
      <c r="V12" s="38"/>
      <c r="W12" s="969">
        <f>10*V12</f>
        <v>0</v>
      </c>
      <c r="X12" s="38"/>
      <c r="Y12" s="969">
        <f>10*X12</f>
        <v>0</v>
      </c>
      <c r="Z12" s="38"/>
      <c r="AA12" s="969">
        <f>10*Z12</f>
        <v>0</v>
      </c>
      <c r="AB12" s="38"/>
      <c r="AC12" s="969">
        <f>10*AB12</f>
        <v>0</v>
      </c>
      <c r="AD12" s="38">
        <v>1</v>
      </c>
      <c r="AE12" s="969">
        <f>10*AD12</f>
        <v>10</v>
      </c>
      <c r="AF12" s="38">
        <v>2</v>
      </c>
      <c r="AG12" s="969">
        <f>10*AF12</f>
        <v>20</v>
      </c>
      <c r="AH12" s="38">
        <v>0</v>
      </c>
      <c r="AI12" s="969">
        <f>10*AH12</f>
        <v>0</v>
      </c>
      <c r="AJ12" s="38">
        <v>0</v>
      </c>
      <c r="AK12" s="969">
        <f>10*AJ12</f>
        <v>0</v>
      </c>
      <c r="AL12" s="38">
        <v>0</v>
      </c>
      <c r="AM12" s="969">
        <f>10*AL12</f>
        <v>0</v>
      </c>
      <c r="AN12" s="38">
        <v>0</v>
      </c>
      <c r="AO12" s="969">
        <f>10*AN12</f>
        <v>0</v>
      </c>
      <c r="AP12" s="38">
        <v>0</v>
      </c>
      <c r="AQ12" s="969">
        <f>10*AP12</f>
        <v>0</v>
      </c>
      <c r="AR12" s="38">
        <v>1</v>
      </c>
      <c r="AS12" s="969">
        <f>10*AR12</f>
        <v>10</v>
      </c>
      <c r="AT12" s="38"/>
      <c r="AU12" s="969">
        <f>10*AT12</f>
        <v>0</v>
      </c>
      <c r="AV12" s="38"/>
      <c r="AW12" s="969">
        <f>10*AV12</f>
        <v>0</v>
      </c>
      <c r="AX12" s="38">
        <v>2</v>
      </c>
      <c r="AY12" s="969">
        <f>10*AX12</f>
        <v>20</v>
      </c>
      <c r="AZ12" s="38"/>
      <c r="BA12" s="969">
        <f>10*AZ12</f>
        <v>0</v>
      </c>
      <c r="BB12" s="38">
        <v>0</v>
      </c>
      <c r="BC12" s="969">
        <f>10*BB12</f>
        <v>0</v>
      </c>
      <c r="BD12" s="38">
        <v>0</v>
      </c>
      <c r="BE12" s="969">
        <f>10*BD12</f>
        <v>0</v>
      </c>
      <c r="BF12" s="38">
        <v>2</v>
      </c>
      <c r="BG12" s="969">
        <f>10*BF12</f>
        <v>20</v>
      </c>
      <c r="BH12" s="38"/>
      <c r="BI12" s="969">
        <f>10*BH12</f>
        <v>0</v>
      </c>
      <c r="BJ12" s="38">
        <v>2</v>
      </c>
      <c r="BK12" s="969">
        <f>10*BJ12</f>
        <v>20</v>
      </c>
      <c r="BL12" s="38">
        <v>0</v>
      </c>
      <c r="BM12" s="969">
        <f>10*BL12</f>
        <v>0</v>
      </c>
      <c r="BN12" s="38">
        <v>0</v>
      </c>
      <c r="BO12" s="969">
        <f>10*BN12</f>
        <v>0</v>
      </c>
      <c r="BP12" s="38">
        <v>1</v>
      </c>
      <c r="BQ12" s="969">
        <f>10*BP12</f>
        <v>10</v>
      </c>
      <c r="BR12" s="38">
        <v>0</v>
      </c>
      <c r="BS12" s="969">
        <f>10*BR12</f>
        <v>0</v>
      </c>
      <c r="BT12" s="38">
        <v>1</v>
      </c>
      <c r="BU12" s="969">
        <f>10*BT12</f>
        <v>10</v>
      </c>
      <c r="BV12" s="38">
        <v>0</v>
      </c>
      <c r="BW12" s="969">
        <f>10*BV12</f>
        <v>0</v>
      </c>
      <c r="BX12" s="38">
        <v>2</v>
      </c>
      <c r="BY12" s="969">
        <f>10*BX12</f>
        <v>20</v>
      </c>
      <c r="BZ12" s="38">
        <v>1</v>
      </c>
      <c r="CA12" s="969">
        <f>10*BZ12</f>
        <v>10</v>
      </c>
      <c r="CB12" s="38">
        <v>2</v>
      </c>
      <c r="CC12" s="969">
        <f>10*CB12</f>
        <v>20</v>
      </c>
      <c r="CD12" s="38">
        <v>1</v>
      </c>
      <c r="CE12" s="969">
        <f>10*CD12</f>
        <v>10</v>
      </c>
      <c r="CF12" s="38">
        <v>0</v>
      </c>
      <c r="CG12" s="969">
        <f>10*CF12</f>
        <v>0</v>
      </c>
      <c r="CH12" s="38">
        <v>3</v>
      </c>
      <c r="CI12" s="969">
        <f>10*CH12</f>
        <v>30</v>
      </c>
      <c r="CJ12" s="38">
        <v>2</v>
      </c>
      <c r="CK12" s="969">
        <f>10*CJ12</f>
        <v>20</v>
      </c>
      <c r="CL12" s="38">
        <v>0</v>
      </c>
      <c r="CM12" s="969">
        <f>10*CL12</f>
        <v>0</v>
      </c>
      <c r="CN12" s="38">
        <v>0</v>
      </c>
      <c r="CO12" s="969">
        <v>0</v>
      </c>
      <c r="CP12" s="38">
        <v>0</v>
      </c>
      <c r="CQ12" s="969">
        <v>0</v>
      </c>
      <c r="CR12" s="38">
        <v>0</v>
      </c>
      <c r="CS12" s="969">
        <v>0</v>
      </c>
      <c r="CT12" s="38">
        <v>0</v>
      </c>
      <c r="CU12" s="969">
        <v>0</v>
      </c>
      <c r="CV12" s="38">
        <v>1</v>
      </c>
      <c r="CW12" s="969">
        <v>10</v>
      </c>
      <c r="CX12" s="38">
        <v>0</v>
      </c>
      <c r="CY12" s="969">
        <v>0</v>
      </c>
      <c r="CZ12" s="38">
        <v>3</v>
      </c>
      <c r="DA12" s="969">
        <v>30</v>
      </c>
      <c r="DB12" s="38">
        <v>1</v>
      </c>
      <c r="DC12" s="969">
        <v>10</v>
      </c>
      <c r="DD12" s="38">
        <v>0</v>
      </c>
      <c r="DE12" s="969">
        <v>0</v>
      </c>
      <c r="DF12" s="38">
        <v>2</v>
      </c>
      <c r="DG12" s="969">
        <v>20</v>
      </c>
      <c r="DH12" s="38">
        <v>0</v>
      </c>
      <c r="DI12" s="969">
        <v>0</v>
      </c>
      <c r="DJ12" s="38">
        <v>4</v>
      </c>
      <c r="DK12" s="969">
        <v>40</v>
      </c>
      <c r="DL12" s="38">
        <v>2</v>
      </c>
      <c r="DM12" s="969">
        <v>20</v>
      </c>
      <c r="DN12" s="38">
        <v>2</v>
      </c>
      <c r="DO12" s="969">
        <v>20</v>
      </c>
      <c r="DP12" s="38">
        <v>3</v>
      </c>
      <c r="DQ12" s="969">
        <v>30</v>
      </c>
      <c r="DR12" s="38">
        <v>1</v>
      </c>
      <c r="DS12" s="969">
        <v>10</v>
      </c>
      <c r="DT12" s="38">
        <v>5</v>
      </c>
      <c r="DU12" s="969">
        <v>50</v>
      </c>
      <c r="DV12" s="38">
        <v>4</v>
      </c>
      <c r="DW12" s="969">
        <v>40</v>
      </c>
      <c r="DX12" s="38">
        <v>6</v>
      </c>
      <c r="DY12" s="969">
        <v>60</v>
      </c>
      <c r="DZ12" s="38">
        <v>1</v>
      </c>
      <c r="EA12" s="969">
        <v>10</v>
      </c>
      <c r="EB12" s="38">
        <v>0</v>
      </c>
      <c r="EC12" s="969">
        <v>0</v>
      </c>
      <c r="ED12" s="38">
        <v>0</v>
      </c>
      <c r="EE12" s="969">
        <v>0</v>
      </c>
      <c r="EF12" s="38">
        <v>0</v>
      </c>
      <c r="EG12" s="969">
        <v>0</v>
      </c>
      <c r="EH12" s="38">
        <v>2</v>
      </c>
      <c r="EI12" s="969">
        <v>20</v>
      </c>
      <c r="EJ12" s="38">
        <v>0</v>
      </c>
      <c r="EK12" s="969">
        <v>0</v>
      </c>
      <c r="EL12" s="38">
        <v>0</v>
      </c>
      <c r="EM12" s="969">
        <v>0</v>
      </c>
      <c r="EN12" s="38">
        <v>1</v>
      </c>
      <c r="EO12" s="969">
        <v>10</v>
      </c>
      <c r="EP12" s="38">
        <v>3</v>
      </c>
      <c r="EQ12" s="969">
        <v>30</v>
      </c>
      <c r="ER12" s="38">
        <v>1</v>
      </c>
      <c r="ES12" s="969">
        <v>10</v>
      </c>
      <c r="ET12" s="38">
        <v>2</v>
      </c>
      <c r="EU12" s="969">
        <v>20</v>
      </c>
      <c r="EV12" s="38">
        <v>4</v>
      </c>
      <c r="EW12" s="969">
        <v>40</v>
      </c>
      <c r="EX12" s="38">
        <v>4</v>
      </c>
      <c r="EY12" s="969">
        <v>40</v>
      </c>
      <c r="EZ12" s="38">
        <v>0</v>
      </c>
      <c r="FA12" s="969">
        <v>0</v>
      </c>
      <c r="FB12" s="38">
        <v>0</v>
      </c>
      <c r="FC12" s="969">
        <v>0</v>
      </c>
      <c r="FD12" s="38">
        <v>0</v>
      </c>
      <c r="FE12" s="969">
        <v>0</v>
      </c>
      <c r="FF12" s="38">
        <v>0</v>
      </c>
      <c r="FG12" s="969">
        <v>0</v>
      </c>
      <c r="FH12" s="38">
        <v>0</v>
      </c>
      <c r="FI12" s="969">
        <v>0</v>
      </c>
      <c r="FJ12" s="970">
        <v>0</v>
      </c>
      <c r="FK12" s="969">
        <v>0</v>
      </c>
      <c r="FL12" s="971">
        <v>0</v>
      </c>
      <c r="FM12" s="9">
        <v>0</v>
      </c>
      <c r="FN12" s="968">
        <v>0</v>
      </c>
      <c r="FO12" s="9">
        <v>0</v>
      </c>
      <c r="FP12" s="9">
        <v>0</v>
      </c>
      <c r="FQ12" s="9">
        <v>0</v>
      </c>
      <c r="FR12" s="9">
        <v>170</v>
      </c>
      <c r="FS12" s="9" t="s">
        <v>6969</v>
      </c>
      <c r="FT12" s="9" t="s">
        <v>6968</v>
      </c>
    </row>
    <row r="13" spans="1:176" ht="25.5">
      <c r="A13" s="972" t="s">
        <v>6970</v>
      </c>
      <c r="B13" s="973"/>
      <c r="C13" s="974">
        <f>5*B13</f>
        <v>0</v>
      </c>
      <c r="D13" s="973"/>
      <c r="E13" s="974">
        <f>5*D13</f>
        <v>0</v>
      </c>
      <c r="F13" s="973"/>
      <c r="G13" s="974">
        <f>5*F13</f>
        <v>0</v>
      </c>
      <c r="H13" s="973"/>
      <c r="I13" s="974">
        <f>5*H13</f>
        <v>0</v>
      </c>
      <c r="J13" s="973"/>
      <c r="K13" s="973"/>
      <c r="L13" s="973">
        <v>0</v>
      </c>
      <c r="M13" s="974">
        <f>5*L13</f>
        <v>0</v>
      </c>
      <c r="N13" s="973">
        <v>0</v>
      </c>
      <c r="O13" s="974">
        <f>5*N13</f>
        <v>0</v>
      </c>
      <c r="P13" s="973"/>
      <c r="Q13" s="974">
        <f>5*P13</f>
        <v>0</v>
      </c>
      <c r="R13" s="973"/>
      <c r="S13" s="974">
        <f>5*R13</f>
        <v>0</v>
      </c>
      <c r="T13" s="973"/>
      <c r="U13" s="974">
        <f>5*T13</f>
        <v>0</v>
      </c>
      <c r="V13" s="973"/>
      <c r="W13" s="974">
        <f>5*V13</f>
        <v>0</v>
      </c>
      <c r="X13" s="973"/>
      <c r="Y13" s="974">
        <f>5*X13</f>
        <v>0</v>
      </c>
      <c r="Z13" s="973"/>
      <c r="AA13" s="974">
        <f>5*Z13</f>
        <v>0</v>
      </c>
      <c r="AB13" s="973"/>
      <c r="AC13" s="974">
        <f>5*AB13</f>
        <v>0</v>
      </c>
      <c r="AD13" s="973"/>
      <c r="AE13" s="974">
        <f>5*AD13</f>
        <v>0</v>
      </c>
      <c r="AF13" s="973"/>
      <c r="AG13" s="974">
        <f>5*AF13</f>
        <v>0</v>
      </c>
      <c r="AH13" s="973"/>
      <c r="AI13" s="974">
        <f>5*AH13</f>
        <v>0</v>
      </c>
      <c r="AJ13" s="973"/>
      <c r="AK13" s="974">
        <f>5*AJ13</f>
        <v>0</v>
      </c>
      <c r="AL13" s="973"/>
      <c r="AM13" s="974">
        <f>5*AL13</f>
        <v>0</v>
      </c>
      <c r="AN13" s="973"/>
      <c r="AO13" s="974">
        <f>5*AN13</f>
        <v>0</v>
      </c>
      <c r="AP13" s="973"/>
      <c r="AQ13" s="974">
        <f>5*AP13</f>
        <v>0</v>
      </c>
      <c r="AR13" s="973"/>
      <c r="AS13" s="974">
        <f>5*AR13</f>
        <v>0</v>
      </c>
      <c r="AT13" s="973"/>
      <c r="AU13" s="974">
        <f>5*AT13</f>
        <v>0</v>
      </c>
      <c r="AV13" s="973"/>
      <c r="AW13" s="974">
        <f>5*AV13</f>
        <v>0</v>
      </c>
      <c r="AX13" s="973"/>
      <c r="AY13" s="974">
        <f>5*AX13</f>
        <v>0</v>
      </c>
      <c r="AZ13" s="973"/>
      <c r="BA13" s="974">
        <f>5*AZ13</f>
        <v>0</v>
      </c>
      <c r="BB13" s="973"/>
      <c r="BC13" s="974">
        <f>5*BB13</f>
        <v>0</v>
      </c>
      <c r="BD13" s="973"/>
      <c r="BE13" s="974">
        <f>5*BD13</f>
        <v>0</v>
      </c>
      <c r="BF13" s="973"/>
      <c r="BG13" s="974">
        <f>5*BF13</f>
        <v>0</v>
      </c>
      <c r="BH13" s="973"/>
      <c r="BI13" s="974">
        <f>5*BH13</f>
        <v>0</v>
      </c>
      <c r="BJ13" s="973">
        <v>0</v>
      </c>
      <c r="BK13" s="974">
        <f>5*BJ13</f>
        <v>0</v>
      </c>
      <c r="BL13" s="973">
        <v>0</v>
      </c>
      <c r="BM13" s="974">
        <f>5*BL13</f>
        <v>0</v>
      </c>
      <c r="BN13" s="973">
        <v>0</v>
      </c>
      <c r="BO13" s="974">
        <f>5*BN13</f>
        <v>0</v>
      </c>
      <c r="BP13" s="973">
        <v>1</v>
      </c>
      <c r="BQ13" s="974">
        <f>5*BP13</f>
        <v>5</v>
      </c>
      <c r="BR13" s="973">
        <v>0</v>
      </c>
      <c r="BS13" s="974">
        <f>5*BR13</f>
        <v>0</v>
      </c>
      <c r="BT13" s="973">
        <v>1</v>
      </c>
      <c r="BU13" s="974">
        <f>5*BT13</f>
        <v>5</v>
      </c>
      <c r="BV13" s="973">
        <v>0</v>
      </c>
      <c r="BW13" s="974">
        <f>5*BV13</f>
        <v>0</v>
      </c>
      <c r="BX13" s="973">
        <v>0</v>
      </c>
      <c r="BY13" s="974">
        <f>5*BX13</f>
        <v>0</v>
      </c>
      <c r="BZ13" s="973">
        <v>0</v>
      </c>
      <c r="CA13" s="974">
        <f>5*BZ13</f>
        <v>0</v>
      </c>
      <c r="CB13" s="973">
        <v>0</v>
      </c>
      <c r="CC13" s="974">
        <f>5*CB13</f>
        <v>0</v>
      </c>
      <c r="CD13" s="973">
        <v>0</v>
      </c>
      <c r="CE13" s="974">
        <f>5*CD13</f>
        <v>0</v>
      </c>
      <c r="CF13" s="973">
        <v>0</v>
      </c>
      <c r="CG13" s="974">
        <f>5*CF13</f>
        <v>0</v>
      </c>
      <c r="CH13" s="973">
        <v>0</v>
      </c>
      <c r="CI13" s="974">
        <f>5*CH13</f>
        <v>0</v>
      </c>
      <c r="CJ13" s="973">
        <v>0</v>
      </c>
      <c r="CK13" s="974">
        <f>5*CJ13</f>
        <v>0</v>
      </c>
      <c r="CL13" s="973">
        <v>1</v>
      </c>
      <c r="CM13" s="974">
        <f>5*CL13</f>
        <v>5</v>
      </c>
      <c r="CN13" s="973">
        <v>0</v>
      </c>
      <c r="CO13" s="974">
        <v>0</v>
      </c>
      <c r="CP13" s="973">
        <v>0</v>
      </c>
      <c r="CQ13" s="974">
        <v>0</v>
      </c>
      <c r="CR13" s="973">
        <v>1</v>
      </c>
      <c r="CS13" s="974">
        <v>5</v>
      </c>
      <c r="CT13" s="973">
        <v>1</v>
      </c>
      <c r="CU13" s="974">
        <v>5</v>
      </c>
      <c r="CV13" s="973">
        <v>0</v>
      </c>
      <c r="CW13" s="974">
        <v>0</v>
      </c>
      <c r="CX13" s="973">
        <v>1</v>
      </c>
      <c r="CY13" s="974">
        <v>5</v>
      </c>
      <c r="CZ13" s="973">
        <v>0</v>
      </c>
      <c r="DA13" s="974">
        <v>0</v>
      </c>
      <c r="DB13" s="973">
        <v>1</v>
      </c>
      <c r="DC13" s="974">
        <v>5</v>
      </c>
      <c r="DD13" s="973">
        <v>0</v>
      </c>
      <c r="DE13" s="974">
        <v>0</v>
      </c>
      <c r="DF13" s="973">
        <v>0</v>
      </c>
      <c r="DG13" s="974">
        <v>0</v>
      </c>
      <c r="DH13" s="973">
        <v>0</v>
      </c>
      <c r="DI13" s="974">
        <v>0</v>
      </c>
      <c r="DJ13" s="973">
        <v>0</v>
      </c>
      <c r="DK13" s="974">
        <v>0</v>
      </c>
      <c r="DL13" s="973">
        <v>0</v>
      </c>
      <c r="DM13" s="974">
        <v>0</v>
      </c>
      <c r="DN13" s="973">
        <v>0</v>
      </c>
      <c r="DO13" s="974">
        <v>0</v>
      </c>
      <c r="DP13" s="973">
        <v>0</v>
      </c>
      <c r="DQ13" s="974">
        <v>0</v>
      </c>
      <c r="DR13" s="973">
        <v>0</v>
      </c>
      <c r="DS13" s="974">
        <v>0</v>
      </c>
      <c r="DT13" s="973">
        <v>1</v>
      </c>
      <c r="DU13" s="974">
        <v>5</v>
      </c>
      <c r="DV13" s="973">
        <v>1</v>
      </c>
      <c r="DW13" s="974">
        <v>5</v>
      </c>
      <c r="DX13" s="973">
        <v>1</v>
      </c>
      <c r="DY13" s="974">
        <v>5</v>
      </c>
      <c r="DZ13" s="973">
        <v>1</v>
      </c>
      <c r="EA13" s="974">
        <v>5</v>
      </c>
      <c r="EB13" s="973">
        <v>0</v>
      </c>
      <c r="EC13" s="974">
        <v>0</v>
      </c>
      <c r="ED13" s="973">
        <v>1</v>
      </c>
      <c r="EE13" s="974">
        <v>5</v>
      </c>
      <c r="EF13" s="973">
        <v>0</v>
      </c>
      <c r="EG13" s="974">
        <v>0</v>
      </c>
      <c r="EH13" s="973">
        <v>1</v>
      </c>
      <c r="EI13" s="974">
        <v>5</v>
      </c>
      <c r="EJ13" s="973">
        <v>0</v>
      </c>
      <c r="EK13" s="974">
        <v>0</v>
      </c>
      <c r="EL13" s="973">
        <v>2</v>
      </c>
      <c r="EM13" s="974">
        <v>10</v>
      </c>
      <c r="EN13" s="973">
        <v>0</v>
      </c>
      <c r="EO13" s="974">
        <v>0</v>
      </c>
      <c r="EP13" s="973">
        <v>1</v>
      </c>
      <c r="EQ13" s="974">
        <v>5</v>
      </c>
      <c r="ER13" s="973">
        <v>0</v>
      </c>
      <c r="ES13" s="974">
        <v>0</v>
      </c>
      <c r="ET13" s="973">
        <v>0</v>
      </c>
      <c r="EU13" s="974">
        <v>0</v>
      </c>
      <c r="EV13" s="973">
        <v>0</v>
      </c>
      <c r="EW13" s="974">
        <v>0</v>
      </c>
      <c r="EX13" s="973">
        <v>0</v>
      </c>
      <c r="EY13" s="974">
        <v>0</v>
      </c>
      <c r="EZ13" s="973">
        <v>0</v>
      </c>
      <c r="FA13" s="974">
        <v>0</v>
      </c>
      <c r="FB13" s="973">
        <v>0</v>
      </c>
      <c r="FC13" s="974">
        <v>0</v>
      </c>
      <c r="FD13" s="973">
        <v>0</v>
      </c>
      <c r="FE13" s="974">
        <v>0</v>
      </c>
      <c r="FF13" s="973">
        <v>0</v>
      </c>
      <c r="FG13" s="974">
        <v>0</v>
      </c>
      <c r="FH13" s="973">
        <v>0</v>
      </c>
      <c r="FI13" s="974">
        <v>0</v>
      </c>
      <c r="FJ13" s="975">
        <v>0</v>
      </c>
      <c r="FK13" s="974">
        <v>0</v>
      </c>
      <c r="FL13" s="971">
        <v>0</v>
      </c>
      <c r="FM13" s="976">
        <v>0</v>
      </c>
      <c r="FN13" s="968">
        <v>0</v>
      </c>
      <c r="FO13" s="976">
        <v>0</v>
      </c>
      <c r="FP13" s="976">
        <v>0</v>
      </c>
      <c r="FQ13" s="976">
        <v>0</v>
      </c>
      <c r="FR13" s="976">
        <v>25</v>
      </c>
      <c r="FS13" s="976" t="s">
        <v>6971</v>
      </c>
      <c r="FT13" s="976" t="s">
        <v>6970</v>
      </c>
    </row>
    <row r="14" spans="1:176">
      <c r="A14" s="38" t="s">
        <v>6972</v>
      </c>
      <c r="B14" s="38"/>
      <c r="C14" s="969">
        <f>25*B14</f>
        <v>0</v>
      </c>
      <c r="D14" s="38"/>
      <c r="E14" s="969">
        <f>25*D14</f>
        <v>0</v>
      </c>
      <c r="F14" s="38"/>
      <c r="G14" s="969">
        <f>25*F14</f>
        <v>0</v>
      </c>
      <c r="H14" s="38"/>
      <c r="I14" s="969">
        <f>25*H14</f>
        <v>0</v>
      </c>
      <c r="J14" s="38"/>
      <c r="K14" s="38"/>
      <c r="L14" s="38"/>
      <c r="M14" s="969">
        <f>25*L14</f>
        <v>0</v>
      </c>
      <c r="N14" s="38"/>
      <c r="O14" s="969">
        <f>25*N14</f>
        <v>0</v>
      </c>
      <c r="P14" s="38"/>
      <c r="Q14" s="969">
        <f>25*P14</f>
        <v>0</v>
      </c>
      <c r="R14" s="38"/>
      <c r="S14" s="969">
        <f>25*R14</f>
        <v>0</v>
      </c>
      <c r="T14" s="38"/>
      <c r="U14" s="969">
        <f>25*T14</f>
        <v>0</v>
      </c>
      <c r="V14" s="38"/>
      <c r="W14" s="969">
        <f>25*V14</f>
        <v>0</v>
      </c>
      <c r="X14" s="38"/>
      <c r="Y14" s="969">
        <f>25*X14</f>
        <v>0</v>
      </c>
      <c r="Z14" s="38"/>
      <c r="AA14" s="969">
        <f>25*Z14</f>
        <v>0</v>
      </c>
      <c r="AB14" s="38"/>
      <c r="AC14" s="969">
        <f>25*AB14</f>
        <v>0</v>
      </c>
      <c r="AD14" s="38"/>
      <c r="AE14" s="969">
        <f>25*AD14</f>
        <v>0</v>
      </c>
      <c r="AF14" s="38"/>
      <c r="AG14" s="969">
        <f>25*AF14</f>
        <v>0</v>
      </c>
      <c r="AH14" s="38"/>
      <c r="AI14" s="969">
        <f>25*AH14</f>
        <v>0</v>
      </c>
      <c r="AJ14" s="38"/>
      <c r="AK14" s="969">
        <f>25*AJ14</f>
        <v>0</v>
      </c>
      <c r="AL14" s="38"/>
      <c r="AM14" s="969">
        <f>25*AL14</f>
        <v>0</v>
      </c>
      <c r="AN14" s="38"/>
      <c r="AO14" s="969">
        <f>25*AN14</f>
        <v>0</v>
      </c>
      <c r="AP14" s="38"/>
      <c r="AQ14" s="969">
        <f>25*AP14</f>
        <v>0</v>
      </c>
      <c r="AR14" s="38"/>
      <c r="AS14" s="969">
        <f>25*AR14</f>
        <v>0</v>
      </c>
      <c r="AT14" s="38"/>
      <c r="AU14" s="969">
        <f>25*AT14</f>
        <v>0</v>
      </c>
      <c r="AV14" s="38"/>
      <c r="AW14" s="969">
        <f>25*AV14</f>
        <v>0</v>
      </c>
      <c r="AX14" s="38"/>
      <c r="AY14" s="969">
        <f>25*AX14</f>
        <v>0</v>
      </c>
      <c r="AZ14" s="38"/>
      <c r="BA14" s="969">
        <f>25*AZ14</f>
        <v>0</v>
      </c>
      <c r="BB14" s="38"/>
      <c r="BC14" s="969">
        <f>25*BB14</f>
        <v>0</v>
      </c>
      <c r="BD14" s="38"/>
      <c r="BE14" s="969">
        <f>25*BD14</f>
        <v>0</v>
      </c>
      <c r="BF14" s="38"/>
      <c r="BG14" s="969">
        <f>25*BF14</f>
        <v>0</v>
      </c>
      <c r="BH14" s="38"/>
      <c r="BI14" s="969">
        <f>25*BH14</f>
        <v>0</v>
      </c>
      <c r="BJ14" s="38">
        <v>0</v>
      </c>
      <c r="BK14" s="969">
        <f>25*BJ14</f>
        <v>0</v>
      </c>
      <c r="BL14" s="38">
        <v>0</v>
      </c>
      <c r="BM14" s="969">
        <f>25*BL14</f>
        <v>0</v>
      </c>
      <c r="BN14" s="38">
        <v>0</v>
      </c>
      <c r="BO14" s="969">
        <f>25*BN14</f>
        <v>0</v>
      </c>
      <c r="BP14" s="38">
        <v>0</v>
      </c>
      <c r="BQ14" s="969">
        <f>25*BP14</f>
        <v>0</v>
      </c>
      <c r="BR14" s="38">
        <v>0</v>
      </c>
      <c r="BS14" s="969">
        <f>25*BR14</f>
        <v>0</v>
      </c>
      <c r="BT14" s="38">
        <v>0</v>
      </c>
      <c r="BU14" s="969">
        <f>25*BT14</f>
        <v>0</v>
      </c>
      <c r="BV14" s="38">
        <v>0</v>
      </c>
      <c r="BW14" s="969">
        <f>25*BV14</f>
        <v>0</v>
      </c>
      <c r="BX14" s="38">
        <v>0</v>
      </c>
      <c r="BY14" s="969">
        <f>25*BX14</f>
        <v>0</v>
      </c>
      <c r="BZ14" s="38">
        <v>0</v>
      </c>
      <c r="CA14" s="969">
        <f>25*BZ14</f>
        <v>0</v>
      </c>
      <c r="CB14" s="38">
        <v>0</v>
      </c>
      <c r="CC14" s="969">
        <f>25*CB14</f>
        <v>0</v>
      </c>
      <c r="CD14" s="38">
        <v>0</v>
      </c>
      <c r="CE14" s="969">
        <f>25*CD14</f>
        <v>0</v>
      </c>
      <c r="CF14" s="38">
        <v>0</v>
      </c>
      <c r="CG14" s="969">
        <f>25*CF14</f>
        <v>0</v>
      </c>
      <c r="CH14" s="38">
        <v>0</v>
      </c>
      <c r="CI14" s="969">
        <f>25*CH14</f>
        <v>0</v>
      </c>
      <c r="CJ14" s="38">
        <v>0</v>
      </c>
      <c r="CK14" s="969">
        <f>25*CJ14</f>
        <v>0</v>
      </c>
      <c r="CL14" s="38">
        <v>0</v>
      </c>
      <c r="CM14" s="969">
        <f>25*CL14</f>
        <v>0</v>
      </c>
      <c r="CN14" s="38">
        <v>0</v>
      </c>
      <c r="CO14" s="969">
        <v>0</v>
      </c>
      <c r="CP14" s="38">
        <v>0</v>
      </c>
      <c r="CQ14" s="969">
        <v>0</v>
      </c>
      <c r="CR14" s="38">
        <v>0</v>
      </c>
      <c r="CS14" s="969">
        <v>0</v>
      </c>
      <c r="CT14" s="38">
        <v>1</v>
      </c>
      <c r="CU14" s="969">
        <v>25</v>
      </c>
      <c r="CV14" s="38">
        <v>0</v>
      </c>
      <c r="CW14" s="969">
        <v>0</v>
      </c>
      <c r="CX14" s="38">
        <v>0</v>
      </c>
      <c r="CY14" s="969">
        <v>0</v>
      </c>
      <c r="CZ14" s="38">
        <v>0</v>
      </c>
      <c r="DA14" s="969">
        <v>0</v>
      </c>
      <c r="DB14" s="38">
        <v>0</v>
      </c>
      <c r="DC14" s="969">
        <v>0</v>
      </c>
      <c r="DD14" s="38">
        <v>0</v>
      </c>
      <c r="DE14" s="969">
        <v>0</v>
      </c>
      <c r="DF14" s="38">
        <v>0</v>
      </c>
      <c r="DG14" s="969">
        <v>0</v>
      </c>
      <c r="DH14" s="38">
        <v>0</v>
      </c>
      <c r="DI14" s="969">
        <v>0</v>
      </c>
      <c r="DJ14" s="38">
        <v>0</v>
      </c>
      <c r="DK14" s="969">
        <v>0</v>
      </c>
      <c r="DL14" s="38">
        <v>0</v>
      </c>
      <c r="DM14" s="969">
        <v>0</v>
      </c>
      <c r="DN14" s="38">
        <v>1</v>
      </c>
      <c r="DO14" s="969">
        <v>25</v>
      </c>
      <c r="DP14" s="38"/>
      <c r="DQ14" s="969"/>
      <c r="DR14" s="38"/>
      <c r="DS14" s="969"/>
      <c r="DT14" s="38"/>
      <c r="DU14" s="969"/>
      <c r="DV14" s="38"/>
      <c r="DW14" s="969"/>
      <c r="DX14" s="38"/>
      <c r="DY14" s="969"/>
      <c r="DZ14" s="38"/>
      <c r="EA14" s="969"/>
      <c r="EB14" s="38"/>
      <c r="EC14" s="969"/>
      <c r="ED14" s="38"/>
      <c r="EE14" s="969"/>
      <c r="EF14" s="38"/>
      <c r="EG14" s="969"/>
      <c r="EH14" s="38"/>
      <c r="EI14" s="969"/>
      <c r="EJ14" s="38"/>
      <c r="EK14" s="969"/>
      <c r="EL14" s="38"/>
      <c r="EM14" s="969"/>
      <c r="EN14" s="38"/>
      <c r="EO14" s="969"/>
      <c r="EP14" s="38"/>
      <c r="EQ14" s="969"/>
      <c r="ER14" s="38"/>
      <c r="ES14" s="969"/>
      <c r="ET14" s="38"/>
      <c r="EU14" s="969"/>
      <c r="EV14" s="38"/>
      <c r="EW14" s="969"/>
      <c r="EX14" s="38"/>
      <c r="EY14" s="969"/>
      <c r="EZ14" s="38"/>
      <c r="FA14" s="969"/>
      <c r="FB14" s="38"/>
      <c r="FC14" s="969"/>
      <c r="FD14" s="38"/>
      <c r="FE14" s="969"/>
      <c r="FF14" s="38"/>
      <c r="FG14" s="969"/>
      <c r="FH14" s="38"/>
      <c r="FI14" s="969"/>
      <c r="FJ14" s="970"/>
      <c r="FK14" s="969"/>
      <c r="FL14" s="971"/>
      <c r="FM14" s="9"/>
      <c r="FN14" s="968"/>
      <c r="FO14" s="9"/>
      <c r="FP14" s="9"/>
      <c r="FQ14" s="9"/>
      <c r="FR14" s="9"/>
      <c r="FS14" s="9"/>
      <c r="FT14" s="9"/>
    </row>
    <row r="15" spans="1:176">
      <c r="A15" s="972" t="s">
        <v>3438</v>
      </c>
      <c r="B15" s="973">
        <v>1</v>
      </c>
      <c r="C15" s="974">
        <f>B15*6</f>
        <v>6</v>
      </c>
      <c r="D15" s="973">
        <v>0</v>
      </c>
      <c r="E15" s="974">
        <f>D15*6</f>
        <v>0</v>
      </c>
      <c r="F15" s="973">
        <v>1</v>
      </c>
      <c r="G15" s="974">
        <f>F15*6</f>
        <v>6</v>
      </c>
      <c r="H15" s="973"/>
      <c r="I15" s="974">
        <f>H15*6</f>
        <v>0</v>
      </c>
      <c r="J15" s="973"/>
      <c r="K15" s="973"/>
      <c r="L15" s="973">
        <v>0</v>
      </c>
      <c r="M15" s="974">
        <f>L15*6</f>
        <v>0</v>
      </c>
      <c r="N15" s="973">
        <v>1</v>
      </c>
      <c r="O15" s="974">
        <f>N15*6</f>
        <v>6</v>
      </c>
      <c r="P15" s="973">
        <v>0</v>
      </c>
      <c r="Q15" s="974">
        <f>P15*6</f>
        <v>0</v>
      </c>
      <c r="R15" s="973">
        <v>1</v>
      </c>
      <c r="S15" s="974">
        <f>R15*6</f>
        <v>6</v>
      </c>
      <c r="T15" s="973">
        <v>1</v>
      </c>
      <c r="U15" s="974">
        <f>T15*6</f>
        <v>6</v>
      </c>
      <c r="V15" s="973"/>
      <c r="W15" s="974">
        <f>V15*6</f>
        <v>0</v>
      </c>
      <c r="X15" s="973">
        <v>2</v>
      </c>
      <c r="Y15" s="974">
        <f>X15*6</f>
        <v>12</v>
      </c>
      <c r="Z15" s="973"/>
      <c r="AA15" s="974">
        <f>Z15*6</f>
        <v>0</v>
      </c>
      <c r="AB15" s="973"/>
      <c r="AC15" s="974">
        <f>AB15*6</f>
        <v>0</v>
      </c>
      <c r="AD15" s="973">
        <v>0</v>
      </c>
      <c r="AE15" s="974">
        <f>AD15*6</f>
        <v>0</v>
      </c>
      <c r="AF15" s="973">
        <v>1</v>
      </c>
      <c r="AG15" s="974">
        <f>AF15*6</f>
        <v>6</v>
      </c>
      <c r="AH15" s="973">
        <v>1</v>
      </c>
      <c r="AI15" s="974">
        <f>AH15*6</f>
        <v>6</v>
      </c>
      <c r="AJ15" s="973"/>
      <c r="AK15" s="974">
        <f>AJ15*6</f>
        <v>0</v>
      </c>
      <c r="AL15" s="973"/>
      <c r="AM15" s="974">
        <f>AL15*6</f>
        <v>0</v>
      </c>
      <c r="AN15" s="973"/>
      <c r="AO15" s="974">
        <f>AN15*6</f>
        <v>0</v>
      </c>
      <c r="AP15" s="973"/>
      <c r="AQ15" s="974">
        <f>AP15*6</f>
        <v>0</v>
      </c>
      <c r="AR15" s="973"/>
      <c r="AS15" s="974">
        <f>AR15*6</f>
        <v>0</v>
      </c>
      <c r="AT15" s="973"/>
      <c r="AU15" s="974">
        <f>AT15*6</f>
        <v>0</v>
      </c>
      <c r="AV15" s="973"/>
      <c r="AW15" s="974">
        <f>AV15*6</f>
        <v>0</v>
      </c>
      <c r="AX15" s="973">
        <v>1</v>
      </c>
      <c r="AY15" s="974">
        <f>AX15*6</f>
        <v>6</v>
      </c>
      <c r="AZ15" s="973">
        <v>2</v>
      </c>
      <c r="BA15" s="974">
        <f>AZ15*6</f>
        <v>12</v>
      </c>
      <c r="BB15" s="973">
        <v>1</v>
      </c>
      <c r="BC15" s="974">
        <f>BB15*5</f>
        <v>5</v>
      </c>
      <c r="BD15" s="973">
        <v>1</v>
      </c>
      <c r="BE15" s="974">
        <f>BD15*5</f>
        <v>5</v>
      </c>
      <c r="BF15" s="973">
        <v>1</v>
      </c>
      <c r="BG15" s="974">
        <f>BF15*5</f>
        <v>5</v>
      </c>
      <c r="BH15" s="973">
        <v>1</v>
      </c>
      <c r="BI15" s="974">
        <f>BH15*5</f>
        <v>5</v>
      </c>
      <c r="BJ15" s="973">
        <v>0</v>
      </c>
      <c r="BK15" s="974">
        <f>BJ15*5</f>
        <v>0</v>
      </c>
      <c r="BL15" s="973">
        <v>0</v>
      </c>
      <c r="BM15" s="974">
        <f>BL15*5</f>
        <v>0</v>
      </c>
      <c r="BN15" s="973">
        <v>0</v>
      </c>
      <c r="BO15" s="974">
        <f>BN15*5</f>
        <v>0</v>
      </c>
      <c r="BP15" s="973">
        <v>0</v>
      </c>
      <c r="BQ15" s="974">
        <f>BP15*5</f>
        <v>0</v>
      </c>
      <c r="BR15" s="973">
        <v>0</v>
      </c>
      <c r="BS15" s="974">
        <f>BR15*5</f>
        <v>0</v>
      </c>
      <c r="BT15" s="973">
        <v>2</v>
      </c>
      <c r="BU15" s="974">
        <f>BT15*5</f>
        <v>10</v>
      </c>
      <c r="BV15" s="973">
        <v>0</v>
      </c>
      <c r="BW15" s="974">
        <f>BV15*5</f>
        <v>0</v>
      </c>
      <c r="BX15" s="973">
        <v>2</v>
      </c>
      <c r="BY15" s="974">
        <f>BX15*5</f>
        <v>10</v>
      </c>
      <c r="BZ15" s="973">
        <v>0</v>
      </c>
      <c r="CA15" s="974">
        <f>BZ15*5</f>
        <v>0</v>
      </c>
      <c r="CB15" s="973">
        <v>0</v>
      </c>
      <c r="CC15" s="974">
        <f>CB15*5</f>
        <v>0</v>
      </c>
      <c r="CD15" s="973">
        <v>0</v>
      </c>
      <c r="CE15" s="974">
        <f>CD15*5</f>
        <v>0</v>
      </c>
      <c r="CF15" s="973">
        <v>3</v>
      </c>
      <c r="CG15" s="974">
        <f>CF15*5</f>
        <v>15</v>
      </c>
      <c r="CH15" s="973">
        <v>0</v>
      </c>
      <c r="CI15" s="974">
        <v>0</v>
      </c>
      <c r="CJ15" s="973">
        <v>0</v>
      </c>
      <c r="CK15" s="974">
        <v>0</v>
      </c>
      <c r="CL15" s="973">
        <v>0</v>
      </c>
      <c r="CM15" s="974">
        <v>0</v>
      </c>
      <c r="CN15" s="973">
        <v>0</v>
      </c>
      <c r="CO15" s="974">
        <v>0</v>
      </c>
      <c r="CP15" s="973">
        <v>0</v>
      </c>
      <c r="CQ15" s="974">
        <v>0</v>
      </c>
      <c r="CR15" s="973">
        <v>0</v>
      </c>
      <c r="CS15" s="974">
        <v>0</v>
      </c>
      <c r="CT15" s="973">
        <v>3</v>
      </c>
      <c r="CU15" s="974">
        <v>15</v>
      </c>
      <c r="CV15" s="973">
        <v>2</v>
      </c>
      <c r="CW15" s="974">
        <v>10</v>
      </c>
      <c r="CX15" s="973">
        <v>3</v>
      </c>
      <c r="CY15" s="974">
        <v>15</v>
      </c>
      <c r="CZ15" s="973">
        <v>0</v>
      </c>
      <c r="DA15" s="974">
        <v>0</v>
      </c>
      <c r="DB15" s="973">
        <v>1</v>
      </c>
      <c r="DC15" s="974">
        <v>5</v>
      </c>
      <c r="DD15" s="973">
        <v>1</v>
      </c>
      <c r="DE15" s="974">
        <v>5</v>
      </c>
      <c r="DF15" s="973">
        <v>1</v>
      </c>
      <c r="DG15" s="974">
        <v>5</v>
      </c>
      <c r="DH15" s="973">
        <v>0</v>
      </c>
      <c r="DI15" s="974">
        <v>0</v>
      </c>
      <c r="DJ15" s="973">
        <v>1</v>
      </c>
      <c r="DK15" s="974">
        <v>5</v>
      </c>
      <c r="DL15" s="973">
        <v>0</v>
      </c>
      <c r="DM15" s="974">
        <v>0</v>
      </c>
      <c r="DN15" s="973">
        <v>1</v>
      </c>
      <c r="DO15" s="974">
        <v>5</v>
      </c>
      <c r="DP15" s="973"/>
      <c r="DQ15" s="974"/>
      <c r="DR15" s="973"/>
      <c r="DS15" s="974"/>
      <c r="DT15" s="973"/>
      <c r="DU15" s="974"/>
      <c r="DV15" s="973"/>
      <c r="DW15" s="974"/>
      <c r="DX15" s="973"/>
      <c r="DY15" s="974"/>
      <c r="DZ15" s="973"/>
      <c r="EA15" s="974"/>
      <c r="EB15" s="973"/>
      <c r="EC15" s="974"/>
      <c r="ED15" s="973"/>
      <c r="EE15" s="974"/>
      <c r="EF15" s="973"/>
      <c r="EG15" s="974"/>
      <c r="EH15" s="973"/>
      <c r="EI15" s="974"/>
      <c r="EJ15" s="973"/>
      <c r="EK15" s="974"/>
      <c r="EL15" s="973"/>
      <c r="EM15" s="974"/>
      <c r="EN15" s="973"/>
      <c r="EO15" s="974"/>
      <c r="EP15" s="973"/>
      <c r="EQ15" s="974"/>
      <c r="ER15" s="973"/>
      <c r="ES15" s="974"/>
      <c r="ET15" s="973"/>
      <c r="EU15" s="974"/>
      <c r="EV15" s="973"/>
      <c r="EW15" s="974"/>
      <c r="EX15" s="973"/>
      <c r="EY15" s="974"/>
      <c r="EZ15" s="973"/>
      <c r="FA15" s="974"/>
      <c r="FB15" s="973"/>
      <c r="FC15" s="974"/>
      <c r="FD15" s="973"/>
      <c r="FE15" s="974"/>
      <c r="FF15" s="973"/>
      <c r="FG15" s="974"/>
      <c r="FH15" s="973"/>
      <c r="FI15" s="974"/>
      <c r="FJ15" s="975"/>
      <c r="FK15" s="974"/>
      <c r="FL15" s="971"/>
      <c r="FM15" s="976"/>
      <c r="FN15" s="968"/>
      <c r="FO15" s="976"/>
      <c r="FP15" s="976"/>
      <c r="FQ15" s="976"/>
      <c r="FR15" s="976"/>
      <c r="FS15" s="976"/>
      <c r="FT15" s="976"/>
    </row>
    <row r="16" spans="1:176">
      <c r="A16" s="38" t="s">
        <v>6973</v>
      </c>
      <c r="B16" s="38">
        <v>3</v>
      </c>
      <c r="C16" s="969">
        <f>B16*12</f>
        <v>36</v>
      </c>
      <c r="D16" s="38">
        <v>9</v>
      </c>
      <c r="E16" s="969">
        <f>D16*12</f>
        <v>108</v>
      </c>
      <c r="F16" s="38">
        <v>6</v>
      </c>
      <c r="G16" s="969">
        <v>72</v>
      </c>
      <c r="H16" s="38">
        <v>1</v>
      </c>
      <c r="I16" s="969">
        <v>12</v>
      </c>
      <c r="J16" s="38"/>
      <c r="K16" s="38"/>
      <c r="L16" s="38"/>
      <c r="M16" s="969"/>
      <c r="N16" s="38"/>
      <c r="O16" s="969"/>
      <c r="P16" s="38"/>
      <c r="Q16" s="969"/>
      <c r="R16" s="38"/>
      <c r="S16" s="969"/>
      <c r="T16" s="38"/>
      <c r="U16" s="969"/>
      <c r="V16" s="38"/>
      <c r="W16" s="969"/>
      <c r="X16" s="38"/>
      <c r="Y16" s="969"/>
      <c r="Z16" s="38"/>
      <c r="AA16" s="969"/>
      <c r="AB16" s="38"/>
      <c r="AC16" s="969"/>
      <c r="AD16" s="38"/>
      <c r="AE16" s="969"/>
      <c r="AF16" s="38"/>
      <c r="AG16" s="969"/>
      <c r="AH16" s="38"/>
      <c r="AI16" s="969"/>
      <c r="AJ16" s="38"/>
      <c r="AK16" s="969"/>
      <c r="AL16" s="38"/>
      <c r="AM16" s="969"/>
      <c r="AN16" s="38"/>
      <c r="AO16" s="969"/>
      <c r="AP16" s="38"/>
      <c r="AQ16" s="969"/>
      <c r="AR16" s="38"/>
      <c r="AS16" s="969"/>
      <c r="AT16" s="38"/>
      <c r="AU16" s="969"/>
      <c r="AV16" s="38"/>
      <c r="AW16" s="969"/>
      <c r="AX16" s="38"/>
      <c r="AY16" s="969"/>
      <c r="AZ16" s="38"/>
      <c r="BA16" s="969"/>
      <c r="BB16" s="38"/>
      <c r="BC16" s="969"/>
      <c r="BD16" s="38"/>
      <c r="BE16" s="969"/>
      <c r="BF16" s="38"/>
      <c r="BG16" s="969"/>
      <c r="BH16" s="38"/>
      <c r="BI16" s="969"/>
      <c r="BJ16" s="38"/>
      <c r="BK16" s="969"/>
      <c r="BL16" s="38"/>
      <c r="BM16" s="969"/>
      <c r="BN16" s="38"/>
      <c r="BO16" s="969"/>
      <c r="BP16" s="38"/>
      <c r="BQ16" s="969"/>
      <c r="BR16" s="38"/>
      <c r="BS16" s="969"/>
      <c r="BT16" s="38"/>
      <c r="BU16" s="969"/>
      <c r="BV16" s="38"/>
      <c r="BW16" s="969"/>
      <c r="BX16" s="38"/>
      <c r="BY16" s="969"/>
      <c r="BZ16" s="38"/>
      <c r="CA16" s="969"/>
      <c r="CB16" s="38"/>
      <c r="CC16" s="969"/>
      <c r="CD16" s="38"/>
      <c r="CE16" s="969"/>
      <c r="CF16" s="38"/>
      <c r="CG16" s="969"/>
      <c r="CH16" s="38"/>
      <c r="CI16" s="969"/>
      <c r="CJ16" s="38"/>
      <c r="CK16" s="969"/>
      <c r="CL16" s="38"/>
      <c r="CM16" s="969"/>
      <c r="CN16" s="38"/>
      <c r="CO16" s="969"/>
      <c r="CP16" s="38"/>
      <c r="CQ16" s="969"/>
      <c r="CR16" s="38"/>
      <c r="CS16" s="969"/>
      <c r="CT16" s="38"/>
      <c r="CU16" s="969"/>
      <c r="CV16" s="38"/>
      <c r="CW16" s="969"/>
      <c r="CX16" s="38"/>
      <c r="CY16" s="969"/>
      <c r="CZ16" s="38"/>
      <c r="DA16" s="969"/>
      <c r="DB16" s="38"/>
      <c r="DC16" s="969"/>
      <c r="DD16" s="38"/>
      <c r="DE16" s="969"/>
      <c r="DF16" s="38"/>
      <c r="DG16" s="969"/>
      <c r="DH16" s="38"/>
      <c r="DI16" s="969"/>
      <c r="DJ16" s="38"/>
      <c r="DK16" s="969"/>
      <c r="DL16" s="38"/>
      <c r="DM16" s="969"/>
      <c r="DN16" s="38"/>
      <c r="DO16" s="969"/>
      <c r="DP16" s="38"/>
      <c r="DQ16" s="969"/>
      <c r="DR16" s="38"/>
      <c r="DS16" s="969"/>
      <c r="DT16" s="38"/>
      <c r="DU16" s="969"/>
      <c r="DV16" s="38"/>
      <c r="DW16" s="969"/>
      <c r="DX16" s="38"/>
      <c r="DY16" s="969"/>
      <c r="DZ16" s="38"/>
      <c r="EA16" s="969"/>
      <c r="EB16" s="38"/>
      <c r="EC16" s="969"/>
      <c r="ED16" s="38"/>
      <c r="EE16" s="969"/>
      <c r="EF16" s="38"/>
      <c r="EG16" s="969"/>
      <c r="EH16" s="38"/>
      <c r="EI16" s="969"/>
      <c r="EJ16" s="38"/>
      <c r="EK16" s="969"/>
      <c r="EL16" s="38"/>
      <c r="EM16" s="969"/>
      <c r="EN16" s="38"/>
      <c r="EO16" s="969"/>
      <c r="EP16" s="38"/>
      <c r="EQ16" s="969"/>
      <c r="ER16" s="38"/>
      <c r="ES16" s="969"/>
      <c r="ET16" s="38"/>
      <c r="EU16" s="969"/>
      <c r="EV16" s="38"/>
      <c r="EW16" s="969"/>
      <c r="EX16" s="38"/>
      <c r="EY16" s="969"/>
      <c r="EZ16" s="38"/>
      <c r="FA16" s="969"/>
      <c r="FB16" s="38"/>
      <c r="FC16" s="969"/>
      <c r="FD16" s="38"/>
      <c r="FE16" s="969"/>
      <c r="FF16" s="38"/>
      <c r="FG16" s="969"/>
      <c r="FH16" s="38"/>
      <c r="FI16" s="969"/>
      <c r="FJ16" s="970"/>
      <c r="FK16" s="969"/>
      <c r="FL16" s="971"/>
      <c r="FM16" s="9"/>
      <c r="FN16" s="968"/>
      <c r="FO16" s="9"/>
      <c r="FP16" s="9"/>
      <c r="FQ16" s="9"/>
      <c r="FR16" s="9"/>
      <c r="FS16" s="9"/>
      <c r="FT16" s="9"/>
    </row>
    <row r="17" spans="1:176">
      <c r="A17" s="972" t="s">
        <v>6974</v>
      </c>
      <c r="B17" s="973"/>
      <c r="C17" s="974">
        <v>0</v>
      </c>
      <c r="D17" s="973"/>
      <c r="E17" s="974">
        <v>0</v>
      </c>
      <c r="F17" s="973"/>
      <c r="G17" s="974">
        <v>0</v>
      </c>
      <c r="H17" s="973"/>
      <c r="I17" s="974">
        <v>0</v>
      </c>
      <c r="J17" s="973"/>
      <c r="K17" s="973"/>
      <c r="L17" s="973">
        <v>0</v>
      </c>
      <c r="M17" s="974">
        <v>0</v>
      </c>
      <c r="N17" s="973">
        <v>0</v>
      </c>
      <c r="O17" s="974">
        <v>0</v>
      </c>
      <c r="P17" s="973"/>
      <c r="Q17" s="974">
        <v>0</v>
      </c>
      <c r="R17" s="973"/>
      <c r="S17" s="974">
        <v>0</v>
      </c>
      <c r="T17" s="973"/>
      <c r="U17" s="974">
        <v>0</v>
      </c>
      <c r="V17" s="973"/>
      <c r="W17" s="974">
        <v>0</v>
      </c>
      <c r="X17" s="973"/>
      <c r="Y17" s="974">
        <v>0</v>
      </c>
      <c r="Z17" s="973"/>
      <c r="AA17" s="974">
        <v>0</v>
      </c>
      <c r="AB17" s="973"/>
      <c r="AC17" s="974">
        <v>0</v>
      </c>
      <c r="AD17" s="973">
        <v>0</v>
      </c>
      <c r="AE17" s="974">
        <v>0</v>
      </c>
      <c r="AF17" s="973"/>
      <c r="AG17" s="974">
        <v>0</v>
      </c>
      <c r="AH17" s="973"/>
      <c r="AI17" s="974">
        <v>0</v>
      </c>
      <c r="AJ17" s="973"/>
      <c r="AK17" s="974">
        <v>0</v>
      </c>
      <c r="AL17" s="973"/>
      <c r="AM17" s="974">
        <v>0</v>
      </c>
      <c r="AN17" s="973"/>
      <c r="AO17" s="974">
        <v>0</v>
      </c>
      <c r="AP17" s="973"/>
      <c r="AQ17" s="974">
        <v>0</v>
      </c>
      <c r="AR17" s="973"/>
      <c r="AS17" s="974">
        <v>0</v>
      </c>
      <c r="AT17" s="973"/>
      <c r="AU17" s="974">
        <v>0</v>
      </c>
      <c r="AV17" s="973"/>
      <c r="AW17" s="974">
        <v>0</v>
      </c>
      <c r="AX17" s="973"/>
      <c r="AY17" s="974">
        <v>0</v>
      </c>
      <c r="AZ17" s="973"/>
      <c r="BA17" s="974">
        <v>0</v>
      </c>
      <c r="BB17" s="973"/>
      <c r="BC17" s="974">
        <v>0</v>
      </c>
      <c r="BD17" s="973"/>
      <c r="BE17" s="974">
        <v>0</v>
      </c>
      <c r="BF17" s="973"/>
      <c r="BG17" s="974">
        <v>0</v>
      </c>
      <c r="BH17" s="973"/>
      <c r="BI17" s="974">
        <v>0</v>
      </c>
      <c r="BJ17" s="973">
        <v>1</v>
      </c>
      <c r="BK17" s="974">
        <v>5</v>
      </c>
      <c r="BL17" s="973">
        <v>2</v>
      </c>
      <c r="BM17" s="974">
        <v>10</v>
      </c>
      <c r="BN17" s="973">
        <v>0</v>
      </c>
      <c r="BO17" s="974">
        <v>0</v>
      </c>
      <c r="BP17" s="973">
        <v>0</v>
      </c>
      <c r="BQ17" s="974">
        <v>0</v>
      </c>
      <c r="BR17" s="973">
        <v>1</v>
      </c>
      <c r="BS17" s="974">
        <v>5</v>
      </c>
      <c r="BT17" s="973">
        <v>4</v>
      </c>
      <c r="BU17" s="974">
        <v>20</v>
      </c>
      <c r="BV17" s="973">
        <v>0</v>
      </c>
      <c r="BW17" s="974">
        <v>0</v>
      </c>
      <c r="BX17" s="973">
        <v>0</v>
      </c>
      <c r="BY17" s="974">
        <v>0</v>
      </c>
      <c r="BZ17" s="973">
        <v>0</v>
      </c>
      <c r="CA17" s="974">
        <v>0</v>
      </c>
      <c r="CB17" s="973">
        <v>0</v>
      </c>
      <c r="CC17" s="974">
        <v>0</v>
      </c>
      <c r="CD17" s="973">
        <v>0</v>
      </c>
      <c r="CE17" s="974">
        <v>0</v>
      </c>
      <c r="CF17" s="973">
        <v>0</v>
      </c>
      <c r="CG17" s="974">
        <v>0</v>
      </c>
      <c r="CH17" s="973">
        <v>0</v>
      </c>
      <c r="CI17" s="974">
        <v>0</v>
      </c>
      <c r="CJ17" s="973">
        <v>0</v>
      </c>
      <c r="CK17" s="974">
        <v>0</v>
      </c>
      <c r="CL17" s="973">
        <v>0</v>
      </c>
      <c r="CM17" s="974">
        <v>0</v>
      </c>
      <c r="CN17" s="973">
        <v>0</v>
      </c>
      <c r="CO17" s="974">
        <v>0</v>
      </c>
      <c r="CP17" s="973">
        <v>0</v>
      </c>
      <c r="CQ17" s="974">
        <v>0</v>
      </c>
      <c r="CR17" s="973">
        <v>0</v>
      </c>
      <c r="CS17" s="974">
        <v>0</v>
      </c>
      <c r="CT17" s="973">
        <v>0</v>
      </c>
      <c r="CU17" s="974">
        <v>0</v>
      </c>
      <c r="CV17" s="973">
        <v>0</v>
      </c>
      <c r="CW17" s="974">
        <v>0</v>
      </c>
      <c r="CX17" s="973">
        <v>0</v>
      </c>
      <c r="CY17" s="974">
        <v>0</v>
      </c>
      <c r="CZ17" s="973">
        <v>0</v>
      </c>
      <c r="DA17" s="974">
        <v>0</v>
      </c>
      <c r="DB17" s="973">
        <v>0</v>
      </c>
      <c r="DC17" s="974">
        <v>0</v>
      </c>
      <c r="DD17" s="973">
        <v>0</v>
      </c>
      <c r="DE17" s="974">
        <v>0</v>
      </c>
      <c r="DF17" s="973">
        <v>0</v>
      </c>
      <c r="DG17" s="974">
        <v>0</v>
      </c>
      <c r="DH17" s="973">
        <v>1</v>
      </c>
      <c r="DI17" s="974">
        <v>5</v>
      </c>
      <c r="DJ17" s="973">
        <v>0</v>
      </c>
      <c r="DK17" s="974">
        <v>0</v>
      </c>
      <c r="DL17" s="973">
        <v>0</v>
      </c>
      <c r="DM17" s="974">
        <v>0</v>
      </c>
      <c r="DN17" s="973">
        <v>0</v>
      </c>
      <c r="DO17" s="974">
        <v>0</v>
      </c>
      <c r="DP17" s="973">
        <v>0</v>
      </c>
      <c r="DQ17" s="974">
        <v>0</v>
      </c>
      <c r="DR17" s="973">
        <v>0</v>
      </c>
      <c r="DS17" s="974">
        <v>10</v>
      </c>
      <c r="DT17" s="973">
        <v>1</v>
      </c>
      <c r="DU17" s="974">
        <v>10</v>
      </c>
      <c r="DV17" s="973">
        <v>1</v>
      </c>
      <c r="DW17" s="974">
        <v>0</v>
      </c>
      <c r="DX17" s="973">
        <v>0</v>
      </c>
      <c r="DY17" s="974">
        <v>0</v>
      </c>
      <c r="DZ17" s="973">
        <v>0</v>
      </c>
      <c r="EA17" s="974">
        <v>0</v>
      </c>
      <c r="EB17" s="973">
        <v>2</v>
      </c>
      <c r="EC17" s="974">
        <v>20</v>
      </c>
      <c r="ED17" s="973">
        <v>0</v>
      </c>
      <c r="EE17" s="974">
        <v>0</v>
      </c>
      <c r="EF17" s="973">
        <v>0</v>
      </c>
      <c r="EG17" s="974">
        <v>0</v>
      </c>
      <c r="EH17" s="973">
        <v>0</v>
      </c>
      <c r="EI17" s="974">
        <v>0</v>
      </c>
      <c r="EJ17" s="973">
        <v>0</v>
      </c>
      <c r="EK17" s="974">
        <v>0</v>
      </c>
      <c r="EL17" s="973">
        <v>0</v>
      </c>
      <c r="EM17" s="974">
        <v>0</v>
      </c>
      <c r="EN17" s="973">
        <v>0</v>
      </c>
      <c r="EO17" s="974">
        <v>0</v>
      </c>
      <c r="EP17" s="973">
        <v>3</v>
      </c>
      <c r="EQ17" s="974">
        <v>50</v>
      </c>
      <c r="ER17" s="973">
        <v>4</v>
      </c>
      <c r="ES17" s="974">
        <v>60</v>
      </c>
      <c r="ET17" s="973">
        <v>0</v>
      </c>
      <c r="EU17" s="974">
        <v>0</v>
      </c>
      <c r="EV17" s="973">
        <v>0</v>
      </c>
      <c r="EW17" s="974">
        <v>0</v>
      </c>
      <c r="EX17" s="973">
        <v>0</v>
      </c>
      <c r="EY17" s="974">
        <v>0</v>
      </c>
      <c r="EZ17" s="973">
        <v>0</v>
      </c>
      <c r="FA17" s="974">
        <v>0</v>
      </c>
      <c r="FB17" s="973">
        <v>0</v>
      </c>
      <c r="FC17" s="974">
        <v>0</v>
      </c>
      <c r="FD17" s="973">
        <v>0</v>
      </c>
      <c r="FE17" s="974">
        <v>0</v>
      </c>
      <c r="FF17" s="973">
        <v>0</v>
      </c>
      <c r="FG17" s="974">
        <v>0</v>
      </c>
      <c r="FH17" s="973">
        <v>0</v>
      </c>
      <c r="FI17" s="974">
        <v>0</v>
      </c>
      <c r="FJ17" s="975">
        <v>0</v>
      </c>
      <c r="FK17" s="974">
        <v>0</v>
      </c>
      <c r="FL17" s="971">
        <v>0</v>
      </c>
      <c r="FM17" s="976">
        <v>0</v>
      </c>
      <c r="FN17" s="968">
        <v>0</v>
      </c>
      <c r="FO17" s="976">
        <v>0</v>
      </c>
      <c r="FP17" s="976">
        <v>0</v>
      </c>
      <c r="FQ17" s="976">
        <v>0</v>
      </c>
      <c r="FR17" s="976">
        <v>110</v>
      </c>
      <c r="FS17" s="976"/>
      <c r="FT17" s="976" t="s">
        <v>6975</v>
      </c>
    </row>
    <row r="18" spans="1:176">
      <c r="A18" s="38" t="s">
        <v>725</v>
      </c>
      <c r="B18" s="38"/>
      <c r="C18" s="969">
        <v>0</v>
      </c>
      <c r="D18" s="38"/>
      <c r="E18" s="969">
        <v>0</v>
      </c>
      <c r="F18" s="38"/>
      <c r="G18" s="969">
        <v>0</v>
      </c>
      <c r="H18" s="38"/>
      <c r="I18" s="969">
        <v>10</v>
      </c>
      <c r="J18" s="38"/>
      <c r="K18" s="38"/>
      <c r="L18" s="38">
        <v>1</v>
      </c>
      <c r="M18" s="969">
        <v>10</v>
      </c>
      <c r="N18" s="38"/>
      <c r="O18" s="969">
        <v>0</v>
      </c>
      <c r="P18" s="38"/>
      <c r="Q18" s="969">
        <v>0</v>
      </c>
      <c r="R18" s="38"/>
      <c r="S18" s="969">
        <v>0</v>
      </c>
      <c r="T18" s="38"/>
      <c r="U18" s="969">
        <v>0</v>
      </c>
      <c r="V18" s="38"/>
      <c r="W18" s="969">
        <v>0</v>
      </c>
      <c r="X18" s="38"/>
      <c r="Y18" s="969">
        <v>0</v>
      </c>
      <c r="Z18" s="38"/>
      <c r="AA18" s="969">
        <v>0</v>
      </c>
      <c r="AB18" s="38"/>
      <c r="AC18" s="969">
        <v>10</v>
      </c>
      <c r="AD18" s="38">
        <v>0</v>
      </c>
      <c r="AE18" s="969">
        <v>10</v>
      </c>
      <c r="AF18" s="38">
        <v>1</v>
      </c>
      <c r="AG18" s="969">
        <v>10</v>
      </c>
      <c r="AH18" s="38"/>
      <c r="AI18" s="969">
        <v>0</v>
      </c>
      <c r="AJ18" s="38"/>
      <c r="AK18" s="969">
        <v>0</v>
      </c>
      <c r="AL18" s="38"/>
      <c r="AM18" s="969">
        <v>0</v>
      </c>
      <c r="AN18" s="38"/>
      <c r="AO18" s="969">
        <v>0</v>
      </c>
      <c r="AP18" s="38"/>
      <c r="AQ18" s="969">
        <v>0</v>
      </c>
      <c r="AR18" s="38"/>
      <c r="AS18" s="969">
        <v>0</v>
      </c>
      <c r="AT18" s="38"/>
      <c r="AU18" s="969">
        <v>0</v>
      </c>
      <c r="AV18" s="38"/>
      <c r="AW18" s="969">
        <v>0</v>
      </c>
      <c r="AX18" s="38"/>
      <c r="AY18" s="969">
        <v>0</v>
      </c>
      <c r="AZ18" s="38"/>
      <c r="BA18" s="969">
        <v>0</v>
      </c>
      <c r="BB18" s="38"/>
      <c r="BC18" s="969">
        <v>0</v>
      </c>
      <c r="BD18" s="38"/>
      <c r="BE18" s="969">
        <v>0</v>
      </c>
      <c r="BF18" s="38"/>
      <c r="BG18" s="969">
        <v>0</v>
      </c>
      <c r="BH18" s="38"/>
      <c r="BI18" s="969">
        <v>0</v>
      </c>
      <c r="BJ18" s="38">
        <v>0</v>
      </c>
      <c r="BK18" s="969">
        <v>0</v>
      </c>
      <c r="BL18" s="38">
        <v>0</v>
      </c>
      <c r="BM18" s="969">
        <v>0</v>
      </c>
      <c r="BN18" s="38">
        <v>0</v>
      </c>
      <c r="BO18" s="969">
        <v>0</v>
      </c>
      <c r="BP18" s="38">
        <v>0</v>
      </c>
      <c r="BQ18" s="969">
        <v>0</v>
      </c>
      <c r="BR18" s="38">
        <v>0</v>
      </c>
      <c r="BS18" s="969">
        <v>0</v>
      </c>
      <c r="BT18" s="38">
        <v>0</v>
      </c>
      <c r="BU18" s="969">
        <v>0</v>
      </c>
      <c r="BV18" s="38">
        <v>0</v>
      </c>
      <c r="BW18" s="969">
        <v>0</v>
      </c>
      <c r="BX18" s="38">
        <v>0</v>
      </c>
      <c r="BY18" s="969">
        <v>0</v>
      </c>
      <c r="BZ18" s="38">
        <v>0</v>
      </c>
      <c r="CA18" s="969">
        <v>0</v>
      </c>
      <c r="CB18" s="38">
        <v>0</v>
      </c>
      <c r="CC18" s="969">
        <v>0</v>
      </c>
      <c r="CD18" s="38">
        <v>0</v>
      </c>
      <c r="CE18" s="969">
        <v>0</v>
      </c>
      <c r="CF18" s="38">
        <v>0</v>
      </c>
      <c r="CG18" s="969">
        <v>0</v>
      </c>
      <c r="CH18" s="38">
        <v>0</v>
      </c>
      <c r="CI18" s="969">
        <v>0</v>
      </c>
      <c r="CJ18" s="38">
        <v>0</v>
      </c>
      <c r="CK18" s="969">
        <v>0</v>
      </c>
      <c r="CL18" s="38">
        <v>0</v>
      </c>
      <c r="CM18" s="969">
        <v>0</v>
      </c>
      <c r="CN18" s="38">
        <v>0</v>
      </c>
      <c r="CO18" s="969">
        <v>0</v>
      </c>
      <c r="CP18" s="38">
        <v>0</v>
      </c>
      <c r="CQ18" s="969">
        <v>0</v>
      </c>
      <c r="CR18" s="38">
        <v>0</v>
      </c>
      <c r="CS18" s="969">
        <v>0</v>
      </c>
      <c r="CT18" s="38">
        <v>0</v>
      </c>
      <c r="CU18" s="969">
        <v>0</v>
      </c>
      <c r="CV18" s="38">
        <v>0</v>
      </c>
      <c r="CW18" s="969">
        <v>0</v>
      </c>
      <c r="CX18" s="38">
        <v>0</v>
      </c>
      <c r="CY18" s="969">
        <v>0</v>
      </c>
      <c r="CZ18" s="38">
        <v>0</v>
      </c>
      <c r="DA18" s="969">
        <v>0</v>
      </c>
      <c r="DB18" s="38">
        <v>1</v>
      </c>
      <c r="DC18" s="969">
        <v>25</v>
      </c>
      <c r="DD18" s="38">
        <v>1</v>
      </c>
      <c r="DE18" s="969">
        <v>20</v>
      </c>
      <c r="DF18" s="38">
        <v>0</v>
      </c>
      <c r="DG18" s="969">
        <v>0</v>
      </c>
      <c r="DH18" s="38">
        <v>0</v>
      </c>
      <c r="DI18" s="969">
        <v>0</v>
      </c>
      <c r="DJ18" s="38">
        <v>1</v>
      </c>
      <c r="DK18" s="969">
        <v>10</v>
      </c>
      <c r="DL18" s="38">
        <v>1</v>
      </c>
      <c r="DM18" s="969">
        <v>35</v>
      </c>
      <c r="DN18" s="38">
        <v>2</v>
      </c>
      <c r="DO18" s="969">
        <v>25</v>
      </c>
      <c r="DP18" s="38">
        <v>5</v>
      </c>
      <c r="DQ18" s="969">
        <v>100</v>
      </c>
      <c r="DR18" s="38">
        <v>3</v>
      </c>
      <c r="DS18" s="969">
        <v>45</v>
      </c>
      <c r="DT18" s="38">
        <v>0</v>
      </c>
      <c r="DU18" s="969">
        <v>0</v>
      </c>
      <c r="DV18" s="38">
        <v>0</v>
      </c>
      <c r="DW18" s="969">
        <v>30</v>
      </c>
      <c r="DX18" s="38">
        <v>0</v>
      </c>
      <c r="DY18" s="969">
        <v>0</v>
      </c>
      <c r="DZ18" s="38">
        <v>1</v>
      </c>
      <c r="EA18" s="969">
        <v>8</v>
      </c>
      <c r="EB18" s="38">
        <v>4</v>
      </c>
      <c r="EC18" s="969">
        <v>65</v>
      </c>
      <c r="ED18" s="38">
        <v>2</v>
      </c>
      <c r="EE18" s="969">
        <v>25</v>
      </c>
      <c r="EF18" s="38">
        <v>2</v>
      </c>
      <c r="EG18" s="969">
        <v>35</v>
      </c>
      <c r="EH18" s="38">
        <v>1</v>
      </c>
      <c r="EI18" s="969">
        <v>19</v>
      </c>
      <c r="EJ18" s="38">
        <v>2</v>
      </c>
      <c r="EK18" s="969">
        <v>36</v>
      </c>
      <c r="EL18" s="38">
        <v>2</v>
      </c>
      <c r="EM18" s="969">
        <v>73</v>
      </c>
      <c r="EN18" s="38">
        <v>5</v>
      </c>
      <c r="EO18" s="969">
        <v>73</v>
      </c>
      <c r="EP18" s="38">
        <v>1</v>
      </c>
      <c r="EQ18" s="969">
        <v>28</v>
      </c>
      <c r="ER18" s="38">
        <v>2</v>
      </c>
      <c r="ES18" s="969">
        <v>65</v>
      </c>
      <c r="ET18" s="38">
        <v>2</v>
      </c>
      <c r="EU18" s="969">
        <v>62</v>
      </c>
      <c r="EV18" s="38"/>
      <c r="EW18" s="969">
        <v>0</v>
      </c>
      <c r="EX18" s="38"/>
      <c r="EY18" s="969">
        <v>0</v>
      </c>
      <c r="EZ18" s="38"/>
      <c r="FA18" s="969">
        <v>0</v>
      </c>
      <c r="FB18" s="38"/>
      <c r="FC18" s="969">
        <v>0</v>
      </c>
      <c r="FD18" s="38"/>
      <c r="FE18" s="969">
        <v>0</v>
      </c>
      <c r="FF18" s="38"/>
      <c r="FG18" s="969">
        <v>0</v>
      </c>
      <c r="FH18" s="38"/>
      <c r="FI18" s="969">
        <v>0</v>
      </c>
      <c r="FJ18" s="970"/>
      <c r="FK18" s="969">
        <v>0</v>
      </c>
      <c r="FL18" s="971"/>
      <c r="FM18" s="9">
        <v>0</v>
      </c>
      <c r="FN18" s="968"/>
      <c r="FO18" s="9">
        <v>0</v>
      </c>
      <c r="FP18" s="9"/>
      <c r="FQ18" s="9">
        <v>0</v>
      </c>
      <c r="FR18" s="9">
        <v>416</v>
      </c>
      <c r="FS18" s="9"/>
      <c r="FT18" s="9" t="s">
        <v>725</v>
      </c>
    </row>
    <row r="19" spans="1:176">
      <c r="A19" s="972" t="s">
        <v>6976</v>
      </c>
      <c r="B19" s="973">
        <v>0</v>
      </c>
      <c r="C19" s="974">
        <v>0</v>
      </c>
      <c r="D19" s="973">
        <v>0</v>
      </c>
      <c r="E19" s="974">
        <v>0</v>
      </c>
      <c r="F19" s="973">
        <v>0</v>
      </c>
      <c r="G19" s="974">
        <v>0</v>
      </c>
      <c r="H19" s="973">
        <v>1</v>
      </c>
      <c r="I19" s="974">
        <v>5</v>
      </c>
      <c r="J19" s="973"/>
      <c r="K19" s="973"/>
      <c r="L19" s="973"/>
      <c r="M19" s="974">
        <v>0</v>
      </c>
      <c r="N19" s="973"/>
      <c r="O19" s="974">
        <v>0</v>
      </c>
      <c r="P19" s="973"/>
      <c r="Q19" s="974">
        <v>0</v>
      </c>
      <c r="R19" s="973"/>
      <c r="S19" s="974">
        <v>0</v>
      </c>
      <c r="T19" s="973"/>
      <c r="U19" s="974">
        <v>0</v>
      </c>
      <c r="V19" s="973"/>
      <c r="W19" s="974">
        <v>0</v>
      </c>
      <c r="X19" s="973"/>
      <c r="Y19" s="974">
        <v>0</v>
      </c>
      <c r="Z19" s="973"/>
      <c r="AA19" s="974">
        <v>0</v>
      </c>
      <c r="AB19" s="973"/>
      <c r="AC19" s="974">
        <v>0</v>
      </c>
      <c r="AD19" s="973">
        <v>0</v>
      </c>
      <c r="AE19" s="974">
        <v>0</v>
      </c>
      <c r="AF19" s="973"/>
      <c r="AG19" s="974">
        <v>0</v>
      </c>
      <c r="AH19" s="973"/>
      <c r="AI19" s="974">
        <v>0</v>
      </c>
      <c r="AJ19" s="973"/>
      <c r="AK19" s="974">
        <v>0</v>
      </c>
      <c r="AL19" s="973"/>
      <c r="AM19" s="974">
        <v>0</v>
      </c>
      <c r="AN19" s="973"/>
      <c r="AO19" s="974">
        <v>0</v>
      </c>
      <c r="AP19" s="973"/>
      <c r="AQ19" s="974">
        <v>0</v>
      </c>
      <c r="AR19" s="973"/>
      <c r="AS19" s="974">
        <v>0</v>
      </c>
      <c r="AT19" s="973"/>
      <c r="AU19" s="974">
        <v>0</v>
      </c>
      <c r="AV19" s="973"/>
      <c r="AW19" s="974">
        <v>0</v>
      </c>
      <c r="AX19" s="973"/>
      <c r="AY19" s="974">
        <v>0</v>
      </c>
      <c r="AZ19" s="973"/>
      <c r="BA19" s="974">
        <v>0</v>
      </c>
      <c r="BB19" s="973"/>
      <c r="BC19" s="974">
        <v>0</v>
      </c>
      <c r="BD19" s="973"/>
      <c r="BE19" s="974">
        <v>0</v>
      </c>
      <c r="BF19" s="973"/>
      <c r="BG19" s="974">
        <v>0</v>
      </c>
      <c r="BH19" s="973"/>
      <c r="BI19" s="974">
        <v>0</v>
      </c>
      <c r="BJ19" s="973">
        <v>0</v>
      </c>
      <c r="BK19" s="974">
        <v>0</v>
      </c>
      <c r="BL19" s="973">
        <v>0</v>
      </c>
      <c r="BM19" s="974">
        <v>0</v>
      </c>
      <c r="BN19" s="973">
        <v>0</v>
      </c>
      <c r="BO19" s="974">
        <v>0</v>
      </c>
      <c r="BP19" s="973">
        <v>0</v>
      </c>
      <c r="BQ19" s="974">
        <v>0</v>
      </c>
      <c r="BR19" s="973">
        <v>0</v>
      </c>
      <c r="BS19" s="974">
        <v>0</v>
      </c>
      <c r="BT19" s="973">
        <v>0</v>
      </c>
      <c r="BU19" s="974">
        <v>0</v>
      </c>
      <c r="BV19" s="973">
        <v>0</v>
      </c>
      <c r="BW19" s="974">
        <v>0</v>
      </c>
      <c r="BX19" s="973">
        <v>0</v>
      </c>
      <c r="BY19" s="974">
        <v>0</v>
      </c>
      <c r="BZ19" s="973">
        <v>0</v>
      </c>
      <c r="CA19" s="974">
        <v>0</v>
      </c>
      <c r="CB19" s="973">
        <v>0</v>
      </c>
      <c r="CC19" s="974">
        <v>0</v>
      </c>
      <c r="CD19" s="973">
        <v>0</v>
      </c>
      <c r="CE19" s="974">
        <v>0</v>
      </c>
      <c r="CF19" s="973">
        <v>0</v>
      </c>
      <c r="CG19" s="974">
        <v>0</v>
      </c>
      <c r="CH19" s="973">
        <v>0</v>
      </c>
      <c r="CI19" s="974">
        <v>0</v>
      </c>
      <c r="CJ19" s="973">
        <v>0</v>
      </c>
      <c r="CK19" s="974">
        <v>0</v>
      </c>
      <c r="CL19" s="973">
        <v>0</v>
      </c>
      <c r="CM19" s="974">
        <v>0</v>
      </c>
      <c r="CN19" s="973">
        <v>0</v>
      </c>
      <c r="CO19" s="974">
        <v>0</v>
      </c>
      <c r="CP19" s="973">
        <v>0</v>
      </c>
      <c r="CQ19" s="974">
        <v>0</v>
      </c>
      <c r="CR19" s="973">
        <v>0</v>
      </c>
      <c r="CS19" s="974">
        <v>0</v>
      </c>
      <c r="CT19" s="973">
        <v>0</v>
      </c>
      <c r="CU19" s="974">
        <v>0</v>
      </c>
      <c r="CV19" s="973">
        <v>0</v>
      </c>
      <c r="CW19" s="974">
        <v>0</v>
      </c>
      <c r="CX19" s="973">
        <v>1</v>
      </c>
      <c r="CY19" s="974">
        <v>15</v>
      </c>
      <c r="CZ19" s="973">
        <v>0</v>
      </c>
      <c r="DA19" s="974">
        <v>0</v>
      </c>
      <c r="DB19" s="973">
        <v>0</v>
      </c>
      <c r="DC19" s="974">
        <v>0</v>
      </c>
      <c r="DD19" s="973">
        <v>0</v>
      </c>
      <c r="DE19" s="974">
        <v>0</v>
      </c>
      <c r="DF19" s="973">
        <v>0</v>
      </c>
      <c r="DG19" s="974">
        <v>0</v>
      </c>
      <c r="DH19" s="973">
        <v>1</v>
      </c>
      <c r="DI19" s="974">
        <v>0</v>
      </c>
      <c r="DJ19" s="973">
        <v>1</v>
      </c>
      <c r="DK19" s="974">
        <v>20</v>
      </c>
      <c r="DL19" s="973">
        <v>0</v>
      </c>
      <c r="DM19" s="974">
        <v>0</v>
      </c>
      <c r="DN19" s="973">
        <v>3</v>
      </c>
      <c r="DO19" s="974">
        <v>50</v>
      </c>
      <c r="DP19" s="973">
        <v>1</v>
      </c>
      <c r="DQ19" s="974">
        <v>20</v>
      </c>
      <c r="DR19" s="973">
        <v>0</v>
      </c>
      <c r="DS19" s="974">
        <v>0</v>
      </c>
      <c r="DT19" s="973">
        <v>0</v>
      </c>
      <c r="DU19" s="974">
        <v>0</v>
      </c>
      <c r="DV19" s="973">
        <v>0</v>
      </c>
      <c r="DW19" s="974">
        <v>0</v>
      </c>
      <c r="DX19" s="973">
        <v>0</v>
      </c>
      <c r="DY19" s="974">
        <v>0</v>
      </c>
      <c r="DZ19" s="973">
        <v>0</v>
      </c>
      <c r="EA19" s="974">
        <v>0</v>
      </c>
      <c r="EB19" s="973">
        <v>0</v>
      </c>
      <c r="EC19" s="974">
        <v>0</v>
      </c>
      <c r="ED19" s="973">
        <v>2</v>
      </c>
      <c r="EE19" s="974">
        <v>26</v>
      </c>
      <c r="EF19" s="973">
        <v>0</v>
      </c>
      <c r="EG19" s="974">
        <v>7</v>
      </c>
      <c r="EH19" s="973">
        <v>12</v>
      </c>
      <c r="EI19" s="974">
        <v>0</v>
      </c>
      <c r="EJ19" s="973">
        <v>1</v>
      </c>
      <c r="EK19" s="974">
        <v>19</v>
      </c>
      <c r="EL19" s="973">
        <v>1</v>
      </c>
      <c r="EM19" s="974">
        <v>18</v>
      </c>
      <c r="EN19" s="973">
        <v>2</v>
      </c>
      <c r="EO19" s="974">
        <v>20</v>
      </c>
      <c r="EP19" s="973">
        <v>1</v>
      </c>
      <c r="EQ19" s="974">
        <v>17</v>
      </c>
      <c r="ER19" s="973">
        <v>2</v>
      </c>
      <c r="ES19" s="974">
        <v>40</v>
      </c>
      <c r="ET19" s="973">
        <v>1</v>
      </c>
      <c r="EU19" s="974">
        <v>20</v>
      </c>
      <c r="EV19" s="973"/>
      <c r="EW19" s="974">
        <v>0</v>
      </c>
      <c r="EX19" s="973"/>
      <c r="EY19" s="974">
        <v>0</v>
      </c>
      <c r="EZ19" s="973"/>
      <c r="FA19" s="974">
        <v>0</v>
      </c>
      <c r="FB19" s="973"/>
      <c r="FC19" s="974">
        <v>0</v>
      </c>
      <c r="FD19" s="973"/>
      <c r="FE19" s="974">
        <v>0</v>
      </c>
      <c r="FF19" s="973"/>
      <c r="FG19" s="974">
        <v>0</v>
      </c>
      <c r="FH19" s="973"/>
      <c r="FI19" s="974">
        <v>0</v>
      </c>
      <c r="FJ19" s="975"/>
      <c r="FK19" s="974">
        <v>0</v>
      </c>
      <c r="FL19" s="971"/>
      <c r="FM19" s="976">
        <v>0</v>
      </c>
      <c r="FN19" s="968"/>
      <c r="FO19" s="976">
        <v>0</v>
      </c>
      <c r="FP19" s="976"/>
      <c r="FQ19" s="976">
        <v>0</v>
      </c>
      <c r="FR19" s="976">
        <v>167</v>
      </c>
      <c r="FS19" s="976"/>
      <c r="FT19" s="976" t="s">
        <v>6976</v>
      </c>
    </row>
    <row r="20" spans="1:176">
      <c r="A20" s="977" t="s">
        <v>6977</v>
      </c>
      <c r="B20" s="978"/>
      <c r="C20" s="979">
        <v>0</v>
      </c>
      <c r="D20" s="978"/>
      <c r="E20" s="979">
        <v>0</v>
      </c>
      <c r="F20" s="978"/>
      <c r="G20" s="979">
        <v>0</v>
      </c>
      <c r="H20" s="978"/>
      <c r="I20" s="979">
        <v>0</v>
      </c>
      <c r="J20" s="978"/>
      <c r="K20" s="978"/>
      <c r="L20" s="978"/>
      <c r="M20" s="979">
        <v>0</v>
      </c>
      <c r="N20" s="978"/>
      <c r="O20" s="979">
        <v>0</v>
      </c>
      <c r="P20" s="978"/>
      <c r="Q20" s="979">
        <v>0</v>
      </c>
      <c r="R20" s="978"/>
      <c r="S20" s="979">
        <v>0</v>
      </c>
      <c r="T20" s="978"/>
      <c r="U20" s="979">
        <v>0</v>
      </c>
      <c r="V20" s="978"/>
      <c r="W20" s="979">
        <v>0</v>
      </c>
      <c r="X20" s="978"/>
      <c r="Y20" s="979">
        <v>0</v>
      </c>
      <c r="Z20" s="978"/>
      <c r="AA20" s="979">
        <v>0</v>
      </c>
      <c r="AB20" s="978"/>
      <c r="AC20" s="979">
        <v>0</v>
      </c>
      <c r="AD20" s="978"/>
      <c r="AE20" s="979">
        <v>0</v>
      </c>
      <c r="AF20" s="978"/>
      <c r="AG20" s="979">
        <v>0</v>
      </c>
      <c r="AH20" s="978"/>
      <c r="AI20" s="979">
        <v>0</v>
      </c>
      <c r="AJ20" s="978"/>
      <c r="AK20" s="979">
        <v>0</v>
      </c>
      <c r="AL20" s="978"/>
      <c r="AM20" s="979">
        <v>0</v>
      </c>
      <c r="AN20" s="978"/>
      <c r="AO20" s="979">
        <v>0</v>
      </c>
      <c r="AP20" s="978"/>
      <c r="AQ20" s="979">
        <v>0</v>
      </c>
      <c r="AR20" s="978"/>
      <c r="AS20" s="979">
        <v>0</v>
      </c>
      <c r="AT20" s="978"/>
      <c r="AU20" s="979">
        <v>0</v>
      </c>
      <c r="AV20" s="978"/>
      <c r="AW20" s="979">
        <v>0</v>
      </c>
      <c r="AX20" s="978"/>
      <c r="AY20" s="979">
        <v>0</v>
      </c>
      <c r="AZ20" s="978"/>
      <c r="BA20" s="979">
        <v>0</v>
      </c>
      <c r="BB20" s="978"/>
      <c r="BC20" s="979">
        <v>0</v>
      </c>
      <c r="BD20" s="978"/>
      <c r="BE20" s="979">
        <v>0</v>
      </c>
      <c r="BF20" s="978"/>
      <c r="BG20" s="979">
        <v>0</v>
      </c>
      <c r="BH20" s="978"/>
      <c r="BI20" s="979">
        <v>0</v>
      </c>
      <c r="BJ20" s="978">
        <v>0</v>
      </c>
      <c r="BK20" s="979">
        <v>0</v>
      </c>
      <c r="BL20" s="978">
        <v>0</v>
      </c>
      <c r="BM20" s="979">
        <v>0</v>
      </c>
      <c r="BN20" s="978">
        <v>0</v>
      </c>
      <c r="BO20" s="979">
        <v>0</v>
      </c>
      <c r="BP20" s="978">
        <v>0</v>
      </c>
      <c r="BQ20" s="979">
        <v>0</v>
      </c>
      <c r="BR20" s="978">
        <v>0</v>
      </c>
      <c r="BS20" s="979">
        <v>0</v>
      </c>
      <c r="BT20" s="978">
        <v>0</v>
      </c>
      <c r="BU20" s="979">
        <v>0</v>
      </c>
      <c r="BV20" s="978">
        <v>0</v>
      </c>
      <c r="BW20" s="979">
        <v>0</v>
      </c>
      <c r="BX20" s="978">
        <v>0</v>
      </c>
      <c r="BY20" s="979">
        <v>0</v>
      </c>
      <c r="BZ20" s="978">
        <v>0</v>
      </c>
      <c r="CA20" s="979">
        <v>0</v>
      </c>
      <c r="CB20" s="978">
        <v>0</v>
      </c>
      <c r="CC20" s="979">
        <v>0</v>
      </c>
      <c r="CD20" s="978">
        <v>0</v>
      </c>
      <c r="CE20" s="979">
        <v>0</v>
      </c>
      <c r="CF20" s="978">
        <v>0</v>
      </c>
      <c r="CG20" s="979">
        <v>0</v>
      </c>
      <c r="CH20" s="978">
        <v>0</v>
      </c>
      <c r="CI20" s="979">
        <v>0</v>
      </c>
      <c r="CJ20" s="978">
        <v>0</v>
      </c>
      <c r="CK20" s="979">
        <v>0</v>
      </c>
      <c r="CL20" s="978">
        <v>0</v>
      </c>
      <c r="CM20" s="979">
        <v>0</v>
      </c>
      <c r="CN20" s="978">
        <v>0</v>
      </c>
      <c r="CO20" s="979">
        <v>0</v>
      </c>
      <c r="CP20" s="978">
        <v>0</v>
      </c>
      <c r="CQ20" s="979">
        <v>0</v>
      </c>
      <c r="CR20" s="978">
        <v>0</v>
      </c>
      <c r="CS20" s="979">
        <v>0</v>
      </c>
      <c r="CT20" s="978">
        <v>0</v>
      </c>
      <c r="CU20" s="979">
        <v>0</v>
      </c>
      <c r="CV20" s="978">
        <v>0</v>
      </c>
      <c r="CW20" s="979">
        <v>0</v>
      </c>
      <c r="CX20" s="978">
        <v>0</v>
      </c>
      <c r="CY20" s="979">
        <v>0</v>
      </c>
      <c r="CZ20" s="978">
        <v>0</v>
      </c>
      <c r="DA20" s="979">
        <v>0</v>
      </c>
      <c r="DB20" s="978">
        <v>0</v>
      </c>
      <c r="DC20" s="979">
        <v>0</v>
      </c>
      <c r="DD20" s="978">
        <v>0</v>
      </c>
      <c r="DE20" s="979">
        <v>0</v>
      </c>
      <c r="DF20" s="978">
        <v>0</v>
      </c>
      <c r="DG20" s="979">
        <v>0</v>
      </c>
      <c r="DH20" s="978">
        <v>0</v>
      </c>
      <c r="DI20" s="979">
        <v>0</v>
      </c>
      <c r="DJ20" s="978">
        <v>3</v>
      </c>
      <c r="DK20" s="979">
        <v>15</v>
      </c>
      <c r="DL20" s="978">
        <v>0</v>
      </c>
      <c r="DM20" s="979">
        <v>0</v>
      </c>
      <c r="DN20" s="978">
        <v>0</v>
      </c>
      <c r="DO20" s="979">
        <v>0</v>
      </c>
      <c r="DP20" s="978">
        <v>0</v>
      </c>
      <c r="DQ20" s="979">
        <v>0</v>
      </c>
      <c r="DR20" s="978">
        <v>0</v>
      </c>
      <c r="DS20" s="979">
        <v>0</v>
      </c>
      <c r="DT20" s="978">
        <v>0</v>
      </c>
      <c r="DU20" s="979">
        <v>0</v>
      </c>
      <c r="DV20" s="978">
        <v>0</v>
      </c>
      <c r="DW20" s="979">
        <v>0</v>
      </c>
      <c r="DX20" s="978">
        <v>0</v>
      </c>
      <c r="DY20" s="979">
        <v>0</v>
      </c>
      <c r="DZ20" s="978">
        <v>0</v>
      </c>
      <c r="EA20" s="979">
        <v>0</v>
      </c>
      <c r="EB20" s="978">
        <v>1</v>
      </c>
      <c r="EC20" s="979">
        <v>5</v>
      </c>
      <c r="ED20" s="978">
        <v>0</v>
      </c>
      <c r="EE20" s="979">
        <v>0</v>
      </c>
      <c r="EF20" s="978">
        <v>0</v>
      </c>
      <c r="EG20" s="979">
        <v>0</v>
      </c>
      <c r="EH20" s="978">
        <v>0</v>
      </c>
      <c r="EI20" s="979">
        <v>0</v>
      </c>
      <c r="EJ20" s="978">
        <v>1</v>
      </c>
      <c r="EK20" s="979">
        <v>5</v>
      </c>
      <c r="EL20" s="978">
        <v>1</v>
      </c>
      <c r="EM20" s="979">
        <v>5</v>
      </c>
      <c r="EN20" s="978">
        <v>0</v>
      </c>
      <c r="EO20" s="979">
        <v>0</v>
      </c>
      <c r="EP20" s="978">
        <v>2</v>
      </c>
      <c r="EQ20" s="979">
        <v>10</v>
      </c>
      <c r="ER20" s="978">
        <v>0</v>
      </c>
      <c r="ES20" s="979">
        <v>0</v>
      </c>
      <c r="ET20" s="978">
        <v>0</v>
      </c>
      <c r="EU20" s="979">
        <v>0</v>
      </c>
      <c r="EV20" s="978">
        <v>0</v>
      </c>
      <c r="EW20" s="979">
        <v>0</v>
      </c>
      <c r="EX20" s="978">
        <v>0</v>
      </c>
      <c r="EY20" s="979">
        <v>0</v>
      </c>
      <c r="EZ20" s="978">
        <v>0</v>
      </c>
      <c r="FA20" s="979">
        <v>0</v>
      </c>
      <c r="FB20" s="978">
        <v>0</v>
      </c>
      <c r="FC20" s="979">
        <v>0</v>
      </c>
      <c r="FD20" s="978">
        <v>0</v>
      </c>
      <c r="FE20" s="979">
        <v>0</v>
      </c>
      <c r="FF20" s="978">
        <v>0</v>
      </c>
      <c r="FG20" s="979">
        <v>0</v>
      </c>
      <c r="FH20" s="978">
        <v>0</v>
      </c>
      <c r="FI20" s="979">
        <v>0</v>
      </c>
      <c r="FJ20" s="978">
        <v>0</v>
      </c>
      <c r="FK20" s="979">
        <v>0</v>
      </c>
      <c r="FL20" s="980">
        <v>0</v>
      </c>
      <c r="FM20" s="981">
        <v>0</v>
      </c>
      <c r="FN20" s="982">
        <v>0</v>
      </c>
      <c r="FO20" s="981">
        <v>0</v>
      </c>
      <c r="FP20" s="981">
        <v>0</v>
      </c>
      <c r="FQ20" s="981">
        <v>0</v>
      </c>
      <c r="FR20" s="981">
        <v>20</v>
      </c>
      <c r="FS20" s="981"/>
      <c r="FT20" s="981" t="s">
        <v>6977</v>
      </c>
    </row>
    <row r="21" spans="1:176" ht="25.5">
      <c r="A21" s="983" t="s">
        <v>6978</v>
      </c>
      <c r="B21" s="983"/>
      <c r="C21" s="984">
        <v>0</v>
      </c>
      <c r="D21" s="983"/>
      <c r="E21" s="984">
        <v>0</v>
      </c>
      <c r="F21" s="983"/>
      <c r="G21" s="984">
        <v>0</v>
      </c>
      <c r="H21" s="983"/>
      <c r="I21" s="984">
        <v>0</v>
      </c>
      <c r="J21" s="983"/>
      <c r="K21" s="983"/>
      <c r="L21" s="983"/>
      <c r="M21" s="984">
        <v>0</v>
      </c>
      <c r="N21" s="983"/>
      <c r="O21" s="984">
        <v>0</v>
      </c>
      <c r="P21" s="983"/>
      <c r="Q21" s="984">
        <v>0</v>
      </c>
      <c r="R21" s="983"/>
      <c r="S21" s="984">
        <v>0</v>
      </c>
      <c r="T21" s="983"/>
      <c r="U21" s="984">
        <v>0</v>
      </c>
      <c r="V21" s="983"/>
      <c r="W21" s="984">
        <v>0</v>
      </c>
      <c r="X21" s="983"/>
      <c r="Y21" s="984">
        <v>0</v>
      </c>
      <c r="Z21" s="983"/>
      <c r="AA21" s="984">
        <v>0</v>
      </c>
      <c r="AB21" s="983"/>
      <c r="AC21" s="984">
        <v>0</v>
      </c>
      <c r="AD21" s="983"/>
      <c r="AE21" s="984">
        <v>0</v>
      </c>
      <c r="AF21" s="983"/>
      <c r="AG21" s="984">
        <v>0</v>
      </c>
      <c r="AH21" s="983"/>
      <c r="AI21" s="984">
        <v>0</v>
      </c>
      <c r="AJ21" s="983"/>
      <c r="AK21" s="984">
        <v>0</v>
      </c>
      <c r="AL21" s="983"/>
      <c r="AM21" s="984">
        <v>0</v>
      </c>
      <c r="AN21" s="983"/>
      <c r="AO21" s="984">
        <v>0</v>
      </c>
      <c r="AP21" s="983"/>
      <c r="AQ21" s="984">
        <v>0</v>
      </c>
      <c r="AR21" s="983"/>
      <c r="AS21" s="984">
        <v>0</v>
      </c>
      <c r="AT21" s="983"/>
      <c r="AU21" s="984">
        <v>0</v>
      </c>
      <c r="AV21" s="983"/>
      <c r="AW21" s="984">
        <v>0</v>
      </c>
      <c r="AX21" s="983"/>
      <c r="AY21" s="984">
        <v>0</v>
      </c>
      <c r="AZ21" s="983"/>
      <c r="BA21" s="984">
        <v>0</v>
      </c>
      <c r="BB21" s="983"/>
      <c r="BC21" s="984">
        <v>0</v>
      </c>
      <c r="BD21" s="983"/>
      <c r="BE21" s="984">
        <v>0</v>
      </c>
      <c r="BF21" s="983"/>
      <c r="BG21" s="984">
        <v>0</v>
      </c>
      <c r="BH21" s="983"/>
      <c r="BI21" s="984">
        <v>0</v>
      </c>
      <c r="BJ21" s="983">
        <v>0</v>
      </c>
      <c r="BK21" s="984">
        <v>0</v>
      </c>
      <c r="BL21" s="983">
        <v>0</v>
      </c>
      <c r="BM21" s="984">
        <v>0</v>
      </c>
      <c r="BN21" s="983">
        <v>0</v>
      </c>
      <c r="BO21" s="984">
        <v>0</v>
      </c>
      <c r="BP21" s="983">
        <v>0</v>
      </c>
      <c r="BQ21" s="984">
        <v>0</v>
      </c>
      <c r="BR21" s="983">
        <v>0</v>
      </c>
      <c r="BS21" s="984">
        <v>0</v>
      </c>
      <c r="BT21" s="983">
        <v>0</v>
      </c>
      <c r="BU21" s="984">
        <v>0</v>
      </c>
      <c r="BV21" s="983">
        <v>0</v>
      </c>
      <c r="BW21" s="984">
        <v>0</v>
      </c>
      <c r="BX21" s="983">
        <v>0</v>
      </c>
      <c r="BY21" s="984">
        <v>0</v>
      </c>
      <c r="BZ21" s="983">
        <v>0</v>
      </c>
      <c r="CA21" s="984">
        <v>0</v>
      </c>
      <c r="CB21" s="983">
        <v>0</v>
      </c>
      <c r="CC21" s="984">
        <v>0</v>
      </c>
      <c r="CD21" s="983">
        <v>0</v>
      </c>
      <c r="CE21" s="984">
        <v>0</v>
      </c>
      <c r="CF21" s="983">
        <v>0</v>
      </c>
      <c r="CG21" s="984">
        <v>0</v>
      </c>
      <c r="CH21" s="983">
        <v>0</v>
      </c>
      <c r="CI21" s="984">
        <v>0</v>
      </c>
      <c r="CJ21" s="983">
        <v>0</v>
      </c>
      <c r="CK21" s="984">
        <v>0</v>
      </c>
      <c r="CL21" s="983">
        <v>0</v>
      </c>
      <c r="CM21" s="984">
        <v>0</v>
      </c>
      <c r="CN21" s="983">
        <v>0</v>
      </c>
      <c r="CO21" s="984">
        <v>0</v>
      </c>
      <c r="CP21" s="983">
        <v>0</v>
      </c>
      <c r="CQ21" s="984">
        <v>0</v>
      </c>
      <c r="CR21" s="983">
        <v>0</v>
      </c>
      <c r="CS21" s="984">
        <v>0</v>
      </c>
      <c r="CT21" s="983">
        <v>0</v>
      </c>
      <c r="CU21" s="984">
        <v>0</v>
      </c>
      <c r="CV21" s="983">
        <v>0</v>
      </c>
      <c r="CW21" s="984">
        <v>0</v>
      </c>
      <c r="CX21" s="983">
        <v>0</v>
      </c>
      <c r="CY21" s="984">
        <v>0</v>
      </c>
      <c r="CZ21" s="983">
        <v>0</v>
      </c>
      <c r="DA21" s="984">
        <v>0</v>
      </c>
      <c r="DB21" s="983">
        <v>0</v>
      </c>
      <c r="DC21" s="984">
        <v>0</v>
      </c>
      <c r="DD21" s="983">
        <v>0</v>
      </c>
      <c r="DE21" s="984">
        <v>0</v>
      </c>
      <c r="DF21" s="983">
        <v>0</v>
      </c>
      <c r="DG21" s="984">
        <v>0</v>
      </c>
      <c r="DH21" s="983">
        <v>0</v>
      </c>
      <c r="DI21" s="984">
        <v>0</v>
      </c>
      <c r="DJ21" s="983">
        <v>0</v>
      </c>
      <c r="DK21" s="984">
        <v>0</v>
      </c>
      <c r="DL21" s="983">
        <v>0</v>
      </c>
      <c r="DM21" s="984">
        <v>0</v>
      </c>
      <c r="DN21" s="983">
        <v>0</v>
      </c>
      <c r="DO21" s="984">
        <v>0</v>
      </c>
      <c r="DP21" s="983">
        <v>0</v>
      </c>
      <c r="DQ21" s="984">
        <v>0</v>
      </c>
      <c r="DR21" s="983">
        <v>0</v>
      </c>
      <c r="DS21" s="984">
        <v>0</v>
      </c>
      <c r="DT21" s="983">
        <v>0</v>
      </c>
      <c r="DU21" s="984">
        <v>0</v>
      </c>
      <c r="DV21" s="983">
        <v>0</v>
      </c>
      <c r="DW21" s="984">
        <v>0</v>
      </c>
      <c r="DX21" s="983">
        <v>0</v>
      </c>
      <c r="DY21" s="984">
        <v>0</v>
      </c>
      <c r="DZ21" s="983">
        <v>0</v>
      </c>
      <c r="EA21" s="984">
        <v>0</v>
      </c>
      <c r="EB21" s="983">
        <v>0</v>
      </c>
      <c r="EC21" s="984">
        <v>0</v>
      </c>
      <c r="ED21" s="983">
        <v>0</v>
      </c>
      <c r="EE21" s="984">
        <v>0</v>
      </c>
      <c r="EF21" s="983">
        <v>0</v>
      </c>
      <c r="EG21" s="984">
        <v>0</v>
      </c>
      <c r="EH21" s="983">
        <v>0</v>
      </c>
      <c r="EI21" s="984">
        <v>0</v>
      </c>
      <c r="EJ21" s="983">
        <v>0</v>
      </c>
      <c r="EK21" s="984">
        <v>0</v>
      </c>
      <c r="EL21" s="983">
        <v>0</v>
      </c>
      <c r="EM21" s="984">
        <v>0</v>
      </c>
      <c r="EN21" s="983">
        <v>0</v>
      </c>
      <c r="EO21" s="984">
        <v>0</v>
      </c>
      <c r="EP21" s="983">
        <v>0</v>
      </c>
      <c r="EQ21" s="984">
        <v>0</v>
      </c>
      <c r="ER21" s="983">
        <v>0</v>
      </c>
      <c r="ES21" s="984">
        <v>0</v>
      </c>
      <c r="ET21" s="983">
        <v>0</v>
      </c>
      <c r="EU21" s="984">
        <v>0</v>
      </c>
      <c r="EV21" s="983">
        <v>0</v>
      </c>
      <c r="EW21" s="984">
        <v>0</v>
      </c>
      <c r="EX21" s="983">
        <v>0</v>
      </c>
      <c r="EY21" s="984">
        <v>0</v>
      </c>
      <c r="EZ21" s="983"/>
      <c r="FA21" s="984">
        <v>0</v>
      </c>
      <c r="FB21" s="983"/>
      <c r="FC21" s="984">
        <v>0</v>
      </c>
      <c r="FD21" s="983"/>
      <c r="FE21" s="984">
        <v>0</v>
      </c>
      <c r="FF21" s="983"/>
      <c r="FG21" s="984">
        <v>0</v>
      </c>
      <c r="FH21" s="983"/>
      <c r="FI21" s="984">
        <v>0</v>
      </c>
      <c r="FJ21" s="985"/>
      <c r="FK21" s="984">
        <v>0</v>
      </c>
      <c r="FL21" s="980"/>
      <c r="FM21" s="981">
        <v>0</v>
      </c>
      <c r="FN21" s="982"/>
      <c r="FO21" s="981">
        <v>0</v>
      </c>
      <c r="FP21" s="981"/>
      <c r="FQ21" s="981">
        <v>0</v>
      </c>
      <c r="FR21" s="981">
        <v>0</v>
      </c>
      <c r="FS21" s="981"/>
      <c r="FT21" s="981" t="s">
        <v>6978</v>
      </c>
    </row>
    <row r="22" spans="1:176">
      <c r="A22" s="986" t="s">
        <v>6979</v>
      </c>
      <c r="B22" s="981"/>
      <c r="C22" s="987">
        <f>B22*8</f>
        <v>0</v>
      </c>
      <c r="D22" s="981"/>
      <c r="E22" s="987">
        <f>D22*8</f>
        <v>0</v>
      </c>
      <c r="F22" s="981"/>
      <c r="G22" s="987">
        <f>F22*8</f>
        <v>0</v>
      </c>
      <c r="H22" s="981"/>
      <c r="I22" s="987">
        <f>H22*8</f>
        <v>0</v>
      </c>
      <c r="J22" s="981"/>
      <c r="K22" s="981"/>
      <c r="L22" s="981"/>
      <c r="M22" s="987">
        <f>L22*8</f>
        <v>0</v>
      </c>
      <c r="N22" s="981"/>
      <c r="O22" s="987">
        <f>N22*8</f>
        <v>0</v>
      </c>
      <c r="P22" s="981"/>
      <c r="Q22" s="987">
        <f>P22*8</f>
        <v>0</v>
      </c>
      <c r="R22" s="981"/>
      <c r="S22" s="987">
        <f>R22*8</f>
        <v>0</v>
      </c>
      <c r="T22" s="981"/>
      <c r="U22" s="987">
        <f>T22*8</f>
        <v>0</v>
      </c>
      <c r="V22" s="981"/>
      <c r="W22" s="987">
        <f>V22*8</f>
        <v>0</v>
      </c>
      <c r="X22" s="981"/>
      <c r="Y22" s="987">
        <f>X22*8</f>
        <v>0</v>
      </c>
      <c r="Z22" s="981"/>
      <c r="AA22" s="987">
        <f>Z22*8</f>
        <v>0</v>
      </c>
      <c r="AB22" s="981"/>
      <c r="AC22" s="987">
        <f>AB22*8</f>
        <v>0</v>
      </c>
      <c r="AD22" s="981"/>
      <c r="AE22" s="987">
        <f>AD22*8</f>
        <v>0</v>
      </c>
      <c r="AF22" s="981"/>
      <c r="AG22" s="987">
        <f>AF22*8</f>
        <v>0</v>
      </c>
      <c r="AH22" s="981"/>
      <c r="AI22" s="987">
        <f>AH22*8</f>
        <v>0</v>
      </c>
      <c r="AJ22" s="981"/>
      <c r="AK22" s="987">
        <f>AJ22*8</f>
        <v>0</v>
      </c>
      <c r="AL22" s="981"/>
      <c r="AM22" s="987">
        <f>AL22*8</f>
        <v>0</v>
      </c>
      <c r="AN22" s="981"/>
      <c r="AO22" s="987">
        <f>AN22*8</f>
        <v>0</v>
      </c>
      <c r="AP22" s="981"/>
      <c r="AQ22" s="987">
        <f>AP22*8</f>
        <v>0</v>
      </c>
      <c r="AR22" s="981"/>
      <c r="AS22" s="987">
        <f>AR22*8</f>
        <v>0</v>
      </c>
      <c r="AT22" s="981"/>
      <c r="AU22" s="987">
        <f>AT22*8</f>
        <v>0</v>
      </c>
      <c r="AV22" s="981"/>
      <c r="AW22" s="987">
        <f>AV22*8</f>
        <v>0</v>
      </c>
      <c r="AX22" s="981"/>
      <c r="AY22" s="987">
        <f>AX22*8</f>
        <v>0</v>
      </c>
      <c r="AZ22" s="981"/>
      <c r="BA22" s="987">
        <f>AZ22*8</f>
        <v>0</v>
      </c>
      <c r="BB22" s="981"/>
      <c r="BC22" s="987">
        <f>BB22*8</f>
        <v>0</v>
      </c>
      <c r="BD22" s="981"/>
      <c r="BE22" s="987">
        <f>BD22*8</f>
        <v>0</v>
      </c>
      <c r="BF22" s="981"/>
      <c r="BG22" s="987">
        <f>BF22*8</f>
        <v>0</v>
      </c>
      <c r="BH22" s="981"/>
      <c r="BI22" s="987">
        <f>BH22*8</f>
        <v>0</v>
      </c>
      <c r="BJ22" s="981">
        <v>1</v>
      </c>
      <c r="BK22" s="987">
        <f>BJ22*8</f>
        <v>8</v>
      </c>
      <c r="BL22" s="981">
        <v>0</v>
      </c>
      <c r="BM22" s="987">
        <f>BL22*8</f>
        <v>0</v>
      </c>
      <c r="BN22" s="981">
        <v>0</v>
      </c>
      <c r="BO22" s="987">
        <f>BN22*8</f>
        <v>0</v>
      </c>
      <c r="BP22" s="981">
        <v>1</v>
      </c>
      <c r="BQ22" s="987">
        <f>BP22*8</f>
        <v>8</v>
      </c>
      <c r="BR22" s="981">
        <v>0</v>
      </c>
      <c r="BS22" s="987">
        <v>0</v>
      </c>
      <c r="BT22" s="981">
        <v>0</v>
      </c>
      <c r="BU22" s="987">
        <v>0</v>
      </c>
      <c r="BV22" s="981">
        <v>0</v>
      </c>
      <c r="BW22" s="987">
        <v>0</v>
      </c>
      <c r="BX22" s="981">
        <v>0</v>
      </c>
      <c r="BY22" s="987">
        <v>0</v>
      </c>
      <c r="BZ22" s="981">
        <v>0</v>
      </c>
      <c r="CA22" s="987">
        <v>0</v>
      </c>
      <c r="CB22" s="981">
        <v>0</v>
      </c>
      <c r="CC22" s="987">
        <v>0</v>
      </c>
      <c r="CD22" s="981">
        <v>0</v>
      </c>
      <c r="CE22" s="987">
        <v>0</v>
      </c>
      <c r="CF22" s="981">
        <v>0</v>
      </c>
      <c r="CG22" s="987">
        <v>0</v>
      </c>
      <c r="CH22" s="981">
        <v>0</v>
      </c>
      <c r="CI22" s="987">
        <v>0</v>
      </c>
      <c r="CJ22" s="981">
        <v>0</v>
      </c>
      <c r="CK22" s="987">
        <v>0</v>
      </c>
      <c r="CL22" s="981">
        <v>0</v>
      </c>
      <c r="CM22" s="987">
        <v>0</v>
      </c>
      <c r="CN22" s="981">
        <v>0</v>
      </c>
      <c r="CO22" s="987">
        <v>0</v>
      </c>
      <c r="CP22" s="981">
        <v>0</v>
      </c>
      <c r="CQ22" s="987">
        <v>0</v>
      </c>
      <c r="CR22" s="981">
        <v>0</v>
      </c>
      <c r="CS22" s="987">
        <v>0</v>
      </c>
      <c r="CT22" s="981">
        <v>0</v>
      </c>
      <c r="CU22" s="987">
        <v>0</v>
      </c>
      <c r="CV22" s="981">
        <v>0</v>
      </c>
      <c r="CW22" s="987">
        <v>0</v>
      </c>
      <c r="CX22" s="981">
        <v>0</v>
      </c>
      <c r="CY22" s="987">
        <v>0</v>
      </c>
      <c r="CZ22" s="981">
        <v>0</v>
      </c>
      <c r="DA22" s="987">
        <v>0</v>
      </c>
      <c r="DB22" s="981">
        <v>0</v>
      </c>
      <c r="DC22" s="987">
        <v>0</v>
      </c>
      <c r="DD22" s="981">
        <v>0</v>
      </c>
      <c r="DE22" s="987">
        <v>0</v>
      </c>
      <c r="DF22" s="981">
        <v>0</v>
      </c>
      <c r="DG22" s="987">
        <v>0</v>
      </c>
      <c r="DH22" s="981">
        <v>0</v>
      </c>
      <c r="DI22" s="987">
        <v>0</v>
      </c>
      <c r="DJ22" s="981">
        <v>0</v>
      </c>
      <c r="DK22" s="987">
        <v>0</v>
      </c>
      <c r="DL22" s="981">
        <v>0</v>
      </c>
      <c r="DM22" s="987">
        <v>0</v>
      </c>
      <c r="DN22" s="981">
        <v>0</v>
      </c>
      <c r="DO22" s="987">
        <v>0</v>
      </c>
      <c r="DP22" s="981">
        <v>0</v>
      </c>
      <c r="DQ22" s="987">
        <v>0</v>
      </c>
      <c r="DR22" s="981">
        <v>0</v>
      </c>
      <c r="DS22" s="979">
        <v>0</v>
      </c>
      <c r="DT22" s="981">
        <v>0</v>
      </c>
      <c r="DU22" s="979">
        <v>0</v>
      </c>
      <c r="DV22" s="981">
        <v>0</v>
      </c>
      <c r="DW22" s="979">
        <v>0</v>
      </c>
      <c r="DX22" s="981">
        <v>0</v>
      </c>
      <c r="DY22" s="979">
        <v>0</v>
      </c>
      <c r="DZ22" s="981">
        <v>0</v>
      </c>
      <c r="EA22" s="979">
        <v>0</v>
      </c>
      <c r="EB22" s="981">
        <v>0</v>
      </c>
      <c r="EC22" s="979">
        <v>0</v>
      </c>
      <c r="ED22" s="981">
        <v>0</v>
      </c>
      <c r="EE22" s="979">
        <v>0</v>
      </c>
      <c r="EF22" s="981">
        <v>0</v>
      </c>
      <c r="EG22" s="979">
        <v>0</v>
      </c>
      <c r="EH22" s="981">
        <v>0</v>
      </c>
      <c r="EI22" s="979">
        <v>0</v>
      </c>
      <c r="EJ22" s="981">
        <v>0</v>
      </c>
      <c r="EK22" s="979">
        <v>0</v>
      </c>
      <c r="EL22" s="981">
        <v>0</v>
      </c>
      <c r="EM22" s="979">
        <v>0</v>
      </c>
      <c r="EN22" s="981">
        <v>0</v>
      </c>
      <c r="EO22" s="979">
        <v>0</v>
      </c>
      <c r="EP22" s="981">
        <v>1</v>
      </c>
      <c r="EQ22" s="979">
        <v>10</v>
      </c>
      <c r="ER22" s="981">
        <v>0</v>
      </c>
      <c r="ES22" s="979">
        <v>0</v>
      </c>
      <c r="ET22" s="981">
        <v>0</v>
      </c>
      <c r="EU22" s="979">
        <v>0</v>
      </c>
      <c r="EV22" s="981">
        <v>0</v>
      </c>
      <c r="EW22" s="979">
        <v>0</v>
      </c>
      <c r="EX22" s="981">
        <v>0</v>
      </c>
      <c r="EY22" s="979">
        <v>0</v>
      </c>
      <c r="EZ22" s="981">
        <v>0</v>
      </c>
      <c r="FA22" s="979">
        <v>0</v>
      </c>
      <c r="FB22" s="981">
        <v>0</v>
      </c>
      <c r="FC22" s="979">
        <v>0</v>
      </c>
      <c r="FD22" s="981">
        <v>0</v>
      </c>
      <c r="FE22" s="979">
        <v>0</v>
      </c>
      <c r="FF22" s="981">
        <v>0</v>
      </c>
      <c r="FG22" s="979">
        <v>0</v>
      </c>
      <c r="FH22" s="981">
        <v>0</v>
      </c>
      <c r="FI22" s="979">
        <v>0</v>
      </c>
      <c r="FJ22" s="988">
        <v>0</v>
      </c>
      <c r="FK22" s="979">
        <v>0</v>
      </c>
      <c r="FL22" s="980">
        <v>0</v>
      </c>
      <c r="FM22" s="987">
        <v>0</v>
      </c>
      <c r="FN22" s="982">
        <v>0</v>
      </c>
      <c r="FO22" s="987">
        <v>0</v>
      </c>
      <c r="FP22" s="987">
        <v>0</v>
      </c>
      <c r="FQ22" s="987">
        <v>0</v>
      </c>
      <c r="FR22" s="987">
        <v>10</v>
      </c>
      <c r="FS22" s="987"/>
      <c r="FT22" s="987" t="s">
        <v>6980</v>
      </c>
    </row>
    <row r="23" spans="1:176">
      <c r="A23" s="978" t="s">
        <v>6981</v>
      </c>
      <c r="B23" s="978"/>
      <c r="C23" s="978">
        <v>0</v>
      </c>
      <c r="D23" s="978"/>
      <c r="E23" s="978">
        <v>0</v>
      </c>
      <c r="F23" s="978"/>
      <c r="G23" s="978">
        <v>0</v>
      </c>
      <c r="H23" s="978"/>
      <c r="I23" s="978">
        <v>0</v>
      </c>
      <c r="J23" s="978"/>
      <c r="K23" s="978"/>
      <c r="L23" s="978"/>
      <c r="M23" s="978">
        <v>0</v>
      </c>
      <c r="N23" s="978"/>
      <c r="O23" s="978">
        <v>0</v>
      </c>
      <c r="P23" s="978"/>
      <c r="Q23" s="978">
        <v>0</v>
      </c>
      <c r="R23" s="978"/>
      <c r="S23" s="978">
        <v>0</v>
      </c>
      <c r="T23" s="978"/>
      <c r="U23" s="978">
        <v>0</v>
      </c>
      <c r="V23" s="978"/>
      <c r="W23" s="978">
        <v>0</v>
      </c>
      <c r="X23" s="978"/>
      <c r="Y23" s="978">
        <v>0</v>
      </c>
      <c r="Z23" s="978"/>
      <c r="AA23" s="978">
        <v>0</v>
      </c>
      <c r="AB23" s="978"/>
      <c r="AC23" s="978">
        <v>0</v>
      </c>
      <c r="AD23" s="978"/>
      <c r="AE23" s="978">
        <v>0</v>
      </c>
      <c r="AF23" s="978"/>
      <c r="AG23" s="978">
        <v>0</v>
      </c>
      <c r="AH23" s="978"/>
      <c r="AI23" s="978">
        <v>0</v>
      </c>
      <c r="AJ23" s="978"/>
      <c r="AK23" s="978">
        <v>0</v>
      </c>
      <c r="AL23" s="978"/>
      <c r="AM23" s="978">
        <v>0</v>
      </c>
      <c r="AN23" s="978"/>
      <c r="AO23" s="978">
        <v>0</v>
      </c>
      <c r="AP23" s="978"/>
      <c r="AQ23" s="978">
        <v>0</v>
      </c>
      <c r="AR23" s="978"/>
      <c r="AS23" s="978">
        <v>0</v>
      </c>
      <c r="AT23" s="978"/>
      <c r="AU23" s="978">
        <v>0</v>
      </c>
      <c r="AV23" s="978"/>
      <c r="AW23" s="978">
        <v>0</v>
      </c>
      <c r="AX23" s="978"/>
      <c r="AY23" s="978">
        <v>0</v>
      </c>
      <c r="AZ23" s="978"/>
      <c r="BA23" s="978">
        <v>0</v>
      </c>
      <c r="BB23" s="978"/>
      <c r="BC23" s="978">
        <v>0</v>
      </c>
      <c r="BD23" s="978"/>
      <c r="BE23" s="978">
        <v>0</v>
      </c>
      <c r="BF23" s="978"/>
      <c r="BG23" s="978">
        <v>0</v>
      </c>
      <c r="BH23" s="978"/>
      <c r="BI23" s="978">
        <v>0</v>
      </c>
      <c r="BJ23" s="978">
        <v>0</v>
      </c>
      <c r="BK23" s="978">
        <v>0</v>
      </c>
      <c r="BL23" s="978">
        <v>0</v>
      </c>
      <c r="BM23" s="978">
        <v>0</v>
      </c>
      <c r="BN23" s="978">
        <v>0</v>
      </c>
      <c r="BO23" s="978">
        <v>0</v>
      </c>
      <c r="BP23" s="978">
        <v>0</v>
      </c>
      <c r="BQ23" s="978">
        <v>0</v>
      </c>
      <c r="BR23" s="978">
        <v>0</v>
      </c>
      <c r="BS23" s="978">
        <v>0</v>
      </c>
      <c r="BT23" s="978">
        <v>0</v>
      </c>
      <c r="BU23" s="978">
        <v>0</v>
      </c>
      <c r="BV23" s="978">
        <v>0</v>
      </c>
      <c r="BW23" s="978">
        <v>0</v>
      </c>
      <c r="BX23" s="978">
        <v>0</v>
      </c>
      <c r="BY23" s="978">
        <v>0</v>
      </c>
      <c r="BZ23" s="978">
        <v>0</v>
      </c>
      <c r="CA23" s="978">
        <v>0</v>
      </c>
      <c r="CB23" s="978">
        <v>0</v>
      </c>
      <c r="CC23" s="978">
        <v>0</v>
      </c>
      <c r="CD23" s="978">
        <v>0</v>
      </c>
      <c r="CE23" s="978">
        <v>0</v>
      </c>
      <c r="CF23" s="978">
        <v>0</v>
      </c>
      <c r="CG23" s="978">
        <v>0</v>
      </c>
      <c r="CH23" s="978">
        <v>0</v>
      </c>
      <c r="CI23" s="979">
        <v>0</v>
      </c>
      <c r="CJ23" s="978">
        <v>0</v>
      </c>
      <c r="CK23" s="979">
        <v>0</v>
      </c>
      <c r="CL23" s="978">
        <v>0</v>
      </c>
      <c r="CM23" s="979">
        <v>0</v>
      </c>
      <c r="CN23" s="978">
        <v>0</v>
      </c>
      <c r="CO23" s="979">
        <v>0</v>
      </c>
      <c r="CP23" s="978">
        <v>0</v>
      </c>
      <c r="CQ23" s="979">
        <v>0</v>
      </c>
      <c r="CR23" s="978">
        <v>0</v>
      </c>
      <c r="CS23" s="979">
        <v>0</v>
      </c>
      <c r="CT23" s="978">
        <v>0</v>
      </c>
      <c r="CU23" s="979">
        <v>0</v>
      </c>
      <c r="CV23" s="978">
        <v>0</v>
      </c>
      <c r="CW23" s="979">
        <v>0</v>
      </c>
      <c r="CX23" s="978">
        <v>0</v>
      </c>
      <c r="CY23" s="979">
        <v>0</v>
      </c>
      <c r="CZ23" s="978">
        <v>0</v>
      </c>
      <c r="DA23" s="979">
        <v>0</v>
      </c>
      <c r="DB23" s="978">
        <v>0</v>
      </c>
      <c r="DC23" s="979">
        <v>0</v>
      </c>
      <c r="DD23" s="978">
        <v>0</v>
      </c>
      <c r="DE23" s="979">
        <v>0</v>
      </c>
      <c r="DF23" s="978">
        <v>0</v>
      </c>
      <c r="DG23" s="979">
        <v>0</v>
      </c>
      <c r="DH23" s="978">
        <v>0</v>
      </c>
      <c r="DI23" s="979">
        <v>0</v>
      </c>
      <c r="DJ23" s="978">
        <v>0</v>
      </c>
      <c r="DK23" s="979">
        <v>0</v>
      </c>
      <c r="DL23" s="978">
        <v>0</v>
      </c>
      <c r="DM23" s="979">
        <v>0</v>
      </c>
      <c r="DN23" s="978">
        <v>0</v>
      </c>
      <c r="DO23" s="979">
        <v>0</v>
      </c>
      <c r="DP23" s="978">
        <v>0</v>
      </c>
      <c r="DQ23" s="979">
        <v>0</v>
      </c>
      <c r="DR23" s="978">
        <v>0</v>
      </c>
      <c r="DS23" s="980">
        <v>0</v>
      </c>
      <c r="DT23" s="978">
        <v>0</v>
      </c>
      <c r="DU23" s="980">
        <v>0</v>
      </c>
      <c r="DV23" s="978">
        <v>0</v>
      </c>
      <c r="DW23" s="980">
        <v>0</v>
      </c>
      <c r="DX23" s="978">
        <v>0</v>
      </c>
      <c r="DY23" s="980">
        <v>0</v>
      </c>
      <c r="DZ23" s="978">
        <v>0</v>
      </c>
      <c r="EA23" s="980">
        <v>0</v>
      </c>
      <c r="EB23" s="978">
        <v>0</v>
      </c>
      <c r="EC23" s="980">
        <v>0</v>
      </c>
      <c r="ED23" s="978">
        <v>0</v>
      </c>
      <c r="EE23" s="980">
        <v>0</v>
      </c>
      <c r="EF23" s="978">
        <v>0</v>
      </c>
      <c r="EG23" s="980">
        <v>0</v>
      </c>
      <c r="EH23" s="978">
        <v>0</v>
      </c>
      <c r="EI23" s="980">
        <v>0</v>
      </c>
      <c r="EJ23" s="978">
        <v>0</v>
      </c>
      <c r="EK23" s="980">
        <v>0</v>
      </c>
      <c r="EL23" s="978">
        <v>0</v>
      </c>
      <c r="EM23" s="980">
        <v>0</v>
      </c>
      <c r="EN23" s="978">
        <v>0</v>
      </c>
      <c r="EO23" s="980">
        <v>0</v>
      </c>
      <c r="EP23" s="978">
        <v>0</v>
      </c>
      <c r="EQ23" s="980">
        <v>0</v>
      </c>
      <c r="ER23" s="978">
        <v>0</v>
      </c>
      <c r="ES23" s="980">
        <v>0</v>
      </c>
      <c r="ET23" s="978">
        <v>1</v>
      </c>
      <c r="EU23" s="980">
        <v>5</v>
      </c>
      <c r="EV23" s="978">
        <v>0</v>
      </c>
      <c r="EW23" s="980">
        <v>0</v>
      </c>
      <c r="EX23" s="978">
        <v>0</v>
      </c>
      <c r="EY23" s="980">
        <v>0</v>
      </c>
      <c r="EZ23" s="978">
        <v>0</v>
      </c>
      <c r="FA23" s="980">
        <v>0</v>
      </c>
      <c r="FB23" s="978">
        <v>0</v>
      </c>
      <c r="FC23" s="980">
        <v>0</v>
      </c>
      <c r="FD23" s="978">
        <v>0</v>
      </c>
      <c r="FE23" s="980">
        <v>0</v>
      </c>
      <c r="FF23" s="978">
        <v>1</v>
      </c>
      <c r="FG23" s="980">
        <v>5</v>
      </c>
      <c r="FH23" s="978">
        <v>0</v>
      </c>
      <c r="FI23" s="980">
        <v>0</v>
      </c>
      <c r="FJ23" s="989">
        <v>1</v>
      </c>
      <c r="FK23" s="980">
        <v>5</v>
      </c>
      <c r="FL23" s="980">
        <v>0</v>
      </c>
      <c r="FM23" s="981">
        <v>0</v>
      </c>
      <c r="FN23" s="982">
        <v>0</v>
      </c>
      <c r="FO23" s="981">
        <v>0</v>
      </c>
      <c r="FP23" s="981">
        <v>0</v>
      </c>
      <c r="FQ23" s="981">
        <v>0</v>
      </c>
      <c r="FR23" s="981">
        <v>15</v>
      </c>
      <c r="FS23" s="981"/>
      <c r="FT23" s="981" t="s">
        <v>6981</v>
      </c>
    </row>
    <row r="24" spans="1:176" ht="12.75" customHeight="1">
      <c r="A24" s="38" t="s">
        <v>6982</v>
      </c>
      <c r="B24" s="38"/>
      <c r="C24" s="38"/>
      <c r="D24" s="38"/>
      <c r="E24" s="38"/>
      <c r="F24" s="38"/>
      <c r="G24" s="38"/>
      <c r="H24" s="38"/>
      <c r="I24" s="38"/>
      <c r="J24" s="38"/>
      <c r="K24" s="38"/>
      <c r="L24" s="38">
        <f>SUM(L2:L23)</f>
        <v>3</v>
      </c>
      <c r="M24" s="38"/>
      <c r="N24" s="38">
        <f>SUM(N2:N23)</f>
        <v>6</v>
      </c>
      <c r="O24" s="38"/>
      <c r="P24" s="38">
        <f>SUM(P2:P23)</f>
        <v>1</v>
      </c>
      <c r="Q24" s="38"/>
      <c r="R24" s="38">
        <f>SUM(R2:R23)</f>
        <v>4</v>
      </c>
      <c r="S24" s="38"/>
      <c r="T24" s="38">
        <f>SUM(T2:T23)</f>
        <v>13</v>
      </c>
      <c r="U24" s="38"/>
      <c r="V24" s="38">
        <f>SUM(V2:V23)</f>
        <v>1</v>
      </c>
      <c r="W24" s="38"/>
      <c r="X24" s="38">
        <f>SUM(X2:X23)</f>
        <v>7</v>
      </c>
      <c r="Y24" s="38"/>
      <c r="Z24" s="38">
        <f>SUM(Z2:Z23)</f>
        <v>8</v>
      </c>
      <c r="AA24" s="38"/>
      <c r="AB24" s="38">
        <f>SUM(AB2:AB23)</f>
        <v>16</v>
      </c>
      <c r="AC24" s="38"/>
      <c r="AD24" s="38">
        <f>SUM(AD2:AD23)</f>
        <v>8</v>
      </c>
      <c r="AE24" s="38"/>
      <c r="AF24" s="38">
        <f>SUM(AF2:AF23)</f>
        <v>11</v>
      </c>
      <c r="AG24" s="38"/>
      <c r="AH24" s="38">
        <f>SUM(AH2:AH23)</f>
        <v>6</v>
      </c>
      <c r="AI24" s="38"/>
      <c r="AJ24" s="38">
        <f>SUM(AJ2:AJ23)</f>
        <v>5</v>
      </c>
      <c r="AK24" s="38"/>
      <c r="AL24" s="38">
        <f>SUM(AL2:AL23)</f>
        <v>7</v>
      </c>
      <c r="AM24" s="38"/>
      <c r="AN24" s="38">
        <f>SUM(AN2:AN23)</f>
        <v>2</v>
      </c>
      <c r="AO24" s="38"/>
      <c r="AP24" s="38">
        <f>SUM(AP2:AP23)</f>
        <v>2</v>
      </c>
      <c r="AQ24" s="38"/>
      <c r="AR24" s="38">
        <f>SUM(AR2:AR23)</f>
        <v>4</v>
      </c>
      <c r="AS24" s="38"/>
      <c r="AT24" s="38">
        <f>SUM(AT2:AT23)</f>
        <v>3</v>
      </c>
      <c r="AU24" s="38"/>
      <c r="AV24" s="38">
        <f>SUM(AV2:AV23)</f>
        <v>15</v>
      </c>
      <c r="AW24" s="38"/>
      <c r="AX24" s="38">
        <f>SUM(AX2:AX23)</f>
        <v>13</v>
      </c>
      <c r="AY24" s="38"/>
      <c r="AZ24" s="38">
        <f>SUM(AZ2:AZ23)</f>
        <v>8</v>
      </c>
      <c r="BA24" s="38"/>
      <c r="BB24" s="38">
        <f>SUM(BB2:BB23)</f>
        <v>9</v>
      </c>
      <c r="BC24" s="38"/>
      <c r="BD24" s="38">
        <f>SUM(BD2:BD23)</f>
        <v>5</v>
      </c>
      <c r="BE24" s="38"/>
      <c r="BF24" s="38">
        <f>SUM(BF2:BF23)</f>
        <v>9</v>
      </c>
      <c r="BG24" s="38"/>
      <c r="BH24" s="38">
        <f>SUM(BH2:BH23)</f>
        <v>10</v>
      </c>
      <c r="BI24" s="38"/>
      <c r="BJ24" s="38">
        <f>SUM(BJ2:BJ23)</f>
        <v>9</v>
      </c>
      <c r="BK24" s="38"/>
      <c r="BL24" s="38">
        <f>SUM(BL2:BL23)</f>
        <v>7</v>
      </c>
      <c r="BM24" s="38"/>
      <c r="BN24" s="38">
        <f>SUM(BN2:BN23)</f>
        <v>2</v>
      </c>
      <c r="BO24" s="38"/>
      <c r="BP24" s="38">
        <f>SUM(BP2:BP23)</f>
        <v>14</v>
      </c>
      <c r="BQ24" s="38"/>
      <c r="BR24" s="38">
        <f>SUM(BR2:BR23)</f>
        <v>4</v>
      </c>
      <c r="BS24" s="38"/>
      <c r="BT24" s="38">
        <f>SUM(BT2:BT23)</f>
        <v>15</v>
      </c>
      <c r="BU24" s="38"/>
      <c r="BV24" s="38">
        <f>SUM(BV2:BV23)</f>
        <v>8</v>
      </c>
      <c r="BW24" s="38"/>
      <c r="BX24" s="38">
        <f>SUM(BX2:BX23)</f>
        <v>11</v>
      </c>
      <c r="BY24" s="38"/>
      <c r="BZ24" s="38">
        <f>SUM(BZ2:BZ23)</f>
        <v>10</v>
      </c>
      <c r="CA24" s="38"/>
      <c r="CB24" s="38">
        <f>SUM(CB2:CB23)</f>
        <v>10</v>
      </c>
      <c r="CC24" s="38"/>
      <c r="CD24" s="38">
        <f>SUM(CD2:CD23)</f>
        <v>9</v>
      </c>
      <c r="CE24" s="38"/>
      <c r="CF24" s="38">
        <f>SUM(CF2:CF23)</f>
        <v>11</v>
      </c>
      <c r="CG24" s="38"/>
      <c r="CH24" s="38">
        <f>SUM(CH2:CH23)</f>
        <v>14</v>
      </c>
      <c r="CI24" s="38"/>
      <c r="CJ24" s="38">
        <f>SUM(CJ2:CJ23)</f>
        <v>6</v>
      </c>
      <c r="CK24" s="38"/>
      <c r="CL24" s="38">
        <f>SUM(CL2:CL23)</f>
        <v>17</v>
      </c>
      <c r="CM24" s="38"/>
      <c r="CN24" s="38">
        <f>SUM(CN2:CN23)</f>
        <v>7</v>
      </c>
      <c r="CO24" s="38"/>
      <c r="CP24" s="38">
        <v>10</v>
      </c>
      <c r="CQ24" s="38"/>
      <c r="CR24" s="38">
        <v>9</v>
      </c>
      <c r="CS24" s="38"/>
      <c r="CT24" s="38">
        <v>11</v>
      </c>
      <c r="CU24" s="38"/>
      <c r="CV24" s="38">
        <v>11</v>
      </c>
      <c r="CW24" s="38"/>
      <c r="CX24" s="38">
        <v>11</v>
      </c>
      <c r="CY24" s="38"/>
      <c r="CZ24" s="38">
        <v>8</v>
      </c>
      <c r="DA24" s="38"/>
      <c r="DB24" s="38">
        <v>13</v>
      </c>
      <c r="DC24" s="38"/>
      <c r="DD24" s="38">
        <v>7</v>
      </c>
      <c r="DE24" s="38"/>
      <c r="DF24" s="38">
        <v>11</v>
      </c>
      <c r="DG24" s="38"/>
      <c r="DH24" s="38">
        <v>11</v>
      </c>
      <c r="DI24" s="38"/>
      <c r="DJ24" s="38">
        <v>11</v>
      </c>
      <c r="DK24" s="38"/>
      <c r="DL24" s="38">
        <v>17</v>
      </c>
      <c r="DM24" s="38"/>
      <c r="DN24" s="38">
        <v>25</v>
      </c>
      <c r="DO24" s="38"/>
      <c r="DP24" s="38">
        <v>14</v>
      </c>
      <c r="DQ24" s="38"/>
      <c r="DR24" s="38">
        <v>13</v>
      </c>
      <c r="DS24" s="38"/>
      <c r="DT24" s="38">
        <v>20</v>
      </c>
      <c r="DU24" s="38"/>
      <c r="DV24" s="38">
        <v>20</v>
      </c>
      <c r="DW24" s="38"/>
      <c r="DX24" s="38">
        <v>22</v>
      </c>
      <c r="DY24" s="38"/>
      <c r="DZ24" s="38">
        <v>26</v>
      </c>
      <c r="EA24" s="38"/>
      <c r="EB24" s="38">
        <v>18</v>
      </c>
      <c r="EC24" s="38"/>
      <c r="ED24" s="38">
        <v>16</v>
      </c>
      <c r="EE24" s="38"/>
      <c r="EF24" s="38">
        <v>14</v>
      </c>
      <c r="EG24" s="38"/>
      <c r="EH24" s="38">
        <v>31</v>
      </c>
      <c r="EI24" s="38"/>
      <c r="EJ24" s="38">
        <v>10</v>
      </c>
      <c r="EK24" s="38"/>
      <c r="EL24" s="38">
        <v>22</v>
      </c>
      <c r="EM24" s="38"/>
      <c r="EN24" s="38">
        <v>22</v>
      </c>
      <c r="EO24" s="38"/>
      <c r="EP24" s="38">
        <v>19</v>
      </c>
      <c r="EQ24" s="38"/>
      <c r="ER24" s="38">
        <v>20</v>
      </c>
      <c r="ES24" s="38"/>
      <c r="ET24" s="38">
        <v>20</v>
      </c>
      <c r="EU24" s="38"/>
      <c r="EV24" s="38">
        <v>9</v>
      </c>
      <c r="EW24" s="38"/>
      <c r="EX24" s="38">
        <v>12</v>
      </c>
      <c r="EY24" s="38"/>
      <c r="EZ24" s="38">
        <v>5</v>
      </c>
      <c r="FA24" s="38"/>
      <c r="FB24" s="38">
        <v>4</v>
      </c>
      <c r="FC24" s="38"/>
      <c r="FD24" s="38">
        <v>2</v>
      </c>
      <c r="FE24" s="38"/>
      <c r="FF24" s="38">
        <v>5</v>
      </c>
      <c r="FG24" s="38"/>
      <c r="FH24" s="38">
        <v>2</v>
      </c>
      <c r="FI24" s="38">
        <v>0</v>
      </c>
      <c r="FJ24" s="38">
        <v>6</v>
      </c>
      <c r="FK24" s="38">
        <v>0</v>
      </c>
      <c r="FL24" s="990">
        <v>7</v>
      </c>
      <c r="FM24" s="9">
        <v>0</v>
      </c>
      <c r="FN24" s="968">
        <v>6</v>
      </c>
      <c r="FO24" s="9">
        <v>0</v>
      </c>
      <c r="FP24" s="9">
        <v>9</v>
      </c>
      <c r="FQ24" s="9">
        <v>0</v>
      </c>
      <c r="FR24" s="9">
        <v>126</v>
      </c>
      <c r="FT24" s="9" t="s">
        <v>6982</v>
      </c>
    </row>
    <row r="25" spans="1:176" ht="12.75" customHeight="1">
      <c r="A25" s="991" t="s">
        <v>6983</v>
      </c>
      <c r="B25" s="2158">
        <f>SUM(C2:C23)</f>
        <v>52</v>
      </c>
      <c r="C25" s="2087"/>
      <c r="D25" s="2158">
        <f>SUM(E2:E23)</f>
        <v>164</v>
      </c>
      <c r="E25" s="2087"/>
      <c r="F25" s="2158">
        <f>SUM(G2:G23)</f>
        <v>83</v>
      </c>
      <c r="G25" s="2087"/>
      <c r="H25" s="2158">
        <f>SUM(I2:I23)</f>
        <v>67</v>
      </c>
      <c r="I25" s="2087"/>
      <c r="J25" s="2158">
        <f>SUM(K2:K23)</f>
        <v>0</v>
      </c>
      <c r="K25" s="2087"/>
      <c r="L25" s="2158">
        <f>SUM(M2:M23)</f>
        <v>20</v>
      </c>
      <c r="M25" s="2087"/>
      <c r="N25" s="2158">
        <f>SUM(O2:O23)</f>
        <v>51</v>
      </c>
      <c r="O25" s="2087"/>
      <c r="P25" s="2158">
        <f>SUM(Q2:Q23)</f>
        <v>5</v>
      </c>
      <c r="Q25" s="2087"/>
      <c r="R25" s="2158">
        <f>SUM(S2:S23)</f>
        <v>30</v>
      </c>
      <c r="S25" s="2087"/>
      <c r="T25" s="2158">
        <f>SUM(U2:U23)</f>
        <v>115</v>
      </c>
      <c r="U25" s="2087"/>
      <c r="V25" s="2158">
        <f>SUM(W2:W23)</f>
        <v>5</v>
      </c>
      <c r="W25" s="2087"/>
      <c r="X25" s="2158">
        <f>SUM(Y2:Y23)</f>
        <v>55</v>
      </c>
      <c r="Y25" s="2087"/>
      <c r="Z25" s="2158">
        <f>SUM(AA2:AA23)</f>
        <v>66</v>
      </c>
      <c r="AA25" s="2087"/>
      <c r="AB25" s="2158">
        <f>SUM(AC2:AC23)</f>
        <v>139</v>
      </c>
      <c r="AC25" s="2087"/>
      <c r="AD25" s="2158">
        <f>SUM(AE2:AE23)</f>
        <v>78</v>
      </c>
      <c r="AE25" s="2087"/>
      <c r="AF25" s="2158">
        <f>SUM(AG2:AG23)</f>
        <v>85</v>
      </c>
      <c r="AG25" s="2087"/>
      <c r="AH25" s="2158">
        <f>SUM(AI2:AI23)</f>
        <v>47</v>
      </c>
      <c r="AI25" s="2087"/>
      <c r="AJ25" s="2158">
        <f>SUM(AK2:AK23)</f>
        <v>38</v>
      </c>
      <c r="AK25" s="2087"/>
      <c r="AL25" s="2158">
        <f>SUM(AM2:AM23)</f>
        <v>65</v>
      </c>
      <c r="AM25" s="2087"/>
      <c r="AN25" s="2158">
        <f>SUM(AO2:AO23)</f>
        <v>15</v>
      </c>
      <c r="AO25" s="2087"/>
      <c r="AP25" s="2158">
        <f>SUM(AQ2:AQ23)</f>
        <v>15</v>
      </c>
      <c r="AQ25" s="2087"/>
      <c r="AR25" s="2158">
        <f>SUM(AS2:AS23)</f>
        <v>40</v>
      </c>
      <c r="AS25" s="2087"/>
      <c r="AT25" s="2158">
        <f>SUM(AU2:AU23)</f>
        <v>22</v>
      </c>
      <c r="AU25" s="2087"/>
      <c r="AV25" s="2158">
        <f>SUM(AW2:AW23)</f>
        <v>127</v>
      </c>
      <c r="AW25" s="2087"/>
      <c r="AX25" s="2158">
        <f>SUM(AY2:AY23)</f>
        <v>89</v>
      </c>
      <c r="AY25" s="2087"/>
      <c r="AZ25" s="2158">
        <f>SUM(BA2:BA23)</f>
        <v>52</v>
      </c>
      <c r="BA25" s="2087"/>
      <c r="BB25" s="2158">
        <f>SUM(BC2:BC23)</f>
        <v>75</v>
      </c>
      <c r="BC25" s="2087"/>
      <c r="BD25" s="2158">
        <f>SUM(BE2:BE23)</f>
        <v>30</v>
      </c>
      <c r="BE25" s="2087"/>
      <c r="BF25" s="2158">
        <f>SUM(BG2:BG23)</f>
        <v>65</v>
      </c>
      <c r="BG25" s="2087"/>
      <c r="BH25" s="2158">
        <f>SUM(BI2:BI23)</f>
        <v>59</v>
      </c>
      <c r="BI25" s="2087"/>
      <c r="BJ25" s="2158">
        <f>SUM(BK2:BK23)</f>
        <v>65</v>
      </c>
      <c r="BK25" s="2087"/>
      <c r="BL25" s="2158">
        <f>SUM(BM2:BM23)</f>
        <v>60</v>
      </c>
      <c r="BM25" s="2087"/>
      <c r="BN25" s="2158">
        <f>SUM(BO2:BO23)</f>
        <v>12</v>
      </c>
      <c r="BO25" s="2087"/>
      <c r="BP25" s="2158">
        <f>SUM(BQ2:BQ23)</f>
        <v>113</v>
      </c>
      <c r="BQ25" s="2087"/>
      <c r="BR25" s="2158">
        <f>SUM(BS2:BS23)</f>
        <v>27</v>
      </c>
      <c r="BS25" s="2087"/>
      <c r="BT25" s="2158">
        <f>SUM(BU2:BU23)</f>
        <v>102</v>
      </c>
      <c r="BU25" s="2087"/>
      <c r="BV25" s="2158">
        <f>SUM(BW2:BW23)</f>
        <v>74</v>
      </c>
      <c r="BW25" s="2087"/>
      <c r="BX25" s="2158">
        <f>SUM(BY2:BY23)</f>
        <v>82</v>
      </c>
      <c r="BY25" s="2087"/>
      <c r="BZ25" s="2158">
        <f>SUM(CA2:CA23)</f>
        <v>86</v>
      </c>
      <c r="CA25" s="2087"/>
      <c r="CB25" s="2158">
        <f>SUM(CC2:CC23)</f>
        <v>76</v>
      </c>
      <c r="CC25" s="2087"/>
      <c r="CD25" s="2158">
        <f>SUM(CE2:CE23)</f>
        <v>55</v>
      </c>
      <c r="CE25" s="2087"/>
      <c r="CF25" s="2158">
        <f>SUM(CG2:CG23)</f>
        <v>75</v>
      </c>
      <c r="CG25" s="2087"/>
      <c r="CH25" s="2158">
        <f>SUM(CI2:CI23)</f>
        <v>125</v>
      </c>
      <c r="CI25" s="2087"/>
      <c r="CJ25" s="2158">
        <f>SUM(CK2:CK23)</f>
        <v>55</v>
      </c>
      <c r="CK25" s="2087"/>
      <c r="CL25" s="2158">
        <f>SUM(CM2:CM23)</f>
        <v>157</v>
      </c>
      <c r="CM25" s="2087"/>
      <c r="CN25" s="2158">
        <f>SUM(CO2:CO23)</f>
        <v>54</v>
      </c>
      <c r="CO25" s="2087"/>
      <c r="CP25" s="2158">
        <f>SUM(CQ2:CQ23)</f>
        <v>95</v>
      </c>
      <c r="CQ25" s="2087"/>
      <c r="CR25" s="2158">
        <f>SUM(CS2:CS23)</f>
        <v>54</v>
      </c>
      <c r="CS25" s="2087"/>
      <c r="CT25" s="2158">
        <f>SUM(CU2:CU23)</f>
        <v>84</v>
      </c>
      <c r="CU25" s="2087"/>
      <c r="CV25" s="2158">
        <f>SUM(CW2:CW23)</f>
        <v>77</v>
      </c>
      <c r="CW25" s="2087"/>
      <c r="CX25" s="2158">
        <f>SUM(CY2:CY23)</f>
        <v>77</v>
      </c>
      <c r="CY25" s="2087"/>
      <c r="CZ25" s="2158">
        <v>55</v>
      </c>
      <c r="DA25" s="2087"/>
      <c r="DB25" s="2158">
        <v>105</v>
      </c>
      <c r="DC25" s="2087"/>
      <c r="DD25" s="2158">
        <v>82</v>
      </c>
      <c r="DE25" s="2087"/>
      <c r="DF25" s="2158">
        <v>100</v>
      </c>
      <c r="DG25" s="2087"/>
      <c r="DH25" s="2158">
        <v>54</v>
      </c>
      <c r="DI25" s="2087"/>
      <c r="DJ25" s="2158">
        <v>95</v>
      </c>
      <c r="DK25" s="2087"/>
      <c r="DL25" s="2158">
        <v>165</v>
      </c>
      <c r="DM25" s="2087"/>
      <c r="DN25" s="2158">
        <v>264</v>
      </c>
      <c r="DO25" s="2087"/>
      <c r="DP25" s="2158">
        <v>194</v>
      </c>
      <c r="DQ25" s="2087"/>
      <c r="DR25" s="2158">
        <v>131</v>
      </c>
      <c r="DS25" s="2087"/>
      <c r="DT25" s="2158">
        <v>174</v>
      </c>
      <c r="DU25" s="2087"/>
      <c r="DV25" s="2158">
        <v>216</v>
      </c>
      <c r="DW25" s="2087"/>
      <c r="DX25" s="2158">
        <v>206</v>
      </c>
      <c r="DY25" s="2087"/>
      <c r="DZ25" s="2158">
        <v>190</v>
      </c>
      <c r="EA25" s="2087"/>
      <c r="EB25" s="2158">
        <v>196</v>
      </c>
      <c r="EC25" s="2087"/>
      <c r="ED25" s="2158">
        <v>115</v>
      </c>
      <c r="EE25" s="2087"/>
      <c r="EF25" s="2158">
        <v>180</v>
      </c>
      <c r="EG25" s="2087"/>
      <c r="EH25" s="2158">
        <v>197</v>
      </c>
      <c r="EI25" s="2087"/>
      <c r="EJ25" s="2158">
        <v>118</v>
      </c>
      <c r="EK25" s="2087"/>
      <c r="EL25" s="2158">
        <v>195</v>
      </c>
      <c r="EM25" s="2087"/>
      <c r="EN25" s="2158">
        <v>200</v>
      </c>
      <c r="EO25" s="2087"/>
      <c r="EP25" s="2158">
        <v>201</v>
      </c>
      <c r="EQ25" s="2087"/>
      <c r="ER25" s="2158">
        <v>259</v>
      </c>
      <c r="ES25" s="2087"/>
      <c r="ET25" s="2158">
        <v>200</v>
      </c>
      <c r="EU25" s="2087"/>
      <c r="EV25" s="2158">
        <v>80</v>
      </c>
      <c r="EW25" s="2087"/>
      <c r="EX25" s="2158">
        <v>80</v>
      </c>
      <c r="EY25" s="2087"/>
      <c r="EZ25" s="2158">
        <v>25</v>
      </c>
      <c r="FA25" s="2087"/>
      <c r="FB25" s="2158">
        <v>25</v>
      </c>
      <c r="FC25" s="2087"/>
      <c r="FD25" s="2158">
        <v>15</v>
      </c>
      <c r="FE25" s="2087"/>
      <c r="FF25" s="2158">
        <v>25</v>
      </c>
      <c r="FG25" s="2087"/>
      <c r="FH25" s="2158">
        <v>10</v>
      </c>
      <c r="FI25" s="2087"/>
      <c r="FJ25" s="2158">
        <v>35</v>
      </c>
      <c r="FK25" s="2087"/>
      <c r="FL25" s="992">
        <v>35</v>
      </c>
      <c r="FM25" s="991"/>
      <c r="FN25" s="991">
        <v>30</v>
      </c>
      <c r="FO25" s="991"/>
      <c r="FP25" s="991">
        <v>45</v>
      </c>
      <c r="FQ25" s="991"/>
      <c r="FR25" s="991">
        <v>1460</v>
      </c>
      <c r="FS25" s="991"/>
      <c r="FT25" s="991"/>
    </row>
    <row r="26" spans="1:176">
      <c r="FJ26" s="82"/>
    </row>
    <row r="27" spans="1:176" ht="15">
      <c r="A27" s="9" t="s">
        <v>6984</v>
      </c>
      <c r="B27" s="993"/>
      <c r="C27" s="993"/>
      <c r="D27" s="993"/>
      <c r="E27" s="993"/>
      <c r="F27" s="993"/>
      <c r="G27" s="993"/>
      <c r="H27" s="993"/>
      <c r="I27" s="993"/>
      <c r="J27" s="993"/>
      <c r="K27" s="993"/>
      <c r="L27" s="2159"/>
      <c r="M27" s="2087"/>
      <c r="N27" s="2159"/>
      <c r="O27" s="2087"/>
      <c r="P27" s="2159"/>
      <c r="Q27" s="2087"/>
      <c r="R27" s="2159"/>
      <c r="S27" s="2087"/>
      <c r="T27" s="2159"/>
      <c r="U27" s="2087"/>
      <c r="V27" s="2159"/>
      <c r="W27" s="2087"/>
      <c r="X27" s="2159"/>
      <c r="Y27" s="2087"/>
      <c r="Z27" s="2159"/>
      <c r="AA27" s="2087"/>
      <c r="AB27" s="2159"/>
      <c r="AC27" s="2087"/>
      <c r="AD27" s="2159"/>
      <c r="AE27" s="2087"/>
      <c r="AF27" s="2159"/>
      <c r="AG27" s="2087"/>
      <c r="AH27" s="2159"/>
      <c r="AI27" s="2087"/>
      <c r="AJ27" s="2159"/>
      <c r="AK27" s="2087"/>
      <c r="AL27" s="2159"/>
      <c r="AM27" s="2087"/>
      <c r="AN27" s="2159"/>
      <c r="AO27" s="2087"/>
      <c r="AP27" s="2159"/>
      <c r="AQ27" s="2087"/>
      <c r="AR27" s="2159"/>
      <c r="AS27" s="2087"/>
      <c r="AT27" s="2159"/>
      <c r="AU27" s="2087"/>
      <c r="AV27" s="2159"/>
      <c r="AW27" s="2087"/>
      <c r="AX27" s="2159"/>
      <c r="AY27" s="2087"/>
      <c r="AZ27" s="2159"/>
      <c r="BA27" s="2087"/>
      <c r="BB27" s="2159"/>
      <c r="BC27" s="2087"/>
      <c r="BD27" s="2159"/>
      <c r="BE27" s="2087"/>
      <c r="BF27" s="2159"/>
      <c r="BG27" s="2087"/>
      <c r="BH27" s="2159">
        <v>34.61</v>
      </c>
      <c r="BI27" s="2087"/>
      <c r="BJ27" s="2159">
        <v>10.199999999999999</v>
      </c>
      <c r="BK27" s="2087"/>
      <c r="BL27" s="2159">
        <v>11.03</v>
      </c>
      <c r="BM27" s="2087"/>
      <c r="BN27" s="2159">
        <v>40.75</v>
      </c>
      <c r="BO27" s="2087"/>
      <c r="BP27" s="2159">
        <v>29.72</v>
      </c>
      <c r="BQ27" s="2087"/>
      <c r="BR27" s="2159">
        <v>6.92</v>
      </c>
      <c r="BS27" s="2087"/>
      <c r="BT27" s="2159">
        <v>34.6</v>
      </c>
      <c r="BU27" s="2087"/>
      <c r="BV27" s="2159">
        <v>6.92</v>
      </c>
      <c r="BW27" s="2087"/>
      <c r="BX27" s="2159">
        <v>34.72</v>
      </c>
      <c r="BY27" s="2087"/>
      <c r="BZ27" s="2159">
        <v>13.87</v>
      </c>
      <c r="CA27" s="2087"/>
      <c r="CB27" s="2159">
        <v>13.84</v>
      </c>
      <c r="CC27" s="2087"/>
      <c r="CD27" s="2159">
        <v>6.95</v>
      </c>
      <c r="CE27" s="2087"/>
      <c r="CF27" s="2159"/>
      <c r="CG27" s="2087"/>
      <c r="CH27" s="2159"/>
      <c r="CI27" s="2087"/>
      <c r="CJ27" s="2159">
        <v>27.71</v>
      </c>
      <c r="CK27" s="2087"/>
      <c r="CL27" s="2159">
        <v>6.92</v>
      </c>
      <c r="CM27" s="2087"/>
      <c r="CN27" s="2159">
        <v>13.84</v>
      </c>
      <c r="CO27" s="2087"/>
      <c r="CP27" s="2159">
        <v>34.630000000000003</v>
      </c>
      <c r="CQ27" s="2087"/>
      <c r="CR27" s="2159">
        <v>6.92</v>
      </c>
      <c r="CS27" s="2087"/>
      <c r="CT27" s="2159">
        <v>20.55</v>
      </c>
      <c r="CU27" s="2087"/>
      <c r="FJ27" s="82"/>
    </row>
    <row r="28" spans="1:176">
      <c r="FJ28" s="82"/>
    </row>
    <row r="29" spans="1:176">
      <c r="A29" s="9" t="s">
        <v>6985</v>
      </c>
      <c r="B29" s="9"/>
      <c r="C29" s="9"/>
      <c r="D29" s="9"/>
      <c r="E29" s="9"/>
      <c r="F29" s="9"/>
      <c r="G29" s="9"/>
      <c r="H29" s="9"/>
      <c r="I29" s="9"/>
      <c r="J29" s="9"/>
      <c r="K29" s="9"/>
      <c r="L29" s="9">
        <v>13</v>
      </c>
      <c r="N29" s="9">
        <v>13</v>
      </c>
      <c r="P29" s="9">
        <v>13</v>
      </c>
      <c r="R29" s="9">
        <v>13</v>
      </c>
      <c r="T29" s="9">
        <v>13</v>
      </c>
      <c r="V29" s="9">
        <v>13</v>
      </c>
      <c r="X29" s="9">
        <v>13</v>
      </c>
      <c r="Z29" s="9">
        <v>13</v>
      </c>
      <c r="AB29" s="9">
        <v>13</v>
      </c>
      <c r="FJ29" s="82"/>
    </row>
    <row r="30" spans="1:176">
      <c r="FJ30" s="82"/>
    </row>
    <row r="31" spans="1:176">
      <c r="AG31" s="9">
        <f>1/0.72</f>
        <v>1.3888888888888888</v>
      </c>
      <c r="BI31" s="9"/>
      <c r="FJ31" s="82"/>
    </row>
    <row r="32" spans="1:176">
      <c r="A32" s="3" t="s">
        <v>6986</v>
      </c>
      <c r="FJ32" s="82"/>
    </row>
    <row r="33" spans="1:166">
      <c r="A33" s="9" t="s">
        <v>6987</v>
      </c>
      <c r="FJ33" s="82"/>
    </row>
    <row r="34" spans="1:166">
      <c r="A34" s="9" t="s">
        <v>1440</v>
      </c>
      <c r="BO34" s="9"/>
      <c r="FJ34" s="82"/>
    </row>
    <row r="35" spans="1:166">
      <c r="A35" s="9" t="s">
        <v>6988</v>
      </c>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O35" s="9"/>
      <c r="FJ35" s="82"/>
    </row>
    <row r="36" spans="1:166">
      <c r="A36" s="9" t="s">
        <v>6989</v>
      </c>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O36" s="9"/>
      <c r="FJ36" s="82"/>
    </row>
    <row r="37" spans="1:166">
      <c r="A37" s="9" t="s">
        <v>6990</v>
      </c>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O37" s="9"/>
      <c r="FJ37" s="82"/>
    </row>
    <row r="38" spans="1:166">
      <c r="A38" s="9" t="s">
        <v>6991</v>
      </c>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O38" s="9"/>
      <c r="FJ38" s="82"/>
    </row>
    <row r="39" spans="1:166">
      <c r="A39" s="9" t="s">
        <v>6992</v>
      </c>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FJ39" s="82"/>
    </row>
    <row r="40" spans="1:166">
      <c r="A40" s="9" t="s">
        <v>6993</v>
      </c>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FJ40" s="82"/>
    </row>
    <row r="41" spans="1:166" ht="25.5">
      <c r="A41" s="9" t="s">
        <v>6994</v>
      </c>
      <c r="FJ41" s="82"/>
    </row>
    <row r="42" spans="1:166">
      <c r="A42" s="9" t="s">
        <v>6995</v>
      </c>
      <c r="FJ42" s="82"/>
    </row>
    <row r="43" spans="1:166">
      <c r="A43" s="9" t="s">
        <v>6996</v>
      </c>
      <c r="FJ43" s="82"/>
    </row>
    <row r="44" spans="1:166">
      <c r="A44" s="9" t="s">
        <v>6997</v>
      </c>
      <c r="FJ44" s="82"/>
    </row>
    <row r="45" spans="1:166">
      <c r="FJ45" s="82"/>
    </row>
    <row r="46" spans="1:166">
      <c r="FJ46" s="82"/>
    </row>
    <row r="47" spans="1:166">
      <c r="FJ47" s="82"/>
    </row>
    <row r="48" spans="1:166">
      <c r="FJ48" s="82"/>
    </row>
    <row r="49" spans="1:166">
      <c r="FJ49" s="82"/>
    </row>
    <row r="50" spans="1:166">
      <c r="FJ50" s="82"/>
    </row>
    <row r="51" spans="1:166" ht="25.5">
      <c r="A51" s="3" t="s">
        <v>6998</v>
      </c>
      <c r="FJ51" s="82"/>
    </row>
    <row r="52" spans="1:166">
      <c r="A52" s="9" t="s">
        <v>6999</v>
      </c>
      <c r="B52" s="9"/>
      <c r="C52" s="9"/>
      <c r="D52" s="9"/>
      <c r="E52" s="9"/>
      <c r="F52" s="9"/>
      <c r="G52" s="9"/>
      <c r="H52" s="9"/>
      <c r="I52" s="9"/>
      <c r="J52" s="9"/>
      <c r="K52" s="9"/>
      <c r="L52" s="2088">
        <v>9.99</v>
      </c>
      <c r="M52" s="2087"/>
      <c r="N52" s="2088">
        <v>9.99</v>
      </c>
      <c r="O52" s="2087"/>
      <c r="P52" s="2088">
        <v>9.99</v>
      </c>
      <c r="Q52" s="2087"/>
      <c r="R52" s="2088">
        <v>9.99</v>
      </c>
      <c r="S52" s="2087"/>
      <c r="T52" s="2088">
        <v>9.99</v>
      </c>
      <c r="U52" s="2087"/>
      <c r="V52" s="2088">
        <v>9.99</v>
      </c>
      <c r="W52" s="2087"/>
      <c r="X52" s="2088">
        <v>9.99</v>
      </c>
      <c r="Y52" s="2087"/>
      <c r="Z52" s="2088">
        <v>9.99</v>
      </c>
      <c r="AA52" s="2087"/>
      <c r="AB52" s="2088">
        <v>9.99</v>
      </c>
      <c r="AC52" s="2087"/>
      <c r="AD52" s="2088">
        <v>9.99</v>
      </c>
      <c r="AE52" s="2087"/>
      <c r="AF52" s="2088">
        <v>9.99</v>
      </c>
      <c r="AG52" s="2087"/>
      <c r="AH52" s="2088">
        <v>9.99</v>
      </c>
      <c r="AI52" s="2087"/>
      <c r="AJ52" s="2088">
        <v>9.99</v>
      </c>
      <c r="AK52" s="2087"/>
      <c r="AL52" s="2088">
        <v>9.99</v>
      </c>
      <c r="AM52" s="2087"/>
      <c r="AN52" s="2088">
        <v>9.99</v>
      </c>
      <c r="AO52" s="2087"/>
      <c r="AP52" s="2088">
        <v>9.99</v>
      </c>
      <c r="AQ52" s="2087"/>
      <c r="AR52" s="2088">
        <v>9.99</v>
      </c>
      <c r="AS52" s="2087"/>
      <c r="AT52" s="2088">
        <v>9.99</v>
      </c>
      <c r="AU52" s="2087"/>
      <c r="AV52" s="2088">
        <v>9.99</v>
      </c>
      <c r="AW52" s="2087"/>
      <c r="AX52" s="2088">
        <v>9.99</v>
      </c>
      <c r="AY52" s="2087"/>
      <c r="AZ52" s="2088">
        <v>9.99</v>
      </c>
      <c r="BA52" s="2087"/>
      <c r="BB52" s="2088">
        <v>9.99</v>
      </c>
      <c r="BC52" s="2087"/>
      <c r="BD52" s="2088">
        <v>9.99</v>
      </c>
      <c r="BE52" s="2087"/>
      <c r="BF52" s="2088">
        <v>9.99</v>
      </c>
      <c r="BG52" s="2087"/>
      <c r="FJ52" s="82"/>
    </row>
    <row r="53" spans="1:166">
      <c r="A53" s="9" t="s">
        <v>7000</v>
      </c>
      <c r="B53" s="9"/>
      <c r="C53" s="9"/>
      <c r="D53" s="9"/>
      <c r="E53" s="9"/>
      <c r="F53" s="9"/>
      <c r="G53" s="9"/>
      <c r="H53" s="9"/>
      <c r="I53" s="9"/>
      <c r="J53" s="9"/>
      <c r="K53" s="9"/>
      <c r="L53" s="2088">
        <v>2.99</v>
      </c>
      <c r="M53" s="2087"/>
      <c r="N53" s="2088">
        <v>2.99</v>
      </c>
      <c r="O53" s="2087"/>
      <c r="P53" s="2088">
        <v>2.99</v>
      </c>
      <c r="Q53" s="2087"/>
      <c r="R53" s="2088">
        <v>2.99</v>
      </c>
      <c r="S53" s="2087"/>
      <c r="T53" s="2088">
        <v>2.99</v>
      </c>
      <c r="U53" s="2087"/>
      <c r="V53" s="2088">
        <v>2.99</v>
      </c>
      <c r="W53" s="2087"/>
      <c r="X53" s="2088">
        <v>2.99</v>
      </c>
      <c r="Y53" s="2087"/>
      <c r="Z53" s="2088">
        <v>2.99</v>
      </c>
      <c r="AA53" s="2087"/>
      <c r="AB53" s="2088">
        <v>2.99</v>
      </c>
      <c r="AC53" s="2087"/>
      <c r="AD53" s="2088">
        <v>2.99</v>
      </c>
      <c r="AE53" s="2087"/>
      <c r="AF53" s="2088">
        <v>2.99</v>
      </c>
      <c r="AG53" s="2087"/>
      <c r="AH53" s="2088">
        <v>2.99</v>
      </c>
      <c r="AI53" s="2087"/>
      <c r="AJ53" s="2088">
        <v>2.99</v>
      </c>
      <c r="AK53" s="2087"/>
      <c r="AL53" s="2088">
        <v>2.99</v>
      </c>
      <c r="AM53" s="2087"/>
      <c r="AN53" s="2088">
        <v>2.99</v>
      </c>
      <c r="AO53" s="2087"/>
      <c r="AP53" s="2088">
        <v>2.99</v>
      </c>
      <c r="AQ53" s="2087"/>
      <c r="AR53" s="2088">
        <v>2.99</v>
      </c>
      <c r="AS53" s="2087"/>
      <c r="AT53" s="2088">
        <v>2.99</v>
      </c>
      <c r="AU53" s="2087"/>
      <c r="AV53" s="2088">
        <v>2.99</v>
      </c>
      <c r="AW53" s="2087"/>
      <c r="AX53" s="2088">
        <v>2.99</v>
      </c>
      <c r="AY53" s="2087"/>
      <c r="AZ53" s="2088">
        <v>2.99</v>
      </c>
      <c r="BA53" s="2087"/>
      <c r="BB53" s="2088">
        <v>2.99</v>
      </c>
      <c r="BC53" s="2087"/>
      <c r="BD53" s="2088">
        <v>2.99</v>
      </c>
      <c r="BE53" s="2087"/>
      <c r="BF53" s="2088">
        <v>2.99</v>
      </c>
      <c r="BG53" s="2087"/>
      <c r="FJ53" s="82"/>
    </row>
    <row r="54" spans="1:166">
      <c r="A54" s="9" t="s">
        <v>7001</v>
      </c>
      <c r="B54" s="9"/>
      <c r="C54" s="9"/>
      <c r="D54" s="9"/>
      <c r="E54" s="9"/>
      <c r="F54" s="9"/>
      <c r="G54" s="9"/>
      <c r="H54" s="9"/>
      <c r="I54" s="9"/>
      <c r="J54" s="9"/>
      <c r="K54" s="9"/>
      <c r="L54" s="2088">
        <v>9.99</v>
      </c>
      <c r="M54" s="2087"/>
      <c r="N54" s="2088">
        <v>9.99</v>
      </c>
      <c r="O54" s="2087"/>
      <c r="P54" s="2088">
        <v>9.99</v>
      </c>
      <c r="Q54" s="2087"/>
      <c r="R54" s="2088">
        <v>9.99</v>
      </c>
      <c r="S54" s="2087"/>
      <c r="T54" s="2088">
        <v>9.99</v>
      </c>
      <c r="U54" s="2087"/>
      <c r="V54" s="2088">
        <v>9.99</v>
      </c>
      <c r="W54" s="2087"/>
      <c r="X54" s="2088">
        <v>9.99</v>
      </c>
      <c r="Y54" s="2087"/>
      <c r="Z54" s="2088">
        <v>9.99</v>
      </c>
      <c r="AA54" s="2087"/>
      <c r="AB54" s="2088">
        <v>9.99</v>
      </c>
      <c r="AC54" s="2087"/>
      <c r="AD54" s="2088">
        <v>9.99</v>
      </c>
      <c r="AE54" s="2087"/>
      <c r="AF54" s="2088">
        <v>9.99</v>
      </c>
      <c r="AG54" s="2087"/>
      <c r="AH54" s="2088">
        <v>9.99</v>
      </c>
      <c r="AI54" s="2087"/>
      <c r="AJ54" s="2088">
        <v>9.99</v>
      </c>
      <c r="AK54" s="2087"/>
      <c r="AL54" s="2088">
        <v>9.99</v>
      </c>
      <c r="AM54" s="2087"/>
      <c r="AN54" s="2088">
        <v>9.99</v>
      </c>
      <c r="AO54" s="2087"/>
      <c r="AP54" s="2088">
        <v>9.99</v>
      </c>
      <c r="AQ54" s="2087"/>
      <c r="AR54" s="2088">
        <v>9.99</v>
      </c>
      <c r="AS54" s="2087"/>
      <c r="AT54" s="2088">
        <v>9.99</v>
      </c>
      <c r="AU54" s="2087"/>
      <c r="AV54" s="2088">
        <v>9.99</v>
      </c>
      <c r="AW54" s="2087"/>
      <c r="AX54" s="2088">
        <v>9.99</v>
      </c>
      <c r="AY54" s="2087"/>
      <c r="AZ54" s="2088">
        <v>9.99</v>
      </c>
      <c r="BA54" s="2087"/>
      <c r="BB54" s="2088">
        <v>9.99</v>
      </c>
      <c r="BC54" s="2087"/>
      <c r="BD54" s="2088">
        <v>9.99</v>
      </c>
      <c r="BE54" s="2087"/>
      <c r="BF54" s="2088">
        <v>9.99</v>
      </c>
      <c r="BG54" s="2087"/>
      <c r="FJ54" s="82"/>
    </row>
    <row r="55" spans="1:166">
      <c r="A55" s="9" t="s">
        <v>7002</v>
      </c>
      <c r="B55" s="9"/>
      <c r="C55" s="9"/>
      <c r="D55" s="9"/>
      <c r="E55" s="9"/>
      <c r="F55" s="9"/>
      <c r="G55" s="9"/>
      <c r="H55" s="9"/>
      <c r="I55" s="9"/>
      <c r="J55" s="9"/>
      <c r="K55" s="9"/>
      <c r="L55" s="2088">
        <v>0.99</v>
      </c>
      <c r="M55" s="2087"/>
      <c r="N55" s="2088">
        <v>0.99</v>
      </c>
      <c r="O55" s="2087"/>
      <c r="P55" s="2088">
        <v>0.99</v>
      </c>
      <c r="Q55" s="2087"/>
      <c r="R55" s="2088">
        <v>0.99</v>
      </c>
      <c r="S55" s="2087"/>
      <c r="T55" s="2088">
        <v>0.99</v>
      </c>
      <c r="U55" s="2087"/>
      <c r="V55" s="2088">
        <v>0.99</v>
      </c>
      <c r="W55" s="2087"/>
      <c r="X55" s="2088">
        <v>0.99</v>
      </c>
      <c r="Y55" s="2087"/>
      <c r="Z55" s="2088">
        <v>0.99</v>
      </c>
      <c r="AA55" s="2087"/>
      <c r="AB55" s="2088">
        <v>0.99</v>
      </c>
      <c r="AC55" s="2087"/>
      <c r="AD55" s="2088">
        <v>0.99</v>
      </c>
      <c r="AE55" s="2087"/>
      <c r="AF55" s="2088">
        <v>0.99</v>
      </c>
      <c r="AG55" s="2087"/>
      <c r="AH55" s="2088">
        <v>0.99</v>
      </c>
      <c r="AI55" s="2087"/>
      <c r="AJ55" s="2088">
        <v>0.99</v>
      </c>
      <c r="AK55" s="2087"/>
      <c r="AL55" s="2088">
        <v>0.99</v>
      </c>
      <c r="AM55" s="2087"/>
      <c r="AN55" s="2088">
        <v>0.99</v>
      </c>
      <c r="AO55" s="2087"/>
      <c r="AP55" s="2088">
        <v>0.99</v>
      </c>
      <c r="AQ55" s="2087"/>
      <c r="AR55" s="2088">
        <v>0.99</v>
      </c>
      <c r="AS55" s="2087"/>
      <c r="AT55" s="2088">
        <v>0.99</v>
      </c>
      <c r="AU55" s="2087"/>
      <c r="AV55" s="2088">
        <v>0.99</v>
      </c>
      <c r="AW55" s="2087"/>
      <c r="AX55" s="2088">
        <v>0.99</v>
      </c>
      <c r="AY55" s="2087"/>
      <c r="AZ55" s="2088">
        <v>0.99</v>
      </c>
      <c r="BA55" s="2087"/>
      <c r="BB55" s="2088">
        <v>0.99</v>
      </c>
      <c r="BC55" s="2087"/>
      <c r="BD55" s="2088">
        <v>0.99</v>
      </c>
      <c r="BE55" s="2087"/>
      <c r="BF55" s="2088">
        <v>0.99</v>
      </c>
      <c r="BG55" s="2087"/>
      <c r="FJ55" s="82"/>
    </row>
    <row r="56" spans="1:166">
      <c r="A56" s="9" t="s">
        <v>7003</v>
      </c>
      <c r="B56" s="11"/>
      <c r="C56" s="11"/>
      <c r="D56" s="11"/>
      <c r="E56" s="11"/>
      <c r="F56" s="11"/>
      <c r="G56" s="11"/>
      <c r="H56" s="11"/>
      <c r="I56" s="11"/>
      <c r="J56" s="11"/>
      <c r="K56" s="11"/>
      <c r="L56" s="2160">
        <v>5</v>
      </c>
      <c r="M56" s="2087"/>
      <c r="N56" s="2160">
        <v>5</v>
      </c>
      <c r="O56" s="2087"/>
      <c r="P56" s="2160">
        <v>5</v>
      </c>
      <c r="Q56" s="2087"/>
      <c r="R56" s="2160">
        <v>5</v>
      </c>
      <c r="S56" s="2087"/>
      <c r="T56" s="2160">
        <v>5</v>
      </c>
      <c r="U56" s="2087"/>
      <c r="V56" s="2160">
        <v>5</v>
      </c>
      <c r="W56" s="2087"/>
      <c r="X56" s="2160">
        <v>5</v>
      </c>
      <c r="Y56" s="2087"/>
      <c r="Z56" s="2160">
        <v>5</v>
      </c>
      <c r="AA56" s="2087"/>
      <c r="AB56" s="2160">
        <v>5</v>
      </c>
      <c r="AC56" s="2087"/>
      <c r="AD56" s="2160">
        <v>5</v>
      </c>
      <c r="AE56" s="2087"/>
      <c r="AF56" s="2160">
        <v>5</v>
      </c>
      <c r="AG56" s="2087"/>
      <c r="AH56" s="2160">
        <v>5</v>
      </c>
      <c r="AI56" s="2087"/>
      <c r="AJ56" s="2160">
        <v>5</v>
      </c>
      <c r="AK56" s="2087"/>
      <c r="AL56" s="2160">
        <v>5</v>
      </c>
      <c r="AM56" s="2087"/>
      <c r="AN56" s="2160">
        <v>5</v>
      </c>
      <c r="AO56" s="2087"/>
      <c r="AP56" s="2160">
        <v>5</v>
      </c>
      <c r="AQ56" s="2087"/>
      <c r="AR56" s="2160">
        <v>5</v>
      </c>
      <c r="AS56" s="2087"/>
      <c r="AT56" s="2160">
        <v>5</v>
      </c>
      <c r="AU56" s="2087"/>
      <c r="AV56" s="2160">
        <v>5</v>
      </c>
      <c r="AW56" s="2087"/>
      <c r="AX56" s="2160">
        <v>5</v>
      </c>
      <c r="AY56" s="2087"/>
      <c r="AZ56" s="2160">
        <v>5</v>
      </c>
      <c r="BA56" s="2087"/>
      <c r="BB56" s="2160">
        <v>5</v>
      </c>
      <c r="BC56" s="2087"/>
      <c r="BD56" s="2160">
        <v>5</v>
      </c>
      <c r="BE56" s="2087"/>
      <c r="BF56" s="2160">
        <v>5</v>
      </c>
      <c r="BG56" s="2087"/>
      <c r="FJ56" s="82"/>
    </row>
    <row r="57" spans="1:166">
      <c r="A57" s="9" t="s">
        <v>7004</v>
      </c>
      <c r="B57" s="11"/>
      <c r="C57" s="11"/>
      <c r="D57" s="11"/>
      <c r="E57" s="11"/>
      <c r="F57" s="11"/>
      <c r="G57" s="11"/>
      <c r="H57" s="11"/>
      <c r="I57" s="11"/>
      <c r="J57" s="11"/>
      <c r="K57" s="11"/>
      <c r="L57" s="2160">
        <v>9</v>
      </c>
      <c r="M57" s="2087"/>
      <c r="N57" s="2160">
        <v>9</v>
      </c>
      <c r="O57" s="2087"/>
      <c r="P57" s="2160">
        <v>9</v>
      </c>
      <c r="Q57" s="2087"/>
      <c r="R57" s="2160">
        <v>9</v>
      </c>
      <c r="S57" s="2087"/>
      <c r="T57" s="2160">
        <v>9</v>
      </c>
      <c r="U57" s="2087"/>
      <c r="V57" s="2160">
        <v>9</v>
      </c>
      <c r="W57" s="2087"/>
      <c r="X57" s="2160">
        <v>9</v>
      </c>
      <c r="Y57" s="2087"/>
      <c r="Z57" s="2160">
        <v>9</v>
      </c>
      <c r="AA57" s="2087"/>
      <c r="AB57" s="2160">
        <v>9</v>
      </c>
      <c r="AC57" s="2087"/>
      <c r="AD57" s="2160">
        <v>9</v>
      </c>
      <c r="AE57" s="2087"/>
      <c r="AF57" s="2160">
        <v>9</v>
      </c>
      <c r="AG57" s="2087"/>
      <c r="AH57" s="2160">
        <v>9</v>
      </c>
      <c r="AI57" s="2087"/>
      <c r="AJ57" s="2160">
        <v>9</v>
      </c>
      <c r="AK57" s="2087"/>
      <c r="AL57" s="2160">
        <v>9</v>
      </c>
      <c r="AM57" s="2087"/>
      <c r="AN57" s="2160">
        <v>9</v>
      </c>
      <c r="AO57" s="2087"/>
      <c r="AP57" s="2160">
        <v>9</v>
      </c>
      <c r="AQ57" s="2087"/>
      <c r="AR57" s="2160">
        <v>9</v>
      </c>
      <c r="AS57" s="2087"/>
      <c r="AT57" s="2160">
        <v>9</v>
      </c>
      <c r="AU57" s="2087"/>
      <c r="AV57" s="2160">
        <v>9</v>
      </c>
      <c r="AW57" s="2087"/>
      <c r="AX57" s="2160">
        <v>9</v>
      </c>
      <c r="AY57" s="2087"/>
      <c r="AZ57" s="2160">
        <v>9</v>
      </c>
      <c r="BA57" s="2087"/>
      <c r="BB57" s="2160">
        <v>9</v>
      </c>
      <c r="BC57" s="2087"/>
      <c r="BD57" s="2160">
        <v>9</v>
      </c>
      <c r="BE57" s="2087"/>
      <c r="BF57" s="2160">
        <v>9</v>
      </c>
      <c r="BG57" s="2087"/>
      <c r="FJ57" s="82"/>
    </row>
    <row r="58" spans="1:166">
      <c r="A58" s="9" t="s">
        <v>7005</v>
      </c>
      <c r="B58" s="9"/>
      <c r="C58" s="9"/>
      <c r="D58" s="9"/>
      <c r="E58" s="9"/>
      <c r="F58" s="9"/>
      <c r="G58" s="9"/>
      <c r="H58" s="9"/>
      <c r="I58" s="9"/>
      <c r="J58" s="9"/>
      <c r="K58" s="9"/>
      <c r="L58" s="2088">
        <v>7.99</v>
      </c>
      <c r="M58" s="2087"/>
      <c r="N58" s="2088">
        <v>7.99</v>
      </c>
      <c r="O58" s="2087"/>
      <c r="P58" s="2088">
        <v>7.99</v>
      </c>
      <c r="Q58" s="2087"/>
      <c r="R58" s="2088">
        <v>7.99</v>
      </c>
      <c r="S58" s="2087"/>
      <c r="T58" s="2088">
        <v>7.99</v>
      </c>
      <c r="U58" s="2087"/>
      <c r="V58" s="2088">
        <v>7.99</v>
      </c>
      <c r="W58" s="2087"/>
      <c r="X58" s="2088">
        <v>7.99</v>
      </c>
      <c r="Y58" s="2087"/>
      <c r="Z58" s="2088">
        <v>7.99</v>
      </c>
      <c r="AA58" s="2087"/>
      <c r="AB58" s="2088">
        <v>7.99</v>
      </c>
      <c r="AC58" s="2087"/>
      <c r="AD58" s="2088">
        <v>7.99</v>
      </c>
      <c r="AE58" s="2087"/>
      <c r="AF58" s="2088">
        <v>7.99</v>
      </c>
      <c r="AG58" s="2087"/>
      <c r="AH58" s="2088">
        <v>7.99</v>
      </c>
      <c r="AI58" s="2087"/>
      <c r="AJ58" s="2088">
        <v>7.99</v>
      </c>
      <c r="AK58" s="2087"/>
      <c r="AL58" s="2088">
        <v>7.99</v>
      </c>
      <c r="AM58" s="2087"/>
      <c r="AN58" s="2088">
        <v>7.99</v>
      </c>
      <c r="AO58" s="2087"/>
      <c r="AP58" s="2088">
        <v>7.99</v>
      </c>
      <c r="AQ58" s="2087"/>
      <c r="AR58" s="2088">
        <v>7.99</v>
      </c>
      <c r="AS58" s="2087"/>
      <c r="AT58" s="2088">
        <v>7.99</v>
      </c>
      <c r="AU58" s="2087"/>
      <c r="AV58" s="2088">
        <v>7.99</v>
      </c>
      <c r="AW58" s="2087"/>
      <c r="AX58" s="2088">
        <v>7.99</v>
      </c>
      <c r="AY58" s="2087"/>
      <c r="AZ58" s="2088">
        <v>7.99</v>
      </c>
      <c r="BA58" s="2087"/>
      <c r="BB58" s="2088">
        <v>7.99</v>
      </c>
      <c r="BC58" s="2087"/>
      <c r="BD58" s="2088">
        <v>7.99</v>
      </c>
      <c r="BE58" s="2087"/>
      <c r="BF58" s="2088">
        <v>7.99</v>
      </c>
      <c r="BG58" s="2087"/>
      <c r="FJ58" s="82"/>
    </row>
    <row r="59" spans="1:166" ht="25.5">
      <c r="A59" s="9" t="s">
        <v>7006</v>
      </c>
      <c r="B59" s="9"/>
      <c r="C59" s="9"/>
      <c r="D59" s="9"/>
      <c r="E59" s="9"/>
      <c r="F59" s="9"/>
      <c r="G59" s="9"/>
      <c r="H59" s="9"/>
      <c r="I59" s="9"/>
      <c r="J59" s="9"/>
      <c r="K59" s="9"/>
      <c r="L59" s="2088">
        <v>9.99</v>
      </c>
      <c r="M59" s="2087"/>
      <c r="N59" s="2088">
        <v>9.99</v>
      </c>
      <c r="O59" s="2087"/>
      <c r="P59" s="2088">
        <v>9.99</v>
      </c>
      <c r="Q59" s="2087"/>
      <c r="R59" s="2088">
        <v>9.99</v>
      </c>
      <c r="S59" s="2087"/>
      <c r="T59" s="2088">
        <v>9.99</v>
      </c>
      <c r="U59" s="2087"/>
      <c r="V59" s="2088">
        <v>9.99</v>
      </c>
      <c r="W59" s="2087"/>
      <c r="X59" s="2088">
        <v>9.99</v>
      </c>
      <c r="Y59" s="2087"/>
      <c r="Z59" s="2088">
        <v>9.99</v>
      </c>
      <c r="AA59" s="2087"/>
      <c r="AB59" s="2088">
        <v>9.99</v>
      </c>
      <c r="AC59" s="2087"/>
      <c r="AD59" s="2088">
        <v>9.99</v>
      </c>
      <c r="AE59" s="2087"/>
      <c r="AF59" s="2088">
        <v>9.99</v>
      </c>
      <c r="AG59" s="2087"/>
      <c r="AH59" s="2088">
        <v>9.99</v>
      </c>
      <c r="AI59" s="2087"/>
      <c r="AJ59" s="2088">
        <v>9.99</v>
      </c>
      <c r="AK59" s="2087"/>
      <c r="AL59" s="2088">
        <v>9.99</v>
      </c>
      <c r="AM59" s="2087"/>
      <c r="AN59" s="2088">
        <v>9.99</v>
      </c>
      <c r="AO59" s="2087"/>
      <c r="AP59" s="2088">
        <v>9.99</v>
      </c>
      <c r="AQ59" s="2087"/>
      <c r="AR59" s="2088">
        <v>9.99</v>
      </c>
      <c r="AS59" s="2087"/>
      <c r="AT59" s="2088">
        <v>9.99</v>
      </c>
      <c r="AU59" s="2087"/>
      <c r="AV59" s="2088">
        <v>9.99</v>
      </c>
      <c r="AW59" s="2087"/>
      <c r="AX59" s="2088">
        <v>9.99</v>
      </c>
      <c r="AY59" s="2087"/>
      <c r="AZ59" s="2088">
        <v>9.99</v>
      </c>
      <c r="BA59" s="2087"/>
      <c r="BB59" s="2088">
        <v>9.99</v>
      </c>
      <c r="BC59" s="2087"/>
      <c r="BD59" s="2088">
        <v>9.99</v>
      </c>
      <c r="BE59" s="2087"/>
      <c r="BF59" s="2088">
        <v>9.99</v>
      </c>
      <c r="BG59" s="2087"/>
      <c r="FJ59" s="82"/>
    </row>
    <row r="60" spans="1:166">
      <c r="A60" s="9" t="s">
        <v>7007</v>
      </c>
      <c r="B60" s="9"/>
      <c r="C60" s="9"/>
      <c r="D60" s="9"/>
      <c r="E60" s="9"/>
      <c r="F60" s="9"/>
      <c r="G60" s="9"/>
      <c r="H60" s="9"/>
      <c r="I60" s="9"/>
      <c r="J60" s="9"/>
      <c r="K60" s="9"/>
      <c r="L60" s="2088">
        <v>9.99</v>
      </c>
      <c r="M60" s="2087"/>
      <c r="N60" s="2088">
        <v>9.99</v>
      </c>
      <c r="O60" s="2087"/>
      <c r="P60" s="2088">
        <v>9.99</v>
      </c>
      <c r="Q60" s="2087"/>
      <c r="R60" s="2088">
        <v>9.99</v>
      </c>
      <c r="S60" s="2087"/>
      <c r="T60" s="2088">
        <v>9.99</v>
      </c>
      <c r="U60" s="2087"/>
      <c r="V60" s="2088">
        <v>9.99</v>
      </c>
      <c r="W60" s="2087"/>
      <c r="X60" s="2088">
        <v>9.99</v>
      </c>
      <c r="Y60" s="2087"/>
      <c r="Z60" s="2088">
        <v>9.99</v>
      </c>
      <c r="AA60" s="2087"/>
      <c r="AB60" s="2088">
        <v>9.99</v>
      </c>
      <c r="AC60" s="2087"/>
      <c r="AD60" s="2088">
        <v>9.99</v>
      </c>
      <c r="AE60" s="2087"/>
      <c r="AF60" s="2088">
        <v>9.99</v>
      </c>
      <c r="AG60" s="2087"/>
      <c r="AH60" s="2088">
        <v>9.99</v>
      </c>
      <c r="AI60" s="2087"/>
      <c r="AJ60" s="2088">
        <v>9.99</v>
      </c>
      <c r="AK60" s="2087"/>
      <c r="AL60" s="2088">
        <v>9.99</v>
      </c>
      <c r="AM60" s="2087"/>
      <c r="AN60" s="2088">
        <v>9.99</v>
      </c>
      <c r="AO60" s="2087"/>
      <c r="AP60" s="2088">
        <v>9.99</v>
      </c>
      <c r="AQ60" s="2087"/>
      <c r="AR60" s="2088">
        <v>9.99</v>
      </c>
      <c r="AS60" s="2087"/>
      <c r="AT60" s="2088">
        <v>9.99</v>
      </c>
      <c r="AU60" s="2087"/>
      <c r="AV60" s="2088">
        <v>9.99</v>
      </c>
      <c r="AW60" s="2087"/>
      <c r="AX60" s="2088">
        <v>9.99</v>
      </c>
      <c r="AY60" s="2087"/>
      <c r="AZ60" s="2088">
        <v>9.99</v>
      </c>
      <c r="BA60" s="2087"/>
      <c r="BB60" s="2088">
        <v>9.99</v>
      </c>
      <c r="BC60" s="2087"/>
      <c r="BD60" s="2088">
        <v>9.99</v>
      </c>
      <c r="BE60" s="2087"/>
      <c r="BF60" s="2088">
        <v>9.99</v>
      </c>
      <c r="BG60" s="2087"/>
      <c r="FJ60" s="82"/>
    </row>
    <row r="61" spans="1:166">
      <c r="A61" s="9" t="s">
        <v>7008</v>
      </c>
      <c r="B61" s="9"/>
      <c r="C61" s="9"/>
      <c r="D61" s="9"/>
      <c r="E61" s="9"/>
      <c r="F61" s="9"/>
      <c r="G61" s="9"/>
      <c r="H61" s="9"/>
      <c r="I61" s="9"/>
      <c r="J61" s="9"/>
      <c r="K61" s="9"/>
      <c r="L61" s="2088">
        <v>2.99</v>
      </c>
      <c r="M61" s="2087"/>
      <c r="N61" s="2088">
        <v>2.99</v>
      </c>
      <c r="O61" s="2087"/>
      <c r="P61" s="2088">
        <v>2.99</v>
      </c>
      <c r="Q61" s="2087"/>
      <c r="R61" s="2088">
        <v>2.99</v>
      </c>
      <c r="S61" s="2087"/>
      <c r="T61" s="2088">
        <v>2.99</v>
      </c>
      <c r="U61" s="2087"/>
      <c r="V61" s="2088">
        <v>2.99</v>
      </c>
      <c r="W61" s="2087"/>
      <c r="X61" s="2088">
        <v>2.99</v>
      </c>
      <c r="Y61" s="2087"/>
      <c r="Z61" s="2088">
        <v>2.99</v>
      </c>
      <c r="AA61" s="2087"/>
      <c r="AB61" s="2088">
        <v>2.99</v>
      </c>
      <c r="AC61" s="2087"/>
      <c r="AD61" s="2088">
        <v>2.99</v>
      </c>
      <c r="AE61" s="2087"/>
      <c r="AF61" s="2088">
        <v>2.99</v>
      </c>
      <c r="AG61" s="2087"/>
      <c r="AH61" s="2088">
        <v>2.99</v>
      </c>
      <c r="AI61" s="2087"/>
      <c r="AJ61" s="2088">
        <v>2.99</v>
      </c>
      <c r="AK61" s="2087"/>
      <c r="AL61" s="2088">
        <v>2.99</v>
      </c>
      <c r="AM61" s="2087"/>
      <c r="AN61" s="2088">
        <v>2.99</v>
      </c>
      <c r="AO61" s="2087"/>
      <c r="AP61" s="2088">
        <v>2.99</v>
      </c>
      <c r="AQ61" s="2087"/>
      <c r="AR61" s="2088">
        <v>2.99</v>
      </c>
      <c r="AS61" s="2087"/>
      <c r="AT61" s="2088">
        <v>2.99</v>
      </c>
      <c r="AU61" s="2087"/>
      <c r="AV61" s="2088">
        <v>2.99</v>
      </c>
      <c r="AW61" s="2087"/>
      <c r="AX61" s="2088">
        <v>2.99</v>
      </c>
      <c r="AY61" s="2087"/>
      <c r="AZ61" s="2088">
        <v>2.99</v>
      </c>
      <c r="BA61" s="2087"/>
      <c r="BB61" s="2088">
        <v>2.99</v>
      </c>
      <c r="BC61" s="2087"/>
      <c r="BD61" s="2088">
        <v>2.99</v>
      </c>
      <c r="BE61" s="2087"/>
      <c r="BF61" s="2088">
        <v>2.99</v>
      </c>
      <c r="BG61" s="2087"/>
      <c r="FJ61" s="82"/>
    </row>
    <row r="62" spans="1:166">
      <c r="A62" s="9" t="s">
        <v>3494</v>
      </c>
      <c r="B62" s="9"/>
      <c r="C62" s="9"/>
      <c r="D62" s="9"/>
      <c r="E62" s="9"/>
      <c r="F62" s="9"/>
      <c r="G62" s="9"/>
      <c r="H62" s="9"/>
      <c r="I62" s="9"/>
      <c r="J62" s="9"/>
      <c r="K62" s="9"/>
      <c r="L62" s="2088">
        <v>2.99</v>
      </c>
      <c r="M62" s="2087"/>
      <c r="N62" s="2088">
        <v>2.99</v>
      </c>
      <c r="O62" s="2087"/>
      <c r="P62" s="2088">
        <v>2.99</v>
      </c>
      <c r="Q62" s="2087"/>
      <c r="R62" s="2088">
        <v>2.99</v>
      </c>
      <c r="S62" s="2087"/>
      <c r="T62" s="2088">
        <v>2.99</v>
      </c>
      <c r="U62" s="2087"/>
      <c r="V62" s="2088">
        <v>2.99</v>
      </c>
      <c r="W62" s="2087"/>
      <c r="X62" s="2088">
        <v>2.99</v>
      </c>
      <c r="Y62" s="2087"/>
      <c r="Z62" s="2088">
        <v>2.99</v>
      </c>
      <c r="AA62" s="2087"/>
      <c r="AB62" s="2088">
        <v>2.99</v>
      </c>
      <c r="AC62" s="2087"/>
      <c r="AD62" s="2088">
        <v>2.99</v>
      </c>
      <c r="AE62" s="2087"/>
      <c r="AF62" s="2088">
        <v>2.99</v>
      </c>
      <c r="AG62" s="2087"/>
      <c r="AH62" s="2088">
        <v>2.99</v>
      </c>
      <c r="AI62" s="2087"/>
      <c r="AJ62" s="2088">
        <v>2.99</v>
      </c>
      <c r="AK62" s="2087"/>
      <c r="AL62" s="2088">
        <v>2.99</v>
      </c>
      <c r="AM62" s="2087"/>
      <c r="AN62" s="2088">
        <v>2.99</v>
      </c>
      <c r="AO62" s="2087"/>
      <c r="AP62" s="2088">
        <v>2.99</v>
      </c>
      <c r="AQ62" s="2087"/>
      <c r="AR62" s="2088">
        <v>2.99</v>
      </c>
      <c r="AS62" s="2087"/>
      <c r="AT62" s="2088">
        <v>2.99</v>
      </c>
      <c r="AU62" s="2087"/>
      <c r="AV62" s="2088">
        <v>2.99</v>
      </c>
      <c r="AW62" s="2087"/>
      <c r="AX62" s="2088">
        <v>2.99</v>
      </c>
      <c r="AY62" s="2087"/>
      <c r="AZ62" s="2088">
        <v>2.99</v>
      </c>
      <c r="BA62" s="2087"/>
      <c r="BB62" s="2088">
        <v>2.99</v>
      </c>
      <c r="BC62" s="2087"/>
      <c r="BD62" s="2088">
        <v>2.99</v>
      </c>
      <c r="BE62" s="2087"/>
      <c r="BF62" s="2088">
        <v>2.99</v>
      </c>
      <c r="BG62" s="2087"/>
      <c r="FJ62" s="82"/>
    </row>
    <row r="63" spans="1:166">
      <c r="A63" s="9" t="s">
        <v>7009</v>
      </c>
      <c r="B63" s="9"/>
      <c r="C63" s="9"/>
      <c r="D63" s="9"/>
      <c r="E63" s="9"/>
      <c r="F63" s="9"/>
      <c r="G63" s="9"/>
      <c r="H63" s="9"/>
      <c r="I63" s="9"/>
      <c r="J63" s="9"/>
      <c r="K63" s="9"/>
      <c r="L63" s="2088">
        <v>2.99</v>
      </c>
      <c r="M63" s="2087"/>
      <c r="N63" s="2088">
        <v>2.99</v>
      </c>
      <c r="O63" s="2087"/>
      <c r="P63" s="2088">
        <v>2.99</v>
      </c>
      <c r="Q63" s="2087"/>
      <c r="R63" s="2088">
        <v>2.99</v>
      </c>
      <c r="S63" s="2087"/>
      <c r="T63" s="2088">
        <v>2.99</v>
      </c>
      <c r="U63" s="2087"/>
      <c r="V63" s="2088">
        <v>2.99</v>
      </c>
      <c r="W63" s="2087"/>
      <c r="X63" s="2088">
        <v>2.99</v>
      </c>
      <c r="Y63" s="2087"/>
      <c r="Z63" s="2088">
        <v>2.99</v>
      </c>
      <c r="AA63" s="2087"/>
      <c r="AB63" s="2088">
        <v>2.99</v>
      </c>
      <c r="AC63" s="2087"/>
      <c r="AD63" s="2088">
        <v>2.99</v>
      </c>
      <c r="AE63" s="2087"/>
      <c r="AF63" s="2088">
        <v>2.99</v>
      </c>
      <c r="AG63" s="2087"/>
      <c r="AH63" s="2088">
        <v>2.99</v>
      </c>
      <c r="AI63" s="2087"/>
      <c r="AJ63" s="2088">
        <v>2.99</v>
      </c>
      <c r="AK63" s="2087"/>
      <c r="AL63" s="2088">
        <v>2.99</v>
      </c>
      <c r="AM63" s="2087"/>
      <c r="AN63" s="2088">
        <v>2.99</v>
      </c>
      <c r="AO63" s="2087"/>
      <c r="AP63" s="2088">
        <v>2.99</v>
      </c>
      <c r="AQ63" s="2087"/>
      <c r="AR63" s="2088">
        <v>2.99</v>
      </c>
      <c r="AS63" s="2087"/>
      <c r="AT63" s="2088">
        <v>2.99</v>
      </c>
      <c r="AU63" s="2087"/>
      <c r="AV63" s="2088">
        <v>2.99</v>
      </c>
      <c r="AW63" s="2087"/>
      <c r="AX63" s="2088">
        <v>2.99</v>
      </c>
      <c r="AY63" s="2087"/>
      <c r="AZ63" s="2088">
        <v>2.99</v>
      </c>
      <c r="BA63" s="2087"/>
      <c r="BB63" s="2088">
        <v>2.99</v>
      </c>
      <c r="BC63" s="2087"/>
      <c r="BD63" s="2088">
        <v>2.99</v>
      </c>
      <c r="BE63" s="2087"/>
      <c r="BF63" s="2088">
        <v>2.99</v>
      </c>
      <c r="BG63" s="2087"/>
      <c r="FJ63" s="82"/>
    </row>
    <row r="64" spans="1:166">
      <c r="A64" s="9" t="s">
        <v>7010</v>
      </c>
      <c r="B64" s="9"/>
      <c r="C64" s="9"/>
      <c r="D64" s="9"/>
      <c r="E64" s="9"/>
      <c r="F64" s="9"/>
      <c r="G64" s="9"/>
      <c r="H64" s="9"/>
      <c r="I64" s="9"/>
      <c r="J64" s="9"/>
      <c r="K64" s="9"/>
      <c r="L64" s="2088">
        <v>2.99</v>
      </c>
      <c r="M64" s="2087"/>
      <c r="N64" s="2088">
        <v>2.99</v>
      </c>
      <c r="O64" s="2087"/>
      <c r="P64" s="2088">
        <v>2.99</v>
      </c>
      <c r="Q64" s="2087"/>
      <c r="R64" s="2088">
        <v>2.99</v>
      </c>
      <c r="S64" s="2087"/>
      <c r="T64" s="2088">
        <v>2.99</v>
      </c>
      <c r="U64" s="2087"/>
      <c r="V64" s="2088">
        <v>2.99</v>
      </c>
      <c r="W64" s="2087"/>
      <c r="X64" s="2088">
        <v>2.99</v>
      </c>
      <c r="Y64" s="2087"/>
      <c r="Z64" s="2088">
        <v>2.99</v>
      </c>
      <c r="AA64" s="2087"/>
      <c r="AB64" s="2088">
        <v>2.99</v>
      </c>
      <c r="AC64" s="2087"/>
      <c r="AD64" s="2088">
        <v>2.99</v>
      </c>
      <c r="AE64" s="2087"/>
      <c r="AF64" s="2088">
        <v>2.99</v>
      </c>
      <c r="AG64" s="2087"/>
      <c r="AH64" s="2088">
        <v>2.99</v>
      </c>
      <c r="AI64" s="2087"/>
      <c r="AJ64" s="2088">
        <v>2.99</v>
      </c>
      <c r="AK64" s="2087"/>
      <c r="AL64" s="2088">
        <v>2.99</v>
      </c>
      <c r="AM64" s="2087"/>
      <c r="AN64" s="2088">
        <v>2.99</v>
      </c>
      <c r="AO64" s="2087"/>
      <c r="AP64" s="2088">
        <v>2.99</v>
      </c>
      <c r="AQ64" s="2087"/>
      <c r="AR64" s="2088">
        <v>2.99</v>
      </c>
      <c r="AS64" s="2087"/>
      <c r="AT64" s="2088">
        <v>2.99</v>
      </c>
      <c r="AU64" s="2087"/>
      <c r="AV64" s="2088">
        <v>2.99</v>
      </c>
      <c r="AW64" s="2087"/>
      <c r="AX64" s="2088">
        <v>2.99</v>
      </c>
      <c r="AY64" s="2087"/>
      <c r="AZ64" s="2088">
        <v>2.99</v>
      </c>
      <c r="BA64" s="2087"/>
      <c r="BB64" s="2088">
        <v>2.99</v>
      </c>
      <c r="BC64" s="2087"/>
      <c r="BD64" s="2088">
        <v>2.99</v>
      </c>
      <c r="BE64" s="2087"/>
      <c r="BF64" s="2088">
        <v>2.99</v>
      </c>
      <c r="BG64" s="2087"/>
      <c r="BH64" s="9"/>
      <c r="FJ64" s="82"/>
    </row>
    <row r="65" spans="1:166">
      <c r="FJ65" s="82"/>
    </row>
    <row r="66" spans="1:166">
      <c r="FJ66" s="82"/>
    </row>
    <row r="67" spans="1:166">
      <c r="FJ67" s="82"/>
    </row>
    <row r="68" spans="1:166">
      <c r="FJ68" s="82"/>
    </row>
    <row r="69" spans="1:166">
      <c r="FJ69" s="82"/>
    </row>
    <row r="70" spans="1:166">
      <c r="FJ70" s="82"/>
    </row>
    <row r="71" spans="1:166">
      <c r="FJ71" s="82"/>
    </row>
    <row r="72" spans="1:166">
      <c r="FJ72" s="82"/>
    </row>
    <row r="73" spans="1:166">
      <c r="FJ73" s="82"/>
    </row>
    <row r="74" spans="1:166" ht="25.5">
      <c r="A74" s="3" t="s">
        <v>7011</v>
      </c>
      <c r="FJ74" s="82"/>
    </row>
    <row r="75" spans="1:166">
      <c r="A75" s="9" t="s">
        <v>7012</v>
      </c>
      <c r="B75" s="11"/>
      <c r="C75" s="11"/>
      <c r="D75" s="11"/>
      <c r="E75" s="11"/>
      <c r="F75" s="11"/>
      <c r="G75" s="11"/>
      <c r="H75" s="11"/>
      <c r="I75" s="11"/>
      <c r="J75" s="11"/>
      <c r="K75" s="11"/>
      <c r="L75" s="2160">
        <v>10</v>
      </c>
      <c r="M75" s="2087"/>
      <c r="N75" s="2160">
        <v>10</v>
      </c>
      <c r="O75" s="2087"/>
      <c r="P75" s="2160">
        <v>10</v>
      </c>
      <c r="Q75" s="2087"/>
      <c r="R75" s="2160">
        <v>10</v>
      </c>
      <c r="S75" s="2087"/>
      <c r="T75" s="2160">
        <v>10</v>
      </c>
      <c r="U75" s="2087"/>
      <c r="V75" s="2160">
        <v>10</v>
      </c>
      <c r="W75" s="2087"/>
      <c r="X75" s="2160">
        <v>10</v>
      </c>
      <c r="Y75" s="2087"/>
      <c r="Z75" s="2160">
        <v>10</v>
      </c>
      <c r="AA75" s="2087"/>
      <c r="AB75" s="2160">
        <v>10</v>
      </c>
      <c r="AC75" s="2087"/>
      <c r="AD75" s="2160">
        <v>10</v>
      </c>
      <c r="AE75" s="2087"/>
      <c r="AF75" s="2160">
        <v>10</v>
      </c>
      <c r="AG75" s="2087"/>
      <c r="AH75" s="2160">
        <v>10</v>
      </c>
      <c r="AI75" s="2087"/>
      <c r="AJ75" s="2160">
        <v>10</v>
      </c>
      <c r="AK75" s="2087"/>
      <c r="AL75" s="2160">
        <v>10</v>
      </c>
      <c r="AM75" s="2087"/>
      <c r="AN75" s="2160">
        <v>10</v>
      </c>
      <c r="AO75" s="2087"/>
      <c r="AP75" s="2160">
        <v>10</v>
      </c>
      <c r="AQ75" s="2087"/>
      <c r="AR75" s="2160">
        <v>10</v>
      </c>
      <c r="AS75" s="2087"/>
      <c r="AT75" s="2160">
        <v>10</v>
      </c>
      <c r="AU75" s="2087"/>
      <c r="AV75" s="2160">
        <v>10</v>
      </c>
      <c r="AW75" s="2087"/>
      <c r="AX75" s="2160">
        <v>10</v>
      </c>
      <c r="AY75" s="2087"/>
      <c r="AZ75" s="2160">
        <v>10</v>
      </c>
      <c r="BA75" s="2087"/>
      <c r="BB75" s="2160">
        <v>10</v>
      </c>
      <c r="BC75" s="2087"/>
      <c r="BD75" s="2160">
        <v>10</v>
      </c>
      <c r="BE75" s="2087"/>
      <c r="BF75" s="2160">
        <v>10</v>
      </c>
      <c r="BG75" s="2087"/>
      <c r="FJ75" s="82"/>
    </row>
    <row r="76" spans="1:166">
      <c r="A76" s="9" t="s">
        <v>7013</v>
      </c>
      <c r="B76" s="11"/>
      <c r="C76" s="11"/>
      <c r="D76" s="11"/>
      <c r="E76" s="11"/>
      <c r="F76" s="11"/>
      <c r="G76" s="11"/>
      <c r="H76" s="11"/>
      <c r="I76" s="11"/>
      <c r="J76" s="11"/>
      <c r="K76" s="11"/>
      <c r="L76" s="2160">
        <v>10</v>
      </c>
      <c r="M76" s="2087"/>
      <c r="N76" s="2160">
        <v>10</v>
      </c>
      <c r="O76" s="2087"/>
      <c r="P76" s="2160">
        <v>10</v>
      </c>
      <c r="Q76" s="2087"/>
      <c r="R76" s="2160">
        <v>10</v>
      </c>
      <c r="S76" s="2087"/>
      <c r="T76" s="2160">
        <v>10</v>
      </c>
      <c r="U76" s="2087"/>
      <c r="V76" s="2160">
        <v>10</v>
      </c>
      <c r="W76" s="2087"/>
      <c r="X76" s="2160">
        <v>10</v>
      </c>
      <c r="Y76" s="2087"/>
      <c r="Z76" s="2160">
        <v>10</v>
      </c>
      <c r="AA76" s="2087"/>
      <c r="AB76" s="2160">
        <v>10</v>
      </c>
      <c r="AC76" s="2087"/>
      <c r="AD76" s="2160">
        <v>10</v>
      </c>
      <c r="AE76" s="2087"/>
      <c r="AF76" s="2160">
        <v>10</v>
      </c>
      <c r="AG76" s="2087"/>
      <c r="AH76" s="2160">
        <v>10</v>
      </c>
      <c r="AI76" s="2087"/>
      <c r="AJ76" s="2160">
        <v>10</v>
      </c>
      <c r="AK76" s="2087"/>
      <c r="AL76" s="2160">
        <v>10</v>
      </c>
      <c r="AM76" s="2087"/>
      <c r="AN76" s="2160">
        <v>10</v>
      </c>
      <c r="AO76" s="2087"/>
      <c r="AP76" s="2160">
        <v>10</v>
      </c>
      <c r="AQ76" s="2087"/>
      <c r="AR76" s="2160">
        <v>10</v>
      </c>
      <c r="AS76" s="2087"/>
      <c r="AT76" s="2160">
        <v>10</v>
      </c>
      <c r="AU76" s="2087"/>
      <c r="AV76" s="2160">
        <v>10</v>
      </c>
      <c r="AW76" s="2087"/>
      <c r="AX76" s="2160">
        <v>10</v>
      </c>
      <c r="AY76" s="2087"/>
      <c r="AZ76" s="2160">
        <v>10</v>
      </c>
      <c r="BA76" s="2087"/>
      <c r="BB76" s="2160">
        <v>10</v>
      </c>
      <c r="BC76" s="2087"/>
      <c r="BD76" s="2160">
        <v>10</v>
      </c>
      <c r="BE76" s="2087"/>
      <c r="BF76" s="2160">
        <v>10</v>
      </c>
      <c r="BG76" s="2087"/>
      <c r="FJ76" s="82"/>
    </row>
    <row r="77" spans="1:166">
      <c r="A77" s="9" t="s">
        <v>7014</v>
      </c>
      <c r="B77" s="11"/>
      <c r="C77" s="11"/>
      <c r="D77" s="11"/>
      <c r="E77" s="11"/>
      <c r="F77" s="11"/>
      <c r="G77" s="11"/>
      <c r="H77" s="11"/>
      <c r="I77" s="11"/>
      <c r="J77" s="11"/>
      <c r="K77" s="11"/>
      <c r="L77" s="2160">
        <v>14.95</v>
      </c>
      <c r="M77" s="2087"/>
      <c r="N77" s="2160">
        <v>14.95</v>
      </c>
      <c r="O77" s="2087"/>
      <c r="P77" s="2160">
        <v>14.95</v>
      </c>
      <c r="Q77" s="2087"/>
      <c r="R77" s="2160">
        <v>14.95</v>
      </c>
      <c r="S77" s="2087"/>
      <c r="T77" s="2160">
        <v>14.95</v>
      </c>
      <c r="U77" s="2087"/>
      <c r="V77" s="2160">
        <v>14.95</v>
      </c>
      <c r="W77" s="2087"/>
      <c r="X77" s="2160">
        <v>14.95</v>
      </c>
      <c r="Y77" s="2087"/>
      <c r="Z77" s="2160">
        <v>14.95</v>
      </c>
      <c r="AA77" s="2087"/>
      <c r="AB77" s="2160">
        <v>14.95</v>
      </c>
      <c r="AC77" s="2087"/>
      <c r="AD77" s="2160">
        <v>14.95</v>
      </c>
      <c r="AE77" s="2087"/>
      <c r="AF77" s="2160">
        <v>14.95</v>
      </c>
      <c r="AG77" s="2087"/>
      <c r="AH77" s="2160">
        <v>14.95</v>
      </c>
      <c r="AI77" s="2087"/>
      <c r="AJ77" s="2160">
        <v>14.95</v>
      </c>
      <c r="AK77" s="2087"/>
      <c r="AL77" s="2160">
        <v>14.95</v>
      </c>
      <c r="AM77" s="2087"/>
      <c r="AN77" s="2160">
        <v>14.95</v>
      </c>
      <c r="AO77" s="2087"/>
      <c r="AP77" s="2160">
        <v>14.95</v>
      </c>
      <c r="AQ77" s="2087"/>
      <c r="AR77" s="2160">
        <v>14.95</v>
      </c>
      <c r="AS77" s="2087"/>
      <c r="AT77" s="2160">
        <v>14.95</v>
      </c>
      <c r="AU77" s="2087"/>
      <c r="AV77" s="2160">
        <v>14.95</v>
      </c>
      <c r="AW77" s="2087"/>
      <c r="AX77" s="2160">
        <v>14.95</v>
      </c>
      <c r="AY77" s="2087"/>
      <c r="AZ77" s="2160">
        <v>14.95</v>
      </c>
      <c r="BA77" s="2087"/>
      <c r="BB77" s="2160">
        <v>14.95</v>
      </c>
      <c r="BC77" s="2087"/>
      <c r="BD77" s="2160">
        <v>14.95</v>
      </c>
      <c r="BE77" s="2087"/>
      <c r="BF77" s="2160">
        <v>14.95</v>
      </c>
      <c r="BG77" s="2087"/>
      <c r="FJ77" s="82"/>
    </row>
    <row r="78" spans="1:166">
      <c r="A78" s="9" t="s">
        <v>5755</v>
      </c>
      <c r="B78" s="11"/>
      <c r="C78" s="11"/>
      <c r="D78" s="11"/>
      <c r="E78" s="11"/>
      <c r="F78" s="11"/>
      <c r="G78" s="11"/>
      <c r="H78" s="11"/>
      <c r="I78" s="11"/>
      <c r="J78" s="11"/>
      <c r="K78" s="11"/>
      <c r="L78" s="2160">
        <v>14</v>
      </c>
      <c r="M78" s="2087"/>
      <c r="N78" s="2160">
        <v>14</v>
      </c>
      <c r="O78" s="2087"/>
      <c r="P78" s="2160">
        <v>14</v>
      </c>
      <c r="Q78" s="2087"/>
      <c r="R78" s="2160">
        <v>14</v>
      </c>
      <c r="S78" s="2087"/>
      <c r="T78" s="2160">
        <v>14</v>
      </c>
      <c r="U78" s="2087"/>
      <c r="V78" s="2160">
        <v>14</v>
      </c>
      <c r="W78" s="2087"/>
      <c r="X78" s="2160">
        <v>14</v>
      </c>
      <c r="Y78" s="2087"/>
      <c r="Z78" s="2160">
        <v>14</v>
      </c>
      <c r="AA78" s="2087"/>
      <c r="AB78" s="2160">
        <v>14</v>
      </c>
      <c r="AC78" s="2087"/>
      <c r="AD78" s="2160">
        <v>14</v>
      </c>
      <c r="AE78" s="2087"/>
      <c r="AF78" s="2160">
        <v>14</v>
      </c>
      <c r="AG78" s="2087"/>
      <c r="AH78" s="2160">
        <v>14</v>
      </c>
      <c r="AI78" s="2087"/>
      <c r="AJ78" s="2160">
        <v>14</v>
      </c>
      <c r="AK78" s="2087"/>
      <c r="AL78" s="2160">
        <v>14</v>
      </c>
      <c r="AM78" s="2087"/>
      <c r="AN78" s="2160">
        <v>14</v>
      </c>
      <c r="AO78" s="2087"/>
      <c r="AP78" s="2160">
        <v>14</v>
      </c>
      <c r="AQ78" s="2087"/>
      <c r="AR78" s="2160">
        <v>14</v>
      </c>
      <c r="AS78" s="2087"/>
      <c r="AT78" s="2160">
        <v>14</v>
      </c>
      <c r="AU78" s="2087"/>
      <c r="AV78" s="2160">
        <v>14</v>
      </c>
      <c r="AW78" s="2087"/>
      <c r="AX78" s="2160">
        <v>14</v>
      </c>
      <c r="AY78" s="2087"/>
      <c r="AZ78" s="2160">
        <v>14</v>
      </c>
      <c r="BA78" s="2087"/>
      <c r="BB78" s="2160">
        <v>14</v>
      </c>
      <c r="BC78" s="2087"/>
      <c r="BD78" s="2160">
        <v>14</v>
      </c>
      <c r="BE78" s="2087"/>
      <c r="BF78" s="2160">
        <v>14</v>
      </c>
      <c r="BG78" s="2087"/>
      <c r="FJ78" s="82"/>
    </row>
    <row r="79" spans="1:166">
      <c r="A79" s="9" t="s">
        <v>7015</v>
      </c>
      <c r="B79" s="11"/>
      <c r="C79" s="11"/>
      <c r="D79" s="11"/>
      <c r="E79" s="11"/>
      <c r="F79" s="11"/>
      <c r="G79" s="11"/>
      <c r="H79" s="11"/>
      <c r="I79" s="11"/>
      <c r="J79" s="11"/>
      <c r="K79" s="11"/>
      <c r="L79" s="2160">
        <v>10</v>
      </c>
      <c r="M79" s="2087"/>
      <c r="N79" s="2160">
        <v>10</v>
      </c>
      <c r="O79" s="2087"/>
      <c r="P79" s="2160">
        <v>10</v>
      </c>
      <c r="Q79" s="2087"/>
      <c r="R79" s="2160">
        <v>10</v>
      </c>
      <c r="S79" s="2087"/>
      <c r="T79" s="2160">
        <v>10</v>
      </c>
      <c r="U79" s="2087"/>
      <c r="V79" s="2160">
        <v>10</v>
      </c>
      <c r="W79" s="2087"/>
      <c r="X79" s="2160">
        <v>10</v>
      </c>
      <c r="Y79" s="2087"/>
      <c r="Z79" s="2160">
        <v>10</v>
      </c>
      <c r="AA79" s="2087"/>
      <c r="AB79" s="2160">
        <v>10</v>
      </c>
      <c r="AC79" s="2087"/>
      <c r="AD79" s="2160">
        <v>10</v>
      </c>
      <c r="AE79" s="2087"/>
      <c r="AF79" s="2160">
        <v>10</v>
      </c>
      <c r="AG79" s="2087"/>
      <c r="AH79" s="2160">
        <v>10</v>
      </c>
      <c r="AI79" s="2087"/>
      <c r="AJ79" s="2160">
        <v>10</v>
      </c>
      <c r="AK79" s="2087"/>
      <c r="AL79" s="2160">
        <v>10</v>
      </c>
      <c r="AM79" s="2087"/>
      <c r="AN79" s="2160">
        <v>10</v>
      </c>
      <c r="AO79" s="2087"/>
      <c r="AP79" s="2160">
        <v>10</v>
      </c>
      <c r="AQ79" s="2087"/>
      <c r="AR79" s="2160">
        <v>10</v>
      </c>
      <c r="AS79" s="2087"/>
      <c r="AT79" s="2160">
        <v>10</v>
      </c>
      <c r="AU79" s="2087"/>
      <c r="AV79" s="2160">
        <v>10</v>
      </c>
      <c r="AW79" s="2087"/>
      <c r="AX79" s="2160">
        <v>10</v>
      </c>
      <c r="AY79" s="2087"/>
      <c r="AZ79" s="2160">
        <v>10</v>
      </c>
      <c r="BA79" s="2087"/>
      <c r="BB79" s="2160">
        <v>10</v>
      </c>
      <c r="BC79" s="2087"/>
      <c r="BD79" s="2160">
        <v>10</v>
      </c>
      <c r="BE79" s="2087"/>
      <c r="BF79" s="2160">
        <v>10</v>
      </c>
      <c r="BG79" s="2087"/>
      <c r="FJ79" s="82"/>
    </row>
    <row r="80" spans="1:166">
      <c r="A80" s="9" t="s">
        <v>7002</v>
      </c>
      <c r="B80" s="11"/>
      <c r="C80" s="11"/>
      <c r="D80" s="11"/>
      <c r="E80" s="11"/>
      <c r="F80" s="11"/>
      <c r="G80" s="11"/>
      <c r="H80" s="11"/>
      <c r="I80" s="11"/>
      <c r="J80" s="11"/>
      <c r="K80" s="11"/>
      <c r="L80" s="2160">
        <v>6.12</v>
      </c>
      <c r="M80" s="2087"/>
      <c r="N80" s="2160">
        <v>6.12</v>
      </c>
      <c r="O80" s="2087"/>
      <c r="P80" s="2160">
        <v>6.12</v>
      </c>
      <c r="Q80" s="2087"/>
      <c r="R80" s="2160">
        <v>6.12</v>
      </c>
      <c r="S80" s="2087"/>
      <c r="T80" s="2160">
        <v>6.12</v>
      </c>
      <c r="U80" s="2087"/>
      <c r="V80" s="2160">
        <v>6.12</v>
      </c>
      <c r="W80" s="2087"/>
      <c r="X80" s="2160">
        <v>6.12</v>
      </c>
      <c r="Y80" s="2087"/>
      <c r="Z80" s="2160">
        <v>6.12</v>
      </c>
      <c r="AA80" s="2087"/>
      <c r="AB80" s="2160">
        <v>6.12</v>
      </c>
      <c r="AC80" s="2087"/>
      <c r="AD80" s="2160">
        <v>6.12</v>
      </c>
      <c r="AE80" s="2087"/>
      <c r="AF80" s="2160">
        <v>6.12</v>
      </c>
      <c r="AG80" s="2087"/>
      <c r="AH80" s="2160">
        <v>6.12</v>
      </c>
      <c r="AI80" s="2087"/>
      <c r="AJ80" s="2160">
        <v>6.12</v>
      </c>
      <c r="AK80" s="2087"/>
      <c r="AL80" s="2160">
        <v>6.12</v>
      </c>
      <c r="AM80" s="2087"/>
      <c r="AN80" s="2160">
        <v>6.12</v>
      </c>
      <c r="AO80" s="2087"/>
      <c r="AP80" s="2160">
        <v>6.12</v>
      </c>
      <c r="AQ80" s="2087"/>
      <c r="AR80" s="2160">
        <v>6.12</v>
      </c>
      <c r="AS80" s="2087"/>
      <c r="AT80" s="2160">
        <v>6.12</v>
      </c>
      <c r="AU80" s="2087"/>
      <c r="AV80" s="2160">
        <v>6.12</v>
      </c>
      <c r="AW80" s="2087"/>
      <c r="AX80" s="2160">
        <v>6.12</v>
      </c>
      <c r="AY80" s="2087"/>
      <c r="AZ80" s="2160">
        <v>6.12</v>
      </c>
      <c r="BA80" s="2087"/>
      <c r="BB80" s="2160">
        <v>6.12</v>
      </c>
      <c r="BC80" s="2087"/>
      <c r="BD80" s="2160">
        <v>6.12</v>
      </c>
      <c r="BE80" s="2087"/>
      <c r="BF80" s="2160">
        <v>6.12</v>
      </c>
      <c r="BG80" s="2087"/>
      <c r="FJ80" s="82"/>
    </row>
    <row r="81" spans="1:166">
      <c r="A81" s="9" t="s">
        <v>7014</v>
      </c>
      <c r="B81" s="11"/>
      <c r="C81" s="11"/>
      <c r="D81" s="11"/>
      <c r="E81" s="11"/>
      <c r="F81" s="11"/>
      <c r="G81" s="11"/>
      <c r="H81" s="11"/>
      <c r="I81" s="11"/>
      <c r="J81" s="11"/>
      <c r="K81" s="11"/>
      <c r="L81" s="2160">
        <v>10</v>
      </c>
      <c r="M81" s="2087"/>
      <c r="N81" s="2160">
        <v>10</v>
      </c>
      <c r="O81" s="2087"/>
      <c r="P81" s="2160">
        <v>10</v>
      </c>
      <c r="Q81" s="2087"/>
      <c r="R81" s="2160">
        <v>10</v>
      </c>
      <c r="S81" s="2087"/>
      <c r="T81" s="2160">
        <v>10</v>
      </c>
      <c r="U81" s="2087"/>
      <c r="V81" s="2160">
        <v>10</v>
      </c>
      <c r="W81" s="2087"/>
      <c r="X81" s="2160">
        <v>10</v>
      </c>
      <c r="Y81" s="2087"/>
      <c r="Z81" s="2160">
        <v>10</v>
      </c>
      <c r="AA81" s="2087"/>
      <c r="AB81" s="2160">
        <v>10</v>
      </c>
      <c r="AC81" s="2087"/>
      <c r="AD81" s="2160">
        <v>10</v>
      </c>
      <c r="AE81" s="2087"/>
      <c r="AF81" s="2160">
        <v>10</v>
      </c>
      <c r="AG81" s="2087"/>
      <c r="AH81" s="2160">
        <v>10</v>
      </c>
      <c r="AI81" s="2087"/>
      <c r="AJ81" s="2160">
        <v>10</v>
      </c>
      <c r="AK81" s="2087"/>
      <c r="AL81" s="2160">
        <v>10</v>
      </c>
      <c r="AM81" s="2087"/>
      <c r="AN81" s="2160">
        <v>10</v>
      </c>
      <c r="AO81" s="2087"/>
      <c r="AP81" s="2160">
        <v>10</v>
      </c>
      <c r="AQ81" s="2087"/>
      <c r="AR81" s="2160">
        <v>10</v>
      </c>
      <c r="AS81" s="2087"/>
      <c r="AT81" s="2160">
        <v>10</v>
      </c>
      <c r="AU81" s="2087"/>
      <c r="AV81" s="2160">
        <v>10</v>
      </c>
      <c r="AW81" s="2087"/>
      <c r="AX81" s="2160">
        <v>10</v>
      </c>
      <c r="AY81" s="2087"/>
      <c r="AZ81" s="2160">
        <v>10</v>
      </c>
      <c r="BA81" s="2087"/>
      <c r="BB81" s="2160">
        <v>10</v>
      </c>
      <c r="BC81" s="2087"/>
      <c r="BD81" s="2160">
        <v>10</v>
      </c>
      <c r="BE81" s="2087"/>
      <c r="BF81" s="2160">
        <v>10</v>
      </c>
      <c r="BG81" s="2087"/>
      <c r="FJ81" s="82"/>
    </row>
    <row r="82" spans="1:166">
      <c r="A82" s="9" t="s">
        <v>7016</v>
      </c>
      <c r="B82" s="11"/>
      <c r="C82" s="11"/>
      <c r="D82" s="11"/>
      <c r="E82" s="11"/>
      <c r="F82" s="11"/>
      <c r="G82" s="11"/>
      <c r="H82" s="11"/>
      <c r="I82" s="11"/>
      <c r="J82" s="11"/>
      <c r="K82" s="11"/>
      <c r="L82" s="2160">
        <v>10</v>
      </c>
      <c r="M82" s="2087"/>
      <c r="N82" s="2160">
        <v>10</v>
      </c>
      <c r="O82" s="2087"/>
      <c r="P82" s="2160">
        <v>10</v>
      </c>
      <c r="Q82" s="2087"/>
      <c r="R82" s="2160">
        <v>10</v>
      </c>
      <c r="S82" s="2087"/>
      <c r="T82" s="2160">
        <v>10</v>
      </c>
      <c r="U82" s="2087"/>
      <c r="V82" s="2160">
        <v>10</v>
      </c>
      <c r="W82" s="2087"/>
      <c r="X82" s="2160">
        <v>10</v>
      </c>
      <c r="Y82" s="2087"/>
      <c r="Z82" s="2160">
        <v>10</v>
      </c>
      <c r="AA82" s="2087"/>
      <c r="AB82" s="2160">
        <v>10</v>
      </c>
      <c r="AC82" s="2087"/>
      <c r="AD82" s="2160">
        <v>10</v>
      </c>
      <c r="AE82" s="2087"/>
      <c r="AF82" s="2160">
        <v>10</v>
      </c>
      <c r="AG82" s="2087"/>
      <c r="AH82" s="2160">
        <v>10</v>
      </c>
      <c r="AI82" s="2087"/>
      <c r="AJ82" s="2160">
        <v>10</v>
      </c>
      <c r="AK82" s="2087"/>
      <c r="AL82" s="2160">
        <v>10</v>
      </c>
      <c r="AM82" s="2087"/>
      <c r="AN82" s="2160">
        <v>10</v>
      </c>
      <c r="AO82" s="2087"/>
      <c r="AP82" s="2160">
        <v>10</v>
      </c>
      <c r="AQ82" s="2087"/>
      <c r="AR82" s="2160">
        <v>10</v>
      </c>
      <c r="AS82" s="2087"/>
      <c r="AT82" s="2160">
        <v>10</v>
      </c>
      <c r="AU82" s="2087"/>
      <c r="AV82" s="2160">
        <v>10</v>
      </c>
      <c r="AW82" s="2087"/>
      <c r="AX82" s="2160">
        <v>10</v>
      </c>
      <c r="AY82" s="2087"/>
      <c r="AZ82" s="2160">
        <v>10</v>
      </c>
      <c r="BA82" s="2087"/>
      <c r="BB82" s="2160">
        <v>10</v>
      </c>
      <c r="BC82" s="2087"/>
      <c r="BD82" s="2160">
        <v>10</v>
      </c>
      <c r="BE82" s="2087"/>
      <c r="BF82" s="2160">
        <v>10</v>
      </c>
      <c r="BG82" s="2087"/>
      <c r="BH82" s="9" t="s">
        <v>227</v>
      </c>
      <c r="FJ82" s="82"/>
    </row>
    <row r="83" spans="1:166">
      <c r="FJ83" s="82"/>
    </row>
    <row r="84" spans="1:166">
      <c r="FJ84" s="82"/>
    </row>
    <row r="85" spans="1:166">
      <c r="FJ85" s="82"/>
    </row>
    <row r="86" spans="1:166">
      <c r="FJ86" s="82"/>
    </row>
    <row r="87" spans="1:166">
      <c r="FJ87" s="82"/>
    </row>
    <row r="88" spans="1:166">
      <c r="FJ88" s="82"/>
    </row>
    <row r="89" spans="1:166">
      <c r="FJ89" s="82"/>
    </row>
    <row r="90" spans="1:166">
      <c r="FJ90" s="82"/>
    </row>
    <row r="91" spans="1:166">
      <c r="FJ91" s="82"/>
    </row>
    <row r="92" spans="1:166">
      <c r="FJ92" s="82"/>
    </row>
    <row r="93" spans="1:166">
      <c r="FJ93" s="82"/>
    </row>
    <row r="94" spans="1:166">
      <c r="FJ94" s="82"/>
    </row>
    <row r="95" spans="1:166">
      <c r="FJ95" s="82"/>
    </row>
    <row r="96" spans="1:166">
      <c r="FJ96" s="82"/>
    </row>
    <row r="97" spans="166:166">
      <c r="FJ97" s="82"/>
    </row>
    <row r="98" spans="166:166">
      <c r="FJ98" s="82"/>
    </row>
    <row r="99" spans="166:166">
      <c r="FJ99" s="82"/>
    </row>
    <row r="100" spans="166:166">
      <c r="FJ100" s="82"/>
    </row>
    <row r="101" spans="166:166">
      <c r="FJ101" s="82"/>
    </row>
    <row r="102" spans="166:166">
      <c r="FJ102" s="82"/>
    </row>
    <row r="103" spans="166:166">
      <c r="FJ103" s="82"/>
    </row>
    <row r="104" spans="166:166">
      <c r="FJ104" s="82"/>
    </row>
    <row r="105" spans="166:166">
      <c r="FJ105" s="82"/>
    </row>
    <row r="106" spans="166:166">
      <c r="FJ106" s="82"/>
    </row>
    <row r="107" spans="166:166">
      <c r="FJ107" s="82"/>
    </row>
    <row r="108" spans="166:166">
      <c r="FJ108" s="82"/>
    </row>
    <row r="109" spans="166:166">
      <c r="FJ109" s="82"/>
    </row>
    <row r="110" spans="166:166">
      <c r="FJ110" s="82"/>
    </row>
    <row r="111" spans="166:166">
      <c r="FJ111" s="82"/>
    </row>
    <row r="112" spans="166:166">
      <c r="FJ112" s="82"/>
    </row>
    <row r="113" spans="166:166">
      <c r="FJ113" s="82"/>
    </row>
    <row r="114" spans="166:166">
      <c r="FJ114" s="82"/>
    </row>
    <row r="115" spans="166:166">
      <c r="FJ115" s="82"/>
    </row>
    <row r="116" spans="166:166">
      <c r="FJ116" s="82"/>
    </row>
    <row r="117" spans="166:166">
      <c r="FJ117" s="82"/>
    </row>
    <row r="118" spans="166:166">
      <c r="FJ118" s="82"/>
    </row>
    <row r="119" spans="166:166">
      <c r="FJ119" s="82"/>
    </row>
    <row r="120" spans="166:166">
      <c r="FJ120" s="82"/>
    </row>
    <row r="121" spans="166:166">
      <c r="FJ121" s="82"/>
    </row>
    <row r="122" spans="166:166">
      <c r="FJ122" s="82"/>
    </row>
    <row r="123" spans="166:166">
      <c r="FJ123" s="82"/>
    </row>
    <row r="124" spans="166:166">
      <c r="FJ124" s="82"/>
    </row>
    <row r="125" spans="166:166">
      <c r="FJ125" s="82"/>
    </row>
    <row r="126" spans="166:166">
      <c r="FJ126" s="82"/>
    </row>
    <row r="127" spans="166:166">
      <c r="FJ127" s="82"/>
    </row>
    <row r="128" spans="166:166">
      <c r="FJ128" s="82"/>
    </row>
    <row r="129" spans="166:166">
      <c r="FJ129" s="82"/>
    </row>
    <row r="130" spans="166:166">
      <c r="FJ130" s="82"/>
    </row>
    <row r="131" spans="166:166">
      <c r="FJ131" s="82"/>
    </row>
    <row r="132" spans="166:166">
      <c r="FJ132" s="82"/>
    </row>
    <row r="133" spans="166:166">
      <c r="FJ133" s="82"/>
    </row>
    <row r="134" spans="166:166">
      <c r="FJ134" s="82"/>
    </row>
    <row r="135" spans="166:166">
      <c r="FJ135" s="82"/>
    </row>
    <row r="136" spans="166:166">
      <c r="FJ136" s="82"/>
    </row>
  </sheetData>
  <mergeCells count="713">
    <mergeCell ref="BF80:BG80"/>
    <mergeCell ref="L80:M80"/>
    <mergeCell ref="N80:O80"/>
    <mergeCell ref="P80:Q80"/>
    <mergeCell ref="R80:S80"/>
    <mergeCell ref="T80:U80"/>
    <mergeCell ref="V80:W80"/>
    <mergeCell ref="X80:Y80"/>
    <mergeCell ref="L81:M81"/>
    <mergeCell ref="N81:O81"/>
    <mergeCell ref="P81:Q81"/>
    <mergeCell ref="R81:S81"/>
    <mergeCell ref="T81:U81"/>
    <mergeCell ref="V81:W81"/>
    <mergeCell ref="X81:Y81"/>
    <mergeCell ref="AR81:AS81"/>
    <mergeCell ref="AT81:AU81"/>
    <mergeCell ref="AV81:AW81"/>
    <mergeCell ref="AX81:AY81"/>
    <mergeCell ref="AZ81:BA81"/>
    <mergeCell ref="BB81:BC81"/>
    <mergeCell ref="BD81:BE81"/>
    <mergeCell ref="BF81:BG81"/>
    <mergeCell ref="AN80:AO80"/>
    <mergeCell ref="Z80:AA80"/>
    <mergeCell ref="AB80:AC80"/>
    <mergeCell ref="AD80:AE80"/>
    <mergeCell ref="AF80:AG80"/>
    <mergeCell ref="AH80:AI80"/>
    <mergeCell ref="AJ80:AK80"/>
    <mergeCell ref="AL80:AM80"/>
    <mergeCell ref="BB80:BC80"/>
    <mergeCell ref="BD80:BE80"/>
    <mergeCell ref="AP80:AQ80"/>
    <mergeCell ref="AR80:AS80"/>
    <mergeCell ref="AT80:AU80"/>
    <mergeCell ref="AV80:AW80"/>
    <mergeCell ref="AX80:AY80"/>
    <mergeCell ref="AZ80:BA80"/>
    <mergeCell ref="AN79:AO79"/>
    <mergeCell ref="AP79:AQ79"/>
    <mergeCell ref="Z79:AA79"/>
    <mergeCell ref="AB79:AC79"/>
    <mergeCell ref="AD79:AE79"/>
    <mergeCell ref="AF79:AG79"/>
    <mergeCell ref="AH79:AI79"/>
    <mergeCell ref="AJ79:AK79"/>
    <mergeCell ref="AL79:AM79"/>
    <mergeCell ref="AD82:AE82"/>
    <mergeCell ref="AF82:AG82"/>
    <mergeCell ref="AH82:AI82"/>
    <mergeCell ref="AJ82:AK82"/>
    <mergeCell ref="AL82:AM82"/>
    <mergeCell ref="BB82:BC82"/>
    <mergeCell ref="BD82:BE82"/>
    <mergeCell ref="BF82:BG82"/>
    <mergeCell ref="AN82:AO82"/>
    <mergeCell ref="AP82:AQ82"/>
    <mergeCell ref="AR82:AS82"/>
    <mergeCell ref="AT82:AU82"/>
    <mergeCell ref="AV82:AW82"/>
    <mergeCell ref="AX82:AY82"/>
    <mergeCell ref="AZ82:BA82"/>
    <mergeCell ref="L82:M82"/>
    <mergeCell ref="N82:O82"/>
    <mergeCell ref="P82:Q82"/>
    <mergeCell ref="R82:S82"/>
    <mergeCell ref="T82:U82"/>
    <mergeCell ref="V82:W82"/>
    <mergeCell ref="X82:Y82"/>
    <mergeCell ref="Z82:AA82"/>
    <mergeCell ref="AB82:AC82"/>
    <mergeCell ref="AN81:AO81"/>
    <mergeCell ref="AP81:AQ81"/>
    <mergeCell ref="Z81:AA81"/>
    <mergeCell ref="AB81:AC81"/>
    <mergeCell ref="AD81:AE81"/>
    <mergeCell ref="AF81:AG81"/>
    <mergeCell ref="AH81:AI81"/>
    <mergeCell ref="AJ81:AK81"/>
    <mergeCell ref="AL81:AM81"/>
    <mergeCell ref="BF60:BG60"/>
    <mergeCell ref="L60:M60"/>
    <mergeCell ref="N60:O60"/>
    <mergeCell ref="P60:Q60"/>
    <mergeCell ref="R60:S60"/>
    <mergeCell ref="T60:U60"/>
    <mergeCell ref="V60:W60"/>
    <mergeCell ref="X60:Y60"/>
    <mergeCell ref="L61:M61"/>
    <mergeCell ref="N61:O61"/>
    <mergeCell ref="P61:Q61"/>
    <mergeCell ref="R61:S61"/>
    <mergeCell ref="T61:U61"/>
    <mergeCell ref="V61:W61"/>
    <mergeCell ref="X61:Y61"/>
    <mergeCell ref="AR61:AS61"/>
    <mergeCell ref="AT61:AU61"/>
    <mergeCell ref="AV61:AW61"/>
    <mergeCell ref="AX61:AY61"/>
    <mergeCell ref="AZ61:BA61"/>
    <mergeCell ref="BB61:BC61"/>
    <mergeCell ref="BD61:BE61"/>
    <mergeCell ref="BF61:BG61"/>
    <mergeCell ref="AN60:AO60"/>
    <mergeCell ref="Z60:AA60"/>
    <mergeCell ref="AB60:AC60"/>
    <mergeCell ref="AD60:AE60"/>
    <mergeCell ref="AF60:AG60"/>
    <mergeCell ref="AH60:AI60"/>
    <mergeCell ref="AJ60:AK60"/>
    <mergeCell ref="AL60:AM60"/>
    <mergeCell ref="BB60:BC60"/>
    <mergeCell ref="BD60:BE60"/>
    <mergeCell ref="AP60:AQ60"/>
    <mergeCell ref="AR60:AS60"/>
    <mergeCell ref="AT60:AU60"/>
    <mergeCell ref="AV60:AW60"/>
    <mergeCell ref="AX60:AY60"/>
    <mergeCell ref="AZ60:BA60"/>
    <mergeCell ref="AN59:AO59"/>
    <mergeCell ref="AP59:AQ59"/>
    <mergeCell ref="Z59:AA59"/>
    <mergeCell ref="AB59:AC59"/>
    <mergeCell ref="AD59:AE59"/>
    <mergeCell ref="AF59:AG59"/>
    <mergeCell ref="AH59:AI59"/>
    <mergeCell ref="AJ59:AK59"/>
    <mergeCell ref="AL59:AM59"/>
    <mergeCell ref="BF58:BG58"/>
    <mergeCell ref="L58:M58"/>
    <mergeCell ref="N58:O58"/>
    <mergeCell ref="P58:Q58"/>
    <mergeCell ref="R58:S58"/>
    <mergeCell ref="T58:U58"/>
    <mergeCell ref="V58:W58"/>
    <mergeCell ref="X58:Y58"/>
    <mergeCell ref="L59:M59"/>
    <mergeCell ref="N59:O59"/>
    <mergeCell ref="P59:Q59"/>
    <mergeCell ref="R59:S59"/>
    <mergeCell ref="T59:U59"/>
    <mergeCell ref="V59:W59"/>
    <mergeCell ref="X59:Y59"/>
    <mergeCell ref="AR59:AS59"/>
    <mergeCell ref="AT59:AU59"/>
    <mergeCell ref="AV59:AW59"/>
    <mergeCell ref="AX59:AY59"/>
    <mergeCell ref="AZ59:BA59"/>
    <mergeCell ref="BB59:BC59"/>
    <mergeCell ref="BD59:BE59"/>
    <mergeCell ref="BF59:BG59"/>
    <mergeCell ref="AN58:AO58"/>
    <mergeCell ref="Z58:AA58"/>
    <mergeCell ref="AB58:AC58"/>
    <mergeCell ref="AD58:AE58"/>
    <mergeCell ref="AF58:AG58"/>
    <mergeCell ref="AH58:AI58"/>
    <mergeCell ref="AJ58:AK58"/>
    <mergeCell ref="AL58:AM58"/>
    <mergeCell ref="BB58:BC58"/>
    <mergeCell ref="BD58:BE58"/>
    <mergeCell ref="AP58:AQ58"/>
    <mergeCell ref="AR58:AS58"/>
    <mergeCell ref="AT58:AU58"/>
    <mergeCell ref="AV58:AW58"/>
    <mergeCell ref="AX58:AY58"/>
    <mergeCell ref="AZ58:BA58"/>
    <mergeCell ref="L55:M55"/>
    <mergeCell ref="N55:O55"/>
    <mergeCell ref="P55:Q55"/>
    <mergeCell ref="R55:S55"/>
    <mergeCell ref="T55:U55"/>
    <mergeCell ref="V55:W55"/>
    <mergeCell ref="X55:Y55"/>
    <mergeCell ref="L56:M56"/>
    <mergeCell ref="N56:O56"/>
    <mergeCell ref="P56:Q56"/>
    <mergeCell ref="R56:S56"/>
    <mergeCell ref="T56:U56"/>
    <mergeCell ref="V56:W56"/>
    <mergeCell ref="X56:Y56"/>
    <mergeCell ref="L57:M57"/>
    <mergeCell ref="N57:O57"/>
    <mergeCell ref="P57:Q57"/>
    <mergeCell ref="R57:S57"/>
    <mergeCell ref="T57:U57"/>
    <mergeCell ref="V57:W57"/>
    <mergeCell ref="X57:Y57"/>
    <mergeCell ref="BD57:BE57"/>
    <mergeCell ref="BF57:BG57"/>
    <mergeCell ref="AB55:AC55"/>
    <mergeCell ref="AD55:AE55"/>
    <mergeCell ref="AF55:AG55"/>
    <mergeCell ref="AH55:AI55"/>
    <mergeCell ref="AJ55:AK55"/>
    <mergeCell ref="AL55:AM55"/>
    <mergeCell ref="BB55:BC55"/>
    <mergeCell ref="BD55:BE55"/>
    <mergeCell ref="BF55:BG55"/>
    <mergeCell ref="AN55:AO55"/>
    <mergeCell ref="AP55:AQ55"/>
    <mergeCell ref="AR55:AS55"/>
    <mergeCell ref="AT55:AU55"/>
    <mergeCell ref="AV55:AW55"/>
    <mergeCell ref="AX55:AY55"/>
    <mergeCell ref="AZ55:BA55"/>
    <mergeCell ref="BB56:BC56"/>
    <mergeCell ref="BD56:BE56"/>
    <mergeCell ref="BF56:BG56"/>
    <mergeCell ref="AR56:AS56"/>
    <mergeCell ref="AR57:AS57"/>
    <mergeCell ref="AT57:AU57"/>
    <mergeCell ref="AV57:AW57"/>
    <mergeCell ref="AX57:AY57"/>
    <mergeCell ref="AZ57:BA57"/>
    <mergeCell ref="BB57:BC57"/>
    <mergeCell ref="AZ53:BA53"/>
    <mergeCell ref="AN57:AO57"/>
    <mergeCell ref="AP57:AQ57"/>
    <mergeCell ref="Z57:AA57"/>
    <mergeCell ref="AB57:AC57"/>
    <mergeCell ref="AD57:AE57"/>
    <mergeCell ref="AF57:AG57"/>
    <mergeCell ref="AH57:AI57"/>
    <mergeCell ref="AJ57:AK57"/>
    <mergeCell ref="AL57:AM57"/>
    <mergeCell ref="AT56:AU56"/>
    <mergeCell ref="AV56:AW56"/>
    <mergeCell ref="AX56:AY56"/>
    <mergeCell ref="AZ56:BA56"/>
    <mergeCell ref="AN54:AO54"/>
    <mergeCell ref="AP54:AQ54"/>
    <mergeCell ref="Z54:AA54"/>
    <mergeCell ref="AB54:AC54"/>
    <mergeCell ref="AD54:AE54"/>
    <mergeCell ref="AF54:AG54"/>
    <mergeCell ref="AH54:AI54"/>
    <mergeCell ref="AJ54:AK54"/>
    <mergeCell ref="AL54:AM54"/>
    <mergeCell ref="Z55:AA55"/>
    <mergeCell ref="BB53:BC53"/>
    <mergeCell ref="BD53:BE53"/>
    <mergeCell ref="BF53:BG53"/>
    <mergeCell ref="L54:M54"/>
    <mergeCell ref="N54:O54"/>
    <mergeCell ref="P54:Q54"/>
    <mergeCell ref="R54:S54"/>
    <mergeCell ref="T54:U54"/>
    <mergeCell ref="V54:W54"/>
    <mergeCell ref="X54:Y54"/>
    <mergeCell ref="AR54:AS54"/>
    <mergeCell ref="AT54:AU54"/>
    <mergeCell ref="AV54:AW54"/>
    <mergeCell ref="AX54:AY54"/>
    <mergeCell ref="AZ54:BA54"/>
    <mergeCell ref="BB54:BC54"/>
    <mergeCell ref="BD54:BE54"/>
    <mergeCell ref="BF54:BG54"/>
    <mergeCell ref="AN53:AO53"/>
    <mergeCell ref="AP53:AQ53"/>
    <mergeCell ref="AR53:AS53"/>
    <mergeCell ref="AT53:AU53"/>
    <mergeCell ref="AV53:AW53"/>
    <mergeCell ref="AX53:AY53"/>
    <mergeCell ref="AD52:AE52"/>
    <mergeCell ref="AF52:AG52"/>
    <mergeCell ref="AH52:AI52"/>
    <mergeCell ref="AJ52:AK52"/>
    <mergeCell ref="AL52:AM52"/>
    <mergeCell ref="BB52:BC52"/>
    <mergeCell ref="BD52:BE52"/>
    <mergeCell ref="BF52:BG52"/>
    <mergeCell ref="AN52:AO52"/>
    <mergeCell ref="AP52:AQ52"/>
    <mergeCell ref="AR52:AS52"/>
    <mergeCell ref="AT52:AU52"/>
    <mergeCell ref="AV52:AW52"/>
    <mergeCell ref="AX52:AY52"/>
    <mergeCell ref="AZ52:BA52"/>
    <mergeCell ref="BF78:BG78"/>
    <mergeCell ref="L78:M78"/>
    <mergeCell ref="N78:O78"/>
    <mergeCell ref="P78:Q78"/>
    <mergeCell ref="R78:S78"/>
    <mergeCell ref="T78:U78"/>
    <mergeCell ref="V78:W78"/>
    <mergeCell ref="X78:Y78"/>
    <mergeCell ref="L79:M79"/>
    <mergeCell ref="N79:O79"/>
    <mergeCell ref="P79:Q79"/>
    <mergeCell ref="R79:S79"/>
    <mergeCell ref="T79:U79"/>
    <mergeCell ref="V79:W79"/>
    <mergeCell ref="X79:Y79"/>
    <mergeCell ref="AR79:AS79"/>
    <mergeCell ref="AT79:AU79"/>
    <mergeCell ref="AV79:AW79"/>
    <mergeCell ref="AX79:AY79"/>
    <mergeCell ref="AZ79:BA79"/>
    <mergeCell ref="BB79:BC79"/>
    <mergeCell ref="BD79:BE79"/>
    <mergeCell ref="BF79:BG79"/>
    <mergeCell ref="AN78:AO78"/>
    <mergeCell ref="Z78:AA78"/>
    <mergeCell ref="AB78:AC78"/>
    <mergeCell ref="AD78:AE78"/>
    <mergeCell ref="AF78:AG78"/>
    <mergeCell ref="AH78:AI78"/>
    <mergeCell ref="AJ78:AK78"/>
    <mergeCell ref="AL78:AM78"/>
    <mergeCell ref="BB78:BC78"/>
    <mergeCell ref="BD78:BE78"/>
    <mergeCell ref="AP78:AQ78"/>
    <mergeCell ref="AR78:AS78"/>
    <mergeCell ref="AT78:AU78"/>
    <mergeCell ref="AV78:AW78"/>
    <mergeCell ref="AX78:AY78"/>
    <mergeCell ref="AZ78:BA78"/>
    <mergeCell ref="AN77:AO77"/>
    <mergeCell ref="AP77:AQ77"/>
    <mergeCell ref="Z77:AA77"/>
    <mergeCell ref="AB77:AC77"/>
    <mergeCell ref="AD77:AE77"/>
    <mergeCell ref="AF77:AG77"/>
    <mergeCell ref="AH77:AI77"/>
    <mergeCell ref="AJ77:AK77"/>
    <mergeCell ref="AL77:AM77"/>
    <mergeCell ref="BF76:BG76"/>
    <mergeCell ref="L76:M76"/>
    <mergeCell ref="N76:O76"/>
    <mergeCell ref="P76:Q76"/>
    <mergeCell ref="R76:S76"/>
    <mergeCell ref="T76:U76"/>
    <mergeCell ref="V76:W76"/>
    <mergeCell ref="X76:Y76"/>
    <mergeCell ref="L77:M77"/>
    <mergeCell ref="N77:O77"/>
    <mergeCell ref="P77:Q77"/>
    <mergeCell ref="R77:S77"/>
    <mergeCell ref="T77:U77"/>
    <mergeCell ref="V77:W77"/>
    <mergeCell ref="X77:Y77"/>
    <mergeCell ref="AR77:AS77"/>
    <mergeCell ref="AT77:AU77"/>
    <mergeCell ref="AV77:AW77"/>
    <mergeCell ref="AX77:AY77"/>
    <mergeCell ref="AZ77:BA77"/>
    <mergeCell ref="BB77:BC77"/>
    <mergeCell ref="BD77:BE77"/>
    <mergeCell ref="BF77:BG77"/>
    <mergeCell ref="AN76:AO76"/>
    <mergeCell ref="Z76:AA76"/>
    <mergeCell ref="AB76:AC76"/>
    <mergeCell ref="AD76:AE76"/>
    <mergeCell ref="AF76:AG76"/>
    <mergeCell ref="AH76:AI76"/>
    <mergeCell ref="AJ76:AK76"/>
    <mergeCell ref="AL76:AM76"/>
    <mergeCell ref="BB76:BC76"/>
    <mergeCell ref="BD76:BE76"/>
    <mergeCell ref="AP76:AQ76"/>
    <mergeCell ref="AR76:AS76"/>
    <mergeCell ref="AT76:AU76"/>
    <mergeCell ref="AV76:AW76"/>
    <mergeCell ref="AX76:AY76"/>
    <mergeCell ref="AZ76:BA76"/>
    <mergeCell ref="AR75:AS75"/>
    <mergeCell ref="AT75:AU75"/>
    <mergeCell ref="AV75:AW75"/>
    <mergeCell ref="AX75:AY75"/>
    <mergeCell ref="AZ75:BA75"/>
    <mergeCell ref="BB75:BC75"/>
    <mergeCell ref="BD75:BE75"/>
    <mergeCell ref="BF75:BG75"/>
    <mergeCell ref="L75:M75"/>
    <mergeCell ref="N75:O75"/>
    <mergeCell ref="P75:Q75"/>
    <mergeCell ref="R75:S75"/>
    <mergeCell ref="T75:U75"/>
    <mergeCell ref="V75:W75"/>
    <mergeCell ref="X75:Y75"/>
    <mergeCell ref="AN75:AO75"/>
    <mergeCell ref="AP75:AQ75"/>
    <mergeCell ref="Z75:AA75"/>
    <mergeCell ref="AB75:AC75"/>
    <mergeCell ref="AD75:AE75"/>
    <mergeCell ref="AF75:AG75"/>
    <mergeCell ref="AH75:AI75"/>
    <mergeCell ref="AJ75:AK75"/>
    <mergeCell ref="AL75:AM75"/>
    <mergeCell ref="BF64:BG64"/>
    <mergeCell ref="AN64:AO64"/>
    <mergeCell ref="AP64:AQ64"/>
    <mergeCell ref="AR64:AS64"/>
    <mergeCell ref="AT64:AU64"/>
    <mergeCell ref="AV64:AW64"/>
    <mergeCell ref="AX64:AY64"/>
    <mergeCell ref="AZ64:BA64"/>
    <mergeCell ref="L64:M64"/>
    <mergeCell ref="N64:O64"/>
    <mergeCell ref="P64:Q64"/>
    <mergeCell ref="R64:S64"/>
    <mergeCell ref="T64:U64"/>
    <mergeCell ref="V64:W64"/>
    <mergeCell ref="X64:Y64"/>
    <mergeCell ref="Z64:AA64"/>
    <mergeCell ref="AB64:AC64"/>
    <mergeCell ref="AD64:AE64"/>
    <mergeCell ref="AF64:AG64"/>
    <mergeCell ref="AH64:AI64"/>
    <mergeCell ref="AJ64:AK64"/>
    <mergeCell ref="AL64:AM64"/>
    <mergeCell ref="BB64:BC64"/>
    <mergeCell ref="BD64:BE64"/>
    <mergeCell ref="AN63:AO63"/>
    <mergeCell ref="AP63:AQ63"/>
    <mergeCell ref="Z63:AA63"/>
    <mergeCell ref="AB63:AC63"/>
    <mergeCell ref="AD63:AE63"/>
    <mergeCell ref="AF63:AG63"/>
    <mergeCell ref="AH63:AI63"/>
    <mergeCell ref="AJ63:AK63"/>
    <mergeCell ref="AL63:AM63"/>
    <mergeCell ref="BF62:BG62"/>
    <mergeCell ref="L62:M62"/>
    <mergeCell ref="N62:O62"/>
    <mergeCell ref="P62:Q62"/>
    <mergeCell ref="R62:S62"/>
    <mergeCell ref="T62:U62"/>
    <mergeCell ref="V62:W62"/>
    <mergeCell ref="X62:Y62"/>
    <mergeCell ref="L63:M63"/>
    <mergeCell ref="N63:O63"/>
    <mergeCell ref="P63:Q63"/>
    <mergeCell ref="R63:S63"/>
    <mergeCell ref="T63:U63"/>
    <mergeCell ref="V63:W63"/>
    <mergeCell ref="X63:Y63"/>
    <mergeCell ref="AR63:AS63"/>
    <mergeCell ref="AT63:AU63"/>
    <mergeCell ref="AV63:AW63"/>
    <mergeCell ref="AX63:AY63"/>
    <mergeCell ref="AZ63:BA63"/>
    <mergeCell ref="BB63:BC63"/>
    <mergeCell ref="BD63:BE63"/>
    <mergeCell ref="BF63:BG63"/>
    <mergeCell ref="AN62:AO62"/>
    <mergeCell ref="Z62:AA62"/>
    <mergeCell ref="AB62:AC62"/>
    <mergeCell ref="AD62:AE62"/>
    <mergeCell ref="AF62:AG62"/>
    <mergeCell ref="AH62:AI62"/>
    <mergeCell ref="AJ62:AK62"/>
    <mergeCell ref="AL62:AM62"/>
    <mergeCell ref="BB62:BC62"/>
    <mergeCell ref="BD62:BE62"/>
    <mergeCell ref="AP62:AQ62"/>
    <mergeCell ref="AR62:AS62"/>
    <mergeCell ref="AT62:AU62"/>
    <mergeCell ref="AV62:AW62"/>
    <mergeCell ref="AX62:AY62"/>
    <mergeCell ref="AZ62:BA62"/>
    <mergeCell ref="AN61:AO61"/>
    <mergeCell ref="AP61:AQ61"/>
    <mergeCell ref="Z61:AA61"/>
    <mergeCell ref="AB61:AC61"/>
    <mergeCell ref="AD61:AE61"/>
    <mergeCell ref="AF61:AG61"/>
    <mergeCell ref="AH61:AI61"/>
    <mergeCell ref="AJ61:AK61"/>
    <mergeCell ref="AL61:AM61"/>
    <mergeCell ref="AN56:AO56"/>
    <mergeCell ref="AP56:AQ56"/>
    <mergeCell ref="Z56:AA56"/>
    <mergeCell ref="AB56:AC56"/>
    <mergeCell ref="AD56:AE56"/>
    <mergeCell ref="AF56:AG56"/>
    <mergeCell ref="AH56:AI56"/>
    <mergeCell ref="AJ56:AK56"/>
    <mergeCell ref="AL56:AM56"/>
    <mergeCell ref="AD53:AE53"/>
    <mergeCell ref="AF53:AG53"/>
    <mergeCell ref="AH53:AI53"/>
    <mergeCell ref="AJ53:AK53"/>
    <mergeCell ref="AL53:AM53"/>
    <mergeCell ref="L53:M53"/>
    <mergeCell ref="N53:O53"/>
    <mergeCell ref="P53:Q53"/>
    <mergeCell ref="R53:S53"/>
    <mergeCell ref="T53:U53"/>
    <mergeCell ref="V53:W53"/>
    <mergeCell ref="X53:Y53"/>
    <mergeCell ref="L27:M27"/>
    <mergeCell ref="N27:O27"/>
    <mergeCell ref="P27:Q27"/>
    <mergeCell ref="R27:S27"/>
    <mergeCell ref="T27:U27"/>
    <mergeCell ref="V27:W27"/>
    <mergeCell ref="X27:Y27"/>
    <mergeCell ref="Z53:AA53"/>
    <mergeCell ref="AB53:AC53"/>
    <mergeCell ref="Z52:AA52"/>
    <mergeCell ref="AB52:AC52"/>
    <mergeCell ref="L52:M52"/>
    <mergeCell ref="N52:O52"/>
    <mergeCell ref="P52:Q52"/>
    <mergeCell ref="R52:S52"/>
    <mergeCell ref="T52:U52"/>
    <mergeCell ref="V52:W52"/>
    <mergeCell ref="X52:Y52"/>
    <mergeCell ref="Z27:AA27"/>
    <mergeCell ref="AB27:AC27"/>
    <mergeCell ref="CR27:CS27"/>
    <mergeCell ref="CT27:CU27"/>
    <mergeCell ref="CD27:CE27"/>
    <mergeCell ref="CF27:CG27"/>
    <mergeCell ref="CH27:CI27"/>
    <mergeCell ref="CJ27:CK27"/>
    <mergeCell ref="CL27:CM27"/>
    <mergeCell ref="CN27:CO27"/>
    <mergeCell ref="CP27:CQ27"/>
    <mergeCell ref="BL27:BM27"/>
    <mergeCell ref="BN27:BO27"/>
    <mergeCell ref="BP27:BQ27"/>
    <mergeCell ref="BR27:BS27"/>
    <mergeCell ref="BT27:BU27"/>
    <mergeCell ref="BV27:BW27"/>
    <mergeCell ref="BX27:BY27"/>
    <mergeCell ref="BZ27:CA27"/>
    <mergeCell ref="CB27:CC27"/>
    <mergeCell ref="AT27:AU27"/>
    <mergeCell ref="AV27:AW27"/>
    <mergeCell ref="AX27:AY27"/>
    <mergeCell ref="AZ27:BA27"/>
    <mergeCell ref="BB27:BC27"/>
    <mergeCell ref="BD27:BE27"/>
    <mergeCell ref="BF27:BG27"/>
    <mergeCell ref="BH27:BI27"/>
    <mergeCell ref="BJ27:BK27"/>
    <mergeCell ref="AD27:AE27"/>
    <mergeCell ref="AF27:AG27"/>
    <mergeCell ref="AH27:AI27"/>
    <mergeCell ref="AJ27:AK27"/>
    <mergeCell ref="AL27:AM27"/>
    <mergeCell ref="AN27:AO27"/>
    <mergeCell ref="AP27:AQ27"/>
    <mergeCell ref="CJ25:CK25"/>
    <mergeCell ref="CL25:CM25"/>
    <mergeCell ref="BH25:BI25"/>
    <mergeCell ref="BJ25:BK25"/>
    <mergeCell ref="BL25:BM25"/>
    <mergeCell ref="BN25:BO25"/>
    <mergeCell ref="BP25:BQ25"/>
    <mergeCell ref="AH25:AI25"/>
    <mergeCell ref="AJ25:AK25"/>
    <mergeCell ref="AL25:AM25"/>
    <mergeCell ref="AN25:AO25"/>
    <mergeCell ref="AP25:AQ25"/>
    <mergeCell ref="AR25:AS25"/>
    <mergeCell ref="AT25:AU25"/>
    <mergeCell ref="AV25:AW25"/>
    <mergeCell ref="AX25:AY25"/>
    <mergeCell ref="AR27:AS27"/>
    <mergeCell ref="CN25:CO25"/>
    <mergeCell ref="CP25:CQ25"/>
    <mergeCell ref="CR25:CS25"/>
    <mergeCell ref="CT25:CU25"/>
    <mergeCell ref="B25:C25"/>
    <mergeCell ref="D25:E25"/>
    <mergeCell ref="F25:G25"/>
    <mergeCell ref="H25:I25"/>
    <mergeCell ref="J25:K25"/>
    <mergeCell ref="L25:M25"/>
    <mergeCell ref="N25:O25"/>
    <mergeCell ref="BR25:BS25"/>
    <mergeCell ref="BT25:BU25"/>
    <mergeCell ref="BV25:BW25"/>
    <mergeCell ref="BX25:BY25"/>
    <mergeCell ref="BZ25:CA25"/>
    <mergeCell ref="CB25:CC25"/>
    <mergeCell ref="CD25:CE25"/>
    <mergeCell ref="CF25:CG25"/>
    <mergeCell ref="CH25:CI25"/>
    <mergeCell ref="AZ25:BA25"/>
    <mergeCell ref="BB25:BC25"/>
    <mergeCell ref="BD25:BE25"/>
    <mergeCell ref="BF25:BG25"/>
    <mergeCell ref="P25:Q25"/>
    <mergeCell ref="R25:S25"/>
    <mergeCell ref="T25:U25"/>
    <mergeCell ref="V25:W25"/>
    <mergeCell ref="X25:Y25"/>
    <mergeCell ref="Z25:AA25"/>
    <mergeCell ref="AB25:AC25"/>
    <mergeCell ref="AD25:AE25"/>
    <mergeCell ref="AF25:AG25"/>
    <mergeCell ref="EF25:EG25"/>
    <mergeCell ref="EH25:EI25"/>
    <mergeCell ref="EJ25:EK25"/>
    <mergeCell ref="EZ25:FA25"/>
    <mergeCell ref="FB25:FC25"/>
    <mergeCell ref="FD25:FE25"/>
    <mergeCell ref="FF25:FG25"/>
    <mergeCell ref="FH25:FI25"/>
    <mergeCell ref="FJ25:FK25"/>
    <mergeCell ref="EL25:EM25"/>
    <mergeCell ref="EN25:EO25"/>
    <mergeCell ref="EP25:EQ25"/>
    <mergeCell ref="ER25:ES25"/>
    <mergeCell ref="ET25:EU25"/>
    <mergeCell ref="EV25:EW25"/>
    <mergeCell ref="EX25:EY25"/>
    <mergeCell ref="DN25:DO25"/>
    <mergeCell ref="DP25:DQ25"/>
    <mergeCell ref="DR25:DS25"/>
    <mergeCell ref="DT25:DU25"/>
    <mergeCell ref="DV25:DW25"/>
    <mergeCell ref="DX25:DY25"/>
    <mergeCell ref="DZ25:EA25"/>
    <mergeCell ref="EB25:EC25"/>
    <mergeCell ref="ED25:EE25"/>
    <mergeCell ref="CV25:CW25"/>
    <mergeCell ref="CX25:CY25"/>
    <mergeCell ref="CZ25:DA25"/>
    <mergeCell ref="DB25:DC25"/>
    <mergeCell ref="DD25:DE25"/>
    <mergeCell ref="DF25:DG25"/>
    <mergeCell ref="DH25:DI25"/>
    <mergeCell ref="DJ25:DK25"/>
    <mergeCell ref="DL25:DM25"/>
    <mergeCell ref="CL1:CM1"/>
    <mergeCell ref="CN1:CO1"/>
    <mergeCell ref="CP1:CQ1"/>
    <mergeCell ref="CR1:CS1"/>
    <mergeCell ref="CT1:CU1"/>
    <mergeCell ref="CV1:CW1"/>
    <mergeCell ref="B1:C1"/>
    <mergeCell ref="D1:E1"/>
    <mergeCell ref="F1:G1"/>
    <mergeCell ref="H1:I1"/>
    <mergeCell ref="L1:M1"/>
    <mergeCell ref="N1:O1"/>
    <mergeCell ref="P1:Q1"/>
    <mergeCell ref="BT1:BU1"/>
    <mergeCell ref="BV1:BW1"/>
    <mergeCell ref="BX1:BY1"/>
    <mergeCell ref="BZ1:CA1"/>
    <mergeCell ref="CB1:CC1"/>
    <mergeCell ref="CD1:CE1"/>
    <mergeCell ref="CF1:CG1"/>
    <mergeCell ref="CH1:CI1"/>
    <mergeCell ref="CJ1:CK1"/>
    <mergeCell ref="BB1:BC1"/>
    <mergeCell ref="BD1:BE1"/>
    <mergeCell ref="BF1:BG1"/>
    <mergeCell ref="BH1:BI1"/>
    <mergeCell ref="BJ1:BK1"/>
    <mergeCell ref="BL1:BM1"/>
    <mergeCell ref="BN1:BO1"/>
    <mergeCell ref="BP1:BQ1"/>
    <mergeCell ref="BR1:BS1"/>
    <mergeCell ref="AJ1:AK1"/>
    <mergeCell ref="AL1:AM1"/>
    <mergeCell ref="AN1:AO1"/>
    <mergeCell ref="AP1:AQ1"/>
    <mergeCell ref="AR1:AS1"/>
    <mergeCell ref="AT1:AU1"/>
    <mergeCell ref="AV1:AW1"/>
    <mergeCell ref="AX1:AY1"/>
    <mergeCell ref="AZ1:BA1"/>
    <mergeCell ref="R1:S1"/>
    <mergeCell ref="T1:U1"/>
    <mergeCell ref="V1:W1"/>
    <mergeCell ref="X1:Y1"/>
    <mergeCell ref="Z1:AA1"/>
    <mergeCell ref="AB1:AC1"/>
    <mergeCell ref="AD1:AE1"/>
    <mergeCell ref="AF1:AG1"/>
    <mergeCell ref="AH1:AI1"/>
    <mergeCell ref="EH1:EI1"/>
    <mergeCell ref="EJ1:EK1"/>
    <mergeCell ref="EL1:EM1"/>
    <mergeCell ref="FB1:FC1"/>
    <mergeCell ref="FD1:FE1"/>
    <mergeCell ref="FF1:FG1"/>
    <mergeCell ref="FH1:FI1"/>
    <mergeCell ref="FJ1:FK1"/>
    <mergeCell ref="EN1:EO1"/>
    <mergeCell ref="EP1:EQ1"/>
    <mergeCell ref="ER1:ES1"/>
    <mergeCell ref="ET1:EU1"/>
    <mergeCell ref="EV1:EW1"/>
    <mergeCell ref="EX1:EY1"/>
    <mergeCell ref="EZ1:FA1"/>
    <mergeCell ref="DP1:DQ1"/>
    <mergeCell ref="DR1:DS1"/>
    <mergeCell ref="DT1:DU1"/>
    <mergeCell ref="DV1:DW1"/>
    <mergeCell ref="DX1:DY1"/>
    <mergeCell ref="DZ1:EA1"/>
    <mergeCell ref="EB1:EC1"/>
    <mergeCell ref="ED1:EE1"/>
    <mergeCell ref="EF1:EG1"/>
    <mergeCell ref="CX1:CY1"/>
    <mergeCell ref="CZ1:DA1"/>
    <mergeCell ref="DB1:DC1"/>
    <mergeCell ref="DD1:DE1"/>
    <mergeCell ref="DF1:DG1"/>
    <mergeCell ref="DH1:DI1"/>
    <mergeCell ref="DJ1:DK1"/>
    <mergeCell ref="DL1:DM1"/>
    <mergeCell ref="DN1:DO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summaryRight="0"/>
  </sheetPr>
  <dimension ref="A1:R179"/>
  <sheetViews>
    <sheetView workbookViewId="0"/>
  </sheetViews>
  <sheetFormatPr defaultColWidth="12.7109375" defaultRowHeight="12.75" customHeight="1"/>
  <cols>
    <col min="1" max="1" width="2.28515625" customWidth="1"/>
    <col min="2" max="2" width="19.85546875" customWidth="1"/>
    <col min="3" max="14" width="9.85546875" customWidth="1"/>
    <col min="15" max="15" width="9.28515625" customWidth="1"/>
    <col min="16" max="16" width="2.42578125" customWidth="1"/>
    <col min="17" max="17" width="8.28515625" customWidth="1"/>
  </cols>
  <sheetData>
    <row r="1" spans="1:17">
      <c r="B1" s="938" t="s">
        <v>5755</v>
      </c>
      <c r="C1" s="938" t="s">
        <v>6835</v>
      </c>
      <c r="D1" s="938" t="s">
        <v>6836</v>
      </c>
      <c r="E1" s="938" t="s">
        <v>6837</v>
      </c>
      <c r="F1" s="938" t="s">
        <v>6838</v>
      </c>
      <c r="G1" s="938" t="s">
        <v>6839</v>
      </c>
      <c r="H1" s="938" t="s">
        <v>6840</v>
      </c>
      <c r="I1" s="938" t="s">
        <v>6841</v>
      </c>
      <c r="J1" s="938" t="s">
        <v>6842</v>
      </c>
      <c r="K1" s="938" t="s">
        <v>6843</v>
      </c>
      <c r="L1" s="938" t="s">
        <v>6844</v>
      </c>
      <c r="M1" s="660"/>
      <c r="N1" s="660"/>
      <c r="O1" s="660"/>
      <c r="P1" s="660"/>
    </row>
    <row r="2" spans="1:17">
      <c r="A2" s="714"/>
      <c r="B2" s="2126" t="s">
        <v>6845</v>
      </c>
      <c r="C2" s="2127"/>
      <c r="D2" s="2127"/>
      <c r="E2" s="2127"/>
      <c r="F2" s="2127"/>
      <c r="G2" s="2127"/>
      <c r="H2" s="2127"/>
      <c r="I2" s="2127"/>
      <c r="J2" s="2127"/>
      <c r="K2" s="2127"/>
      <c r="L2" s="2127"/>
      <c r="M2" s="2127"/>
      <c r="N2" s="2127"/>
      <c r="O2" s="2128"/>
      <c r="P2" s="661"/>
    </row>
    <row r="3" spans="1:17">
      <c r="A3" s="714"/>
      <c r="B3" s="662" t="s">
        <v>7017</v>
      </c>
      <c r="C3" s="663" t="s">
        <v>143</v>
      </c>
      <c r="D3" s="663" t="s">
        <v>26</v>
      </c>
      <c r="E3" s="663" t="s">
        <v>25</v>
      </c>
      <c r="F3" s="663" t="s">
        <v>24</v>
      </c>
      <c r="G3" s="663" t="s">
        <v>23</v>
      </c>
      <c r="H3" s="663" t="s">
        <v>22</v>
      </c>
      <c r="I3" s="663" t="s">
        <v>21</v>
      </c>
      <c r="J3" s="663" t="s">
        <v>20</v>
      </c>
      <c r="K3" s="663" t="s">
        <v>256</v>
      </c>
      <c r="L3" s="663" t="s">
        <v>18</v>
      </c>
      <c r="M3" s="663" t="s">
        <v>17</v>
      </c>
      <c r="N3" s="663" t="s">
        <v>86</v>
      </c>
      <c r="O3" s="664" t="s">
        <v>67</v>
      </c>
      <c r="P3" s="665"/>
    </row>
    <row r="4" spans="1:17">
      <c r="A4" s="714"/>
      <c r="B4" s="666" t="s">
        <v>6847</v>
      </c>
      <c r="C4" s="667"/>
      <c r="D4" s="667"/>
      <c r="E4" s="667"/>
      <c r="F4" s="667"/>
      <c r="G4" s="667"/>
      <c r="H4" s="667"/>
      <c r="I4" s="667"/>
      <c r="J4" s="667"/>
      <c r="K4" s="667"/>
      <c r="L4" s="667"/>
      <c r="M4" s="667"/>
      <c r="N4" s="667"/>
      <c r="O4" s="668">
        <f>SUM(C4:N4)</f>
        <v>0</v>
      </c>
      <c r="P4" s="669"/>
    </row>
    <row r="5" spans="1:17">
      <c r="A5" s="714"/>
      <c r="B5" s="666" t="s">
        <v>4397</v>
      </c>
      <c r="C5" s="671"/>
      <c r="D5" s="671"/>
      <c r="E5" s="671"/>
      <c r="F5" s="671"/>
      <c r="G5" s="671"/>
      <c r="H5" s="671"/>
      <c r="I5" s="671"/>
      <c r="J5" s="671"/>
      <c r="K5" s="671"/>
      <c r="L5" s="671"/>
      <c r="M5" s="671"/>
      <c r="N5" s="671"/>
      <c r="O5" s="668"/>
      <c r="P5" s="672"/>
      <c r="Q5" s="9" t="s">
        <v>4392</v>
      </c>
    </row>
    <row r="6" spans="1:17">
      <c r="A6" s="714"/>
      <c r="B6" s="674" t="s">
        <v>1121</v>
      </c>
      <c r="C6" s="675">
        <v>800</v>
      </c>
      <c r="D6" s="675">
        <v>800</v>
      </c>
      <c r="E6" s="675">
        <v>800</v>
      </c>
      <c r="F6" s="675">
        <v>800</v>
      </c>
      <c r="G6" s="675">
        <v>800</v>
      </c>
      <c r="H6" s="675">
        <v>800</v>
      </c>
      <c r="I6" s="675">
        <v>800</v>
      </c>
      <c r="J6" s="675">
        <v>800</v>
      </c>
      <c r="K6" s="675">
        <v>800</v>
      </c>
      <c r="L6" s="675">
        <v>800</v>
      </c>
      <c r="M6" s="675">
        <v>800</v>
      </c>
      <c r="N6" s="675">
        <v>800</v>
      </c>
      <c r="O6" s="677">
        <f>SUM(C6:N6)</f>
        <v>9600</v>
      </c>
      <c r="P6" s="672"/>
    </row>
    <row r="7" spans="1:17">
      <c r="A7" s="714"/>
      <c r="B7" s="674" t="s">
        <v>6848</v>
      </c>
      <c r="C7" s="675"/>
      <c r="D7" s="675"/>
      <c r="E7" s="675"/>
      <c r="F7" s="675"/>
      <c r="G7" s="675"/>
      <c r="H7" s="675"/>
      <c r="I7" s="675"/>
      <c r="J7" s="675"/>
      <c r="K7" s="675"/>
      <c r="L7" s="675"/>
      <c r="M7" s="676"/>
      <c r="N7" s="675"/>
      <c r="O7" s="677">
        <f>SUM(C7:N7)</f>
        <v>0</v>
      </c>
      <c r="P7" s="672"/>
    </row>
    <row r="8" spans="1:17">
      <c r="A8" s="714"/>
      <c r="B8" s="674" t="s">
        <v>6849</v>
      </c>
      <c r="C8" s="675"/>
      <c r="D8" s="675"/>
      <c r="E8" s="675"/>
      <c r="F8" s="675"/>
      <c r="G8" s="675"/>
      <c r="H8" s="675"/>
      <c r="I8" s="675">
        <v>1164.5999999999999</v>
      </c>
      <c r="J8" s="675">
        <v>949.97</v>
      </c>
      <c r="K8" s="675">
        <v>1418.28</v>
      </c>
      <c r="L8" s="675">
        <v>598.73</v>
      </c>
      <c r="M8" s="675">
        <v>881.67</v>
      </c>
      <c r="N8" s="675">
        <v>901.19</v>
      </c>
      <c r="O8" s="677">
        <f>SUM(C8:N8)</f>
        <v>5914.4400000000005</v>
      </c>
      <c r="P8" s="681"/>
      <c r="Q8" s="16">
        <f>AVERAGE(I8:M8)</f>
        <v>1002.65</v>
      </c>
    </row>
    <row r="9" spans="1:17">
      <c r="A9" s="714"/>
      <c r="B9" s="674" t="s">
        <v>6850</v>
      </c>
      <c r="C9" s="675"/>
      <c r="D9" s="675"/>
      <c r="E9" s="675"/>
      <c r="F9" s="675"/>
      <c r="G9" s="675"/>
      <c r="H9" s="675"/>
      <c r="I9" s="675">
        <v>167.61</v>
      </c>
      <c r="J9" s="675">
        <v>162.06</v>
      </c>
      <c r="K9" s="675">
        <v>160.22</v>
      </c>
      <c r="L9" s="675">
        <v>167.61</v>
      </c>
      <c r="M9" s="675">
        <v>160.22</v>
      </c>
      <c r="N9" s="675"/>
      <c r="O9" s="677">
        <f>SUM(C9:N9)</f>
        <v>817.72</v>
      </c>
      <c r="P9" s="672"/>
      <c r="Q9" s="16">
        <f>AVERAGE(I9:L9)</f>
        <v>164.375</v>
      </c>
    </row>
    <row r="10" spans="1:17">
      <c r="A10" s="714"/>
      <c r="B10" s="939" t="s">
        <v>6851</v>
      </c>
      <c r="C10" s="940"/>
      <c r="D10" s="940"/>
      <c r="E10" s="940"/>
      <c r="F10" s="940"/>
      <c r="G10" s="940"/>
      <c r="H10" s="940">
        <v>526.52</v>
      </c>
      <c r="I10" s="940">
        <v>443.18</v>
      </c>
      <c r="J10" s="940">
        <v>245.58</v>
      </c>
      <c r="K10" s="940">
        <v>431.62</v>
      </c>
      <c r="L10" s="940">
        <v>431.61</v>
      </c>
      <c r="M10" s="940">
        <v>500.3</v>
      </c>
      <c r="N10" s="940">
        <v>375.19</v>
      </c>
      <c r="O10" s="941">
        <f>SUM(C10:M10)</f>
        <v>2578.8100000000004</v>
      </c>
      <c r="P10" s="672"/>
      <c r="Q10" s="16">
        <f>AVERAGE(H10:N10)</f>
        <v>422.00000000000006</v>
      </c>
    </row>
    <row r="11" spans="1:17">
      <c r="A11" s="714"/>
      <c r="B11" s="942" t="s">
        <v>6852</v>
      </c>
      <c r="C11" s="680"/>
      <c r="D11" s="680"/>
      <c r="E11" s="680"/>
      <c r="F11" s="680"/>
      <c r="G11" s="680"/>
      <c r="H11" s="680"/>
      <c r="I11" s="680"/>
      <c r="J11" s="680"/>
      <c r="K11" s="680"/>
      <c r="L11" s="680"/>
      <c r="M11" s="680"/>
      <c r="N11" s="680"/>
      <c r="O11" s="943">
        <f>SUM(C11:N11)</f>
        <v>0</v>
      </c>
      <c r="P11" s="672"/>
    </row>
    <row r="12" spans="1:17">
      <c r="A12" s="714"/>
      <c r="B12" s="674" t="s">
        <v>6853</v>
      </c>
      <c r="C12" s="675"/>
      <c r="D12" s="675"/>
      <c r="E12" s="675"/>
      <c r="F12" s="685"/>
      <c r="G12" s="675"/>
      <c r="H12" s="675"/>
      <c r="I12" s="675"/>
      <c r="J12" s="675"/>
      <c r="K12" s="675"/>
      <c r="L12" s="685"/>
      <c r="M12" s="675"/>
      <c r="N12" s="675"/>
      <c r="O12" s="677"/>
      <c r="P12" s="672"/>
    </row>
    <row r="13" spans="1:17">
      <c r="A13" s="714"/>
      <c r="B13" s="674" t="s">
        <v>6854</v>
      </c>
      <c r="C13" s="675"/>
      <c r="D13" s="675"/>
      <c r="E13" s="675">
        <v>714.26</v>
      </c>
      <c r="F13" s="675"/>
      <c r="G13" s="675"/>
      <c r="H13" s="675">
        <v>516.26</v>
      </c>
      <c r="I13" s="675"/>
      <c r="J13" s="675"/>
      <c r="K13" s="675">
        <v>286.08</v>
      </c>
      <c r="L13" s="675"/>
      <c r="M13" s="675"/>
      <c r="N13" s="675"/>
      <c r="O13" s="677"/>
      <c r="P13" s="672"/>
    </row>
    <row r="14" spans="1:17">
      <c r="A14" s="714"/>
      <c r="B14" s="674" t="s">
        <v>6855</v>
      </c>
      <c r="C14" s="675"/>
      <c r="D14" s="675"/>
      <c r="E14" s="675"/>
      <c r="F14" s="675"/>
      <c r="G14" s="675"/>
      <c r="H14" s="675"/>
      <c r="I14" s="675"/>
      <c r="J14" s="675"/>
      <c r="K14" s="675"/>
      <c r="L14" s="675"/>
      <c r="M14" s="675"/>
      <c r="N14" s="675"/>
      <c r="O14" s="677">
        <f>SUM(C14:N14)</f>
        <v>0</v>
      </c>
      <c r="P14" s="672"/>
    </row>
    <row r="15" spans="1:17">
      <c r="A15" s="714"/>
      <c r="B15" s="674" t="s">
        <v>6856</v>
      </c>
      <c r="C15" s="675"/>
      <c r="D15" s="675"/>
      <c r="E15" s="675"/>
      <c r="F15" s="675"/>
      <c r="G15" s="675"/>
      <c r="H15" s="675"/>
      <c r="I15" s="675"/>
      <c r="J15" s="675"/>
      <c r="K15" s="675"/>
      <c r="L15" s="675"/>
      <c r="M15" s="675"/>
      <c r="N15" s="675"/>
      <c r="O15" s="677">
        <f>SUM(C15:N15)</f>
        <v>0</v>
      </c>
      <c r="P15" s="672"/>
    </row>
    <row r="16" spans="1:17">
      <c r="A16" s="714"/>
      <c r="B16" s="674" t="s">
        <v>6857</v>
      </c>
      <c r="C16" s="687"/>
      <c r="D16" s="687"/>
      <c r="E16" s="687"/>
      <c r="F16" s="687"/>
      <c r="G16" s="687"/>
      <c r="H16" s="687"/>
      <c r="I16" s="687"/>
      <c r="J16" s="687"/>
      <c r="K16" s="944"/>
      <c r="L16" s="687"/>
      <c r="M16" s="687"/>
      <c r="N16" s="687"/>
      <c r="O16" s="677">
        <f>SUM(C16:N16)</f>
        <v>0</v>
      </c>
      <c r="P16" s="672"/>
    </row>
    <row r="17" spans="1:16">
      <c r="A17" s="714"/>
      <c r="B17" s="674" t="s">
        <v>6858</v>
      </c>
      <c r="C17" s="675"/>
      <c r="D17" s="675"/>
      <c r="E17" s="675"/>
      <c r="F17" s="675"/>
      <c r="G17" s="675"/>
      <c r="H17" s="675"/>
      <c r="I17" s="675"/>
      <c r="J17" s="675"/>
      <c r="K17" s="675"/>
      <c r="L17" s="675"/>
      <c r="M17" s="675"/>
      <c r="N17" s="675"/>
      <c r="O17" s="668"/>
      <c r="P17" s="672"/>
    </row>
    <row r="18" spans="1:16">
      <c r="A18" s="714"/>
      <c r="B18" s="674" t="s">
        <v>6859</v>
      </c>
      <c r="C18" s="945"/>
      <c r="D18" s="945"/>
      <c r="E18" s="945"/>
      <c r="F18" s="945"/>
      <c r="G18" s="945"/>
      <c r="H18" s="945"/>
      <c r="I18" s="945"/>
      <c r="J18" s="945"/>
      <c r="K18" s="945"/>
      <c r="L18" s="945"/>
      <c r="M18" s="945"/>
      <c r="N18" s="945"/>
      <c r="O18" s="668">
        <f>SUM(C18:N18)</f>
        <v>0</v>
      </c>
      <c r="P18" s="672"/>
    </row>
    <row r="19" spans="1:16">
      <c r="A19" s="714"/>
      <c r="B19" s="666" t="s">
        <v>6323</v>
      </c>
      <c r="C19" s="677">
        <f t="shared" ref="C19:N19" si="0">SUM(C18)</f>
        <v>0</v>
      </c>
      <c r="D19" s="677">
        <f t="shared" si="0"/>
        <v>0</v>
      </c>
      <c r="E19" s="677">
        <f t="shared" si="0"/>
        <v>0</v>
      </c>
      <c r="F19" s="677">
        <f t="shared" si="0"/>
        <v>0</v>
      </c>
      <c r="G19" s="677">
        <f t="shared" si="0"/>
        <v>0</v>
      </c>
      <c r="H19" s="677">
        <f t="shared" si="0"/>
        <v>0</v>
      </c>
      <c r="I19" s="677">
        <f t="shared" si="0"/>
        <v>0</v>
      </c>
      <c r="J19" s="677">
        <f t="shared" si="0"/>
        <v>0</v>
      </c>
      <c r="K19" s="677">
        <f t="shared" si="0"/>
        <v>0</v>
      </c>
      <c r="L19" s="677">
        <f t="shared" si="0"/>
        <v>0</v>
      </c>
      <c r="M19" s="677">
        <f t="shared" si="0"/>
        <v>0</v>
      </c>
      <c r="N19" s="677">
        <f t="shared" si="0"/>
        <v>0</v>
      </c>
      <c r="O19" s="668">
        <f>SUM(C19:N19)</f>
        <v>0</v>
      </c>
      <c r="P19" s="669"/>
    </row>
    <row r="20" spans="1:16">
      <c r="A20" s="714"/>
      <c r="B20" s="689" t="s">
        <v>1126</v>
      </c>
      <c r="C20" s="690">
        <f t="shared" ref="C20:O20" si="1">SUM(C6:C18)</f>
        <v>800</v>
      </c>
      <c r="D20" s="690">
        <f t="shared" si="1"/>
        <v>800</v>
      </c>
      <c r="E20" s="690">
        <f t="shared" si="1"/>
        <v>1514.26</v>
      </c>
      <c r="F20" s="690">
        <f t="shared" si="1"/>
        <v>800</v>
      </c>
      <c r="G20" s="690">
        <f t="shared" si="1"/>
        <v>800</v>
      </c>
      <c r="H20" s="690">
        <f t="shared" si="1"/>
        <v>1842.78</v>
      </c>
      <c r="I20" s="690">
        <f t="shared" si="1"/>
        <v>2575.39</v>
      </c>
      <c r="J20" s="690">
        <f t="shared" si="1"/>
        <v>2157.61</v>
      </c>
      <c r="K20" s="690">
        <f t="shared" si="1"/>
        <v>3096.1999999999994</v>
      </c>
      <c r="L20" s="690">
        <f t="shared" si="1"/>
        <v>1997.9500000000003</v>
      </c>
      <c r="M20" s="690">
        <f t="shared" si="1"/>
        <v>2342.19</v>
      </c>
      <c r="N20" s="690">
        <f t="shared" si="1"/>
        <v>2076.38</v>
      </c>
      <c r="O20" s="690">
        <f t="shared" si="1"/>
        <v>18910.97</v>
      </c>
      <c r="P20" s="691"/>
    </row>
    <row r="21" spans="1:16">
      <c r="A21" s="715"/>
      <c r="B21" s="692" t="s">
        <v>791</v>
      </c>
      <c r="C21" s="946">
        <f t="shared" ref="C21:O21" si="2">C4-C20</f>
        <v>-800</v>
      </c>
      <c r="D21" s="946">
        <f t="shared" si="2"/>
        <v>-800</v>
      </c>
      <c r="E21" s="946">
        <f t="shared" si="2"/>
        <v>-1514.26</v>
      </c>
      <c r="F21" s="946">
        <f t="shared" si="2"/>
        <v>-800</v>
      </c>
      <c r="G21" s="946">
        <f t="shared" si="2"/>
        <v>-800</v>
      </c>
      <c r="H21" s="946">
        <f t="shared" si="2"/>
        <v>-1842.78</v>
      </c>
      <c r="I21" s="946">
        <f t="shared" si="2"/>
        <v>-2575.39</v>
      </c>
      <c r="J21" s="946">
        <f t="shared" si="2"/>
        <v>-2157.61</v>
      </c>
      <c r="K21" s="946">
        <f t="shared" si="2"/>
        <v>-3096.1999999999994</v>
      </c>
      <c r="L21" s="693">
        <f t="shared" si="2"/>
        <v>-1997.9500000000003</v>
      </c>
      <c r="M21" s="693">
        <f t="shared" si="2"/>
        <v>-2342.19</v>
      </c>
      <c r="N21" s="693">
        <f t="shared" si="2"/>
        <v>-2076.38</v>
      </c>
      <c r="O21" s="693">
        <f t="shared" si="2"/>
        <v>-18910.97</v>
      </c>
      <c r="P21" s="694"/>
    </row>
    <row r="22" spans="1:16">
      <c r="A22" s="947"/>
      <c r="B22" s="674" t="s">
        <v>6860</v>
      </c>
      <c r="C22" s="948"/>
      <c r="D22" s="948"/>
      <c r="E22" s="948"/>
      <c r="F22" s="948"/>
      <c r="G22" s="948"/>
      <c r="H22" s="948"/>
      <c r="I22" s="948"/>
      <c r="J22" s="948"/>
      <c r="K22" s="948">
        <f>20000+800+500+800</f>
        <v>22100</v>
      </c>
      <c r="L22" s="949">
        <v>0</v>
      </c>
      <c r="M22" s="950">
        <v>0</v>
      </c>
      <c r="N22" s="951">
        <v>0</v>
      </c>
      <c r="O22" s="952">
        <f>SUM(C22:N22)</f>
        <v>22100</v>
      </c>
      <c r="P22" s="953"/>
    </row>
    <row r="23" spans="1:16">
      <c r="A23" s="692"/>
      <c r="B23" s="709" t="s">
        <v>6861</v>
      </c>
      <c r="C23" s="954">
        <f t="shared" ref="C23:O23" si="3">C21-C22</f>
        <v>-800</v>
      </c>
      <c r="D23" s="954">
        <f t="shared" si="3"/>
        <v>-800</v>
      </c>
      <c r="E23" s="954">
        <f t="shared" si="3"/>
        <v>-1514.26</v>
      </c>
      <c r="F23" s="955">
        <f t="shared" si="3"/>
        <v>-800</v>
      </c>
      <c r="G23" s="954">
        <f t="shared" si="3"/>
        <v>-800</v>
      </c>
      <c r="H23" s="955">
        <f t="shared" si="3"/>
        <v>-1842.78</v>
      </c>
      <c r="I23" s="955">
        <f t="shared" si="3"/>
        <v>-2575.39</v>
      </c>
      <c r="J23" s="955">
        <f t="shared" si="3"/>
        <v>-2157.61</v>
      </c>
      <c r="K23" s="955">
        <f t="shared" si="3"/>
        <v>-25196.2</v>
      </c>
      <c r="L23" s="956">
        <f t="shared" si="3"/>
        <v>-1997.9500000000003</v>
      </c>
      <c r="M23" s="956">
        <f t="shared" si="3"/>
        <v>-2342.19</v>
      </c>
      <c r="N23" s="956">
        <f t="shared" si="3"/>
        <v>-2076.38</v>
      </c>
      <c r="O23" s="956">
        <f t="shared" si="3"/>
        <v>-41010.97</v>
      </c>
      <c r="P23" s="709"/>
    </row>
    <row r="24" spans="1:16">
      <c r="A24" s="660"/>
      <c r="B24" s="660" t="s">
        <v>4822</v>
      </c>
      <c r="C24" s="2151" t="s">
        <v>6862</v>
      </c>
      <c r="D24" s="2152"/>
      <c r="E24" s="2152"/>
      <c r="F24" s="2152"/>
      <c r="G24" s="660"/>
      <c r="H24" s="660"/>
      <c r="I24" s="660"/>
      <c r="J24" s="660"/>
      <c r="K24" s="660"/>
      <c r="L24" s="660"/>
      <c r="M24" s="660"/>
      <c r="N24" s="660"/>
      <c r="O24" s="660"/>
      <c r="P24" s="660"/>
    </row>
    <row r="25" spans="1:16">
      <c r="B25" s="660"/>
      <c r="C25" s="660"/>
      <c r="D25" s="660"/>
      <c r="E25" s="660"/>
      <c r="F25" s="660"/>
      <c r="G25" s="660"/>
      <c r="H25" s="660"/>
      <c r="I25" s="660"/>
      <c r="J25" s="660"/>
      <c r="K25" s="660"/>
      <c r="L25" s="660"/>
      <c r="M25" s="660"/>
      <c r="N25" s="660"/>
      <c r="O25" s="660"/>
      <c r="P25" s="660"/>
    </row>
    <row r="26" spans="1:16">
      <c r="A26" s="714"/>
      <c r="B26" s="2126" t="s">
        <v>4389</v>
      </c>
      <c r="C26" s="2127"/>
      <c r="D26" s="2127"/>
      <c r="E26" s="2127"/>
      <c r="F26" s="2127"/>
      <c r="G26" s="2127"/>
      <c r="H26" s="2127"/>
      <c r="I26" s="2127"/>
      <c r="J26" s="2127"/>
      <c r="K26" s="2127"/>
      <c r="L26" s="2127"/>
      <c r="M26" s="2127"/>
      <c r="N26" s="2127"/>
      <c r="O26" s="2128"/>
      <c r="P26" s="661"/>
    </row>
    <row r="27" spans="1:16">
      <c r="A27" s="714"/>
      <c r="B27" s="662" t="s">
        <v>7017</v>
      </c>
      <c r="C27" s="663" t="s">
        <v>143</v>
      </c>
      <c r="D27" s="663" t="s">
        <v>26</v>
      </c>
      <c r="E27" s="663" t="s">
        <v>25</v>
      </c>
      <c r="F27" s="663" t="s">
        <v>24</v>
      </c>
      <c r="G27" s="663" t="s">
        <v>23</v>
      </c>
      <c r="H27" s="663" t="s">
        <v>22</v>
      </c>
      <c r="I27" s="663" t="s">
        <v>21</v>
      </c>
      <c r="J27" s="663" t="s">
        <v>20</v>
      </c>
      <c r="K27" s="663" t="s">
        <v>256</v>
      </c>
      <c r="L27" s="663" t="s">
        <v>18</v>
      </c>
      <c r="M27" s="663" t="s">
        <v>17</v>
      </c>
      <c r="N27" s="663" t="s">
        <v>86</v>
      </c>
      <c r="O27" s="664" t="s">
        <v>67</v>
      </c>
      <c r="P27" s="665"/>
    </row>
    <row r="28" spans="1:16">
      <c r="A28" s="714"/>
      <c r="B28" s="666" t="s">
        <v>4395</v>
      </c>
      <c r="C28" s="667"/>
      <c r="D28" s="667"/>
      <c r="E28" s="667"/>
      <c r="F28" s="667"/>
      <c r="G28" s="667"/>
      <c r="H28" s="667"/>
      <c r="I28" s="667"/>
      <c r="J28" s="667"/>
      <c r="K28" s="667"/>
      <c r="L28" s="667"/>
      <c r="M28" s="667"/>
      <c r="N28" s="667"/>
      <c r="O28" s="668">
        <f>SUM(C28:N28)</f>
        <v>0</v>
      </c>
      <c r="P28" s="669"/>
    </row>
    <row r="29" spans="1:16">
      <c r="A29" s="714"/>
      <c r="B29" s="666" t="s">
        <v>4397</v>
      </c>
      <c r="C29" s="671"/>
      <c r="D29" s="671"/>
      <c r="E29" s="671"/>
      <c r="F29" s="671"/>
      <c r="G29" s="671"/>
      <c r="H29" s="671"/>
      <c r="I29" s="671"/>
      <c r="J29" s="671"/>
      <c r="K29" s="671"/>
      <c r="L29" s="671"/>
      <c r="M29" s="671"/>
      <c r="N29" s="671"/>
      <c r="O29" s="668"/>
      <c r="P29" s="672"/>
    </row>
    <row r="30" spans="1:16">
      <c r="A30" s="714"/>
      <c r="B30" s="674" t="s">
        <v>4399</v>
      </c>
      <c r="C30" s="675"/>
      <c r="D30" s="675"/>
      <c r="E30" s="675"/>
      <c r="F30" s="676"/>
      <c r="G30" s="675"/>
      <c r="H30" s="675"/>
      <c r="I30" s="675"/>
      <c r="J30" s="675"/>
      <c r="K30" s="675"/>
      <c r="L30" s="675"/>
      <c r="M30" s="676"/>
      <c r="N30" s="675"/>
      <c r="O30" s="677">
        <f>SUM(C30:N30)</f>
        <v>0</v>
      </c>
      <c r="P30" s="672"/>
    </row>
    <row r="31" spans="1:16">
      <c r="A31" s="714"/>
      <c r="B31" s="680" t="s">
        <v>4401</v>
      </c>
      <c r="C31" s="680"/>
      <c r="D31" s="680"/>
      <c r="E31" s="680"/>
      <c r="F31" s="680"/>
      <c r="G31" s="680">
        <v>1.25</v>
      </c>
      <c r="H31" s="680">
        <v>1.25</v>
      </c>
      <c r="I31" s="680">
        <v>1.25</v>
      </c>
      <c r="J31" s="680">
        <v>1.25</v>
      </c>
      <c r="K31" s="680">
        <v>1.25</v>
      </c>
      <c r="L31" s="680">
        <v>1.25</v>
      </c>
      <c r="M31" s="680">
        <v>1.25</v>
      </c>
      <c r="N31" s="680">
        <v>3.75</v>
      </c>
      <c r="O31" s="677"/>
      <c r="P31" s="681"/>
    </row>
    <row r="32" spans="1:16">
      <c r="A32" s="714"/>
      <c r="B32" s="685" t="s">
        <v>4403</v>
      </c>
      <c r="C32" s="685"/>
      <c r="D32" s="685"/>
      <c r="E32" s="685"/>
      <c r="F32" s="685"/>
      <c r="G32" s="685">
        <v>26.96</v>
      </c>
      <c r="H32" s="685">
        <v>55.14</v>
      </c>
      <c r="I32" s="685">
        <v>89.41</v>
      </c>
      <c r="J32" s="685">
        <v>113.28</v>
      </c>
      <c r="K32" s="685">
        <v>91.18</v>
      </c>
      <c r="L32" s="685">
        <v>86.27</v>
      </c>
      <c r="M32" s="685">
        <v>76.650000000000006</v>
      </c>
      <c r="N32" s="685">
        <v>91.48</v>
      </c>
      <c r="O32" s="677"/>
      <c r="P32" s="681"/>
    </row>
    <row r="33" spans="1:18">
      <c r="A33" s="714"/>
      <c r="B33" s="675" t="s">
        <v>4406</v>
      </c>
      <c r="C33" s="675"/>
      <c r="D33" s="675"/>
      <c r="E33" s="675"/>
      <c r="F33" s="675"/>
      <c r="G33" s="675">
        <v>3.86</v>
      </c>
      <c r="H33" s="675">
        <v>8.82</v>
      </c>
      <c r="I33" s="675">
        <v>14.63</v>
      </c>
      <c r="J33" s="675">
        <v>19.46</v>
      </c>
      <c r="K33" s="675">
        <v>15.44</v>
      </c>
      <c r="L33" s="675">
        <v>14.98</v>
      </c>
      <c r="M33" s="675">
        <v>13.63</v>
      </c>
      <c r="N33" s="675">
        <v>16.87</v>
      </c>
      <c r="O33" s="677"/>
      <c r="P33" s="681"/>
    </row>
    <row r="34" spans="1:18">
      <c r="A34" s="714"/>
      <c r="B34" s="685" t="s">
        <v>4408</v>
      </c>
      <c r="C34" s="685"/>
      <c r="D34" s="685"/>
      <c r="E34" s="685"/>
      <c r="F34" s="685"/>
      <c r="G34" s="685">
        <v>10.55</v>
      </c>
      <c r="H34" s="685">
        <v>10.55</v>
      </c>
      <c r="I34" s="685">
        <v>10.55</v>
      </c>
      <c r="J34" s="685">
        <v>10.55</v>
      </c>
      <c r="K34" s="685">
        <v>10.55</v>
      </c>
      <c r="L34" s="685">
        <v>10.55</v>
      </c>
      <c r="M34" s="685">
        <v>10.55</v>
      </c>
      <c r="N34" s="685">
        <v>10.55</v>
      </c>
      <c r="O34" s="677"/>
      <c r="P34" s="681"/>
    </row>
    <row r="35" spans="1:18">
      <c r="A35" s="714"/>
      <c r="B35" s="675" t="s">
        <v>4411</v>
      </c>
      <c r="C35" s="675"/>
      <c r="D35" s="675"/>
      <c r="E35" s="675"/>
      <c r="F35" s="675"/>
      <c r="G35" s="675">
        <v>19.18</v>
      </c>
      <c r="H35" s="675">
        <v>19.18</v>
      </c>
      <c r="I35" s="675">
        <v>19.18</v>
      </c>
      <c r="J35" s="675">
        <v>19.18</v>
      </c>
      <c r="K35" s="675">
        <v>19.18</v>
      </c>
      <c r="L35" s="675">
        <v>19.18</v>
      </c>
      <c r="M35" s="675">
        <v>19.18</v>
      </c>
      <c r="N35" s="675">
        <v>19.18</v>
      </c>
      <c r="O35" s="677"/>
      <c r="P35" s="681"/>
    </row>
    <row r="36" spans="1:18">
      <c r="A36" s="714"/>
      <c r="B36" s="685" t="s">
        <v>4414</v>
      </c>
      <c r="C36" s="685"/>
      <c r="D36" s="685"/>
      <c r="E36" s="685"/>
      <c r="F36" s="685"/>
      <c r="G36" s="685">
        <v>13</v>
      </c>
      <c r="H36" s="685">
        <v>13</v>
      </c>
      <c r="I36" s="685">
        <v>13</v>
      </c>
      <c r="J36" s="685">
        <v>13</v>
      </c>
      <c r="K36" s="685">
        <v>13</v>
      </c>
      <c r="L36" s="685">
        <v>13</v>
      </c>
      <c r="M36" s="685">
        <v>13</v>
      </c>
      <c r="N36" s="685">
        <v>13</v>
      </c>
      <c r="O36" s="677"/>
      <c r="P36" s="681"/>
      <c r="Q36" s="9" t="s">
        <v>659</v>
      </c>
    </row>
    <row r="37" spans="1:18">
      <c r="A37" s="714"/>
      <c r="B37" s="675" t="s">
        <v>4416</v>
      </c>
      <c r="C37" s="675"/>
      <c r="D37" s="675"/>
      <c r="E37" s="675"/>
      <c r="F37" s="675"/>
      <c r="G37" s="675">
        <v>0</v>
      </c>
      <c r="H37" s="675">
        <v>0.05</v>
      </c>
      <c r="I37" s="675">
        <v>0.03</v>
      </c>
      <c r="J37" s="675">
        <v>0.03</v>
      </c>
      <c r="K37" s="675">
        <v>0.03</v>
      </c>
      <c r="L37" s="675">
        <v>0.05</v>
      </c>
      <c r="M37" s="675">
        <v>0.04</v>
      </c>
      <c r="N37" s="675">
        <v>0.03</v>
      </c>
      <c r="O37" s="677"/>
      <c r="P37" s="681"/>
    </row>
    <row r="38" spans="1:18">
      <c r="A38" s="714"/>
      <c r="B38" s="685" t="s">
        <v>4417</v>
      </c>
      <c r="C38" s="685"/>
      <c r="D38" s="685"/>
      <c r="E38" s="685"/>
      <c r="F38" s="685"/>
      <c r="G38" s="685">
        <v>62</v>
      </c>
      <c r="H38" s="685">
        <v>1.28</v>
      </c>
      <c r="I38" s="685">
        <v>2.08</v>
      </c>
      <c r="J38" s="685">
        <v>2.66</v>
      </c>
      <c r="K38" s="685">
        <v>2.14</v>
      </c>
      <c r="L38" s="685">
        <v>2.02</v>
      </c>
      <c r="M38" s="685">
        <v>1.8</v>
      </c>
      <c r="N38" s="685">
        <v>2.16</v>
      </c>
      <c r="O38" s="677"/>
      <c r="P38" s="681"/>
    </row>
    <row r="39" spans="1:18">
      <c r="A39" s="714"/>
      <c r="B39" s="940" t="s">
        <v>7018</v>
      </c>
      <c r="C39" s="940"/>
      <c r="D39" s="940"/>
      <c r="E39" s="940"/>
      <c r="F39" s="940"/>
      <c r="G39" s="686">
        <f t="shared" ref="G39:N39" si="4">SUM(G31:G38)</f>
        <v>136.80000000000001</v>
      </c>
      <c r="H39" s="686">
        <f t="shared" si="4"/>
        <v>109.27</v>
      </c>
      <c r="I39" s="686">
        <f t="shared" si="4"/>
        <v>150.13</v>
      </c>
      <c r="J39" s="686">
        <f t="shared" si="4"/>
        <v>179.41000000000003</v>
      </c>
      <c r="K39" s="686">
        <f t="shared" si="4"/>
        <v>152.76999999999998</v>
      </c>
      <c r="L39" s="686">
        <f t="shared" si="4"/>
        <v>147.30000000000001</v>
      </c>
      <c r="M39" s="686">
        <f t="shared" si="4"/>
        <v>136.1</v>
      </c>
      <c r="N39" s="686">
        <f t="shared" si="4"/>
        <v>157.02000000000001</v>
      </c>
      <c r="O39" s="677"/>
      <c r="P39" s="681"/>
      <c r="Q39" s="12">
        <f>AVERAGE(G39:N39)</f>
        <v>146.10000000000002</v>
      </c>
    </row>
    <row r="40" spans="1:18">
      <c r="A40" s="714"/>
      <c r="B40" s="674" t="s">
        <v>4419</v>
      </c>
      <c r="C40" s="675">
        <v>373.33</v>
      </c>
      <c r="D40" s="675">
        <v>336.96</v>
      </c>
      <c r="E40" s="675">
        <v>320.3</v>
      </c>
      <c r="F40" s="675">
        <v>170.6</v>
      </c>
      <c r="G40" s="675">
        <v>184.71</v>
      </c>
      <c r="H40" s="675">
        <v>25.71</v>
      </c>
      <c r="I40" s="675">
        <v>24.4</v>
      </c>
      <c r="J40" s="675">
        <v>23.38</v>
      </c>
      <c r="K40" s="675">
        <v>24.07</v>
      </c>
      <c r="L40" s="675">
        <v>26.13</v>
      </c>
      <c r="M40" s="675">
        <v>126.14</v>
      </c>
      <c r="N40" s="675">
        <v>285.81</v>
      </c>
      <c r="O40" s="677">
        <f>SUM(C40:N40)</f>
        <v>1921.5400000000002</v>
      </c>
      <c r="P40" s="672"/>
      <c r="Q40" s="12">
        <f>AVERAGE(C40:N40)</f>
        <v>160.12833333333336</v>
      </c>
    </row>
    <row r="41" spans="1:18">
      <c r="A41" s="714"/>
      <c r="B41" s="674" t="s">
        <v>7019</v>
      </c>
      <c r="C41" s="675"/>
      <c r="D41" s="675"/>
      <c r="E41" s="675"/>
      <c r="F41" s="675"/>
      <c r="G41" s="675"/>
      <c r="H41" s="675"/>
      <c r="I41" s="675"/>
      <c r="J41" s="675"/>
      <c r="K41" s="675"/>
      <c r="L41" s="675"/>
      <c r="M41" s="675"/>
      <c r="N41" s="675"/>
      <c r="O41" s="677"/>
      <c r="P41" s="672"/>
    </row>
    <row r="42" spans="1:18">
      <c r="A42" s="714"/>
      <c r="B42" s="674" t="s">
        <v>4420</v>
      </c>
      <c r="C42" s="687"/>
      <c r="D42" s="687"/>
      <c r="E42" s="687"/>
      <c r="F42" s="687"/>
      <c r="G42" s="687"/>
      <c r="H42" s="687"/>
      <c r="I42" s="687"/>
      <c r="J42" s="687"/>
      <c r="K42" s="687"/>
      <c r="L42" s="687"/>
      <c r="M42" s="688"/>
      <c r="N42" s="687"/>
      <c r="O42" s="677">
        <f>SUM(C42:N42)</f>
        <v>0</v>
      </c>
      <c r="P42" s="672"/>
      <c r="Q42" s="9" t="s">
        <v>7020</v>
      </c>
      <c r="R42" s="9" t="s">
        <v>7021</v>
      </c>
    </row>
    <row r="43" spans="1:18">
      <c r="A43" s="714"/>
      <c r="B43" s="666" t="s">
        <v>6323</v>
      </c>
      <c r="C43" s="677">
        <f t="shared" ref="C43:N43" si="5">SUM(C30:C42)</f>
        <v>373.33</v>
      </c>
      <c r="D43" s="677">
        <f t="shared" si="5"/>
        <v>336.96</v>
      </c>
      <c r="E43" s="677">
        <f t="shared" si="5"/>
        <v>320.3</v>
      </c>
      <c r="F43" s="677">
        <f t="shared" si="5"/>
        <v>170.6</v>
      </c>
      <c r="G43" s="677">
        <f t="shared" si="5"/>
        <v>458.31000000000006</v>
      </c>
      <c r="H43" s="677">
        <f t="shared" si="5"/>
        <v>244.25</v>
      </c>
      <c r="I43" s="677">
        <f t="shared" si="5"/>
        <v>324.65999999999997</v>
      </c>
      <c r="J43" s="677">
        <f t="shared" si="5"/>
        <v>382.20000000000005</v>
      </c>
      <c r="K43" s="677">
        <f t="shared" si="5"/>
        <v>329.60999999999996</v>
      </c>
      <c r="L43" s="677">
        <f t="shared" si="5"/>
        <v>320.73</v>
      </c>
      <c r="M43" s="677">
        <f t="shared" si="5"/>
        <v>398.34</v>
      </c>
      <c r="N43" s="677">
        <f t="shared" si="5"/>
        <v>599.85</v>
      </c>
      <c r="O43" s="668">
        <f>SUM(C43:N43)</f>
        <v>4259.1400000000003</v>
      </c>
      <c r="P43" s="669"/>
      <c r="Q43" s="9" t="s">
        <v>7022</v>
      </c>
      <c r="R43" s="9" t="s">
        <v>7023</v>
      </c>
    </row>
    <row r="44" spans="1:18">
      <c r="A44" s="714"/>
      <c r="B44" s="689" t="s">
        <v>1126</v>
      </c>
      <c r="C44" s="690">
        <f t="shared" ref="C44:O44" si="6">SUM(C30:C42)</f>
        <v>373.33</v>
      </c>
      <c r="D44" s="690">
        <f t="shared" si="6"/>
        <v>336.96</v>
      </c>
      <c r="E44" s="690">
        <f t="shared" si="6"/>
        <v>320.3</v>
      </c>
      <c r="F44" s="690">
        <f t="shared" si="6"/>
        <v>170.6</v>
      </c>
      <c r="G44" s="690">
        <f t="shared" si="6"/>
        <v>458.31000000000006</v>
      </c>
      <c r="H44" s="690">
        <f t="shared" si="6"/>
        <v>244.25</v>
      </c>
      <c r="I44" s="690">
        <f t="shared" si="6"/>
        <v>324.65999999999997</v>
      </c>
      <c r="J44" s="690">
        <f t="shared" si="6"/>
        <v>382.20000000000005</v>
      </c>
      <c r="K44" s="690">
        <f t="shared" si="6"/>
        <v>329.60999999999996</v>
      </c>
      <c r="L44" s="690">
        <f t="shared" si="6"/>
        <v>320.73</v>
      </c>
      <c r="M44" s="690">
        <f t="shared" si="6"/>
        <v>398.34</v>
      </c>
      <c r="N44" s="690">
        <f t="shared" si="6"/>
        <v>599.85</v>
      </c>
      <c r="O44" s="690">
        <f t="shared" si="6"/>
        <v>1921.5400000000002</v>
      </c>
      <c r="P44" s="691"/>
      <c r="Q44" s="9" t="s">
        <v>7024</v>
      </c>
      <c r="R44" s="9" t="s">
        <v>7025</v>
      </c>
    </row>
    <row r="45" spans="1:18">
      <c r="A45" s="715"/>
      <c r="B45" s="692" t="s">
        <v>791</v>
      </c>
      <c r="C45" s="693">
        <f t="shared" ref="C45:O45" si="7">C28-C44</f>
        <v>-373.33</v>
      </c>
      <c r="D45" s="693">
        <f t="shared" si="7"/>
        <v>-336.96</v>
      </c>
      <c r="E45" s="693">
        <f t="shared" si="7"/>
        <v>-320.3</v>
      </c>
      <c r="F45" s="693">
        <f t="shared" si="7"/>
        <v>-170.6</v>
      </c>
      <c r="G45" s="693">
        <f t="shared" si="7"/>
        <v>-458.31000000000006</v>
      </c>
      <c r="H45" s="693">
        <f t="shared" si="7"/>
        <v>-244.25</v>
      </c>
      <c r="I45" s="693">
        <f t="shared" si="7"/>
        <v>-324.65999999999997</v>
      </c>
      <c r="J45" s="693">
        <f t="shared" si="7"/>
        <v>-382.20000000000005</v>
      </c>
      <c r="K45" s="693">
        <f t="shared" si="7"/>
        <v>-329.60999999999996</v>
      </c>
      <c r="L45" s="693">
        <f t="shared" si="7"/>
        <v>-320.73</v>
      </c>
      <c r="M45" s="693">
        <f t="shared" si="7"/>
        <v>-398.34</v>
      </c>
      <c r="N45" s="693">
        <f t="shared" si="7"/>
        <v>-599.85</v>
      </c>
      <c r="O45" s="693">
        <f t="shared" si="7"/>
        <v>-1921.5400000000002</v>
      </c>
      <c r="P45" s="694"/>
    </row>
    <row r="46" spans="1:18">
      <c r="B46" s="9"/>
      <c r="C46" s="9"/>
      <c r="D46" s="9"/>
      <c r="E46" s="9"/>
      <c r="F46" s="9"/>
      <c r="G46" s="9"/>
      <c r="H46" s="9"/>
      <c r="I46" s="9"/>
      <c r="J46" s="9"/>
      <c r="K46" s="9"/>
      <c r="L46" s="9"/>
    </row>
    <row r="47" spans="1:18">
      <c r="B47" s="938" t="s">
        <v>5755</v>
      </c>
      <c r="C47" s="938" t="s">
        <v>6835</v>
      </c>
      <c r="D47" s="938" t="s">
        <v>6836</v>
      </c>
      <c r="E47" s="938" t="s">
        <v>6837</v>
      </c>
      <c r="F47" s="938" t="s">
        <v>6838</v>
      </c>
      <c r="G47" s="938" t="s">
        <v>6839</v>
      </c>
      <c r="H47" s="938" t="s">
        <v>6840</v>
      </c>
      <c r="I47" s="938" t="s">
        <v>6841</v>
      </c>
      <c r="J47" s="938" t="s">
        <v>6842</v>
      </c>
      <c r="K47" s="938" t="s">
        <v>6843</v>
      </c>
      <c r="L47" s="938" t="s">
        <v>6844</v>
      </c>
      <c r="M47" s="660"/>
      <c r="N47" s="660"/>
      <c r="O47" s="660"/>
      <c r="P47" s="660"/>
    </row>
    <row r="48" spans="1:18">
      <c r="A48" s="714"/>
      <c r="B48" s="2126" t="s">
        <v>7026</v>
      </c>
      <c r="C48" s="2127"/>
      <c r="D48" s="2127"/>
      <c r="E48" s="2127"/>
      <c r="F48" s="2127"/>
      <c r="G48" s="2127"/>
      <c r="H48" s="2127"/>
      <c r="I48" s="2127"/>
      <c r="J48" s="2127"/>
      <c r="K48" s="2127"/>
      <c r="L48" s="2127"/>
      <c r="M48" s="2127"/>
      <c r="N48" s="2127"/>
      <c r="O48" s="2128"/>
      <c r="P48" s="661"/>
    </row>
    <row r="49" spans="1:17">
      <c r="A49" s="714"/>
      <c r="B49" s="662" t="s">
        <v>7017</v>
      </c>
      <c r="C49" s="663" t="s">
        <v>143</v>
      </c>
      <c r="D49" s="663" t="s">
        <v>26</v>
      </c>
      <c r="E49" s="663" t="s">
        <v>25</v>
      </c>
      <c r="F49" s="663" t="s">
        <v>24</v>
      </c>
      <c r="G49" s="663" t="s">
        <v>23</v>
      </c>
      <c r="H49" s="663" t="s">
        <v>22</v>
      </c>
      <c r="I49" s="663" t="s">
        <v>21</v>
      </c>
      <c r="J49" s="663" t="s">
        <v>20</v>
      </c>
      <c r="K49" s="663" t="s">
        <v>256</v>
      </c>
      <c r="L49" s="663" t="s">
        <v>18</v>
      </c>
      <c r="M49" s="663" t="s">
        <v>17</v>
      </c>
      <c r="N49" s="663" t="s">
        <v>86</v>
      </c>
      <c r="O49" s="664" t="s">
        <v>67</v>
      </c>
      <c r="P49" s="665"/>
    </row>
    <row r="50" spans="1:17">
      <c r="A50" s="994"/>
      <c r="B50" s="666" t="s">
        <v>7027</v>
      </c>
      <c r="C50" s="12"/>
      <c r="D50" s="12"/>
      <c r="E50" s="12"/>
      <c r="F50" s="12"/>
      <c r="G50" s="12"/>
      <c r="H50" s="12"/>
      <c r="I50" s="12"/>
      <c r="J50" s="12"/>
      <c r="K50" s="12"/>
      <c r="L50" s="12"/>
      <c r="M50" s="12"/>
      <c r="N50" s="12"/>
      <c r="O50" s="668">
        <f>SUM(C50:N50)</f>
        <v>0</v>
      </c>
      <c r="P50" s="669"/>
    </row>
    <row r="51" spans="1:17">
      <c r="A51" s="714"/>
      <c r="B51" s="666" t="s">
        <v>7028</v>
      </c>
      <c r="C51" s="12"/>
      <c r="D51" s="12"/>
      <c r="E51" s="12"/>
      <c r="F51" s="12"/>
      <c r="G51" s="12"/>
      <c r="H51" s="12"/>
      <c r="I51" s="12"/>
      <c r="J51" s="12"/>
      <c r="K51" s="12"/>
      <c r="L51" s="12"/>
      <c r="M51" s="12"/>
      <c r="N51" s="12"/>
      <c r="O51" s="668">
        <f>SUM(C51:N51)</f>
        <v>0</v>
      </c>
      <c r="P51" s="672"/>
    </row>
    <row r="52" spans="1:17">
      <c r="A52" s="714"/>
      <c r="B52" s="666" t="s">
        <v>7029</v>
      </c>
      <c r="C52" s="12"/>
      <c r="D52" s="12"/>
      <c r="E52" s="12"/>
      <c r="F52" s="12"/>
      <c r="G52" s="12"/>
      <c r="H52" s="12"/>
      <c r="I52" s="12"/>
      <c r="J52" s="12"/>
      <c r="K52" s="12"/>
      <c r="L52" s="12"/>
      <c r="M52" s="12"/>
      <c r="N52" s="12"/>
      <c r="O52" s="668">
        <f>SUM(C52:N52)</f>
        <v>0</v>
      </c>
      <c r="P52" s="672"/>
    </row>
    <row r="53" spans="1:17">
      <c r="A53" s="714"/>
      <c r="B53" s="666" t="s">
        <v>7030</v>
      </c>
      <c r="C53" s="12"/>
      <c r="D53" s="12"/>
      <c r="E53" s="12"/>
      <c r="F53" s="12"/>
      <c r="G53" s="12"/>
      <c r="H53" s="12"/>
      <c r="I53" s="12"/>
      <c r="J53" s="12"/>
      <c r="K53" s="12"/>
      <c r="L53" s="12"/>
      <c r="M53" s="12"/>
      <c r="N53" s="12"/>
      <c r="O53" s="668">
        <f>SUM(C53:N53)</f>
        <v>0</v>
      </c>
      <c r="P53" s="672"/>
    </row>
    <row r="54" spans="1:17">
      <c r="A54" s="714"/>
      <c r="B54" s="666" t="s">
        <v>6847</v>
      </c>
      <c r="C54" s="667">
        <f t="shared" ref="C54:O54" si="8">SUM(C50:C53)</f>
        <v>0</v>
      </c>
      <c r="D54" s="667">
        <f t="shared" si="8"/>
        <v>0</v>
      </c>
      <c r="E54" s="667">
        <f t="shared" si="8"/>
        <v>0</v>
      </c>
      <c r="F54" s="667">
        <f t="shared" si="8"/>
        <v>0</v>
      </c>
      <c r="G54" s="667">
        <f t="shared" si="8"/>
        <v>0</v>
      </c>
      <c r="H54" s="667">
        <f t="shared" si="8"/>
        <v>0</v>
      </c>
      <c r="I54" s="667">
        <f t="shared" si="8"/>
        <v>0</v>
      </c>
      <c r="J54" s="667">
        <f t="shared" si="8"/>
        <v>0</v>
      </c>
      <c r="K54" s="667">
        <f t="shared" si="8"/>
        <v>0</v>
      </c>
      <c r="L54" s="667">
        <f t="shared" si="8"/>
        <v>0</v>
      </c>
      <c r="M54" s="667">
        <f t="shared" si="8"/>
        <v>0</v>
      </c>
      <c r="N54" s="667">
        <f t="shared" si="8"/>
        <v>0</v>
      </c>
      <c r="O54" s="667">
        <f t="shared" si="8"/>
        <v>0</v>
      </c>
      <c r="P54" s="672"/>
    </row>
    <row r="55" spans="1:17">
      <c r="A55" s="714"/>
      <c r="B55" s="666" t="s">
        <v>4397</v>
      </c>
      <c r="C55" s="671"/>
      <c r="D55" s="671"/>
      <c r="E55" s="671"/>
      <c r="F55" s="671"/>
      <c r="G55" s="671"/>
      <c r="H55" s="671"/>
      <c r="I55" s="671"/>
      <c r="J55" s="671"/>
      <c r="K55" s="671"/>
      <c r="L55" s="671"/>
      <c r="M55" s="671"/>
      <c r="N55" s="671"/>
      <c r="O55" s="668"/>
      <c r="P55" s="672"/>
    </row>
    <row r="56" spans="1:17">
      <c r="A56" s="714"/>
      <c r="B56" s="674" t="s">
        <v>5024</v>
      </c>
      <c r="C56" s="675"/>
      <c r="D56" s="675"/>
      <c r="E56" s="675"/>
      <c r="F56" s="675"/>
      <c r="G56" s="675"/>
      <c r="H56" s="675"/>
      <c r="I56" s="675"/>
      <c r="J56" s="675"/>
      <c r="K56" s="675"/>
      <c r="L56" s="675"/>
      <c r="M56" s="675"/>
      <c r="N56" s="675"/>
      <c r="O56" s="668">
        <f>SUM(C56:N56)</f>
        <v>0</v>
      </c>
      <c r="P56" s="672"/>
    </row>
    <row r="57" spans="1:17">
      <c r="A57" s="714"/>
      <c r="B57" s="674" t="s">
        <v>4399</v>
      </c>
      <c r="C57" s="675"/>
      <c r="D57" s="675"/>
      <c r="E57" s="675"/>
      <c r="F57" s="676"/>
      <c r="G57" s="675"/>
      <c r="H57" s="675"/>
      <c r="I57" s="675"/>
      <c r="J57" s="675"/>
      <c r="K57" s="675"/>
      <c r="L57" s="675"/>
      <c r="M57" s="676"/>
      <c r="N57" s="675"/>
      <c r="O57" s="677">
        <f>SUM(C57:N57)</f>
        <v>0</v>
      </c>
      <c r="P57" s="672"/>
      <c r="Q57" s="9" t="s">
        <v>4392</v>
      </c>
    </row>
    <row r="58" spans="1:17">
      <c r="A58" s="714"/>
      <c r="B58" s="674" t="s">
        <v>7031</v>
      </c>
      <c r="C58" s="675"/>
      <c r="D58" s="675"/>
      <c r="E58" s="675"/>
      <c r="F58" s="675"/>
      <c r="G58" s="675"/>
      <c r="H58" s="675"/>
      <c r="I58" s="675"/>
      <c r="J58" s="675"/>
      <c r="K58" s="675"/>
      <c r="L58" s="675"/>
      <c r="M58" s="675"/>
      <c r="N58" s="675"/>
      <c r="O58" s="677">
        <f>SUM(C58:N58)</f>
        <v>0</v>
      </c>
      <c r="P58" s="672"/>
      <c r="Q58" s="83">
        <f>(C58+G58+H58+I58+K58+L58+M58+N58)/8</f>
        <v>0</v>
      </c>
    </row>
    <row r="59" spans="1:17">
      <c r="A59" s="714"/>
      <c r="B59" s="674" t="s">
        <v>6850</v>
      </c>
      <c r="C59" s="675"/>
      <c r="D59" s="675"/>
      <c r="E59" s="675"/>
      <c r="F59" s="675"/>
      <c r="G59" s="675"/>
      <c r="H59" s="675"/>
      <c r="I59" s="675"/>
      <c r="J59" s="675"/>
      <c r="K59" s="675"/>
      <c r="L59" s="675"/>
      <c r="M59" s="675"/>
      <c r="N59" s="675"/>
      <c r="O59" s="677">
        <f>SUM(C59:N59)</f>
        <v>0</v>
      </c>
      <c r="P59" s="672"/>
      <c r="Q59" s="16" t="e">
        <f>AVERAGE(E59:N59)</f>
        <v>#DIV/0!</v>
      </c>
    </row>
    <row r="60" spans="1:17">
      <c r="A60" s="714"/>
      <c r="B60" s="674" t="s">
        <v>7032</v>
      </c>
      <c r="C60" s="675"/>
      <c r="D60" s="675"/>
      <c r="E60" s="675"/>
      <c r="F60" s="675"/>
      <c r="G60" s="675"/>
      <c r="H60" s="675"/>
      <c r="I60" s="675"/>
      <c r="J60" s="675"/>
      <c r="K60" s="675"/>
      <c r="L60" s="675"/>
      <c r="M60" s="675"/>
      <c r="N60" s="675"/>
      <c r="O60" s="677"/>
      <c r="P60" s="672"/>
      <c r="Q60" s="9" t="e">
        <f>Q58+Q59</f>
        <v>#DIV/0!</v>
      </c>
    </row>
    <row r="61" spans="1:17">
      <c r="A61" s="714"/>
      <c r="B61" s="674" t="s">
        <v>7033</v>
      </c>
      <c r="C61" s="675"/>
      <c r="D61" s="675"/>
      <c r="E61" s="675"/>
      <c r="F61" s="675"/>
      <c r="G61" s="675"/>
      <c r="H61" s="675"/>
      <c r="I61" s="675"/>
      <c r="J61" s="675"/>
      <c r="K61" s="675"/>
      <c r="L61" s="675"/>
      <c r="M61" s="675"/>
      <c r="N61" s="675"/>
      <c r="O61" s="677"/>
      <c r="P61" s="672"/>
    </row>
    <row r="62" spans="1:17">
      <c r="A62" s="714"/>
      <c r="B62" s="674" t="s">
        <v>7034</v>
      </c>
      <c r="C62" s="675"/>
      <c r="D62" s="675"/>
      <c r="E62" s="675"/>
      <c r="F62" s="675"/>
      <c r="G62" s="675"/>
      <c r="H62" s="675"/>
      <c r="I62" s="675"/>
      <c r="J62" s="675"/>
      <c r="K62" s="676"/>
      <c r="L62" s="675"/>
      <c r="M62" s="675"/>
      <c r="N62" s="675"/>
      <c r="O62" s="677">
        <f>SUM(C62:N62)</f>
        <v>0</v>
      </c>
      <c r="P62" s="672"/>
    </row>
    <row r="63" spans="1:17">
      <c r="A63" s="714"/>
      <c r="B63" s="674" t="s">
        <v>6860</v>
      </c>
      <c r="C63" s="675"/>
      <c r="D63" s="675"/>
      <c r="E63" s="675"/>
      <c r="F63" s="675"/>
      <c r="G63" s="675"/>
      <c r="H63" s="675"/>
      <c r="I63" s="675"/>
      <c r="J63" s="675"/>
      <c r="K63" s="675"/>
      <c r="L63" s="675"/>
      <c r="M63" s="675"/>
      <c r="N63" s="675"/>
      <c r="O63" s="668">
        <f>SUM(C63:N63)</f>
        <v>0</v>
      </c>
      <c r="P63" s="672"/>
    </row>
    <row r="64" spans="1:17">
      <c r="A64" s="714"/>
      <c r="B64" s="674" t="s">
        <v>7035</v>
      </c>
      <c r="C64" s="675"/>
      <c r="D64" s="675"/>
      <c r="E64" s="675"/>
      <c r="F64" s="675"/>
      <c r="G64" s="675"/>
      <c r="H64" s="675"/>
      <c r="I64" s="675"/>
      <c r="J64" s="675"/>
      <c r="K64" s="675"/>
      <c r="L64" s="675"/>
      <c r="M64" s="675"/>
      <c r="N64" s="675"/>
      <c r="O64" s="668">
        <f>SUM(C64:N64)</f>
        <v>0</v>
      </c>
      <c r="P64" s="672"/>
    </row>
    <row r="65" spans="1:16">
      <c r="A65" s="714"/>
      <c r="B65" s="666" t="s">
        <v>6323</v>
      </c>
      <c r="C65" s="677">
        <f t="shared" ref="C65:N65" si="9">SUM(C63:C64)</f>
        <v>0</v>
      </c>
      <c r="D65" s="677">
        <f t="shared" si="9"/>
        <v>0</v>
      </c>
      <c r="E65" s="677">
        <f t="shared" si="9"/>
        <v>0</v>
      </c>
      <c r="F65" s="677">
        <f t="shared" si="9"/>
        <v>0</v>
      </c>
      <c r="G65" s="677">
        <f t="shared" si="9"/>
        <v>0</v>
      </c>
      <c r="H65" s="677">
        <f t="shared" si="9"/>
        <v>0</v>
      </c>
      <c r="I65" s="677">
        <f t="shared" si="9"/>
        <v>0</v>
      </c>
      <c r="J65" s="677">
        <f t="shared" si="9"/>
        <v>0</v>
      </c>
      <c r="K65" s="677">
        <f t="shared" si="9"/>
        <v>0</v>
      </c>
      <c r="L65" s="677">
        <f t="shared" si="9"/>
        <v>0</v>
      </c>
      <c r="M65" s="677">
        <f t="shared" si="9"/>
        <v>0</v>
      </c>
      <c r="N65" s="677">
        <f t="shared" si="9"/>
        <v>0</v>
      </c>
      <c r="O65" s="668">
        <f>SUM(C65:N65)</f>
        <v>0</v>
      </c>
      <c r="P65" s="669"/>
    </row>
    <row r="66" spans="1:16">
      <c r="A66" s="714"/>
      <c r="B66" s="689" t="s">
        <v>1126</v>
      </c>
      <c r="C66" s="690">
        <f t="shared" ref="C66:O66" si="10">SUM(C57:C64)</f>
        <v>0</v>
      </c>
      <c r="D66" s="690">
        <f t="shared" si="10"/>
        <v>0</v>
      </c>
      <c r="E66" s="690">
        <f t="shared" si="10"/>
        <v>0</v>
      </c>
      <c r="F66" s="690">
        <f t="shared" si="10"/>
        <v>0</v>
      </c>
      <c r="G66" s="690">
        <f t="shared" si="10"/>
        <v>0</v>
      </c>
      <c r="H66" s="690">
        <f t="shared" si="10"/>
        <v>0</v>
      </c>
      <c r="I66" s="690">
        <f t="shared" si="10"/>
        <v>0</v>
      </c>
      <c r="J66" s="690">
        <f t="shared" si="10"/>
        <v>0</v>
      </c>
      <c r="K66" s="690">
        <f t="shared" si="10"/>
        <v>0</v>
      </c>
      <c r="L66" s="690">
        <f t="shared" si="10"/>
        <v>0</v>
      </c>
      <c r="M66" s="690">
        <f t="shared" si="10"/>
        <v>0</v>
      </c>
      <c r="N66" s="690">
        <f t="shared" si="10"/>
        <v>0</v>
      </c>
      <c r="O66" s="995">
        <f t="shared" si="10"/>
        <v>0</v>
      </c>
      <c r="P66" s="691"/>
    </row>
    <row r="67" spans="1:16">
      <c r="A67" s="715"/>
      <c r="B67" s="692" t="s">
        <v>791</v>
      </c>
      <c r="C67" s="693">
        <f t="shared" ref="C67:O67" si="11">C54-C66</f>
        <v>0</v>
      </c>
      <c r="D67" s="693">
        <f t="shared" si="11"/>
        <v>0</v>
      </c>
      <c r="E67" s="693">
        <f t="shared" si="11"/>
        <v>0</v>
      </c>
      <c r="F67" s="693">
        <f t="shared" si="11"/>
        <v>0</v>
      </c>
      <c r="G67" s="693">
        <f t="shared" si="11"/>
        <v>0</v>
      </c>
      <c r="H67" s="693">
        <f t="shared" si="11"/>
        <v>0</v>
      </c>
      <c r="I67" s="693">
        <f t="shared" si="11"/>
        <v>0</v>
      </c>
      <c r="J67" s="693">
        <f t="shared" si="11"/>
        <v>0</v>
      </c>
      <c r="K67" s="693">
        <f t="shared" si="11"/>
        <v>0</v>
      </c>
      <c r="L67" s="693">
        <f t="shared" si="11"/>
        <v>0</v>
      </c>
      <c r="M67" s="693">
        <f t="shared" si="11"/>
        <v>0</v>
      </c>
      <c r="N67" s="693">
        <f t="shared" si="11"/>
        <v>0</v>
      </c>
      <c r="O67" s="693">
        <f t="shared" si="11"/>
        <v>0</v>
      </c>
      <c r="P67" s="694"/>
    </row>
    <row r="68" spans="1:16">
      <c r="A68" s="947"/>
      <c r="B68" s="950" t="s">
        <v>7036</v>
      </c>
      <c r="C68" s="950">
        <v>0</v>
      </c>
      <c r="D68" s="950">
        <v>0</v>
      </c>
      <c r="E68" s="950">
        <v>0</v>
      </c>
      <c r="F68" s="950">
        <v>0</v>
      </c>
      <c r="G68" s="950">
        <v>0</v>
      </c>
      <c r="H68" s="950">
        <v>0</v>
      </c>
      <c r="I68" s="950">
        <v>0</v>
      </c>
      <c r="J68" s="950">
        <v>0</v>
      </c>
      <c r="K68" s="950">
        <v>0</v>
      </c>
      <c r="L68" s="950">
        <v>0</v>
      </c>
      <c r="M68" s="950">
        <v>0</v>
      </c>
      <c r="N68" s="951">
        <v>0</v>
      </c>
      <c r="O68" s="952">
        <f>SUM(C68:N68)</f>
        <v>0</v>
      </c>
      <c r="P68" s="953"/>
    </row>
    <row r="69" spans="1:16">
      <c r="A69" s="692"/>
      <c r="B69" s="692" t="s">
        <v>6861</v>
      </c>
      <c r="C69" s="996">
        <f t="shared" ref="C69:O69" si="12">C67-C68</f>
        <v>0</v>
      </c>
      <c r="D69" s="996">
        <f t="shared" si="12"/>
        <v>0</v>
      </c>
      <c r="E69" s="996">
        <f t="shared" si="12"/>
        <v>0</v>
      </c>
      <c r="F69" s="996">
        <f t="shared" si="12"/>
        <v>0</v>
      </c>
      <c r="G69" s="996">
        <f t="shared" si="12"/>
        <v>0</v>
      </c>
      <c r="H69" s="996">
        <f t="shared" si="12"/>
        <v>0</v>
      </c>
      <c r="I69" s="996">
        <f t="shared" si="12"/>
        <v>0</v>
      </c>
      <c r="J69" s="996">
        <f t="shared" si="12"/>
        <v>0</v>
      </c>
      <c r="K69" s="996">
        <f t="shared" si="12"/>
        <v>0</v>
      </c>
      <c r="L69" s="996">
        <f t="shared" si="12"/>
        <v>0</v>
      </c>
      <c r="M69" s="996">
        <f t="shared" si="12"/>
        <v>0</v>
      </c>
      <c r="N69" s="996">
        <f t="shared" si="12"/>
        <v>0</v>
      </c>
      <c r="O69" s="956">
        <f t="shared" si="12"/>
        <v>0</v>
      </c>
      <c r="P69" s="709"/>
    </row>
    <row r="70" spans="1:16">
      <c r="B70" s="2130" t="s">
        <v>7037</v>
      </c>
      <c r="C70" s="2087"/>
      <c r="D70" s="2087"/>
      <c r="E70" s="2087"/>
      <c r="F70" s="2087"/>
      <c r="G70" s="2087"/>
      <c r="H70" s="2087"/>
      <c r="I70" s="2087"/>
      <c r="J70" s="2087"/>
      <c r="K70" s="2087"/>
      <c r="L70" s="2087"/>
      <c r="M70" s="2087"/>
      <c r="N70" s="2087"/>
      <c r="O70" s="2087"/>
    </row>
    <row r="71" spans="1:16">
      <c r="B71" s="9" t="s">
        <v>7038</v>
      </c>
      <c r="C71" s="9">
        <f t="shared" ref="C71:O71" si="13">C58</f>
        <v>0</v>
      </c>
      <c r="D71" s="9">
        <f t="shared" si="13"/>
        <v>0</v>
      </c>
      <c r="E71" s="9">
        <f t="shared" si="13"/>
        <v>0</v>
      </c>
      <c r="F71" s="9">
        <f t="shared" si="13"/>
        <v>0</v>
      </c>
      <c r="G71" s="9">
        <f t="shared" si="13"/>
        <v>0</v>
      </c>
      <c r="H71" s="9">
        <f t="shared" si="13"/>
        <v>0</v>
      </c>
      <c r="I71" s="9">
        <f t="shared" si="13"/>
        <v>0</v>
      </c>
      <c r="J71" s="9">
        <f t="shared" si="13"/>
        <v>0</v>
      </c>
      <c r="K71" s="9">
        <f t="shared" si="13"/>
        <v>0</v>
      </c>
      <c r="L71" s="9">
        <f t="shared" si="13"/>
        <v>0</v>
      </c>
      <c r="M71" s="9">
        <f t="shared" si="13"/>
        <v>0</v>
      </c>
      <c r="N71" s="9">
        <f t="shared" si="13"/>
        <v>0</v>
      </c>
      <c r="O71" s="9">
        <f t="shared" si="13"/>
        <v>0</v>
      </c>
    </row>
    <row r="72" spans="1:16">
      <c r="B72" s="9" t="s">
        <v>7039</v>
      </c>
      <c r="C72" s="9">
        <f t="shared" ref="C72:H72" si="14">C59</f>
        <v>0</v>
      </c>
      <c r="D72" s="9">
        <f t="shared" si="14"/>
        <v>0</v>
      </c>
      <c r="E72" s="9">
        <f t="shared" si="14"/>
        <v>0</v>
      </c>
      <c r="F72" s="9">
        <f t="shared" si="14"/>
        <v>0</v>
      </c>
      <c r="G72" s="9">
        <f t="shared" si="14"/>
        <v>0</v>
      </c>
      <c r="H72" s="9">
        <f t="shared" si="14"/>
        <v>0</v>
      </c>
      <c r="I72" s="9">
        <v>129.81</v>
      </c>
      <c r="J72" s="9">
        <f t="shared" ref="J72:O72" si="15">J59</f>
        <v>0</v>
      </c>
      <c r="K72" s="9">
        <f t="shared" si="15"/>
        <v>0</v>
      </c>
      <c r="L72" s="9">
        <f t="shared" si="15"/>
        <v>0</v>
      </c>
      <c r="M72" s="9">
        <f t="shared" si="15"/>
        <v>0</v>
      </c>
      <c r="N72" s="9">
        <f t="shared" si="15"/>
        <v>0</v>
      </c>
      <c r="O72" s="9">
        <f t="shared" si="15"/>
        <v>0</v>
      </c>
    </row>
    <row r="73" spans="1:16">
      <c r="B73" s="9" t="s">
        <v>7040</v>
      </c>
      <c r="C73" s="9">
        <f>C51+C53</f>
        <v>0</v>
      </c>
      <c r="D73" s="9">
        <f>D51+D53</f>
        <v>0</v>
      </c>
      <c r="E73" s="9">
        <f>E51+E53</f>
        <v>0</v>
      </c>
      <c r="F73" s="9">
        <f>F51+F53</f>
        <v>0</v>
      </c>
      <c r="G73" s="9">
        <v>270</v>
      </c>
      <c r="H73" s="9">
        <v>270</v>
      </c>
      <c r="I73" s="9">
        <f t="shared" ref="I73:O73" si="16">I51+I53</f>
        <v>0</v>
      </c>
      <c r="J73" s="9">
        <f t="shared" si="16"/>
        <v>0</v>
      </c>
      <c r="K73" s="9">
        <f t="shared" si="16"/>
        <v>0</v>
      </c>
      <c r="L73" s="9">
        <f t="shared" si="16"/>
        <v>0</v>
      </c>
      <c r="M73" s="9">
        <f t="shared" si="16"/>
        <v>0</v>
      </c>
      <c r="N73" s="9">
        <f t="shared" si="16"/>
        <v>0</v>
      </c>
      <c r="O73" s="9">
        <f t="shared" si="16"/>
        <v>0</v>
      </c>
    </row>
    <row r="74" spans="1:16">
      <c r="A74" s="578"/>
      <c r="B74" s="997" t="s">
        <v>59</v>
      </c>
      <c r="C74" s="997">
        <f t="shared" ref="C74:O74" si="17">C73-C72-C71</f>
        <v>0</v>
      </c>
      <c r="D74" s="997">
        <f t="shared" si="17"/>
        <v>0</v>
      </c>
      <c r="E74" s="997">
        <f t="shared" si="17"/>
        <v>0</v>
      </c>
      <c r="F74" s="997">
        <f t="shared" si="17"/>
        <v>0</v>
      </c>
      <c r="G74" s="998">
        <f t="shared" si="17"/>
        <v>270</v>
      </c>
      <c r="H74" s="997">
        <f t="shared" si="17"/>
        <v>270</v>
      </c>
      <c r="I74" s="997">
        <f t="shared" si="17"/>
        <v>-129.81</v>
      </c>
      <c r="J74" s="997">
        <f t="shared" si="17"/>
        <v>0</v>
      </c>
      <c r="K74" s="997">
        <f t="shared" si="17"/>
        <v>0</v>
      </c>
      <c r="L74" s="997">
        <f t="shared" si="17"/>
        <v>0</v>
      </c>
      <c r="M74" s="997">
        <f t="shared" si="17"/>
        <v>0</v>
      </c>
      <c r="N74" s="997">
        <f t="shared" si="17"/>
        <v>0</v>
      </c>
      <c r="O74" s="997">
        <f t="shared" si="17"/>
        <v>0</v>
      </c>
      <c r="P74" s="997"/>
    </row>
    <row r="75" spans="1:16">
      <c r="B75" s="938" t="s">
        <v>5755</v>
      </c>
      <c r="C75" s="938" t="s">
        <v>6835</v>
      </c>
      <c r="D75" s="938" t="s">
        <v>6836</v>
      </c>
      <c r="E75" s="938" t="s">
        <v>6837</v>
      </c>
      <c r="F75" s="938" t="s">
        <v>6838</v>
      </c>
      <c r="G75" s="938" t="s">
        <v>6839</v>
      </c>
      <c r="H75" s="938" t="s">
        <v>6840</v>
      </c>
      <c r="I75" s="938" t="s">
        <v>6841</v>
      </c>
      <c r="J75" s="938" t="s">
        <v>6842</v>
      </c>
      <c r="K75" s="938" t="s">
        <v>6843</v>
      </c>
      <c r="L75" s="938" t="s">
        <v>6844</v>
      </c>
      <c r="M75" s="660"/>
      <c r="N75" s="660"/>
      <c r="O75" s="660"/>
      <c r="P75" s="660"/>
    </row>
    <row r="76" spans="1:16">
      <c r="A76" s="714"/>
      <c r="B76" s="2126" t="s">
        <v>7041</v>
      </c>
      <c r="C76" s="2127"/>
      <c r="D76" s="2127"/>
      <c r="E76" s="2127"/>
      <c r="F76" s="2127"/>
      <c r="G76" s="2127"/>
      <c r="H76" s="2127"/>
      <c r="I76" s="2127"/>
      <c r="J76" s="2127"/>
      <c r="K76" s="2127"/>
      <c r="L76" s="2127"/>
      <c r="M76" s="2127"/>
      <c r="N76" s="2127"/>
      <c r="O76" s="2128"/>
      <c r="P76" s="661"/>
    </row>
    <row r="77" spans="1:16">
      <c r="A77" s="714"/>
      <c r="B77" s="662" t="s">
        <v>7017</v>
      </c>
      <c r="C77" s="663" t="s">
        <v>143</v>
      </c>
      <c r="D77" s="663" t="s">
        <v>26</v>
      </c>
      <c r="E77" s="663" t="s">
        <v>25</v>
      </c>
      <c r="F77" s="663" t="s">
        <v>24</v>
      </c>
      <c r="G77" s="663" t="s">
        <v>23</v>
      </c>
      <c r="H77" s="663" t="s">
        <v>22</v>
      </c>
      <c r="I77" s="663" t="s">
        <v>21</v>
      </c>
      <c r="J77" s="663" t="s">
        <v>20</v>
      </c>
      <c r="K77" s="663" t="s">
        <v>256</v>
      </c>
      <c r="L77" s="663" t="s">
        <v>18</v>
      </c>
      <c r="M77" s="663" t="s">
        <v>17</v>
      </c>
      <c r="N77" s="663" t="s">
        <v>86</v>
      </c>
      <c r="O77" s="664" t="s">
        <v>67</v>
      </c>
      <c r="P77" s="665"/>
    </row>
    <row r="78" spans="1:16">
      <c r="A78" s="714"/>
      <c r="B78" s="666" t="s">
        <v>4395</v>
      </c>
      <c r="C78" s="667">
        <v>575</v>
      </c>
      <c r="D78" s="999">
        <v>575</v>
      </c>
      <c r="E78" s="999">
        <v>575</v>
      </c>
      <c r="F78" s="999">
        <v>600</v>
      </c>
      <c r="G78" s="999">
        <v>600</v>
      </c>
      <c r="H78" s="999">
        <v>600</v>
      </c>
      <c r="I78" s="999">
        <v>600</v>
      </c>
      <c r="J78" s="999">
        <v>600</v>
      </c>
      <c r="K78" s="999">
        <v>600</v>
      </c>
      <c r="L78" s="999">
        <v>600</v>
      </c>
      <c r="M78" s="999">
        <v>600</v>
      </c>
      <c r="N78" s="999">
        <v>600</v>
      </c>
      <c r="O78" s="668">
        <f>SUM(C78:N78)</f>
        <v>7125</v>
      </c>
      <c r="P78" s="669"/>
    </row>
    <row r="79" spans="1:16">
      <c r="A79" s="714"/>
      <c r="B79" s="666" t="s">
        <v>4397</v>
      </c>
      <c r="C79" s="671"/>
      <c r="D79" s="671"/>
      <c r="E79" s="671"/>
      <c r="F79" s="671"/>
      <c r="G79" s="671"/>
      <c r="H79" s="671"/>
      <c r="I79" s="671"/>
      <c r="J79" s="671"/>
      <c r="K79" s="671"/>
      <c r="L79" s="671"/>
      <c r="M79" s="671"/>
      <c r="N79" s="671"/>
      <c r="O79" s="668"/>
      <c r="P79" s="672"/>
    </row>
    <row r="80" spans="1:16">
      <c r="A80" s="714"/>
      <c r="B80" s="674" t="s">
        <v>5024</v>
      </c>
      <c r="C80" s="675"/>
      <c r="D80" s="675"/>
      <c r="E80" s="675"/>
      <c r="F80" s="675"/>
      <c r="G80" s="675"/>
      <c r="H80" s="675"/>
      <c r="I80" s="1000"/>
      <c r="J80" s="1000"/>
      <c r="K80" s="1000"/>
      <c r="L80" s="1000"/>
      <c r="M80" s="1000"/>
      <c r="N80" s="1000"/>
      <c r="O80" s="668">
        <f>SUM(C80:N80)</f>
        <v>0</v>
      </c>
      <c r="P80" s="672"/>
    </row>
    <row r="81" spans="1:16">
      <c r="A81" s="714"/>
      <c r="B81" s="674" t="s">
        <v>4399</v>
      </c>
      <c r="C81" s="675"/>
      <c r="D81" s="675"/>
      <c r="E81" s="675"/>
      <c r="F81" s="1001"/>
      <c r="G81" s="675"/>
      <c r="H81" s="675"/>
      <c r="I81" s="675"/>
      <c r="J81" s="675"/>
      <c r="K81" s="675"/>
      <c r="L81" s="675"/>
      <c r="M81" s="676"/>
      <c r="N81" s="675"/>
      <c r="O81" s="677">
        <f>SUM(C81:N81)</f>
        <v>0</v>
      </c>
      <c r="P81" s="672"/>
    </row>
    <row r="82" spans="1:16">
      <c r="A82" s="714"/>
      <c r="B82" s="674" t="s">
        <v>7031</v>
      </c>
      <c r="C82" s="675"/>
      <c r="D82" s="675"/>
      <c r="E82" s="675"/>
      <c r="F82" s="675"/>
      <c r="G82" s="675"/>
      <c r="H82" s="675"/>
      <c r="I82" s="675"/>
      <c r="J82" s="675"/>
      <c r="K82" s="675"/>
      <c r="L82" s="675"/>
      <c r="M82" s="675"/>
      <c r="N82" s="675"/>
      <c r="O82" s="677">
        <f>SUM(C82:N82)</f>
        <v>0</v>
      </c>
      <c r="P82" s="681"/>
    </row>
    <row r="83" spans="1:16">
      <c r="A83" s="714"/>
      <c r="B83" s="674" t="s">
        <v>7042</v>
      </c>
      <c r="C83" s="675"/>
      <c r="D83" s="675"/>
      <c r="E83" s="675"/>
      <c r="F83" s="675"/>
      <c r="G83" s="675"/>
      <c r="H83" s="675"/>
      <c r="I83" s="675"/>
      <c r="J83" s="675"/>
      <c r="K83" s="675"/>
      <c r="L83" s="675"/>
      <c r="M83" s="675"/>
      <c r="N83" s="675"/>
      <c r="O83" s="677">
        <f>SUM(C83:N83)</f>
        <v>0</v>
      </c>
      <c r="P83" s="672"/>
    </row>
    <row r="84" spans="1:16">
      <c r="A84" s="714"/>
      <c r="B84" s="674" t="s">
        <v>7019</v>
      </c>
      <c r="C84" s="675"/>
      <c r="D84" s="675"/>
      <c r="E84" s="675"/>
      <c r="F84" s="675"/>
      <c r="G84" s="675"/>
      <c r="H84" s="675"/>
      <c r="I84" s="675"/>
      <c r="J84" s="675"/>
      <c r="K84" s="675"/>
      <c r="L84" s="675"/>
      <c r="M84" s="675"/>
      <c r="N84" s="675"/>
      <c r="O84" s="677"/>
      <c r="P84" s="672"/>
    </row>
    <row r="85" spans="1:16">
      <c r="A85" s="714"/>
      <c r="B85" s="674" t="s">
        <v>7033</v>
      </c>
      <c r="C85" s="675"/>
      <c r="D85" s="675"/>
      <c r="E85" s="675"/>
      <c r="F85" s="675"/>
      <c r="G85" s="675"/>
      <c r="H85" s="675"/>
      <c r="I85" s="675"/>
      <c r="J85" s="675"/>
      <c r="K85" s="675"/>
      <c r="L85" s="675"/>
      <c r="M85" s="675"/>
      <c r="N85" s="675"/>
      <c r="O85" s="677"/>
      <c r="P85" s="672"/>
    </row>
    <row r="86" spans="1:16">
      <c r="A86" s="714"/>
      <c r="B86" s="674" t="s">
        <v>7043</v>
      </c>
      <c r="C86" s="687"/>
      <c r="D86" s="687"/>
      <c r="E86" s="687"/>
      <c r="F86" s="687"/>
      <c r="G86" s="687"/>
      <c r="H86" s="687"/>
      <c r="I86" s="688"/>
      <c r="J86" s="687"/>
      <c r="K86" s="687"/>
      <c r="L86" s="687"/>
      <c r="M86" s="687"/>
      <c r="N86" s="687"/>
      <c r="O86" s="677">
        <f>SUM(C86:N86)</f>
        <v>0</v>
      </c>
      <c r="P86" s="672"/>
    </row>
    <row r="87" spans="1:16">
      <c r="A87" s="714"/>
      <c r="B87" s="674" t="s">
        <v>6860</v>
      </c>
      <c r="C87" s="945"/>
      <c r="D87" s="945"/>
      <c r="E87" s="945"/>
      <c r="F87" s="945"/>
      <c r="G87" s="945"/>
      <c r="H87" s="945"/>
      <c r="I87" s="945"/>
      <c r="J87" s="945"/>
      <c r="K87" s="945"/>
      <c r="L87" s="945"/>
      <c r="M87" s="945"/>
      <c r="N87" s="945"/>
      <c r="O87" s="668">
        <f>SUM(C87:N87)</f>
        <v>0</v>
      </c>
      <c r="P87" s="672"/>
    </row>
    <row r="88" spans="1:16">
      <c r="A88" s="714"/>
      <c r="B88" s="674" t="s">
        <v>7035</v>
      </c>
      <c r="C88" s="675"/>
      <c r="D88" s="675"/>
      <c r="E88" s="675"/>
      <c r="F88" s="675"/>
      <c r="G88" s="675"/>
      <c r="H88" s="675"/>
      <c r="I88" s="675"/>
      <c r="J88" s="675"/>
      <c r="K88" s="675"/>
      <c r="L88" s="675"/>
      <c r="M88" s="675"/>
      <c r="N88" s="675"/>
      <c r="O88" s="668">
        <f>SUM(C88:N88)</f>
        <v>0</v>
      </c>
      <c r="P88" s="672"/>
    </row>
    <row r="89" spans="1:16">
      <c r="A89" s="714"/>
      <c r="B89" s="666" t="s">
        <v>6323</v>
      </c>
      <c r="C89" s="677">
        <f t="shared" ref="C89:N89" si="18">SUM(C87:C88)</f>
        <v>0</v>
      </c>
      <c r="D89" s="677">
        <f t="shared" si="18"/>
        <v>0</v>
      </c>
      <c r="E89" s="677">
        <f t="shared" si="18"/>
        <v>0</v>
      </c>
      <c r="F89" s="677">
        <f t="shared" si="18"/>
        <v>0</v>
      </c>
      <c r="G89" s="677">
        <f t="shared" si="18"/>
        <v>0</v>
      </c>
      <c r="H89" s="677">
        <f t="shared" si="18"/>
        <v>0</v>
      </c>
      <c r="I89" s="677">
        <f t="shared" si="18"/>
        <v>0</v>
      </c>
      <c r="J89" s="677">
        <f t="shared" si="18"/>
        <v>0</v>
      </c>
      <c r="K89" s="677">
        <f t="shared" si="18"/>
        <v>0</v>
      </c>
      <c r="L89" s="677">
        <f t="shared" si="18"/>
        <v>0</v>
      </c>
      <c r="M89" s="677">
        <f t="shared" si="18"/>
        <v>0</v>
      </c>
      <c r="N89" s="677">
        <f t="shared" si="18"/>
        <v>0</v>
      </c>
      <c r="O89" s="668">
        <f>SUM(C89:N89)</f>
        <v>0</v>
      </c>
      <c r="P89" s="669"/>
    </row>
    <row r="90" spans="1:16">
      <c r="A90" s="714"/>
      <c r="B90" s="689" t="s">
        <v>1126</v>
      </c>
      <c r="C90" s="690">
        <f t="shared" ref="C90:N90" si="19">SUM(C80:C88)</f>
        <v>0</v>
      </c>
      <c r="D90" s="690">
        <f t="shared" si="19"/>
        <v>0</v>
      </c>
      <c r="E90" s="690">
        <f t="shared" si="19"/>
        <v>0</v>
      </c>
      <c r="F90" s="690">
        <f t="shared" si="19"/>
        <v>0</v>
      </c>
      <c r="G90" s="690">
        <f t="shared" si="19"/>
        <v>0</v>
      </c>
      <c r="H90" s="690">
        <f t="shared" si="19"/>
        <v>0</v>
      </c>
      <c r="I90" s="690">
        <f t="shared" si="19"/>
        <v>0</v>
      </c>
      <c r="J90" s="690">
        <f t="shared" si="19"/>
        <v>0</v>
      </c>
      <c r="K90" s="690">
        <f t="shared" si="19"/>
        <v>0</v>
      </c>
      <c r="L90" s="690">
        <f t="shared" si="19"/>
        <v>0</v>
      </c>
      <c r="M90" s="690">
        <f t="shared" si="19"/>
        <v>0</v>
      </c>
      <c r="N90" s="690">
        <f t="shared" si="19"/>
        <v>0</v>
      </c>
      <c r="O90" s="995">
        <f>SUM(O81:O88)</f>
        <v>0</v>
      </c>
      <c r="P90" s="691"/>
    </row>
    <row r="91" spans="1:16">
      <c r="A91" s="715"/>
      <c r="B91" s="692" t="s">
        <v>791</v>
      </c>
      <c r="C91" s="693">
        <f t="shared" ref="C91:O91" si="20">C78-C90</f>
        <v>575</v>
      </c>
      <c r="D91" s="693">
        <f t="shared" si="20"/>
        <v>575</v>
      </c>
      <c r="E91" s="693">
        <f t="shared" si="20"/>
        <v>575</v>
      </c>
      <c r="F91" s="693">
        <f t="shared" si="20"/>
        <v>600</v>
      </c>
      <c r="G91" s="693">
        <f t="shared" si="20"/>
        <v>600</v>
      </c>
      <c r="H91" s="693">
        <f t="shared" si="20"/>
        <v>600</v>
      </c>
      <c r="I91" s="693">
        <f t="shared" si="20"/>
        <v>600</v>
      </c>
      <c r="J91" s="693">
        <f t="shared" si="20"/>
        <v>600</v>
      </c>
      <c r="K91" s="693">
        <f t="shared" si="20"/>
        <v>600</v>
      </c>
      <c r="L91" s="693">
        <f t="shared" si="20"/>
        <v>600</v>
      </c>
      <c r="M91" s="693">
        <f t="shared" si="20"/>
        <v>600</v>
      </c>
      <c r="N91" s="693">
        <f t="shared" si="20"/>
        <v>600</v>
      </c>
      <c r="O91" s="693">
        <f t="shared" si="20"/>
        <v>7125</v>
      </c>
      <c r="P91" s="694"/>
    </row>
    <row r="92" spans="1:16">
      <c r="A92" s="947"/>
      <c r="B92" s="950" t="s">
        <v>7036</v>
      </c>
      <c r="C92" s="950">
        <v>0</v>
      </c>
      <c r="D92" s="950">
        <v>0</v>
      </c>
      <c r="E92" s="950">
        <v>0</v>
      </c>
      <c r="F92" s="950">
        <v>0</v>
      </c>
      <c r="G92" s="950">
        <v>0</v>
      </c>
      <c r="H92" s="950">
        <v>0</v>
      </c>
      <c r="I92" s="950">
        <v>0</v>
      </c>
      <c r="J92" s="950">
        <v>0</v>
      </c>
      <c r="K92" s="950">
        <v>0</v>
      </c>
      <c r="L92" s="950">
        <v>0</v>
      </c>
      <c r="M92" s="950">
        <v>0</v>
      </c>
      <c r="N92" s="951">
        <v>0</v>
      </c>
      <c r="O92" s="952">
        <f>SUM(C92:N92)</f>
        <v>0</v>
      </c>
      <c r="P92" s="953"/>
    </row>
    <row r="93" spans="1:16">
      <c r="A93" s="692"/>
      <c r="B93" s="692" t="s">
        <v>6861</v>
      </c>
      <c r="C93" s="996">
        <f t="shared" ref="C93:O93" si="21">C91-C92</f>
        <v>575</v>
      </c>
      <c r="D93" s="996">
        <f t="shared" si="21"/>
        <v>575</v>
      </c>
      <c r="E93" s="996">
        <f t="shared" si="21"/>
        <v>575</v>
      </c>
      <c r="F93" s="956">
        <f t="shared" si="21"/>
        <v>600</v>
      </c>
      <c r="G93" s="996">
        <f t="shared" si="21"/>
        <v>600</v>
      </c>
      <c r="H93" s="956">
        <f t="shared" si="21"/>
        <v>600</v>
      </c>
      <c r="I93" s="956">
        <f t="shared" si="21"/>
        <v>600</v>
      </c>
      <c r="J93" s="956">
        <f t="shared" si="21"/>
        <v>600</v>
      </c>
      <c r="K93" s="956">
        <f t="shared" si="21"/>
        <v>600</v>
      </c>
      <c r="L93" s="956">
        <f t="shared" si="21"/>
        <v>600</v>
      </c>
      <c r="M93" s="956">
        <f t="shared" si="21"/>
        <v>600</v>
      </c>
      <c r="N93" s="956">
        <f t="shared" si="21"/>
        <v>600</v>
      </c>
      <c r="O93" s="956">
        <f t="shared" si="21"/>
        <v>7125</v>
      </c>
      <c r="P93" s="709"/>
    </row>
    <row r="94" spans="1:16">
      <c r="B94" s="2161" t="s">
        <v>7044</v>
      </c>
      <c r="C94" s="2087"/>
      <c r="D94" s="2087"/>
      <c r="E94" s="2087"/>
      <c r="F94" s="2087"/>
      <c r="G94" s="2087"/>
      <c r="H94" s="2087"/>
      <c r="I94" s="2087"/>
      <c r="J94" s="2087"/>
      <c r="K94" s="2087"/>
      <c r="L94" s="2087"/>
      <c r="M94" s="2087"/>
      <c r="N94" s="2087"/>
      <c r="O94" s="2087"/>
    </row>
    <row r="95" spans="1:16">
      <c r="B95" s="623"/>
      <c r="C95" s="623"/>
      <c r="D95" s="623"/>
      <c r="E95" s="623"/>
      <c r="F95" s="623"/>
      <c r="G95" s="623"/>
      <c r="H95" s="623"/>
      <c r="I95" s="623"/>
      <c r="J95" s="623"/>
      <c r="K95" s="623"/>
      <c r="L95" s="623"/>
      <c r="M95" s="623"/>
      <c r="N95" s="623"/>
      <c r="O95" s="623"/>
    </row>
    <row r="96" spans="1:16">
      <c r="B96" s="938" t="s">
        <v>5755</v>
      </c>
      <c r="C96" s="938" t="s">
        <v>6835</v>
      </c>
      <c r="D96" s="938" t="s">
        <v>6836</v>
      </c>
      <c r="E96" s="938" t="s">
        <v>6837</v>
      </c>
      <c r="F96" s="938" t="s">
        <v>6838</v>
      </c>
      <c r="G96" s="938" t="s">
        <v>6839</v>
      </c>
      <c r="H96" s="938" t="s">
        <v>6840</v>
      </c>
      <c r="I96" s="938" t="s">
        <v>6841</v>
      </c>
      <c r="J96" s="938" t="s">
        <v>6842</v>
      </c>
      <c r="K96" s="938" t="s">
        <v>6843</v>
      </c>
      <c r="L96" s="938" t="s">
        <v>6844</v>
      </c>
      <c r="M96" s="660"/>
      <c r="N96" s="660"/>
      <c r="O96" s="660"/>
      <c r="P96" s="660"/>
    </row>
    <row r="97" spans="1:16">
      <c r="A97" s="714"/>
      <c r="B97" s="2126" t="s">
        <v>7045</v>
      </c>
      <c r="C97" s="2127"/>
      <c r="D97" s="2127"/>
      <c r="E97" s="2127"/>
      <c r="F97" s="2127"/>
      <c r="G97" s="2127"/>
      <c r="H97" s="2127"/>
      <c r="I97" s="2127"/>
      <c r="J97" s="2127"/>
      <c r="K97" s="2127"/>
      <c r="L97" s="2127"/>
      <c r="M97" s="2127"/>
      <c r="N97" s="2127"/>
      <c r="O97" s="2128"/>
      <c r="P97" s="661"/>
    </row>
    <row r="98" spans="1:16">
      <c r="A98" s="714"/>
      <c r="B98" s="662" t="s">
        <v>7017</v>
      </c>
      <c r="C98" s="663" t="s">
        <v>143</v>
      </c>
      <c r="D98" s="663" t="s">
        <v>26</v>
      </c>
      <c r="E98" s="663" t="s">
        <v>25</v>
      </c>
      <c r="F98" s="663" t="s">
        <v>24</v>
      </c>
      <c r="G98" s="663" t="s">
        <v>23</v>
      </c>
      <c r="H98" s="663" t="s">
        <v>22</v>
      </c>
      <c r="I98" s="663" t="s">
        <v>21</v>
      </c>
      <c r="J98" s="663" t="s">
        <v>20</v>
      </c>
      <c r="K98" s="663" t="s">
        <v>256</v>
      </c>
      <c r="L98" s="663" t="s">
        <v>18</v>
      </c>
      <c r="M98" s="663" t="s">
        <v>17</v>
      </c>
      <c r="N98" s="663" t="s">
        <v>86</v>
      </c>
      <c r="O98" s="664" t="s">
        <v>67</v>
      </c>
      <c r="P98" s="665"/>
    </row>
    <row r="99" spans="1:16">
      <c r="A99" s="714"/>
      <c r="B99" s="666" t="s">
        <v>4395</v>
      </c>
      <c r="C99" s="667">
        <v>0</v>
      </c>
      <c r="D99" s="667">
        <v>0</v>
      </c>
      <c r="E99" s="667">
        <v>0</v>
      </c>
      <c r="F99" s="667">
        <v>0</v>
      </c>
      <c r="G99" s="667">
        <v>0</v>
      </c>
      <c r="H99" s="667">
        <v>0</v>
      </c>
      <c r="I99" s="667">
        <v>0</v>
      </c>
      <c r="J99" s="667">
        <v>0</v>
      </c>
      <c r="K99" s="667">
        <v>0</v>
      </c>
      <c r="L99" s="667">
        <v>0</v>
      </c>
      <c r="M99" s="667">
        <v>0</v>
      </c>
      <c r="N99" s="999">
        <v>675</v>
      </c>
      <c r="O99" s="668">
        <f>SUM(C99:N99)</f>
        <v>675</v>
      </c>
      <c r="P99" s="669"/>
    </row>
    <row r="100" spans="1:16">
      <c r="A100" s="714"/>
      <c r="B100" s="666" t="s">
        <v>4397</v>
      </c>
      <c r="C100" s="671"/>
      <c r="D100" s="671"/>
      <c r="E100" s="671"/>
      <c r="F100" s="671"/>
      <c r="G100" s="671"/>
      <c r="H100" s="671"/>
      <c r="I100" s="671"/>
      <c r="J100" s="671"/>
      <c r="K100" s="671"/>
      <c r="L100" s="671"/>
      <c r="M100" s="671"/>
      <c r="N100" s="671"/>
      <c r="O100" s="668"/>
      <c r="P100" s="672"/>
    </row>
    <row r="101" spans="1:16">
      <c r="A101" s="714"/>
      <c r="B101" s="674" t="s">
        <v>5024</v>
      </c>
      <c r="C101" s="675"/>
      <c r="D101" s="675"/>
      <c r="E101" s="675"/>
      <c r="F101" s="675"/>
      <c r="G101" s="675"/>
      <c r="H101" s="675"/>
      <c r="I101" s="675"/>
      <c r="J101" s="675"/>
      <c r="K101" s="675"/>
      <c r="L101" s="675"/>
      <c r="M101" s="675"/>
      <c r="N101" s="675"/>
      <c r="O101" s="668">
        <f t="shared" ref="O101:O109" si="22">SUM(C101:N101)</f>
        <v>0</v>
      </c>
      <c r="P101" s="672"/>
    </row>
    <row r="102" spans="1:16">
      <c r="A102" s="714"/>
      <c r="B102" s="674" t="s">
        <v>4399</v>
      </c>
      <c r="C102" s="675"/>
      <c r="D102" s="675"/>
      <c r="E102" s="675"/>
      <c r="F102" s="675"/>
      <c r="G102" s="675"/>
      <c r="H102" s="675"/>
      <c r="I102" s="675"/>
      <c r="J102" s="675"/>
      <c r="K102" s="675"/>
      <c r="L102" s="675"/>
      <c r="M102" s="676"/>
      <c r="N102" s="675"/>
      <c r="O102" s="677">
        <f t="shared" si="22"/>
        <v>0</v>
      </c>
      <c r="P102" s="672"/>
    </row>
    <row r="103" spans="1:16">
      <c r="A103" s="714"/>
      <c r="B103" s="674" t="s">
        <v>7031</v>
      </c>
      <c r="C103" s="675"/>
      <c r="D103" s="675">
        <v>81.73</v>
      </c>
      <c r="E103" s="675">
        <v>92.75</v>
      </c>
      <c r="F103" s="675">
        <v>93.37</v>
      </c>
      <c r="G103" s="675">
        <v>84.3</v>
      </c>
      <c r="H103" s="675">
        <v>30.93</v>
      </c>
      <c r="I103" s="675">
        <v>21.75</v>
      </c>
      <c r="J103" s="675">
        <v>87.02</v>
      </c>
      <c r="K103" s="675"/>
      <c r="L103" s="675"/>
      <c r="M103" s="675"/>
      <c r="N103" s="675"/>
      <c r="O103" s="677">
        <f t="shared" si="22"/>
        <v>491.85</v>
      </c>
      <c r="P103" s="681"/>
    </row>
    <row r="104" spans="1:16">
      <c r="A104" s="714"/>
      <c r="B104" s="674" t="s">
        <v>6850</v>
      </c>
      <c r="C104" s="675"/>
      <c r="D104" s="675"/>
      <c r="E104" s="675"/>
      <c r="F104" s="675"/>
      <c r="G104" s="675"/>
      <c r="H104" s="675">
        <v>23.46</v>
      </c>
      <c r="I104" s="675">
        <v>22.3</v>
      </c>
      <c r="J104" s="675">
        <v>24.23</v>
      </c>
      <c r="K104" s="675">
        <v>22.84</v>
      </c>
      <c r="L104" s="675">
        <v>22.45</v>
      </c>
      <c r="M104" s="675">
        <v>63.91</v>
      </c>
      <c r="N104" s="675"/>
      <c r="O104" s="677">
        <f t="shared" si="22"/>
        <v>179.19</v>
      </c>
      <c r="P104" s="672"/>
    </row>
    <row r="105" spans="1:16">
      <c r="A105" s="714"/>
      <c r="B105" s="674" t="s">
        <v>7019</v>
      </c>
      <c r="C105" s="675"/>
      <c r="D105" s="675"/>
      <c r="E105" s="675"/>
      <c r="F105" s="675"/>
      <c r="G105" s="675"/>
      <c r="H105" s="675"/>
      <c r="I105" s="675"/>
      <c r="J105" s="675"/>
      <c r="K105" s="675"/>
      <c r="L105" s="675"/>
      <c r="M105" s="675"/>
      <c r="N105" s="675"/>
      <c r="O105" s="677">
        <f t="shared" si="22"/>
        <v>0</v>
      </c>
      <c r="P105" s="672"/>
    </row>
    <row r="106" spans="1:16">
      <c r="A106" s="714"/>
      <c r="B106" s="674" t="s">
        <v>7046</v>
      </c>
      <c r="C106" s="687"/>
      <c r="D106" s="687"/>
      <c r="E106" s="687"/>
      <c r="F106" s="687"/>
      <c r="G106" s="687"/>
      <c r="H106" s="687"/>
      <c r="I106" s="687"/>
      <c r="J106" s="687"/>
      <c r="K106" s="687"/>
      <c r="L106" s="687"/>
      <c r="M106" s="687"/>
      <c r="N106" s="687"/>
      <c r="O106" s="677">
        <f t="shared" si="22"/>
        <v>0</v>
      </c>
      <c r="P106" s="672"/>
    </row>
    <row r="107" spans="1:16">
      <c r="A107" s="714"/>
      <c r="B107" s="674" t="s">
        <v>6860</v>
      </c>
      <c r="C107" s="945"/>
      <c r="D107" s="945"/>
      <c r="E107" s="945"/>
      <c r="F107" s="945"/>
      <c r="G107" s="945"/>
      <c r="H107" s="945"/>
      <c r="I107" s="945"/>
      <c r="J107" s="945"/>
      <c r="K107" s="945"/>
      <c r="L107" s="945"/>
      <c r="M107" s="945"/>
      <c r="N107" s="945"/>
      <c r="O107" s="668">
        <f t="shared" si="22"/>
        <v>0</v>
      </c>
      <c r="P107" s="672"/>
    </row>
    <row r="108" spans="1:16">
      <c r="A108" s="714"/>
      <c r="B108" s="674" t="s">
        <v>7035</v>
      </c>
      <c r="C108" s="675"/>
      <c r="D108" s="675"/>
      <c r="E108" s="675"/>
      <c r="F108" s="675"/>
      <c r="G108" s="675"/>
      <c r="H108" s="675"/>
      <c r="I108" s="675"/>
      <c r="J108" s="675"/>
      <c r="K108" s="675"/>
      <c r="L108" s="675"/>
      <c r="M108" s="675"/>
      <c r="N108" s="675"/>
      <c r="O108" s="668">
        <f t="shared" si="22"/>
        <v>0</v>
      </c>
      <c r="P108" s="672"/>
    </row>
    <row r="109" spans="1:16">
      <c r="A109" s="714"/>
      <c r="B109" s="666" t="s">
        <v>6323</v>
      </c>
      <c r="C109" s="677">
        <f t="shared" ref="C109:N109" si="23">SUM(C107:C108)</f>
        <v>0</v>
      </c>
      <c r="D109" s="677">
        <f t="shared" si="23"/>
        <v>0</v>
      </c>
      <c r="E109" s="677">
        <f t="shared" si="23"/>
        <v>0</v>
      </c>
      <c r="F109" s="677">
        <f t="shared" si="23"/>
        <v>0</v>
      </c>
      <c r="G109" s="677">
        <f t="shared" si="23"/>
        <v>0</v>
      </c>
      <c r="H109" s="677">
        <f t="shared" si="23"/>
        <v>0</v>
      </c>
      <c r="I109" s="677">
        <f t="shared" si="23"/>
        <v>0</v>
      </c>
      <c r="J109" s="677">
        <f t="shared" si="23"/>
        <v>0</v>
      </c>
      <c r="K109" s="677">
        <f t="shared" si="23"/>
        <v>0</v>
      </c>
      <c r="L109" s="677">
        <f t="shared" si="23"/>
        <v>0</v>
      </c>
      <c r="M109" s="677">
        <f t="shared" si="23"/>
        <v>0</v>
      </c>
      <c r="N109" s="677">
        <f t="shared" si="23"/>
        <v>0</v>
      </c>
      <c r="O109" s="668">
        <f t="shared" si="22"/>
        <v>0</v>
      </c>
      <c r="P109" s="669"/>
    </row>
    <row r="110" spans="1:16">
      <c r="A110" s="714"/>
      <c r="B110" s="689" t="s">
        <v>1126</v>
      </c>
      <c r="C110" s="690">
        <f t="shared" ref="C110:N110" si="24">SUM(C101:C108)</f>
        <v>0</v>
      </c>
      <c r="D110" s="690">
        <f t="shared" si="24"/>
        <v>81.73</v>
      </c>
      <c r="E110" s="690">
        <f t="shared" si="24"/>
        <v>92.75</v>
      </c>
      <c r="F110" s="690">
        <f t="shared" si="24"/>
        <v>93.37</v>
      </c>
      <c r="G110" s="690">
        <f t="shared" si="24"/>
        <v>84.3</v>
      </c>
      <c r="H110" s="690">
        <f t="shared" si="24"/>
        <v>54.39</v>
      </c>
      <c r="I110" s="690">
        <f t="shared" si="24"/>
        <v>44.05</v>
      </c>
      <c r="J110" s="690">
        <f t="shared" si="24"/>
        <v>111.25</v>
      </c>
      <c r="K110" s="690">
        <f t="shared" si="24"/>
        <v>22.84</v>
      </c>
      <c r="L110" s="690">
        <f t="shared" si="24"/>
        <v>22.45</v>
      </c>
      <c r="M110" s="690">
        <f t="shared" si="24"/>
        <v>63.91</v>
      </c>
      <c r="N110" s="690">
        <f t="shared" si="24"/>
        <v>0</v>
      </c>
      <c r="O110" s="995">
        <f>SUM(O102:O108)</f>
        <v>671.04</v>
      </c>
      <c r="P110" s="691"/>
    </row>
    <row r="111" spans="1:16">
      <c r="A111" s="715"/>
      <c r="B111" s="692" t="s">
        <v>791</v>
      </c>
      <c r="C111" s="693">
        <f t="shared" ref="C111:O111" si="25">C99-C110</f>
        <v>0</v>
      </c>
      <c r="D111" s="693">
        <f t="shared" si="25"/>
        <v>-81.73</v>
      </c>
      <c r="E111" s="693">
        <f t="shared" si="25"/>
        <v>-92.75</v>
      </c>
      <c r="F111" s="693">
        <f t="shared" si="25"/>
        <v>-93.37</v>
      </c>
      <c r="G111" s="693">
        <f t="shared" si="25"/>
        <v>-84.3</v>
      </c>
      <c r="H111" s="693">
        <f t="shared" si="25"/>
        <v>-54.39</v>
      </c>
      <c r="I111" s="693">
        <f t="shared" si="25"/>
        <v>-44.05</v>
      </c>
      <c r="J111" s="693">
        <f t="shared" si="25"/>
        <v>-111.25</v>
      </c>
      <c r="K111" s="693">
        <f t="shared" si="25"/>
        <v>-22.84</v>
      </c>
      <c r="L111" s="693">
        <f t="shared" si="25"/>
        <v>-22.45</v>
      </c>
      <c r="M111" s="693">
        <f t="shared" si="25"/>
        <v>-63.91</v>
      </c>
      <c r="N111" s="693">
        <f t="shared" si="25"/>
        <v>675</v>
      </c>
      <c r="O111" s="693">
        <f t="shared" si="25"/>
        <v>3.9600000000000364</v>
      </c>
      <c r="P111" s="694"/>
    </row>
    <row r="113" spans="1:18">
      <c r="B113" s="938" t="s">
        <v>5755</v>
      </c>
      <c r="C113" s="938" t="s">
        <v>6835</v>
      </c>
      <c r="D113" s="938" t="s">
        <v>6836</v>
      </c>
      <c r="E113" s="938" t="s">
        <v>6837</v>
      </c>
      <c r="F113" s="938" t="s">
        <v>6838</v>
      </c>
      <c r="G113" s="938" t="s">
        <v>6839</v>
      </c>
      <c r="H113" s="938" t="s">
        <v>6840</v>
      </c>
      <c r="I113" s="938" t="s">
        <v>6841</v>
      </c>
      <c r="J113" s="938" t="s">
        <v>6842</v>
      </c>
      <c r="K113" s="938" t="s">
        <v>6843</v>
      </c>
      <c r="L113" s="938" t="s">
        <v>6844</v>
      </c>
      <c r="M113" s="660"/>
      <c r="N113" s="660"/>
      <c r="O113" s="660"/>
      <c r="P113" s="660"/>
    </row>
    <row r="114" spans="1:18">
      <c r="A114" s="714"/>
      <c r="B114" s="2126" t="s">
        <v>4423</v>
      </c>
      <c r="C114" s="2127"/>
      <c r="D114" s="2127"/>
      <c r="E114" s="2127"/>
      <c r="F114" s="2127"/>
      <c r="G114" s="2127"/>
      <c r="H114" s="2127"/>
      <c r="I114" s="2127"/>
      <c r="J114" s="2127"/>
      <c r="K114" s="2127"/>
      <c r="L114" s="2127"/>
      <c r="M114" s="2127"/>
      <c r="N114" s="2127"/>
      <c r="O114" s="2128"/>
      <c r="P114" s="661"/>
    </row>
    <row r="115" spans="1:18">
      <c r="A115" s="714"/>
      <c r="B115" s="662" t="s">
        <v>7017</v>
      </c>
      <c r="C115" s="663" t="s">
        <v>143</v>
      </c>
      <c r="D115" s="663" t="s">
        <v>26</v>
      </c>
      <c r="E115" s="663" t="s">
        <v>25</v>
      </c>
      <c r="F115" s="663" t="s">
        <v>24</v>
      </c>
      <c r="G115" s="663" t="s">
        <v>23</v>
      </c>
      <c r="H115" s="663" t="s">
        <v>22</v>
      </c>
      <c r="I115" s="663" t="s">
        <v>21</v>
      </c>
      <c r="J115" s="663" t="s">
        <v>20</v>
      </c>
      <c r="K115" s="663" t="s">
        <v>256</v>
      </c>
      <c r="L115" s="663" t="s">
        <v>18</v>
      </c>
      <c r="M115" s="663" t="s">
        <v>17</v>
      </c>
      <c r="N115" s="663" t="s">
        <v>86</v>
      </c>
      <c r="O115" s="664" t="s">
        <v>67</v>
      </c>
      <c r="P115" s="665"/>
    </row>
    <row r="116" spans="1:18">
      <c r="A116" s="714"/>
      <c r="B116" s="666" t="s">
        <v>4424</v>
      </c>
      <c r="C116" s="671"/>
      <c r="D116" s="671"/>
      <c r="E116" s="671"/>
      <c r="F116" s="671"/>
      <c r="G116" s="671"/>
      <c r="H116" s="671"/>
      <c r="I116" s="671"/>
      <c r="J116" s="671"/>
      <c r="K116" s="671"/>
      <c r="L116" s="671"/>
      <c r="M116" s="671"/>
      <c r="N116" s="671"/>
      <c r="O116" s="668"/>
      <c r="P116" s="672"/>
    </row>
    <row r="117" spans="1:18">
      <c r="A117" s="714"/>
      <c r="B117" s="674" t="s">
        <v>5056</v>
      </c>
      <c r="C117" s="685">
        <v>150</v>
      </c>
      <c r="D117" s="697"/>
      <c r="E117" s="697"/>
      <c r="F117" s="697"/>
      <c r="G117" s="697"/>
      <c r="H117" s="697"/>
      <c r="I117" s="697"/>
      <c r="J117" s="697"/>
      <c r="K117" s="697"/>
      <c r="L117" s="697"/>
      <c r="M117" s="697"/>
      <c r="N117" s="697"/>
      <c r="O117" s="668">
        <f t="shared" ref="O117:O125" si="26">SUM(C117:N117)</f>
        <v>150</v>
      </c>
      <c r="P117" s="672"/>
    </row>
    <row r="118" spans="1:18">
      <c r="A118" s="714"/>
      <c r="B118" s="674" t="s">
        <v>4426</v>
      </c>
      <c r="C118" s="685">
        <v>80</v>
      </c>
      <c r="D118" s="697"/>
      <c r="E118" s="697"/>
      <c r="F118" s="697"/>
      <c r="G118" s="697"/>
      <c r="H118" s="697"/>
      <c r="I118" s="697"/>
      <c r="J118" s="697"/>
      <c r="K118" s="697"/>
      <c r="L118" s="697"/>
      <c r="M118" s="697"/>
      <c r="N118" s="697"/>
      <c r="O118" s="668">
        <f t="shared" si="26"/>
        <v>80</v>
      </c>
      <c r="P118" s="672"/>
    </row>
    <row r="119" spans="1:18">
      <c r="A119" s="714"/>
      <c r="B119" s="674" t="s">
        <v>2329</v>
      </c>
      <c r="C119" s="685">
        <v>135</v>
      </c>
      <c r="D119" s="697"/>
      <c r="E119" s="697"/>
      <c r="F119" s="697"/>
      <c r="G119" s="697"/>
      <c r="H119" s="697"/>
      <c r="I119" s="697"/>
      <c r="J119" s="697"/>
      <c r="K119" s="697"/>
      <c r="L119" s="697"/>
      <c r="M119" s="697"/>
      <c r="N119" s="697"/>
      <c r="O119" s="668">
        <f t="shared" si="26"/>
        <v>135</v>
      </c>
      <c r="P119" s="672"/>
    </row>
    <row r="120" spans="1:18">
      <c r="A120" s="714"/>
      <c r="B120" s="957" t="s">
        <v>7047</v>
      </c>
      <c r="C120" s="685">
        <v>165</v>
      </c>
      <c r="D120" s="697"/>
      <c r="E120" s="697"/>
      <c r="F120" s="697"/>
      <c r="G120" s="697"/>
      <c r="H120" s="697"/>
      <c r="I120" s="697"/>
      <c r="J120" s="697"/>
      <c r="K120" s="697"/>
      <c r="L120" s="697"/>
      <c r="M120" s="697"/>
      <c r="N120" s="697"/>
      <c r="O120" s="668">
        <f t="shared" si="26"/>
        <v>165</v>
      </c>
      <c r="P120" s="672"/>
    </row>
    <row r="121" spans="1:18">
      <c r="A121" s="714"/>
      <c r="B121" s="674" t="s">
        <v>6865</v>
      </c>
      <c r="C121" s="697"/>
      <c r="D121" s="697"/>
      <c r="E121" s="697"/>
      <c r="F121" s="697"/>
      <c r="G121" s="685">
        <v>290</v>
      </c>
      <c r="H121" s="697" t="s">
        <v>7048</v>
      </c>
      <c r="I121" s="697"/>
      <c r="J121" s="697"/>
      <c r="K121" s="697"/>
      <c r="L121" s="697"/>
      <c r="M121" s="697"/>
      <c r="N121" s="697"/>
      <c r="O121" s="668">
        <f t="shared" si="26"/>
        <v>290</v>
      </c>
      <c r="P121" s="672"/>
    </row>
    <row r="122" spans="1:18">
      <c r="A122" s="714"/>
      <c r="B122" s="674" t="s">
        <v>4441</v>
      </c>
      <c r="C122" s="685">
        <v>380</v>
      </c>
      <c r="D122" s="697"/>
      <c r="E122" s="702" t="s">
        <v>4430</v>
      </c>
      <c r="F122" s="697"/>
      <c r="G122" s="697"/>
      <c r="H122" s="697"/>
      <c r="I122" s="697"/>
      <c r="J122" s="697"/>
      <c r="K122" s="697"/>
      <c r="L122" s="697"/>
      <c r="M122" s="697"/>
      <c r="N122" s="771">
        <f>288+42</f>
        <v>330</v>
      </c>
      <c r="O122" s="668">
        <f t="shared" si="26"/>
        <v>710</v>
      </c>
      <c r="P122" s="672"/>
      <c r="Q122" s="2088" t="s">
        <v>4431</v>
      </c>
      <c r="R122" s="2087"/>
    </row>
    <row r="123" spans="1:18">
      <c r="A123" s="714"/>
      <c r="B123" s="674" t="s">
        <v>4310</v>
      </c>
      <c r="C123" s="697"/>
      <c r="D123" s="697"/>
      <c r="E123" s="697" t="s">
        <v>6867</v>
      </c>
      <c r="F123" s="701">
        <v>133</v>
      </c>
      <c r="G123" s="697"/>
      <c r="H123" s="697"/>
      <c r="I123" s="697"/>
      <c r="J123" s="697"/>
      <c r="K123" s="697"/>
      <c r="L123" s="697"/>
      <c r="M123" s="697"/>
      <c r="N123" s="697"/>
      <c r="O123" s="668">
        <f t="shared" si="26"/>
        <v>133</v>
      </c>
      <c r="P123" s="672"/>
    </row>
    <row r="124" spans="1:18">
      <c r="A124" s="714"/>
      <c r="B124" s="674" t="s">
        <v>4432</v>
      </c>
      <c r="C124" s="697">
        <v>0</v>
      </c>
      <c r="D124" s="697"/>
      <c r="E124" s="685">
        <v>133</v>
      </c>
      <c r="F124" s="697"/>
      <c r="G124" s="697"/>
      <c r="H124" s="697"/>
      <c r="I124" s="697"/>
      <c r="J124" s="697"/>
      <c r="K124" s="771"/>
      <c r="L124" s="697"/>
      <c r="M124" s="697"/>
      <c r="N124" s="697"/>
      <c r="O124" s="668">
        <f t="shared" si="26"/>
        <v>133</v>
      </c>
      <c r="P124" s="672"/>
    </row>
    <row r="125" spans="1:18">
      <c r="A125" s="714"/>
      <c r="B125" s="674" t="s">
        <v>7049</v>
      </c>
      <c r="C125" s="697"/>
      <c r="D125" s="697"/>
      <c r="E125" s="697"/>
      <c r="F125" s="697" t="s">
        <v>6867</v>
      </c>
      <c r="G125" s="685">
        <v>125</v>
      </c>
      <c r="H125" s="1002" t="s">
        <v>7050</v>
      </c>
      <c r="I125" s="697"/>
      <c r="J125" s="697"/>
      <c r="K125" s="697"/>
      <c r="L125" s="697"/>
      <c r="M125" s="697"/>
      <c r="N125" s="697"/>
      <c r="O125" s="668">
        <f t="shared" si="26"/>
        <v>125</v>
      </c>
      <c r="P125" s="672"/>
    </row>
    <row r="126" spans="1:18">
      <c r="A126" s="714"/>
      <c r="B126" s="674" t="s">
        <v>4323</v>
      </c>
      <c r="C126" s="705"/>
      <c r="D126" s="705"/>
      <c r="E126" s="705"/>
      <c r="F126" s="705"/>
      <c r="G126" s="705"/>
      <c r="H126" s="705"/>
      <c r="I126" s="705"/>
      <c r="J126" s="685">
        <v>60</v>
      </c>
      <c r="K126" s="705"/>
      <c r="L126" s="705"/>
      <c r="M126" s="705"/>
      <c r="N126" s="705"/>
      <c r="O126" s="668"/>
      <c r="P126" s="672"/>
    </row>
    <row r="127" spans="1:18">
      <c r="A127" s="714"/>
      <c r="B127" s="674" t="s">
        <v>4433</v>
      </c>
      <c r="C127" s="705"/>
      <c r="D127" s="705"/>
      <c r="E127" s="705"/>
      <c r="F127" s="705"/>
      <c r="G127" s="705"/>
      <c r="H127" s="705"/>
      <c r="I127" s="705"/>
      <c r="J127" s="705"/>
      <c r="K127" s="705"/>
      <c r="L127" s="705"/>
      <c r="M127" s="705"/>
      <c r="N127" s="705">
        <f>72.06+23.24</f>
        <v>95.3</v>
      </c>
      <c r="O127" s="668"/>
      <c r="P127" s="672"/>
      <c r="Q127" s="707">
        <f>SUM(O117:O125)</f>
        <v>1921</v>
      </c>
    </row>
    <row r="128" spans="1:18">
      <c r="A128" s="714"/>
      <c r="B128" s="674" t="s">
        <v>4434</v>
      </c>
      <c r="C128" s="708">
        <v>-20</v>
      </c>
      <c r="D128" s="708">
        <v>-20</v>
      </c>
      <c r="E128" s="708">
        <v>-20</v>
      </c>
      <c r="F128" s="708">
        <v>-20</v>
      </c>
      <c r="G128" s="708">
        <v>-20</v>
      </c>
      <c r="H128" s="708">
        <v>-20</v>
      </c>
      <c r="I128" s="708">
        <v>-20</v>
      </c>
      <c r="J128" s="708">
        <v>-20</v>
      </c>
      <c r="K128" s="708">
        <v>-20</v>
      </c>
      <c r="L128" s="708">
        <v>-20</v>
      </c>
      <c r="M128" s="708">
        <v>-20</v>
      </c>
      <c r="N128" s="708">
        <v>-20</v>
      </c>
      <c r="O128" s="668">
        <f>SUM(C128:N128)</f>
        <v>-240</v>
      </c>
      <c r="P128" s="672"/>
    </row>
    <row r="129" spans="1:17">
      <c r="A129" s="715"/>
      <c r="B129" s="677" t="s">
        <v>4435</v>
      </c>
      <c r="C129" s="677">
        <f t="shared" ref="C129:O129" si="27">SUM(C117:C128)</f>
        <v>890</v>
      </c>
      <c r="D129" s="677">
        <f t="shared" si="27"/>
        <v>-20</v>
      </c>
      <c r="E129" s="677">
        <f t="shared" si="27"/>
        <v>113</v>
      </c>
      <c r="F129" s="677">
        <f t="shared" si="27"/>
        <v>113</v>
      </c>
      <c r="G129" s="677">
        <f t="shared" si="27"/>
        <v>395</v>
      </c>
      <c r="H129" s="677">
        <f t="shared" si="27"/>
        <v>-20</v>
      </c>
      <c r="I129" s="677">
        <f t="shared" si="27"/>
        <v>-20</v>
      </c>
      <c r="J129" s="677">
        <f t="shared" si="27"/>
        <v>40</v>
      </c>
      <c r="K129" s="677">
        <f t="shared" si="27"/>
        <v>-20</v>
      </c>
      <c r="L129" s="677">
        <f t="shared" si="27"/>
        <v>-20</v>
      </c>
      <c r="M129" s="677">
        <f t="shared" si="27"/>
        <v>-20</v>
      </c>
      <c r="N129" s="677">
        <f t="shared" si="27"/>
        <v>405.3</v>
      </c>
      <c r="O129" s="677">
        <f t="shared" si="27"/>
        <v>1681</v>
      </c>
      <c r="P129" s="691"/>
    </row>
    <row r="130" spans="1:17">
      <c r="A130" s="715" t="s">
        <v>135</v>
      </c>
      <c r="B130" s="709" t="s">
        <v>135</v>
      </c>
      <c r="C130" s="709"/>
      <c r="D130" s="709"/>
      <c r="E130" s="709"/>
      <c r="F130" s="709"/>
      <c r="G130" s="709"/>
      <c r="H130" s="709"/>
      <c r="I130" s="709"/>
      <c r="J130" s="709"/>
      <c r="K130" s="709"/>
      <c r="L130" s="709"/>
      <c r="M130" s="709"/>
      <c r="N130" s="709"/>
      <c r="O130" s="709"/>
      <c r="P130" s="710"/>
    </row>
    <row r="131" spans="1:17">
      <c r="B131" s="578"/>
      <c r="C131" s="578"/>
      <c r="D131" s="578"/>
      <c r="E131" s="578"/>
      <c r="F131" s="578"/>
      <c r="G131" s="578"/>
      <c r="H131" s="578"/>
      <c r="I131" s="578"/>
      <c r="J131" s="578"/>
      <c r="K131" s="578"/>
      <c r="L131" s="578"/>
      <c r="M131" s="2129" t="s">
        <v>4436</v>
      </c>
      <c r="N131" s="2087"/>
      <c r="O131" s="711">
        <f>800/12</f>
        <v>66.666666666666671</v>
      </c>
      <c r="P131" s="712"/>
    </row>
    <row r="132" spans="1:17">
      <c r="B132" s="938" t="s">
        <v>5755</v>
      </c>
      <c r="C132" s="938" t="s">
        <v>6835</v>
      </c>
      <c r="D132" s="938" t="s">
        <v>6836</v>
      </c>
      <c r="E132" s="938" t="s">
        <v>6837</v>
      </c>
      <c r="F132" s="938" t="s">
        <v>6838</v>
      </c>
      <c r="G132" s="938" t="s">
        <v>6839</v>
      </c>
      <c r="H132" s="938" t="s">
        <v>6840</v>
      </c>
      <c r="I132" s="938" t="s">
        <v>6841</v>
      </c>
      <c r="J132" s="938" t="s">
        <v>6842</v>
      </c>
      <c r="K132" s="938" t="s">
        <v>6843</v>
      </c>
      <c r="L132" s="938" t="s">
        <v>6844</v>
      </c>
      <c r="M132" s="660"/>
      <c r="N132" s="660"/>
      <c r="O132" s="660"/>
      <c r="P132" s="660"/>
    </row>
    <row r="133" spans="1:17">
      <c r="A133" s="714"/>
      <c r="B133" s="2126" t="s">
        <v>7051</v>
      </c>
      <c r="C133" s="2127"/>
      <c r="D133" s="2127"/>
      <c r="E133" s="2127"/>
      <c r="F133" s="2127"/>
      <c r="G133" s="2127"/>
      <c r="H133" s="2127"/>
      <c r="I133" s="2127"/>
      <c r="J133" s="2127"/>
      <c r="K133" s="2127"/>
      <c r="L133" s="2127"/>
      <c r="M133" s="2127"/>
      <c r="N133" s="2127"/>
      <c r="O133" s="2128"/>
      <c r="P133" s="661"/>
    </row>
    <row r="134" spans="1:17">
      <c r="A134" s="714"/>
      <c r="B134" s="662" t="s">
        <v>7017</v>
      </c>
      <c r="C134" s="663" t="s">
        <v>143</v>
      </c>
      <c r="D134" s="663" t="s">
        <v>26</v>
      </c>
      <c r="E134" s="663" t="s">
        <v>25</v>
      </c>
      <c r="F134" s="663" t="s">
        <v>24</v>
      </c>
      <c r="G134" s="663" t="s">
        <v>23</v>
      </c>
      <c r="H134" s="663" t="s">
        <v>22</v>
      </c>
      <c r="I134" s="663" t="s">
        <v>21</v>
      </c>
      <c r="J134" s="663" t="s">
        <v>20</v>
      </c>
      <c r="K134" s="663" t="s">
        <v>256</v>
      </c>
      <c r="L134" s="663" t="s">
        <v>18</v>
      </c>
      <c r="M134" s="663" t="s">
        <v>17</v>
      </c>
      <c r="N134" s="663" t="s">
        <v>86</v>
      </c>
      <c r="O134" s="664" t="s">
        <v>67</v>
      </c>
      <c r="P134" s="665"/>
    </row>
    <row r="135" spans="1:17">
      <c r="A135" s="714"/>
      <c r="B135" s="666" t="s">
        <v>4397</v>
      </c>
      <c r="C135" s="671"/>
      <c r="D135" s="671"/>
      <c r="E135" s="671"/>
      <c r="F135" s="671"/>
      <c r="G135" s="671"/>
      <c r="H135" s="671"/>
      <c r="I135" s="671"/>
      <c r="J135" s="671"/>
      <c r="K135" s="671"/>
      <c r="L135" s="671"/>
      <c r="M135" s="671"/>
      <c r="N135" s="671"/>
      <c r="O135" s="668"/>
      <c r="P135" s="672"/>
    </row>
    <row r="136" spans="1:17">
      <c r="A136" s="714"/>
      <c r="B136" s="674" t="s">
        <v>4399</v>
      </c>
      <c r="C136" s="675"/>
      <c r="D136" s="675"/>
      <c r="E136" s="675"/>
      <c r="F136" s="675"/>
      <c r="G136" s="675"/>
      <c r="H136" s="675"/>
      <c r="I136" s="675"/>
      <c r="J136" s="675"/>
      <c r="K136" s="675"/>
      <c r="L136" s="675"/>
      <c r="M136" s="675"/>
      <c r="N136" s="675"/>
      <c r="O136" s="668">
        <f>SUM(C136:N136)</f>
        <v>0</v>
      </c>
      <c r="P136" s="672"/>
    </row>
    <row r="137" spans="1:17">
      <c r="A137" s="714"/>
      <c r="B137" s="674" t="s">
        <v>6850</v>
      </c>
      <c r="C137" s="675"/>
      <c r="D137" s="675"/>
      <c r="E137" s="675"/>
      <c r="F137" s="675"/>
      <c r="G137" s="675"/>
      <c r="H137" s="675"/>
      <c r="I137" s="675">
        <v>19.54</v>
      </c>
      <c r="J137" s="675">
        <v>18.27</v>
      </c>
      <c r="K137" s="675">
        <v>18.98</v>
      </c>
      <c r="L137" s="675"/>
      <c r="M137" s="675"/>
      <c r="N137" s="675"/>
      <c r="O137" s="668">
        <f>SUM(C137:N137)</f>
        <v>56.790000000000006</v>
      </c>
      <c r="P137" s="672"/>
      <c r="Q137" s="12">
        <f>AVERAGE(D137:N137)</f>
        <v>18.930000000000003</v>
      </c>
    </row>
    <row r="138" spans="1:17">
      <c r="A138" s="714"/>
      <c r="B138" s="674" t="s">
        <v>5684</v>
      </c>
      <c r="C138" s="675"/>
      <c r="D138" s="675"/>
      <c r="E138" s="675"/>
      <c r="F138" s="675"/>
      <c r="G138" s="675"/>
      <c r="H138" s="675"/>
      <c r="I138" s="675"/>
      <c r="J138" s="675"/>
      <c r="K138" s="675"/>
      <c r="L138" s="675"/>
      <c r="M138" s="675"/>
      <c r="N138" s="675"/>
      <c r="O138" s="668">
        <f>SUM(C138:N138)</f>
        <v>0</v>
      </c>
      <c r="P138" s="672"/>
    </row>
    <row r="139" spans="1:17">
      <c r="A139" s="714"/>
      <c r="B139" s="674" t="s">
        <v>7052</v>
      </c>
      <c r="C139" s="675"/>
      <c r="D139" s="675"/>
      <c r="E139" s="675"/>
      <c r="F139" s="675"/>
      <c r="G139" s="675"/>
      <c r="H139" s="675"/>
      <c r="I139" s="675"/>
      <c r="J139" s="675"/>
      <c r="K139" s="675"/>
      <c r="L139" s="675"/>
      <c r="M139" s="675"/>
      <c r="N139" s="675"/>
      <c r="O139" s="668"/>
      <c r="P139" s="672"/>
    </row>
    <row r="140" spans="1:17">
      <c r="A140" s="714"/>
      <c r="B140" s="674" t="s">
        <v>7053</v>
      </c>
      <c r="C140" s="675"/>
      <c r="D140" s="675"/>
      <c r="E140" s="675"/>
      <c r="F140" s="675"/>
      <c r="G140" s="675"/>
      <c r="H140" s="675"/>
      <c r="I140" s="675"/>
      <c r="J140" s="675"/>
      <c r="K140" s="675"/>
      <c r="L140" s="675"/>
      <c r="M140" s="675"/>
      <c r="N140" s="675"/>
      <c r="O140" s="668"/>
      <c r="P140" s="672"/>
    </row>
    <row r="141" spans="1:17">
      <c r="A141" s="714"/>
      <c r="B141" s="674" t="s">
        <v>7054</v>
      </c>
      <c r="C141" s="675"/>
      <c r="D141" s="675"/>
      <c r="E141" s="675"/>
      <c r="F141" s="675"/>
      <c r="G141" s="675"/>
      <c r="H141" s="675"/>
      <c r="I141" s="675"/>
      <c r="J141" s="675"/>
      <c r="K141" s="675"/>
      <c r="L141" s="675"/>
      <c r="M141" s="675"/>
      <c r="N141" s="675"/>
      <c r="O141" s="668"/>
      <c r="P141" s="672"/>
    </row>
    <row r="142" spans="1:17">
      <c r="A142" s="714"/>
      <c r="B142" s="674" t="s">
        <v>7055</v>
      </c>
      <c r="C142" s="675"/>
      <c r="D142" s="675"/>
      <c r="E142" s="675"/>
      <c r="F142" s="675"/>
      <c r="G142" s="675"/>
      <c r="H142" s="675"/>
      <c r="I142" s="675"/>
      <c r="J142" s="675"/>
      <c r="K142" s="675"/>
      <c r="L142" s="675"/>
      <c r="M142" s="675"/>
      <c r="N142" s="675"/>
      <c r="O142" s="668"/>
      <c r="P142" s="672"/>
    </row>
    <row r="143" spans="1:17">
      <c r="A143" s="714"/>
      <c r="B143" s="674" t="s">
        <v>7056</v>
      </c>
      <c r="C143" s="675"/>
      <c r="D143" s="675"/>
      <c r="E143" s="675"/>
      <c r="F143" s="675"/>
      <c r="G143" s="675"/>
      <c r="H143" s="675"/>
      <c r="I143" s="675"/>
      <c r="J143" s="675"/>
      <c r="K143" s="675"/>
      <c r="L143" s="675"/>
      <c r="M143" s="675"/>
      <c r="N143" s="675"/>
      <c r="O143" s="668"/>
      <c r="P143" s="672"/>
    </row>
    <row r="144" spans="1:17">
      <c r="A144" s="714"/>
      <c r="B144" s="674" t="s">
        <v>5024</v>
      </c>
      <c r="C144" s="675"/>
      <c r="D144" s="675"/>
      <c r="E144" s="675"/>
      <c r="F144" s="675"/>
      <c r="G144" s="675"/>
      <c r="H144" s="675"/>
      <c r="I144" s="675"/>
      <c r="J144" s="675"/>
      <c r="K144" s="675"/>
      <c r="L144" s="675"/>
      <c r="M144" s="675"/>
      <c r="N144" s="675"/>
      <c r="O144" s="668"/>
      <c r="P144" s="672"/>
    </row>
    <row r="145" spans="1:16">
      <c r="A145" s="714"/>
      <c r="B145" s="674" t="s">
        <v>1125</v>
      </c>
      <c r="C145" s="675"/>
      <c r="D145" s="675"/>
      <c r="E145" s="675"/>
      <c r="F145" s="675"/>
      <c r="G145" s="675"/>
      <c r="H145" s="675"/>
      <c r="I145" s="675"/>
      <c r="J145" s="675"/>
      <c r="K145" s="675"/>
      <c r="L145" s="675"/>
      <c r="M145" s="675"/>
      <c r="N145" s="675"/>
      <c r="O145" s="668">
        <f>SUM(C145:N145)</f>
        <v>0</v>
      </c>
      <c r="P145" s="672"/>
    </row>
    <row r="146" spans="1:16">
      <c r="A146" s="714"/>
      <c r="B146" s="674" t="s">
        <v>7057</v>
      </c>
      <c r="C146" s="675"/>
      <c r="D146" s="675" t="s">
        <v>135</v>
      </c>
      <c r="E146" s="675"/>
      <c r="F146" s="675" t="s">
        <v>135</v>
      </c>
      <c r="G146" s="675"/>
      <c r="H146" s="675"/>
      <c r="I146" s="675"/>
      <c r="J146" s="675"/>
      <c r="K146" s="675"/>
      <c r="L146" s="675"/>
      <c r="M146" s="675"/>
      <c r="N146" s="675"/>
      <c r="O146" s="668">
        <f>SUM(C146:N146)</f>
        <v>0</v>
      </c>
      <c r="P146" s="672"/>
    </row>
    <row r="147" spans="1:16">
      <c r="A147" s="714"/>
      <c r="B147" s="689" t="s">
        <v>1126</v>
      </c>
      <c r="C147" s="690">
        <f t="shared" ref="C147:O147" si="28">SUM(C136:C146)</f>
        <v>0</v>
      </c>
      <c r="D147" s="690">
        <f t="shared" si="28"/>
        <v>0</v>
      </c>
      <c r="E147" s="690">
        <f t="shared" si="28"/>
        <v>0</v>
      </c>
      <c r="F147" s="690">
        <f t="shared" si="28"/>
        <v>0</v>
      </c>
      <c r="G147" s="690">
        <f t="shared" si="28"/>
        <v>0</v>
      </c>
      <c r="H147" s="690">
        <f t="shared" si="28"/>
        <v>0</v>
      </c>
      <c r="I147" s="690">
        <f t="shared" si="28"/>
        <v>19.54</v>
      </c>
      <c r="J147" s="690">
        <f t="shared" si="28"/>
        <v>18.27</v>
      </c>
      <c r="K147" s="690">
        <f t="shared" si="28"/>
        <v>18.98</v>
      </c>
      <c r="L147" s="690">
        <f t="shared" si="28"/>
        <v>0</v>
      </c>
      <c r="M147" s="690">
        <f t="shared" si="28"/>
        <v>0</v>
      </c>
      <c r="N147" s="690">
        <f t="shared" si="28"/>
        <v>0</v>
      </c>
      <c r="O147" s="995">
        <f t="shared" si="28"/>
        <v>56.790000000000006</v>
      </c>
      <c r="P147" s="691"/>
    </row>
    <row r="148" spans="1:16">
      <c r="A148" s="715"/>
      <c r="B148" s="692" t="s">
        <v>791</v>
      </c>
      <c r="C148" s="693" t="e">
        <f t="shared" ref="C148:O148" si="29">""-C147</f>
        <v>#VALUE!</v>
      </c>
      <c r="D148" s="693" t="e">
        <f t="shared" si="29"/>
        <v>#VALUE!</v>
      </c>
      <c r="E148" s="693" t="e">
        <f t="shared" si="29"/>
        <v>#VALUE!</v>
      </c>
      <c r="F148" s="693" t="e">
        <f t="shared" si="29"/>
        <v>#VALUE!</v>
      </c>
      <c r="G148" s="693" t="e">
        <f t="shared" si="29"/>
        <v>#VALUE!</v>
      </c>
      <c r="H148" s="693" t="e">
        <f t="shared" si="29"/>
        <v>#VALUE!</v>
      </c>
      <c r="I148" s="693" t="e">
        <f t="shared" si="29"/>
        <v>#VALUE!</v>
      </c>
      <c r="J148" s="693" t="e">
        <f t="shared" si="29"/>
        <v>#VALUE!</v>
      </c>
      <c r="K148" s="693" t="e">
        <f t="shared" si="29"/>
        <v>#VALUE!</v>
      </c>
      <c r="L148" s="693" t="e">
        <f t="shared" si="29"/>
        <v>#VALUE!</v>
      </c>
      <c r="M148" s="693" t="e">
        <f t="shared" si="29"/>
        <v>#VALUE!</v>
      </c>
      <c r="N148" s="693" t="e">
        <f t="shared" si="29"/>
        <v>#VALUE!</v>
      </c>
      <c r="O148" s="693" t="e">
        <f t="shared" si="29"/>
        <v>#VALUE!</v>
      </c>
      <c r="P148" s="694"/>
    </row>
    <row r="149" spans="1:16">
      <c r="B149" s="2130" t="s">
        <v>5766</v>
      </c>
      <c r="C149" s="2087"/>
      <c r="D149" s="2087"/>
      <c r="E149" s="2087"/>
      <c r="F149" s="2087"/>
      <c r="G149" s="2087"/>
      <c r="H149" s="2087"/>
      <c r="I149" s="2087"/>
      <c r="J149" s="2087"/>
      <c r="K149" s="2087"/>
      <c r="L149" s="2087"/>
      <c r="M149" s="2087"/>
      <c r="N149" s="2087"/>
      <c r="P149" s="712"/>
    </row>
    <row r="150" spans="1:16">
      <c r="B150" s="2088" t="s">
        <v>6868</v>
      </c>
      <c r="C150" s="2087"/>
      <c r="D150" s="2087"/>
      <c r="E150" s="2087"/>
      <c r="F150" s="2087"/>
    </row>
    <row r="151" spans="1:16">
      <c r="B151" s="938" t="s">
        <v>5755</v>
      </c>
      <c r="C151" s="938" t="s">
        <v>6835</v>
      </c>
      <c r="D151" s="938" t="s">
        <v>6836</v>
      </c>
      <c r="E151" s="938" t="s">
        <v>6837</v>
      </c>
      <c r="F151" s="938" t="s">
        <v>6838</v>
      </c>
      <c r="G151" s="938" t="s">
        <v>6839</v>
      </c>
      <c r="H151" s="938" t="s">
        <v>6840</v>
      </c>
      <c r="I151" s="938" t="s">
        <v>6841</v>
      </c>
      <c r="J151" s="938" t="s">
        <v>6842</v>
      </c>
      <c r="K151" s="938" t="s">
        <v>6843</v>
      </c>
      <c r="L151" s="938" t="s">
        <v>6844</v>
      </c>
      <c r="M151" s="660"/>
      <c r="N151" s="660"/>
      <c r="O151" s="660"/>
      <c r="P151" s="660"/>
    </row>
    <row r="154" spans="1:16">
      <c r="A154" s="714"/>
      <c r="B154" s="2126" t="s">
        <v>7058</v>
      </c>
      <c r="C154" s="2127"/>
      <c r="D154" s="2127"/>
      <c r="E154" s="2127"/>
      <c r="F154" s="2127"/>
      <c r="G154" s="2127"/>
      <c r="H154" s="2127"/>
      <c r="I154" s="2127"/>
      <c r="J154" s="2127"/>
      <c r="K154" s="2127"/>
      <c r="L154" s="2127"/>
      <c r="M154" s="2127"/>
      <c r="N154" s="2127"/>
      <c r="O154" s="2127"/>
      <c r="P154" s="661"/>
    </row>
    <row r="155" spans="1:16">
      <c r="A155" s="714"/>
      <c r="B155" s="662" t="s">
        <v>7017</v>
      </c>
      <c r="C155" s="663" t="s">
        <v>143</v>
      </c>
      <c r="D155" s="663" t="s">
        <v>26</v>
      </c>
      <c r="E155" s="663" t="s">
        <v>25</v>
      </c>
      <c r="F155" s="663" t="s">
        <v>24</v>
      </c>
      <c r="G155" s="663" t="s">
        <v>23</v>
      </c>
      <c r="H155" s="663" t="s">
        <v>22</v>
      </c>
      <c r="I155" s="663" t="s">
        <v>21</v>
      </c>
      <c r="J155" s="663" t="s">
        <v>20</v>
      </c>
      <c r="K155" s="663" t="s">
        <v>256</v>
      </c>
      <c r="L155" s="663" t="s">
        <v>18</v>
      </c>
      <c r="M155" s="663" t="s">
        <v>17</v>
      </c>
      <c r="N155" s="663" t="s">
        <v>86</v>
      </c>
      <c r="O155" s="664" t="s">
        <v>67</v>
      </c>
      <c r="P155" s="665"/>
    </row>
    <row r="156" spans="1:16">
      <c r="A156" s="714"/>
      <c r="B156" s="666" t="s">
        <v>4397</v>
      </c>
      <c r="C156" s="671"/>
      <c r="D156" s="671"/>
      <c r="E156" s="671"/>
      <c r="F156" s="671"/>
      <c r="G156" s="671"/>
      <c r="H156" s="671"/>
      <c r="I156" s="671"/>
      <c r="J156" s="671"/>
      <c r="K156" s="671"/>
      <c r="L156" s="671"/>
      <c r="M156" s="671"/>
      <c r="N156" s="671"/>
      <c r="O156" s="668"/>
      <c r="P156" s="672"/>
    </row>
    <row r="157" spans="1:16">
      <c r="A157" s="714"/>
      <c r="B157" s="674" t="s">
        <v>4399</v>
      </c>
      <c r="C157" s="675"/>
      <c r="D157" s="675"/>
      <c r="E157" s="675"/>
      <c r="F157" s="675"/>
      <c r="G157" s="675"/>
      <c r="H157" s="675"/>
      <c r="I157" s="675"/>
      <c r="J157" s="675"/>
      <c r="K157" s="675"/>
      <c r="L157" s="675"/>
      <c r="M157" s="675"/>
      <c r="N157" s="675"/>
      <c r="O157" s="668">
        <f>SUM(C157:N157)</f>
        <v>0</v>
      </c>
      <c r="P157" s="672"/>
    </row>
    <row r="158" spans="1:16">
      <c r="A158" s="714"/>
      <c r="B158" s="674" t="s">
        <v>6850</v>
      </c>
      <c r="C158" s="675"/>
      <c r="D158" s="675"/>
      <c r="E158" s="675"/>
      <c r="F158" s="675"/>
      <c r="G158" s="675"/>
      <c r="H158" s="675"/>
      <c r="I158" s="675"/>
      <c r="J158" s="675"/>
      <c r="K158" s="675"/>
      <c r="L158" s="675"/>
      <c r="M158" s="675"/>
      <c r="N158" s="675"/>
      <c r="O158" s="668">
        <f>SUM(C158:N158)</f>
        <v>0</v>
      </c>
      <c r="P158" s="672"/>
    </row>
    <row r="159" spans="1:16">
      <c r="A159" s="714"/>
      <c r="B159" s="674" t="s">
        <v>5684</v>
      </c>
      <c r="C159" s="675"/>
      <c r="D159" s="675"/>
      <c r="E159" s="675"/>
      <c r="F159" s="675"/>
      <c r="G159" s="675"/>
      <c r="H159" s="675"/>
      <c r="I159" s="675"/>
      <c r="J159" s="675"/>
      <c r="K159" s="675"/>
      <c r="L159" s="675"/>
      <c r="M159" s="675"/>
      <c r="N159" s="675"/>
      <c r="O159" s="668">
        <f>SUM(C159:N159)</f>
        <v>0</v>
      </c>
      <c r="P159" s="672"/>
    </row>
    <row r="160" spans="1:16">
      <c r="A160" s="714"/>
      <c r="B160" s="674" t="s">
        <v>7052</v>
      </c>
      <c r="C160" s="675"/>
      <c r="D160" s="675"/>
      <c r="E160" s="675"/>
      <c r="F160" s="675"/>
      <c r="G160" s="675"/>
      <c r="H160" s="675"/>
      <c r="I160" s="675"/>
      <c r="J160" s="675"/>
      <c r="K160" s="675"/>
      <c r="L160" s="675"/>
      <c r="M160" s="675"/>
      <c r="N160" s="675"/>
      <c r="O160" s="668"/>
      <c r="P160" s="672"/>
    </row>
    <row r="161" spans="1:16">
      <c r="A161" s="714"/>
      <c r="B161" s="674" t="s">
        <v>7053</v>
      </c>
      <c r="C161" s="675"/>
      <c r="D161" s="675"/>
      <c r="E161" s="675"/>
      <c r="F161" s="675"/>
      <c r="G161" s="675"/>
      <c r="H161" s="675"/>
      <c r="I161" s="675"/>
      <c r="J161" s="675"/>
      <c r="K161" s="675"/>
      <c r="L161" s="675"/>
      <c r="M161" s="675"/>
      <c r="N161" s="675"/>
      <c r="O161" s="668"/>
      <c r="P161" s="672"/>
    </row>
    <row r="162" spans="1:16">
      <c r="A162" s="714"/>
      <c r="B162" s="674" t="s">
        <v>7054</v>
      </c>
      <c r="C162" s="675"/>
      <c r="D162" s="675"/>
      <c r="E162" s="675"/>
      <c r="F162" s="675"/>
      <c r="G162" s="675"/>
      <c r="H162" s="675"/>
      <c r="I162" s="675"/>
      <c r="J162" s="675"/>
      <c r="K162" s="675"/>
      <c r="L162" s="675"/>
      <c r="M162" s="675"/>
      <c r="N162" s="675"/>
      <c r="O162" s="668"/>
      <c r="P162" s="672"/>
    </row>
    <row r="163" spans="1:16">
      <c r="A163" s="714"/>
      <c r="B163" s="674" t="s">
        <v>7055</v>
      </c>
      <c r="C163" s="675"/>
      <c r="D163" s="675"/>
      <c r="E163" s="675"/>
      <c r="F163" s="675"/>
      <c r="G163" s="675"/>
      <c r="H163" s="675"/>
      <c r="I163" s="675"/>
      <c r="J163" s="675"/>
      <c r="K163" s="675"/>
      <c r="L163" s="675"/>
      <c r="M163" s="675"/>
      <c r="N163" s="675"/>
      <c r="O163" s="668"/>
      <c r="P163" s="672"/>
    </row>
    <row r="164" spans="1:16">
      <c r="A164" s="714"/>
      <c r="B164" s="674" t="s">
        <v>7056</v>
      </c>
      <c r="C164" s="675"/>
      <c r="D164" s="675"/>
      <c r="E164" s="675"/>
      <c r="F164" s="675"/>
      <c r="G164" s="675"/>
      <c r="H164" s="675"/>
      <c r="I164" s="675"/>
      <c r="J164" s="675"/>
      <c r="K164" s="675"/>
      <c r="L164" s="675"/>
      <c r="M164" s="675"/>
      <c r="N164" s="675"/>
      <c r="O164" s="668"/>
      <c r="P164" s="672"/>
    </row>
    <row r="165" spans="1:16">
      <c r="A165" s="714"/>
      <c r="B165" s="674" t="s">
        <v>5024</v>
      </c>
      <c r="C165" s="675"/>
      <c r="D165" s="675"/>
      <c r="E165" s="675"/>
      <c r="F165" s="675"/>
      <c r="G165" s="675"/>
      <c r="H165" s="675"/>
      <c r="I165" s="675"/>
      <c r="J165" s="675"/>
      <c r="K165" s="675"/>
      <c r="L165" s="675"/>
      <c r="M165" s="675"/>
      <c r="N165" s="675"/>
      <c r="O165" s="668"/>
      <c r="P165" s="672"/>
    </row>
    <row r="166" spans="1:16">
      <c r="A166" s="714"/>
      <c r="B166" s="674" t="s">
        <v>1125</v>
      </c>
      <c r="C166" s="675"/>
      <c r="D166" s="675"/>
      <c r="E166" s="675"/>
      <c r="F166" s="675"/>
      <c r="G166" s="675"/>
      <c r="H166" s="675"/>
      <c r="I166" s="675"/>
      <c r="J166" s="675"/>
      <c r="K166" s="675"/>
      <c r="L166" s="675"/>
      <c r="M166" s="675"/>
      <c r="N166" s="675"/>
      <c r="O166" s="668">
        <f>SUM(C166:N166)</f>
        <v>0</v>
      </c>
      <c r="P166" s="672"/>
    </row>
    <row r="167" spans="1:16">
      <c r="A167" s="714"/>
      <c r="B167" s="674" t="s">
        <v>7057</v>
      </c>
      <c r="C167" s="675"/>
      <c r="D167" s="675" t="s">
        <v>135</v>
      </c>
      <c r="E167" s="675"/>
      <c r="F167" s="675" t="s">
        <v>135</v>
      </c>
      <c r="G167" s="675"/>
      <c r="H167" s="675"/>
      <c r="I167" s="675"/>
      <c r="J167" s="675"/>
      <c r="K167" s="675"/>
      <c r="L167" s="675"/>
      <c r="M167" s="675"/>
      <c r="N167" s="675"/>
      <c r="O167" s="668">
        <f>SUM(C167:N167)</f>
        <v>0</v>
      </c>
      <c r="P167" s="672"/>
    </row>
    <row r="168" spans="1:16">
      <c r="A168" s="714"/>
      <c r="B168" s="689" t="s">
        <v>1126</v>
      </c>
      <c r="C168" s="690">
        <f t="shared" ref="C168:O168" si="30">SUM(C157:C167)</f>
        <v>0</v>
      </c>
      <c r="D168" s="690">
        <f t="shared" si="30"/>
        <v>0</v>
      </c>
      <c r="E168" s="690">
        <f t="shared" si="30"/>
        <v>0</v>
      </c>
      <c r="F168" s="690">
        <f t="shared" si="30"/>
        <v>0</v>
      </c>
      <c r="G168" s="690">
        <f t="shared" si="30"/>
        <v>0</v>
      </c>
      <c r="H168" s="690">
        <f t="shared" si="30"/>
        <v>0</v>
      </c>
      <c r="I168" s="690">
        <f t="shared" si="30"/>
        <v>0</v>
      </c>
      <c r="J168" s="690">
        <f t="shared" si="30"/>
        <v>0</v>
      </c>
      <c r="K168" s="690">
        <f t="shared" si="30"/>
        <v>0</v>
      </c>
      <c r="L168" s="690">
        <f t="shared" si="30"/>
        <v>0</v>
      </c>
      <c r="M168" s="690">
        <f t="shared" si="30"/>
        <v>0</v>
      </c>
      <c r="N168" s="690">
        <f t="shared" si="30"/>
        <v>0</v>
      </c>
      <c r="O168" s="995">
        <f t="shared" si="30"/>
        <v>0</v>
      </c>
      <c r="P168" s="691"/>
    </row>
    <row r="169" spans="1:16">
      <c r="A169" s="715"/>
      <c r="B169" s="692" t="s">
        <v>791</v>
      </c>
      <c r="C169" s="693" t="e">
        <f t="shared" ref="C169:O169" si="31">""-C168</f>
        <v>#VALUE!</v>
      </c>
      <c r="D169" s="693" t="e">
        <f t="shared" si="31"/>
        <v>#VALUE!</v>
      </c>
      <c r="E169" s="693" t="e">
        <f t="shared" si="31"/>
        <v>#VALUE!</v>
      </c>
      <c r="F169" s="693" t="e">
        <f t="shared" si="31"/>
        <v>#VALUE!</v>
      </c>
      <c r="G169" s="693" t="e">
        <f t="shared" si="31"/>
        <v>#VALUE!</v>
      </c>
      <c r="H169" s="693" t="e">
        <f t="shared" si="31"/>
        <v>#VALUE!</v>
      </c>
      <c r="I169" s="693" t="e">
        <f t="shared" si="31"/>
        <v>#VALUE!</v>
      </c>
      <c r="J169" s="693" t="e">
        <f t="shared" si="31"/>
        <v>#VALUE!</v>
      </c>
      <c r="K169" s="693" t="e">
        <f t="shared" si="31"/>
        <v>#VALUE!</v>
      </c>
      <c r="L169" s="693" t="e">
        <f t="shared" si="31"/>
        <v>#VALUE!</v>
      </c>
      <c r="M169" s="693" t="e">
        <f t="shared" si="31"/>
        <v>#VALUE!</v>
      </c>
      <c r="N169" s="693" t="e">
        <f t="shared" si="31"/>
        <v>#VALUE!</v>
      </c>
      <c r="O169" s="693" t="e">
        <f t="shared" si="31"/>
        <v>#VALUE!</v>
      </c>
      <c r="P169" s="694"/>
    </row>
    <row r="170" spans="1:16">
      <c r="B170" s="2130" t="s">
        <v>5766</v>
      </c>
      <c r="C170" s="2087"/>
      <c r="D170" s="2087"/>
      <c r="E170" s="2087"/>
      <c r="F170" s="2087"/>
      <c r="G170" s="2087"/>
      <c r="H170" s="2087"/>
      <c r="I170" s="2087"/>
      <c r="J170" s="2087"/>
      <c r="K170" s="2087"/>
      <c r="L170" s="2087"/>
      <c r="M170" s="2087"/>
      <c r="N170" s="2087"/>
      <c r="P170" s="712"/>
    </row>
    <row r="171" spans="1:16">
      <c r="B171" s="2088" t="s">
        <v>6868</v>
      </c>
      <c r="C171" s="2087"/>
      <c r="D171" s="2087"/>
      <c r="E171" s="2087"/>
      <c r="F171" s="2087"/>
    </row>
    <row r="172" spans="1:16">
      <c r="B172" s="938" t="s">
        <v>5755</v>
      </c>
      <c r="C172" s="938" t="s">
        <v>6835</v>
      </c>
      <c r="D172" s="938" t="s">
        <v>6836</v>
      </c>
      <c r="E172" s="938" t="s">
        <v>6837</v>
      </c>
      <c r="F172" s="938" t="s">
        <v>6838</v>
      </c>
      <c r="G172" s="938" t="s">
        <v>6839</v>
      </c>
      <c r="H172" s="938" t="s">
        <v>6840</v>
      </c>
      <c r="I172" s="938" t="s">
        <v>6841</v>
      </c>
      <c r="J172" s="938" t="s">
        <v>6842</v>
      </c>
      <c r="K172" s="938" t="s">
        <v>6843</v>
      </c>
      <c r="L172" s="938" t="s">
        <v>6844</v>
      </c>
      <c r="M172" s="660"/>
      <c r="N172" s="660"/>
      <c r="O172" s="660"/>
      <c r="P172" s="660"/>
    </row>
    <row r="179" spans="12:12">
      <c r="L179" s="9">
        <f>150000*6/100</f>
        <v>9000</v>
      </c>
    </row>
  </sheetData>
  <mergeCells count="17">
    <mergeCell ref="Q122:R122"/>
    <mergeCell ref="M131:N131"/>
    <mergeCell ref="B133:O133"/>
    <mergeCell ref="B149:N149"/>
    <mergeCell ref="B150:F150"/>
    <mergeCell ref="B76:O76"/>
    <mergeCell ref="B94:O94"/>
    <mergeCell ref="B154:O154"/>
    <mergeCell ref="B170:N170"/>
    <mergeCell ref="B171:F171"/>
    <mergeCell ref="B97:O97"/>
    <mergeCell ref="B114:O114"/>
    <mergeCell ref="B2:O2"/>
    <mergeCell ref="C24:F24"/>
    <mergeCell ref="B26:O26"/>
    <mergeCell ref="B48:O48"/>
    <mergeCell ref="B70:O70"/>
  </mergeCells>
  <hyperlinks>
    <hyperlink ref="B1" location="Accounts17!A1:P24" display="Laundry" xr:uid="{00000000-0004-0000-2400-000000000000}"/>
    <hyperlink ref="C1" location="Accounts17!A47:P65" display="344 21st" xr:uid="{00000000-0004-0000-2400-000001000000}"/>
    <hyperlink ref="D1" location="Accounts17!A67:P93" display="357 20th" xr:uid="{00000000-0004-0000-2400-000002000000}"/>
    <hyperlink ref="E1" location="Accounts17!A95:P114" display="243 18th" xr:uid="{00000000-0004-0000-2400-000003000000}"/>
    <hyperlink ref="F1" location="Accounts17!A116:P137" display="224-8 25th" xr:uid="{00000000-0004-0000-2400-000004000000}"/>
    <hyperlink ref="G1" location="Accounts17!A139:P154" display="297 26th" xr:uid="{00000000-0004-0000-2400-000005000000}"/>
    <hyperlink ref="H1" location="Accounts17!A156:P171" display="405 Wash" xr:uid="{00000000-0004-0000-2400-000006000000}"/>
    <hyperlink ref="I1" location="Accounts17!A173:P188" display="282 23rd" xr:uid="{00000000-0004-0000-2400-000007000000}"/>
    <hyperlink ref="J1" location="Accounts17!A190:P205" display="293 28th" xr:uid="{00000000-0004-0000-2400-000008000000}"/>
    <hyperlink ref="K1" location="Accounts17!A207:P224" display="Web" xr:uid="{00000000-0004-0000-2400-000009000000}"/>
    <hyperlink ref="L1" location="Accounts17!A226:P244" display="LaurelWood" xr:uid="{00000000-0004-0000-2400-00000A000000}"/>
    <hyperlink ref="B47" location="Accounts17!A1:P24" display="Laundry" xr:uid="{00000000-0004-0000-2400-00000B000000}"/>
    <hyperlink ref="C47" location="Accounts17!A47:P65" display="344 21st" xr:uid="{00000000-0004-0000-2400-00000C000000}"/>
    <hyperlink ref="D47" location="Accounts17!A67:P93" display="357 20th" xr:uid="{00000000-0004-0000-2400-00000D000000}"/>
    <hyperlink ref="E47" location="Accounts17!A95:P114" display="243 18th" xr:uid="{00000000-0004-0000-2400-00000E000000}"/>
    <hyperlink ref="F47" location="Accounts17!A116:P137" display="224-8 25th" xr:uid="{00000000-0004-0000-2400-00000F000000}"/>
    <hyperlink ref="G47" location="Accounts17!A139:P154" display="297 26th" xr:uid="{00000000-0004-0000-2400-000010000000}"/>
    <hyperlink ref="H47" location="Accounts17!A156:P171" display="405 Wash" xr:uid="{00000000-0004-0000-2400-000011000000}"/>
    <hyperlink ref="I47" location="Accounts17!A173:P188" display="282 23rd" xr:uid="{00000000-0004-0000-2400-000012000000}"/>
    <hyperlink ref="J47" location="Accounts17!A190:P205" display="293 28th" xr:uid="{00000000-0004-0000-2400-000013000000}"/>
    <hyperlink ref="K47" location="Accounts17!A207:P224" display="Web" xr:uid="{00000000-0004-0000-2400-000014000000}"/>
    <hyperlink ref="L47" location="Accounts17!A226:P244" display="LaurelWood" xr:uid="{00000000-0004-0000-2400-000015000000}"/>
    <hyperlink ref="B75" location="Accounts17!A1:P24" display="Laundry" xr:uid="{00000000-0004-0000-2400-000016000000}"/>
    <hyperlink ref="C75" location="Accounts17!A47:P65" display="344 21st" xr:uid="{00000000-0004-0000-2400-000017000000}"/>
    <hyperlink ref="D75" location="Accounts17!A67:P93" display="357 20th" xr:uid="{00000000-0004-0000-2400-000018000000}"/>
    <hyperlink ref="E75" location="Accounts17!A95:P114" display="243 18th" xr:uid="{00000000-0004-0000-2400-000019000000}"/>
    <hyperlink ref="F75" location="Accounts17!A116:P137" display="224-8 25th" xr:uid="{00000000-0004-0000-2400-00001A000000}"/>
    <hyperlink ref="G75" location="Accounts17!A139:P154" display="297 26th" xr:uid="{00000000-0004-0000-2400-00001B000000}"/>
    <hyperlink ref="H75" location="Accounts17!A156:P171" display="405 Wash" xr:uid="{00000000-0004-0000-2400-00001C000000}"/>
    <hyperlink ref="I75" location="Accounts17!A173:P188" display="282 23rd" xr:uid="{00000000-0004-0000-2400-00001D000000}"/>
    <hyperlink ref="J75" location="Accounts17!A190:P205" display="293 28th" xr:uid="{00000000-0004-0000-2400-00001E000000}"/>
    <hyperlink ref="K75" location="Accounts17!A207:P224" display="Web" xr:uid="{00000000-0004-0000-2400-00001F000000}"/>
    <hyperlink ref="L75" location="Accounts17!A226:P244" display="LaurelWood" xr:uid="{00000000-0004-0000-2400-000020000000}"/>
    <hyperlink ref="B96" location="Accounts17!A1:P24" display="Laundry" xr:uid="{00000000-0004-0000-2400-000021000000}"/>
    <hyperlink ref="C96" location="Accounts17!A47:P65" display="344 21st" xr:uid="{00000000-0004-0000-2400-000022000000}"/>
    <hyperlink ref="D96" location="Accounts17!A67:P93" display="357 20th" xr:uid="{00000000-0004-0000-2400-000023000000}"/>
    <hyperlink ref="E96" location="Accounts17!A95:P114" display="243 18th" xr:uid="{00000000-0004-0000-2400-000024000000}"/>
    <hyperlink ref="F96" location="Accounts17!A116:P137" display="224-8 25th" xr:uid="{00000000-0004-0000-2400-000025000000}"/>
    <hyperlink ref="G96" location="Accounts17!A139:P154" display="297 26th" xr:uid="{00000000-0004-0000-2400-000026000000}"/>
    <hyperlink ref="H96" location="Accounts17!A156:P171" display="405 Wash" xr:uid="{00000000-0004-0000-2400-000027000000}"/>
    <hyperlink ref="I96" location="Accounts17!A173:P188" display="282 23rd" xr:uid="{00000000-0004-0000-2400-000028000000}"/>
    <hyperlink ref="J96" location="Accounts17!A190:P205" display="293 28th" xr:uid="{00000000-0004-0000-2400-000029000000}"/>
    <hyperlink ref="K96" location="Accounts17!A207:P224" display="Web" xr:uid="{00000000-0004-0000-2400-00002A000000}"/>
    <hyperlink ref="L96" location="Accounts17!A226:P244" display="LaurelWood" xr:uid="{00000000-0004-0000-2400-00002B000000}"/>
    <hyperlink ref="B113" location="Accounts17!A1:P24" display="Laundry" xr:uid="{00000000-0004-0000-2400-00002C000000}"/>
    <hyperlink ref="C113" location="Accounts17!A47:P65" display="344 21st" xr:uid="{00000000-0004-0000-2400-00002D000000}"/>
    <hyperlink ref="D113" location="Accounts17!A67:P93" display="357 20th" xr:uid="{00000000-0004-0000-2400-00002E000000}"/>
    <hyperlink ref="E113" location="Accounts17!A95:P114" display="243 18th" xr:uid="{00000000-0004-0000-2400-00002F000000}"/>
    <hyperlink ref="F113" location="Accounts17!A116:P137" display="224-8 25th" xr:uid="{00000000-0004-0000-2400-000030000000}"/>
    <hyperlink ref="G113" location="Accounts17!A139:P154" display="297 26th" xr:uid="{00000000-0004-0000-2400-000031000000}"/>
    <hyperlink ref="H113" location="Accounts17!A156:P171" display="405 Wash" xr:uid="{00000000-0004-0000-2400-000032000000}"/>
    <hyperlink ref="I113" location="Accounts17!A173:P188" display="282 23rd" xr:uid="{00000000-0004-0000-2400-000033000000}"/>
    <hyperlink ref="J113" location="Accounts17!A190:P205" display="293 28th" xr:uid="{00000000-0004-0000-2400-000034000000}"/>
    <hyperlink ref="K113" location="Accounts17!A207:P224" display="Web" xr:uid="{00000000-0004-0000-2400-000035000000}"/>
    <hyperlink ref="L113" location="Accounts17!A226:P244" display="LaurelWood" xr:uid="{00000000-0004-0000-2400-000036000000}"/>
    <hyperlink ref="B132" location="Accounts17!A1:P24" display="Laundry" xr:uid="{00000000-0004-0000-2400-000037000000}"/>
    <hyperlink ref="C132" location="Accounts17!A47:P65" display="344 21st" xr:uid="{00000000-0004-0000-2400-000038000000}"/>
    <hyperlink ref="D132" location="Accounts17!A67:P93" display="357 20th" xr:uid="{00000000-0004-0000-2400-000039000000}"/>
    <hyperlink ref="E132" location="Accounts17!A95:P114" display="243 18th" xr:uid="{00000000-0004-0000-2400-00003A000000}"/>
    <hyperlink ref="F132" location="Accounts17!A116:P137" display="224-8 25th" xr:uid="{00000000-0004-0000-2400-00003B000000}"/>
    <hyperlink ref="G132" location="Accounts17!A139:P154" display="297 26th" xr:uid="{00000000-0004-0000-2400-00003C000000}"/>
    <hyperlink ref="H132" location="Accounts17!A156:P171" display="405 Wash" xr:uid="{00000000-0004-0000-2400-00003D000000}"/>
    <hyperlink ref="I132" location="Accounts17!A173:P188" display="282 23rd" xr:uid="{00000000-0004-0000-2400-00003E000000}"/>
    <hyperlink ref="J132" location="Accounts17!A190:P205" display="293 28th" xr:uid="{00000000-0004-0000-2400-00003F000000}"/>
    <hyperlink ref="K132" location="Accounts17!A207:P224" display="Web" xr:uid="{00000000-0004-0000-2400-000040000000}"/>
    <hyperlink ref="L132" location="Accounts17!A226:P244" display="LaurelWood" xr:uid="{00000000-0004-0000-2400-000041000000}"/>
    <hyperlink ref="B151" location="Accounts17!A1:P24" display="Laundry" xr:uid="{00000000-0004-0000-2400-000042000000}"/>
    <hyperlink ref="C151" location="Accounts17!A47:P65" display="344 21st" xr:uid="{00000000-0004-0000-2400-000043000000}"/>
    <hyperlink ref="D151" location="Accounts17!A67:P93" display="357 20th" xr:uid="{00000000-0004-0000-2400-000044000000}"/>
    <hyperlink ref="E151" location="Accounts17!A95:P114" display="243 18th" xr:uid="{00000000-0004-0000-2400-000045000000}"/>
    <hyperlink ref="F151" location="Accounts17!A116:P137" display="224-8 25th" xr:uid="{00000000-0004-0000-2400-000046000000}"/>
    <hyperlink ref="G151" location="Accounts17!A139:P154" display="297 26th" xr:uid="{00000000-0004-0000-2400-000047000000}"/>
    <hyperlink ref="H151" location="Accounts17!A156:P171" display="405 Wash" xr:uid="{00000000-0004-0000-2400-000048000000}"/>
    <hyperlink ref="I151" location="Accounts17!A173:P188" display="282 23rd" xr:uid="{00000000-0004-0000-2400-000049000000}"/>
    <hyperlink ref="J151" location="Accounts17!A190:P205" display="293 28th" xr:uid="{00000000-0004-0000-2400-00004A000000}"/>
    <hyperlink ref="K151" location="Accounts17!A207:P224" display="Web" xr:uid="{00000000-0004-0000-2400-00004B000000}"/>
    <hyperlink ref="L151" location="Accounts17!A226:P244" display="LaurelWood" xr:uid="{00000000-0004-0000-2400-00004C000000}"/>
    <hyperlink ref="B172" location="Accounts17!A1:P24" display="Laundry" xr:uid="{00000000-0004-0000-2400-00004D000000}"/>
    <hyperlink ref="C172" location="Accounts17!A47:P65" display="344 21st" xr:uid="{00000000-0004-0000-2400-00004E000000}"/>
    <hyperlink ref="D172" location="Accounts17!A67:P93" display="357 20th" xr:uid="{00000000-0004-0000-2400-00004F000000}"/>
    <hyperlink ref="E172" location="Accounts17!A95:P114" display="243 18th" xr:uid="{00000000-0004-0000-2400-000050000000}"/>
    <hyperlink ref="F172" location="Accounts17!A116:P137" display="224-8 25th" xr:uid="{00000000-0004-0000-2400-000051000000}"/>
    <hyperlink ref="G172" location="Accounts17!A139:P154" display="297 26th" xr:uid="{00000000-0004-0000-2400-000052000000}"/>
    <hyperlink ref="H172" location="Accounts17!A156:P171" display="405 Wash" xr:uid="{00000000-0004-0000-2400-000053000000}"/>
    <hyperlink ref="I172" location="Accounts17!A173:P188" display="282 23rd" xr:uid="{00000000-0004-0000-2400-000054000000}"/>
    <hyperlink ref="J172" location="Accounts17!A190:P205" display="293 28th" xr:uid="{00000000-0004-0000-2400-000055000000}"/>
    <hyperlink ref="K172" location="Accounts17!A207:P224" display="Web" xr:uid="{00000000-0004-0000-2400-000056000000}"/>
    <hyperlink ref="L172" location="Accounts17!A226:P244" display="LaurelWood" xr:uid="{00000000-0004-0000-2400-000057000000}"/>
  </hyperlink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outlinePr summaryBelow="0" summaryRight="0"/>
  </sheetPr>
  <dimension ref="A1:BZ205"/>
  <sheetViews>
    <sheetView workbookViewId="0"/>
  </sheetViews>
  <sheetFormatPr defaultColWidth="12.7109375" defaultRowHeight="12.75" customHeight="1"/>
  <cols>
    <col min="1" max="78" width="3.28515625" customWidth="1"/>
  </cols>
  <sheetData>
    <row r="1" spans="1:78" ht="12.75" customHeight="1">
      <c r="A1" s="2177" t="s">
        <v>7059</v>
      </c>
      <c r="B1" s="2087"/>
      <c r="C1" s="2087"/>
      <c r="D1" s="2087"/>
      <c r="E1" s="2087"/>
      <c r="F1" s="2087"/>
      <c r="G1" s="2087"/>
      <c r="H1" s="2087"/>
      <c r="I1" s="2087"/>
      <c r="J1" s="2087"/>
      <c r="K1" s="919"/>
      <c r="L1" s="919"/>
      <c r="M1" s="1003"/>
      <c r="N1" s="2178" t="s">
        <v>7060</v>
      </c>
      <c r="O1" s="2087"/>
      <c r="P1" s="2087"/>
      <c r="Q1" s="2087"/>
      <c r="R1" s="2087"/>
      <c r="S1" s="2087"/>
      <c r="T1" s="2087"/>
      <c r="U1" s="919"/>
      <c r="V1" s="1004"/>
      <c r="W1" s="919" t="s">
        <v>7061</v>
      </c>
      <c r="X1" s="919"/>
      <c r="Y1" s="919"/>
      <c r="Z1" s="1005"/>
      <c r="AA1" s="2179" t="s">
        <v>5695</v>
      </c>
      <c r="AB1" s="2087"/>
      <c r="AC1" s="2087"/>
      <c r="AD1" s="919"/>
      <c r="AE1" s="919"/>
      <c r="AF1" s="919"/>
      <c r="AG1" s="919"/>
      <c r="AH1" s="919"/>
      <c r="AI1" s="919"/>
      <c r="AJ1" s="919"/>
      <c r="AK1" s="919"/>
      <c r="AL1" s="919"/>
      <c r="AM1" s="919"/>
      <c r="AN1" s="919"/>
      <c r="AO1" s="919"/>
      <c r="AP1" s="920"/>
      <c r="AQ1" s="919"/>
    </row>
    <row r="2" spans="1:78">
      <c r="A2" s="2163" t="s">
        <v>7062</v>
      </c>
      <c r="B2" s="2087"/>
      <c r="C2" s="2087"/>
      <c r="D2" s="2087"/>
      <c r="E2" s="2087"/>
      <c r="F2" s="2087"/>
      <c r="G2" s="2087"/>
      <c r="H2" s="1006"/>
      <c r="I2" s="2163" t="s">
        <v>7063</v>
      </c>
      <c r="J2" s="2087"/>
      <c r="K2" s="2087"/>
      <c r="L2" s="2087"/>
      <c r="M2" s="2087"/>
      <c r="N2" s="2087"/>
      <c r="O2" s="2087"/>
      <c r="P2" s="1006"/>
      <c r="Q2" s="2163" t="s">
        <v>7064</v>
      </c>
      <c r="R2" s="2087"/>
      <c r="S2" s="2087"/>
      <c r="T2" s="2087"/>
      <c r="U2" s="2087"/>
      <c r="V2" s="2087"/>
      <c r="W2" s="2087"/>
      <c r="X2" s="1006"/>
      <c r="Y2" s="2163" t="s">
        <v>5774</v>
      </c>
      <c r="Z2" s="2087"/>
      <c r="AA2" s="2087"/>
      <c r="AB2" s="2087"/>
      <c r="AC2" s="2087"/>
      <c r="AD2" s="2087"/>
      <c r="AE2" s="2087"/>
      <c r="AF2" s="1006"/>
      <c r="AG2" s="1006"/>
      <c r="AH2" s="1006"/>
      <c r="AI2" s="1006"/>
      <c r="AJ2" s="1006"/>
      <c r="AK2" s="1006"/>
      <c r="AL2" s="1006"/>
      <c r="AM2" s="1006"/>
      <c r="AN2" s="1006"/>
      <c r="AO2" s="1006"/>
      <c r="AP2" s="1007"/>
      <c r="AQ2" s="1006"/>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row>
    <row r="3" spans="1:78">
      <c r="A3" s="1008" t="s">
        <v>7065</v>
      </c>
      <c r="B3" s="1008" t="s">
        <v>7066</v>
      </c>
      <c r="C3" s="1008" t="s">
        <v>7067</v>
      </c>
      <c r="D3" s="1008" t="s">
        <v>7068</v>
      </c>
      <c r="E3" s="1008" t="s">
        <v>7069</v>
      </c>
      <c r="F3" s="1008" t="s">
        <v>7070</v>
      </c>
      <c r="G3" s="1008" t="s">
        <v>7071</v>
      </c>
      <c r="H3" s="919"/>
      <c r="I3" s="1008" t="s">
        <v>7065</v>
      </c>
      <c r="J3" s="1008" t="s">
        <v>7066</v>
      </c>
      <c r="K3" s="1008" t="s">
        <v>7067</v>
      </c>
      <c r="L3" s="1008" t="s">
        <v>7068</v>
      </c>
      <c r="M3" s="1008" t="s">
        <v>7069</v>
      </c>
      <c r="N3" s="1008" t="s">
        <v>7070</v>
      </c>
      <c r="O3" s="1008" t="s">
        <v>7071</v>
      </c>
      <c r="P3" s="919"/>
      <c r="Q3" s="1008" t="s">
        <v>7065</v>
      </c>
      <c r="R3" s="1008" t="s">
        <v>7066</v>
      </c>
      <c r="S3" s="1008" t="s">
        <v>7067</v>
      </c>
      <c r="T3" s="1008" t="s">
        <v>7068</v>
      </c>
      <c r="U3" s="1008" t="s">
        <v>7069</v>
      </c>
      <c r="V3" s="1008" t="s">
        <v>7070</v>
      </c>
      <c r="W3" s="1008" t="s">
        <v>7071</v>
      </c>
      <c r="X3" s="919"/>
      <c r="Y3" s="1008" t="s">
        <v>7065</v>
      </c>
      <c r="Z3" s="1008" t="s">
        <v>7066</v>
      </c>
      <c r="AA3" s="1008" t="s">
        <v>7067</v>
      </c>
      <c r="AB3" s="1008" t="s">
        <v>7068</v>
      </c>
      <c r="AC3" s="1008" t="s">
        <v>7069</v>
      </c>
      <c r="AD3" s="1008" t="s">
        <v>7070</v>
      </c>
      <c r="AE3" s="1008" t="s">
        <v>7071</v>
      </c>
      <c r="AF3" s="919"/>
      <c r="AG3" s="919"/>
      <c r="AH3" s="919" t="s">
        <v>7072</v>
      </c>
      <c r="AI3" s="919"/>
      <c r="AJ3" s="919"/>
      <c r="AK3" s="919"/>
      <c r="AL3" s="919"/>
      <c r="AM3" s="919"/>
      <c r="AN3" s="919"/>
      <c r="AO3" s="919"/>
      <c r="AP3" s="920"/>
      <c r="AQ3" s="919"/>
    </row>
    <row r="4" spans="1:78">
      <c r="A4" s="1009"/>
      <c r="B4" s="919"/>
      <c r="C4" s="1010">
        <v>1</v>
      </c>
      <c r="D4" s="919">
        <v>2</v>
      </c>
      <c r="E4" s="919">
        <v>3</v>
      </c>
      <c r="F4" s="919">
        <v>4</v>
      </c>
      <c r="G4" s="1011">
        <v>5</v>
      </c>
      <c r="H4" s="919"/>
      <c r="I4" s="1012"/>
      <c r="J4" s="919"/>
      <c r="K4" s="919"/>
      <c r="L4" s="919"/>
      <c r="M4" s="919"/>
      <c r="N4" s="919">
        <v>1</v>
      </c>
      <c r="O4" s="1013">
        <v>2</v>
      </c>
      <c r="P4" s="919"/>
      <c r="Q4" s="919"/>
      <c r="R4" s="919"/>
      <c r="S4" s="919"/>
      <c r="T4" s="919"/>
      <c r="U4" s="919"/>
      <c r="V4" s="1003">
        <v>1</v>
      </c>
      <c r="W4" s="1003">
        <v>2</v>
      </c>
      <c r="X4" s="919"/>
      <c r="Y4" s="1014"/>
      <c r="Z4" s="919">
        <v>1</v>
      </c>
      <c r="AA4" s="1013">
        <v>2</v>
      </c>
      <c r="AB4" s="1013">
        <v>3</v>
      </c>
      <c r="AC4" s="1015">
        <v>4</v>
      </c>
      <c r="AD4" s="919">
        <v>5</v>
      </c>
      <c r="AE4" s="1016">
        <v>6</v>
      </c>
      <c r="AF4" s="919"/>
      <c r="AG4" s="919"/>
      <c r="AH4" s="919" t="s">
        <v>7073</v>
      </c>
      <c r="AI4" s="919"/>
      <c r="AJ4" s="2162">
        <v>43593</v>
      </c>
      <c r="AK4" s="2087"/>
      <c r="AL4" s="919"/>
      <c r="AM4" s="919"/>
      <c r="AN4" s="919"/>
      <c r="AO4" s="919"/>
      <c r="AP4" s="920"/>
      <c r="AQ4" s="919"/>
    </row>
    <row r="5" spans="1:78">
      <c r="A5" s="1009">
        <v>6</v>
      </c>
      <c r="B5" s="919">
        <v>7</v>
      </c>
      <c r="C5" s="919">
        <v>8</v>
      </c>
      <c r="D5" s="919">
        <v>9</v>
      </c>
      <c r="E5" s="919">
        <v>10</v>
      </c>
      <c r="F5" s="919">
        <v>11</v>
      </c>
      <c r="G5" s="1011">
        <v>12</v>
      </c>
      <c r="H5" s="919"/>
      <c r="I5" s="1015">
        <v>3</v>
      </c>
      <c r="J5" s="1003">
        <v>4</v>
      </c>
      <c r="K5" s="1003">
        <v>5</v>
      </c>
      <c r="L5" s="1003">
        <v>6</v>
      </c>
      <c r="M5" s="1003">
        <v>7</v>
      </c>
      <c r="N5" s="1003">
        <v>8</v>
      </c>
      <c r="O5" s="1003">
        <v>9</v>
      </c>
      <c r="P5" s="919"/>
      <c r="Q5" s="1003">
        <v>3</v>
      </c>
      <c r="R5" s="1003">
        <v>4</v>
      </c>
      <c r="S5" s="1017">
        <v>5</v>
      </c>
      <c r="T5" s="1017">
        <v>6</v>
      </c>
      <c r="U5" s="1017">
        <v>7</v>
      </c>
      <c r="V5" s="1017">
        <v>8</v>
      </c>
      <c r="W5" s="1018">
        <v>9</v>
      </c>
      <c r="X5" s="919"/>
      <c r="Y5" s="1014">
        <v>7</v>
      </c>
      <c r="Z5" s="919">
        <v>8</v>
      </c>
      <c r="AA5" s="919">
        <v>9</v>
      </c>
      <c r="AB5" s="919">
        <v>10</v>
      </c>
      <c r="AC5" s="919">
        <v>11</v>
      </c>
      <c r="AD5" s="919">
        <v>12</v>
      </c>
      <c r="AE5" s="1016">
        <v>13</v>
      </c>
      <c r="AF5" s="919"/>
      <c r="AG5" s="919"/>
      <c r="AH5" s="919" t="s">
        <v>7074</v>
      </c>
      <c r="AI5" s="919"/>
      <c r="AJ5" s="2162">
        <v>43623</v>
      </c>
      <c r="AK5" s="2087"/>
      <c r="AL5" s="919"/>
      <c r="AM5" s="919"/>
      <c r="AN5" s="919"/>
      <c r="AO5" s="919"/>
      <c r="AP5" s="920"/>
      <c r="AQ5" s="919"/>
    </row>
    <row r="6" spans="1:78">
      <c r="A6" s="1009">
        <v>13</v>
      </c>
      <c r="B6" s="919">
        <v>14</v>
      </c>
      <c r="C6" s="919">
        <v>15</v>
      </c>
      <c r="D6" s="919">
        <v>16</v>
      </c>
      <c r="E6" s="919">
        <v>17</v>
      </c>
      <c r="F6" s="919">
        <v>18</v>
      </c>
      <c r="G6" s="1011">
        <v>19</v>
      </c>
      <c r="H6" s="919"/>
      <c r="I6" s="1003">
        <v>10</v>
      </c>
      <c r="J6" s="1003">
        <v>11</v>
      </c>
      <c r="K6" s="1003">
        <v>12</v>
      </c>
      <c r="L6" s="1003">
        <v>13</v>
      </c>
      <c r="M6" s="1003">
        <v>14</v>
      </c>
      <c r="N6" s="1003">
        <v>15</v>
      </c>
      <c r="O6" s="1003">
        <v>16</v>
      </c>
      <c r="P6" s="919"/>
      <c r="Q6" s="1017">
        <v>10</v>
      </c>
      <c r="R6" s="1017">
        <v>11</v>
      </c>
      <c r="S6" s="1017">
        <v>12</v>
      </c>
      <c r="T6" s="919">
        <v>13</v>
      </c>
      <c r="U6" s="919">
        <v>14</v>
      </c>
      <c r="V6" s="919">
        <v>15</v>
      </c>
      <c r="W6" s="1019">
        <v>16</v>
      </c>
      <c r="X6" s="919"/>
      <c r="Y6" s="1014">
        <v>14</v>
      </c>
      <c r="Z6" s="919">
        <v>15</v>
      </c>
      <c r="AA6" s="919">
        <v>16</v>
      </c>
      <c r="AB6" s="919">
        <v>17</v>
      </c>
      <c r="AC6" s="919">
        <v>18</v>
      </c>
      <c r="AD6" s="919">
        <v>19</v>
      </c>
      <c r="AE6" s="1016">
        <v>20</v>
      </c>
      <c r="AF6" s="919"/>
      <c r="AG6" s="919"/>
      <c r="AH6" s="919"/>
      <c r="AI6" s="919"/>
      <c r="AJ6" s="919"/>
      <c r="AK6" s="919"/>
      <c r="AL6" s="919"/>
      <c r="AM6" s="919"/>
      <c r="AN6" s="919"/>
      <c r="AO6" s="919"/>
      <c r="AP6" s="920"/>
      <c r="AQ6" s="919"/>
    </row>
    <row r="7" spans="1:78">
      <c r="A7" s="1009">
        <v>20</v>
      </c>
      <c r="B7" s="1010">
        <v>21</v>
      </c>
      <c r="C7" s="1013">
        <v>22</v>
      </c>
      <c r="D7" s="919">
        <v>23</v>
      </c>
      <c r="E7" s="1013">
        <v>24</v>
      </c>
      <c r="F7" s="919">
        <v>25</v>
      </c>
      <c r="G7" s="1011">
        <v>26</v>
      </c>
      <c r="H7" s="919"/>
      <c r="I7" s="1003">
        <v>17</v>
      </c>
      <c r="J7" s="1003">
        <v>18</v>
      </c>
      <c r="K7" s="1003">
        <v>19</v>
      </c>
      <c r="L7" s="1003">
        <v>20</v>
      </c>
      <c r="M7" s="1003">
        <v>21</v>
      </c>
      <c r="N7" s="1003">
        <v>22</v>
      </c>
      <c r="O7" s="1003">
        <v>23</v>
      </c>
      <c r="P7" s="919"/>
      <c r="Q7" s="1020">
        <v>17</v>
      </c>
      <c r="R7" s="919">
        <v>18</v>
      </c>
      <c r="S7" s="919">
        <v>19</v>
      </c>
      <c r="T7" s="919">
        <v>20</v>
      </c>
      <c r="U7" s="1013">
        <v>21</v>
      </c>
      <c r="V7" s="919">
        <v>22</v>
      </c>
      <c r="W7" s="1019">
        <v>23</v>
      </c>
      <c r="X7" s="919"/>
      <c r="Y7" s="1014">
        <v>21</v>
      </c>
      <c r="Z7" s="919">
        <v>22</v>
      </c>
      <c r="AA7" s="919">
        <v>23</v>
      </c>
      <c r="AB7" s="919">
        <v>24</v>
      </c>
      <c r="AC7" s="919">
        <v>25</v>
      </c>
      <c r="AD7" s="919">
        <v>26</v>
      </c>
      <c r="AE7" s="1016">
        <v>27</v>
      </c>
      <c r="AF7" s="919"/>
      <c r="AG7" s="919"/>
      <c r="AH7" s="919"/>
      <c r="AI7" s="919"/>
      <c r="AJ7" s="919"/>
      <c r="AK7" s="919"/>
      <c r="AL7" s="919"/>
      <c r="AM7" s="919"/>
      <c r="AN7" s="919"/>
      <c r="AO7" s="919"/>
      <c r="AP7" s="920"/>
      <c r="AQ7" s="919"/>
    </row>
    <row r="8" spans="1:78">
      <c r="A8" s="1009">
        <v>27</v>
      </c>
      <c r="B8" s="919">
        <v>28</v>
      </c>
      <c r="C8" s="1013">
        <v>29</v>
      </c>
      <c r="D8" s="919">
        <v>30</v>
      </c>
      <c r="E8" s="1013">
        <v>31</v>
      </c>
      <c r="F8" s="919"/>
      <c r="G8" s="1011"/>
      <c r="H8" s="919"/>
      <c r="I8" s="1003">
        <v>24</v>
      </c>
      <c r="J8" s="1003">
        <v>25</v>
      </c>
      <c r="K8" s="1003">
        <v>26</v>
      </c>
      <c r="L8" s="1003">
        <v>27</v>
      </c>
      <c r="M8" s="1003">
        <v>28</v>
      </c>
      <c r="N8" s="919"/>
      <c r="O8" s="919"/>
      <c r="P8" s="919"/>
      <c r="Q8" s="1020">
        <v>24</v>
      </c>
      <c r="R8" s="919">
        <v>25</v>
      </c>
      <c r="S8" s="1013">
        <v>26</v>
      </c>
      <c r="T8" s="919">
        <v>27</v>
      </c>
      <c r="U8" s="1013">
        <v>28</v>
      </c>
      <c r="V8" s="919">
        <v>29</v>
      </c>
      <c r="W8" s="1019">
        <v>30</v>
      </c>
      <c r="X8" s="919"/>
      <c r="Y8" s="1014">
        <v>28</v>
      </c>
      <c r="Z8" s="919">
        <v>29</v>
      </c>
      <c r="AA8" s="919">
        <v>30</v>
      </c>
      <c r="AB8" s="919"/>
      <c r="AC8" s="919"/>
      <c r="AD8" s="919"/>
      <c r="AE8" s="1016"/>
      <c r="AF8" s="919"/>
      <c r="AG8" s="919"/>
      <c r="AH8" s="919" t="s">
        <v>7075</v>
      </c>
      <c r="AI8" s="919"/>
      <c r="AJ8" s="919"/>
      <c r="AK8" s="919"/>
      <c r="AL8" s="919"/>
      <c r="AM8" s="919"/>
      <c r="AN8" s="919"/>
      <c r="AO8" s="919"/>
      <c r="AP8" s="920"/>
      <c r="AQ8" s="919"/>
    </row>
    <row r="9" spans="1:78">
      <c r="A9" s="1021"/>
      <c r="B9" s="1022"/>
      <c r="C9" s="1022"/>
      <c r="D9" s="1022"/>
      <c r="E9" s="1022"/>
      <c r="F9" s="1022"/>
      <c r="G9" s="1023"/>
      <c r="H9" s="919"/>
      <c r="I9" s="1024"/>
      <c r="J9" s="1025"/>
      <c r="K9" s="1025"/>
      <c r="L9" s="1025"/>
      <c r="M9" s="1025"/>
      <c r="N9" s="1025"/>
      <c r="O9" s="1026"/>
      <c r="P9" s="919"/>
      <c r="Q9" s="1027">
        <v>31</v>
      </c>
      <c r="R9" s="1028"/>
      <c r="S9" s="1028"/>
      <c r="T9" s="1028"/>
      <c r="U9" s="1028"/>
      <c r="V9" s="1028"/>
      <c r="W9" s="1029"/>
      <c r="X9" s="919"/>
      <c r="Y9" s="1030"/>
      <c r="Z9" s="1031"/>
      <c r="AA9" s="1031"/>
      <c r="AB9" s="1031"/>
      <c r="AC9" s="1031"/>
      <c r="AD9" s="1031"/>
      <c r="AE9" s="1032"/>
      <c r="AF9" s="919"/>
      <c r="AG9" s="919"/>
      <c r="AH9" s="2162">
        <v>43613</v>
      </c>
      <c r="AI9" s="2087"/>
      <c r="AJ9" s="919"/>
      <c r="AK9" s="919"/>
      <c r="AL9" s="919"/>
      <c r="AM9" s="919"/>
      <c r="AN9" s="919"/>
      <c r="AO9" s="919"/>
      <c r="AP9" s="920"/>
      <c r="AQ9" s="919"/>
    </row>
    <row r="10" spans="1:78">
      <c r="A10" s="919"/>
      <c r="B10" s="919"/>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19"/>
      <c r="AA10" s="919"/>
      <c r="AB10" s="919"/>
      <c r="AC10" s="919"/>
      <c r="AD10" s="919"/>
      <c r="AE10" s="919"/>
      <c r="AF10" s="919"/>
      <c r="AG10" s="919"/>
      <c r="AH10" s="2162">
        <v>43621</v>
      </c>
      <c r="AI10" s="2087"/>
      <c r="AJ10" s="919"/>
      <c r="AK10" s="919"/>
      <c r="AL10" s="919"/>
      <c r="AM10" s="919"/>
      <c r="AN10" s="919"/>
      <c r="AO10" s="919"/>
      <c r="AP10" s="920"/>
      <c r="AQ10" s="919"/>
    </row>
    <row r="11" spans="1:78">
      <c r="A11" s="2163" t="s">
        <v>23</v>
      </c>
      <c r="B11" s="2087"/>
      <c r="C11" s="2087"/>
      <c r="D11" s="2087"/>
      <c r="E11" s="2087"/>
      <c r="F11" s="2087"/>
      <c r="G11" s="2087"/>
      <c r="H11" s="1006"/>
      <c r="I11" s="2163" t="s">
        <v>5832</v>
      </c>
      <c r="J11" s="2087"/>
      <c r="K11" s="2087"/>
      <c r="L11" s="2087"/>
      <c r="M11" s="2087"/>
      <c r="N11" s="2087"/>
      <c r="O11" s="2087"/>
      <c r="P11" s="1006"/>
      <c r="Q11" s="2163" t="s">
        <v>138</v>
      </c>
      <c r="R11" s="2087"/>
      <c r="S11" s="2087"/>
      <c r="T11" s="2087"/>
      <c r="U11" s="2087"/>
      <c r="V11" s="2087"/>
      <c r="W11" s="2087"/>
      <c r="X11" s="1006"/>
      <c r="Y11" s="2163" t="s">
        <v>5839</v>
      </c>
      <c r="Z11" s="2087"/>
      <c r="AA11" s="2087"/>
      <c r="AB11" s="2087"/>
      <c r="AC11" s="2087"/>
      <c r="AD11" s="2087"/>
      <c r="AE11" s="2087"/>
      <c r="AF11" s="1006"/>
      <c r="AG11" s="1006"/>
      <c r="AH11" s="2162">
        <v>43656</v>
      </c>
      <c r="AI11" s="2087"/>
      <c r="AJ11" s="1006"/>
      <c r="AK11" s="1006"/>
      <c r="AL11" s="1006"/>
      <c r="AM11" s="1006"/>
      <c r="AN11" s="1006"/>
      <c r="AO11" s="1006"/>
      <c r="AP11" s="1007"/>
      <c r="AQ11" s="1006"/>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row>
    <row r="12" spans="1:78">
      <c r="A12" s="1008" t="s">
        <v>7065</v>
      </c>
      <c r="B12" s="1008" t="s">
        <v>7066</v>
      </c>
      <c r="C12" s="1008" t="s">
        <v>7067</v>
      </c>
      <c r="D12" s="1008" t="s">
        <v>7068</v>
      </c>
      <c r="E12" s="1008" t="s">
        <v>7069</v>
      </c>
      <c r="F12" s="1008" t="s">
        <v>7070</v>
      </c>
      <c r="G12" s="1008" t="s">
        <v>7071</v>
      </c>
      <c r="H12" s="919"/>
      <c r="I12" s="1008" t="s">
        <v>7065</v>
      </c>
      <c r="J12" s="1008" t="s">
        <v>7066</v>
      </c>
      <c r="K12" s="1008" t="s">
        <v>7067</v>
      </c>
      <c r="L12" s="1008" t="s">
        <v>7068</v>
      </c>
      <c r="M12" s="1008" t="s">
        <v>7069</v>
      </c>
      <c r="N12" s="1008" t="s">
        <v>7070</v>
      </c>
      <c r="O12" s="1008" t="s">
        <v>7071</v>
      </c>
      <c r="P12" s="919"/>
      <c r="Q12" s="1008" t="s">
        <v>7065</v>
      </c>
      <c r="R12" s="1008" t="s">
        <v>7066</v>
      </c>
      <c r="S12" s="1008" t="s">
        <v>7067</v>
      </c>
      <c r="T12" s="1008" t="s">
        <v>7068</v>
      </c>
      <c r="U12" s="1008" t="s">
        <v>7069</v>
      </c>
      <c r="V12" s="1008" t="s">
        <v>7070</v>
      </c>
      <c r="W12" s="1008" t="s">
        <v>7071</v>
      </c>
      <c r="X12" s="919"/>
      <c r="Y12" s="1008" t="s">
        <v>7065</v>
      </c>
      <c r="Z12" s="1008" t="s">
        <v>7066</v>
      </c>
      <c r="AA12" s="1008" t="s">
        <v>7067</v>
      </c>
      <c r="AB12" s="1008" t="s">
        <v>7068</v>
      </c>
      <c r="AC12" s="1008" t="s">
        <v>7069</v>
      </c>
      <c r="AD12" s="1008" t="s">
        <v>7070</v>
      </c>
      <c r="AE12" s="1008" t="s">
        <v>7071</v>
      </c>
      <c r="AF12" s="919"/>
      <c r="AG12" s="919"/>
      <c r="AH12" s="919"/>
      <c r="AI12" s="919"/>
      <c r="AJ12" s="919"/>
      <c r="AK12" s="919"/>
      <c r="AL12" s="919"/>
      <c r="AM12" s="919"/>
      <c r="AN12" s="919"/>
      <c r="AO12" s="919"/>
      <c r="AP12" s="920"/>
      <c r="AQ12" s="919"/>
    </row>
    <row r="13" spans="1:78">
      <c r="A13" s="1033"/>
      <c r="B13" s="919"/>
      <c r="C13" s="919"/>
      <c r="D13" s="919">
        <v>1</v>
      </c>
      <c r="E13" s="919">
        <v>2</v>
      </c>
      <c r="F13" s="919">
        <v>3</v>
      </c>
      <c r="G13" s="1034">
        <v>4</v>
      </c>
      <c r="H13" s="919"/>
      <c r="I13" s="1004"/>
      <c r="J13" s="1004"/>
      <c r="K13" s="1004"/>
      <c r="L13" s="1004"/>
      <c r="M13" s="1004"/>
      <c r="N13" s="1004"/>
      <c r="O13" s="1004">
        <v>1</v>
      </c>
      <c r="P13" s="919"/>
      <c r="Q13" s="1035"/>
      <c r="R13" s="919">
        <v>1</v>
      </c>
      <c r="S13" s="919">
        <v>2</v>
      </c>
      <c r="T13" s="919">
        <v>3</v>
      </c>
      <c r="U13" s="1010">
        <v>4</v>
      </c>
      <c r="V13" s="919">
        <v>5</v>
      </c>
      <c r="W13" s="1036">
        <v>6</v>
      </c>
      <c r="X13" s="919"/>
      <c r="Y13" s="1037"/>
      <c r="Z13" s="919"/>
      <c r="AA13" s="919"/>
      <c r="AB13" s="919"/>
      <c r="AC13" s="1005">
        <v>1</v>
      </c>
      <c r="AD13" s="1005">
        <v>2</v>
      </c>
      <c r="AE13" s="1038">
        <v>3</v>
      </c>
      <c r="AF13" s="919"/>
      <c r="AG13" s="919"/>
      <c r="AH13" s="919"/>
      <c r="AI13" s="919"/>
      <c r="AJ13" s="919"/>
      <c r="AK13" s="919"/>
      <c r="AL13" s="919"/>
      <c r="AM13" s="919"/>
      <c r="AN13" s="919"/>
      <c r="AO13" s="919"/>
      <c r="AP13" s="920"/>
      <c r="AQ13" s="919"/>
    </row>
    <row r="14" spans="1:78">
      <c r="A14" s="1033">
        <v>5</v>
      </c>
      <c r="B14" s="1039">
        <v>6</v>
      </c>
      <c r="C14" s="1039">
        <v>7</v>
      </c>
      <c r="D14" s="1013">
        <v>8</v>
      </c>
      <c r="E14" s="1013">
        <v>9</v>
      </c>
      <c r="F14" s="1005">
        <v>10</v>
      </c>
      <c r="G14" s="1040">
        <v>11</v>
      </c>
      <c r="H14" s="919"/>
      <c r="I14" s="1004">
        <v>2</v>
      </c>
      <c r="J14" s="1013">
        <v>3</v>
      </c>
      <c r="K14" s="1013">
        <v>4</v>
      </c>
      <c r="L14" s="1013">
        <v>5</v>
      </c>
      <c r="M14" s="1013">
        <v>6</v>
      </c>
      <c r="N14" s="1013">
        <v>7</v>
      </c>
      <c r="O14" s="1041">
        <v>8</v>
      </c>
      <c r="P14" s="919"/>
      <c r="Q14" s="1035">
        <v>7</v>
      </c>
      <c r="R14" s="919">
        <v>8</v>
      </c>
      <c r="S14" s="919">
        <v>9</v>
      </c>
      <c r="T14" s="919">
        <v>10</v>
      </c>
      <c r="U14" s="919">
        <v>11</v>
      </c>
      <c r="V14" s="919">
        <v>12</v>
      </c>
      <c r="W14" s="1036">
        <v>13</v>
      </c>
      <c r="X14" s="919"/>
      <c r="Y14" s="1042">
        <v>4</v>
      </c>
      <c r="Z14" s="1005">
        <v>5</v>
      </c>
      <c r="AA14" s="1005">
        <v>6</v>
      </c>
      <c r="AB14" s="1005">
        <v>7</v>
      </c>
      <c r="AC14" s="1005">
        <v>8</v>
      </c>
      <c r="AD14" s="1005">
        <v>9</v>
      </c>
      <c r="AE14" s="1038">
        <v>10</v>
      </c>
      <c r="AF14" s="919"/>
      <c r="AG14" s="919"/>
      <c r="AH14" s="919"/>
      <c r="AI14" s="919"/>
      <c r="AJ14" s="919"/>
      <c r="AK14" s="919"/>
      <c r="AL14" s="919"/>
      <c r="AM14" s="919"/>
      <c r="AN14" s="919"/>
      <c r="AO14" s="919"/>
      <c r="AP14" s="920"/>
      <c r="AQ14" s="919"/>
    </row>
    <row r="15" spans="1:78">
      <c r="A15" s="1005">
        <v>12</v>
      </c>
      <c r="B15" s="1005">
        <v>13</v>
      </c>
      <c r="C15" s="1005">
        <v>14</v>
      </c>
      <c r="D15" s="1005">
        <v>15</v>
      </c>
      <c r="E15" s="1005">
        <v>16</v>
      </c>
      <c r="F15" s="1005">
        <v>17</v>
      </c>
      <c r="G15" s="1013">
        <v>18</v>
      </c>
      <c r="H15" s="919"/>
      <c r="I15" s="1043">
        <v>9</v>
      </c>
      <c r="J15" s="919">
        <v>10</v>
      </c>
      <c r="K15" s="919">
        <v>11</v>
      </c>
      <c r="L15" s="919">
        <v>12</v>
      </c>
      <c r="M15" s="919">
        <v>13</v>
      </c>
      <c r="N15" s="919">
        <v>14</v>
      </c>
      <c r="O15" s="1041">
        <v>15</v>
      </c>
      <c r="P15" s="919"/>
      <c r="Q15" s="1035">
        <v>14</v>
      </c>
      <c r="R15" s="919">
        <v>15</v>
      </c>
      <c r="S15" s="919">
        <v>16</v>
      </c>
      <c r="T15" s="919">
        <v>17</v>
      </c>
      <c r="U15" s="919">
        <v>18</v>
      </c>
      <c r="V15" s="919">
        <v>19</v>
      </c>
      <c r="W15" s="1036">
        <v>20</v>
      </c>
      <c r="X15" s="919"/>
      <c r="Y15" s="1042">
        <v>11</v>
      </c>
      <c r="Z15" s="1005">
        <v>12</v>
      </c>
      <c r="AA15" s="1005">
        <v>13</v>
      </c>
      <c r="AB15" s="1005">
        <v>14</v>
      </c>
      <c r="AC15" s="1005">
        <v>15</v>
      </c>
      <c r="AD15" s="1005">
        <v>16</v>
      </c>
      <c r="AE15" s="1038">
        <v>17</v>
      </c>
      <c r="AF15" s="919"/>
      <c r="AG15" s="919"/>
      <c r="AH15" s="919"/>
      <c r="AI15" s="919"/>
      <c r="AJ15" s="919"/>
      <c r="AK15" s="919"/>
      <c r="AL15" s="919"/>
      <c r="AM15" s="919"/>
      <c r="AN15" s="919"/>
      <c r="AO15" s="919"/>
      <c r="AP15" s="920"/>
      <c r="AQ15" s="919"/>
    </row>
    <row r="16" spans="1:78" ht="15">
      <c r="A16" s="1013">
        <v>19</v>
      </c>
      <c r="B16" s="1013">
        <v>20</v>
      </c>
      <c r="C16" s="1013">
        <v>21</v>
      </c>
      <c r="D16" s="1013">
        <v>22</v>
      </c>
      <c r="E16" s="1013">
        <v>23</v>
      </c>
      <c r="F16" s="1013">
        <v>24</v>
      </c>
      <c r="G16" s="1004">
        <v>25</v>
      </c>
      <c r="H16" s="919"/>
      <c r="I16" s="1043">
        <v>16</v>
      </c>
      <c r="J16" s="919">
        <v>17</v>
      </c>
      <c r="K16" s="919">
        <v>18</v>
      </c>
      <c r="L16" s="1044">
        <v>19</v>
      </c>
      <c r="M16" s="919">
        <v>20</v>
      </c>
      <c r="N16" s="919">
        <v>21</v>
      </c>
      <c r="O16" s="1041">
        <v>22</v>
      </c>
      <c r="P16" s="919"/>
      <c r="Q16" s="1035">
        <v>21</v>
      </c>
      <c r="R16" s="919">
        <v>22</v>
      </c>
      <c r="S16" s="919">
        <v>23</v>
      </c>
      <c r="T16" s="919">
        <v>24</v>
      </c>
      <c r="U16" s="919">
        <v>25</v>
      </c>
      <c r="V16" s="919">
        <v>26</v>
      </c>
      <c r="W16" s="1036">
        <v>27</v>
      </c>
      <c r="X16" s="919"/>
      <c r="Y16" s="1042">
        <v>18</v>
      </c>
      <c r="Z16" s="1005">
        <v>19</v>
      </c>
      <c r="AA16" s="1005">
        <v>20</v>
      </c>
      <c r="AB16" s="1005">
        <v>21</v>
      </c>
      <c r="AC16" s="1005">
        <v>22</v>
      </c>
      <c r="AD16" s="1005">
        <v>23</v>
      </c>
      <c r="AE16" s="1038">
        <v>24</v>
      </c>
      <c r="AF16" s="919"/>
      <c r="AG16" s="919"/>
      <c r="AH16" s="919"/>
      <c r="AI16" s="919"/>
      <c r="AJ16" s="919"/>
      <c r="AK16" s="919"/>
      <c r="AL16" s="919"/>
      <c r="AM16" s="919"/>
      <c r="AN16" s="919"/>
      <c r="AO16" s="919"/>
      <c r="AP16" s="920"/>
      <c r="AQ16" s="919"/>
    </row>
    <row r="17" spans="1:78">
      <c r="A17" s="1004">
        <v>26</v>
      </c>
      <c r="B17" s="1004">
        <v>27</v>
      </c>
      <c r="C17" s="1004">
        <v>28</v>
      </c>
      <c r="D17" s="1004">
        <v>29</v>
      </c>
      <c r="E17" s="1004">
        <v>30</v>
      </c>
      <c r="F17" s="1004">
        <v>31</v>
      </c>
      <c r="G17" s="1004"/>
      <c r="H17" s="919"/>
      <c r="I17" s="1043">
        <v>23</v>
      </c>
      <c r="J17" s="919">
        <v>24</v>
      </c>
      <c r="K17" s="919">
        <v>25</v>
      </c>
      <c r="L17" s="919">
        <v>26</v>
      </c>
      <c r="M17" s="919">
        <v>27</v>
      </c>
      <c r="N17" s="919">
        <v>28</v>
      </c>
      <c r="O17" s="1041">
        <v>29</v>
      </c>
      <c r="P17" s="919"/>
      <c r="Q17" s="1035">
        <v>28</v>
      </c>
      <c r="R17" s="1005">
        <v>29</v>
      </c>
      <c r="S17" s="1005">
        <v>30</v>
      </c>
      <c r="T17" s="1005">
        <v>31</v>
      </c>
      <c r="U17" s="919"/>
      <c r="V17" s="919"/>
      <c r="W17" s="1036"/>
      <c r="X17" s="919"/>
      <c r="Y17" s="1042">
        <v>25</v>
      </c>
      <c r="Z17" s="1005">
        <v>26</v>
      </c>
      <c r="AA17" s="1005">
        <v>27</v>
      </c>
      <c r="AB17" s="1005">
        <v>28</v>
      </c>
      <c r="AC17" s="1005">
        <v>29</v>
      </c>
      <c r="AD17" s="1005">
        <v>30</v>
      </c>
      <c r="AE17" s="1038">
        <v>31</v>
      </c>
      <c r="AF17" s="919"/>
      <c r="AG17" s="919"/>
      <c r="AH17" s="919"/>
      <c r="AI17" s="919"/>
      <c r="AJ17" s="919"/>
      <c r="AK17" s="919"/>
      <c r="AL17" s="919"/>
      <c r="AM17" s="919"/>
      <c r="AN17" s="919"/>
      <c r="AO17" s="919"/>
      <c r="AP17" s="920"/>
      <c r="AQ17" s="919"/>
    </row>
    <row r="18" spans="1:78">
      <c r="A18" s="1045" t="s">
        <v>7076</v>
      </c>
      <c r="B18" s="1046"/>
      <c r="C18" s="1046"/>
      <c r="D18" s="1046"/>
      <c r="E18" s="1046"/>
      <c r="F18" s="1046"/>
      <c r="G18" s="1047"/>
      <c r="H18" s="919"/>
      <c r="I18" s="1048">
        <v>30</v>
      </c>
      <c r="J18" s="1049"/>
      <c r="K18" s="1049"/>
      <c r="L18" s="1049"/>
      <c r="M18" s="1049"/>
      <c r="N18" s="1049"/>
      <c r="O18" s="1050"/>
      <c r="P18" s="919"/>
      <c r="Q18" s="1051"/>
      <c r="R18" s="1052"/>
      <c r="S18" s="1052"/>
      <c r="T18" s="1052"/>
      <c r="U18" s="1052"/>
      <c r="V18" s="1052"/>
      <c r="W18" s="1053"/>
      <c r="X18" s="919"/>
      <c r="Y18" s="1054"/>
      <c r="Z18" s="1055"/>
      <c r="AA18" s="1055"/>
      <c r="AB18" s="1055"/>
      <c r="AC18" s="1055"/>
      <c r="AD18" s="1055"/>
      <c r="AE18" s="1056"/>
      <c r="AF18" s="919"/>
      <c r="AG18" s="919"/>
      <c r="AH18" s="919"/>
      <c r="AI18" s="919"/>
      <c r="AJ18" s="919"/>
      <c r="AK18" s="919"/>
      <c r="AL18" s="919"/>
      <c r="AM18" s="919"/>
      <c r="AN18" s="919"/>
      <c r="AO18" s="919"/>
      <c r="AP18" s="920"/>
      <c r="AQ18" s="919"/>
    </row>
    <row r="19" spans="1:78">
      <c r="A19" s="919"/>
      <c r="B19" s="919"/>
      <c r="C19" s="919"/>
      <c r="D19" s="919"/>
      <c r="E19" s="919"/>
      <c r="F19" s="919"/>
      <c r="G19" s="919"/>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9"/>
      <c r="AF19" s="919"/>
      <c r="AG19" s="919"/>
      <c r="AH19" s="919"/>
      <c r="AI19" s="919"/>
      <c r="AJ19" s="919"/>
      <c r="AK19" s="919"/>
      <c r="AL19" s="919"/>
      <c r="AM19" s="919"/>
      <c r="AN19" s="919"/>
      <c r="AO19" s="919"/>
      <c r="AP19" s="920"/>
      <c r="AQ19" s="919"/>
    </row>
    <row r="20" spans="1:78">
      <c r="A20" s="2163" t="s">
        <v>7077</v>
      </c>
      <c r="B20" s="2087"/>
      <c r="C20" s="2087"/>
      <c r="D20" s="2087"/>
      <c r="E20" s="2087"/>
      <c r="F20" s="2087"/>
      <c r="G20" s="2087"/>
      <c r="H20" s="1006"/>
      <c r="I20" s="2163" t="s">
        <v>7078</v>
      </c>
      <c r="J20" s="2087"/>
      <c r="K20" s="2087"/>
      <c r="L20" s="2087"/>
      <c r="M20" s="2087"/>
      <c r="N20" s="2087"/>
      <c r="O20" s="2087"/>
      <c r="P20" s="1006"/>
      <c r="Q20" s="2163" t="s">
        <v>7079</v>
      </c>
      <c r="R20" s="2087"/>
      <c r="S20" s="2087"/>
      <c r="T20" s="2087"/>
      <c r="U20" s="2087"/>
      <c r="V20" s="2087"/>
      <c r="W20" s="2087"/>
      <c r="X20" s="1006"/>
      <c r="Y20" s="2163" t="s">
        <v>6628</v>
      </c>
      <c r="Z20" s="2087"/>
      <c r="AA20" s="2087"/>
      <c r="AB20" s="2087"/>
      <c r="AC20" s="2087"/>
      <c r="AD20" s="2087"/>
      <c r="AE20" s="2087"/>
      <c r="AF20" s="1006"/>
      <c r="AG20" s="1006"/>
      <c r="AH20" s="1006"/>
      <c r="AI20" s="1006"/>
      <c r="AJ20" s="1006"/>
      <c r="AK20" s="1006"/>
      <c r="AL20" s="1006"/>
      <c r="AM20" s="1006"/>
      <c r="AN20" s="1006"/>
      <c r="AO20" s="1006"/>
      <c r="AP20" s="1007"/>
      <c r="AQ20" s="1006"/>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row>
    <row r="21" spans="1:78">
      <c r="A21" s="1008" t="s">
        <v>7065</v>
      </c>
      <c r="B21" s="1008" t="s">
        <v>7066</v>
      </c>
      <c r="C21" s="1008" t="s">
        <v>7067</v>
      </c>
      <c r="D21" s="1008" t="s">
        <v>7068</v>
      </c>
      <c r="E21" s="1008" t="s">
        <v>7069</v>
      </c>
      <c r="F21" s="1008" t="s">
        <v>7070</v>
      </c>
      <c r="G21" s="1008" t="s">
        <v>7071</v>
      </c>
      <c r="H21" s="919"/>
      <c r="I21" s="1008" t="s">
        <v>7065</v>
      </c>
      <c r="J21" s="1008" t="s">
        <v>7066</v>
      </c>
      <c r="K21" s="1008" t="s">
        <v>7067</v>
      </c>
      <c r="L21" s="1008" t="s">
        <v>7068</v>
      </c>
      <c r="M21" s="1008" t="s">
        <v>7069</v>
      </c>
      <c r="N21" s="1008" t="s">
        <v>7070</v>
      </c>
      <c r="O21" s="1008" t="s">
        <v>7071</v>
      </c>
      <c r="P21" s="919"/>
      <c r="Q21" s="1008" t="s">
        <v>7065</v>
      </c>
      <c r="R21" s="1008" t="s">
        <v>7066</v>
      </c>
      <c r="S21" s="1008" t="s">
        <v>7067</v>
      </c>
      <c r="T21" s="1008" t="s">
        <v>7068</v>
      </c>
      <c r="U21" s="1008" t="s">
        <v>7069</v>
      </c>
      <c r="V21" s="1008" t="s">
        <v>7070</v>
      </c>
      <c r="W21" s="1008" t="s">
        <v>7071</v>
      </c>
      <c r="X21" s="919"/>
      <c r="Y21" s="1008" t="s">
        <v>7065</v>
      </c>
      <c r="Z21" s="1008" t="s">
        <v>7066</v>
      </c>
      <c r="AA21" s="1008" t="s">
        <v>7067</v>
      </c>
      <c r="AB21" s="1008" t="s">
        <v>7068</v>
      </c>
      <c r="AC21" s="1008" t="s">
        <v>7069</v>
      </c>
      <c r="AD21" s="1008" t="s">
        <v>7070</v>
      </c>
      <c r="AE21" s="1008" t="s">
        <v>7071</v>
      </c>
      <c r="AF21" s="919"/>
      <c r="AG21" s="919"/>
      <c r="AH21" s="919"/>
      <c r="AI21" s="919"/>
      <c r="AJ21" s="919"/>
      <c r="AK21" s="919"/>
      <c r="AL21" s="919"/>
      <c r="AM21" s="919"/>
      <c r="AN21" s="919"/>
      <c r="AO21" s="919"/>
      <c r="AP21" s="920"/>
      <c r="AQ21" s="919"/>
    </row>
    <row r="22" spans="1:78">
      <c r="A22" s="1057">
        <v>1</v>
      </c>
      <c r="B22" s="1005">
        <v>2</v>
      </c>
      <c r="C22" s="1005">
        <v>3</v>
      </c>
      <c r="D22" s="1005">
        <v>4</v>
      </c>
      <c r="E22" s="1005">
        <v>5</v>
      </c>
      <c r="F22" s="1005">
        <v>6</v>
      </c>
      <c r="G22" s="1058">
        <v>7</v>
      </c>
      <c r="H22" s="919"/>
      <c r="I22" s="1059" t="s">
        <v>7080</v>
      </c>
      <c r="J22" s="919"/>
      <c r="K22" s="1060">
        <v>1</v>
      </c>
      <c r="L22" s="1060">
        <v>2</v>
      </c>
      <c r="M22" s="1015">
        <v>3</v>
      </c>
      <c r="N22" s="919">
        <v>4</v>
      </c>
      <c r="O22" s="1061">
        <v>5</v>
      </c>
      <c r="P22" s="919"/>
      <c r="Q22" s="1062"/>
      <c r="R22" s="919"/>
      <c r="S22" s="919"/>
      <c r="T22" s="919"/>
      <c r="U22" s="919"/>
      <c r="V22" s="919">
        <v>1</v>
      </c>
      <c r="W22" s="1063">
        <v>2</v>
      </c>
      <c r="X22" s="919"/>
      <c r="Y22" s="1064">
        <v>1</v>
      </c>
      <c r="Z22" s="919">
        <v>2</v>
      </c>
      <c r="AA22" s="1060">
        <v>3</v>
      </c>
      <c r="AB22" s="1060">
        <v>4</v>
      </c>
      <c r="AC22" s="1015">
        <v>5</v>
      </c>
      <c r="AD22" s="919">
        <v>6</v>
      </c>
      <c r="AE22" s="1065">
        <v>7</v>
      </c>
      <c r="AF22" s="919"/>
      <c r="AG22" s="919"/>
      <c r="AH22" s="919"/>
      <c r="AI22" s="919"/>
      <c r="AJ22" s="919"/>
      <c r="AK22" s="919"/>
      <c r="AL22" s="919"/>
      <c r="AM22" s="919"/>
      <c r="AN22" s="919"/>
      <c r="AO22" s="919"/>
      <c r="AP22" s="920"/>
      <c r="AQ22" s="919"/>
    </row>
    <row r="23" spans="1:78">
      <c r="A23" s="1057">
        <v>8</v>
      </c>
      <c r="B23" s="1005">
        <v>9</v>
      </c>
      <c r="C23" s="1005">
        <v>10</v>
      </c>
      <c r="D23" s="1005">
        <v>11</v>
      </c>
      <c r="E23" s="1005">
        <v>12</v>
      </c>
      <c r="F23" s="919">
        <v>13</v>
      </c>
      <c r="G23" s="1066">
        <v>14</v>
      </c>
      <c r="H23" s="919"/>
      <c r="I23" s="1067">
        <v>6</v>
      </c>
      <c r="J23" s="1068">
        <v>7</v>
      </c>
      <c r="K23" s="1068">
        <v>8</v>
      </c>
      <c r="L23" s="1068">
        <v>9</v>
      </c>
      <c r="M23" s="1068">
        <v>10</v>
      </c>
      <c r="N23" s="1068">
        <v>11</v>
      </c>
      <c r="O23" s="1061">
        <v>12</v>
      </c>
      <c r="P23" s="919"/>
      <c r="Q23" s="1062">
        <v>3</v>
      </c>
      <c r="R23" s="919">
        <v>4</v>
      </c>
      <c r="S23" s="919">
        <v>5</v>
      </c>
      <c r="T23" s="919">
        <v>6</v>
      </c>
      <c r="U23" s="919">
        <v>7</v>
      </c>
      <c r="V23" s="919">
        <v>8</v>
      </c>
      <c r="W23" s="1063">
        <v>9</v>
      </c>
      <c r="X23" s="919"/>
      <c r="Y23" s="1064">
        <v>8</v>
      </c>
      <c r="Z23" s="919">
        <v>9</v>
      </c>
      <c r="AA23" s="919">
        <v>10</v>
      </c>
      <c r="AB23" s="919">
        <v>11</v>
      </c>
      <c r="AC23" s="919">
        <v>12</v>
      </c>
      <c r="AD23" s="919">
        <v>13</v>
      </c>
      <c r="AE23" s="1065">
        <v>14</v>
      </c>
      <c r="AF23" s="919"/>
      <c r="AG23" s="919"/>
      <c r="AH23" s="919"/>
      <c r="AI23" s="919"/>
      <c r="AJ23" s="919"/>
      <c r="AK23" s="919"/>
      <c r="AL23" s="919"/>
      <c r="AM23" s="919"/>
      <c r="AN23" s="919"/>
      <c r="AO23" s="919"/>
      <c r="AP23" s="920"/>
      <c r="AQ23" s="919"/>
    </row>
    <row r="24" spans="1:78">
      <c r="A24" s="1069">
        <v>15</v>
      </c>
      <c r="B24" s="919">
        <v>16</v>
      </c>
      <c r="C24" s="919">
        <v>17</v>
      </c>
      <c r="D24" s="919">
        <v>18</v>
      </c>
      <c r="E24" s="1060">
        <v>19</v>
      </c>
      <c r="F24" s="919">
        <v>20</v>
      </c>
      <c r="G24" s="1066">
        <v>21</v>
      </c>
      <c r="H24" s="919"/>
      <c r="I24" s="1059">
        <v>13</v>
      </c>
      <c r="J24" s="1010">
        <v>14</v>
      </c>
      <c r="K24" s="919">
        <v>15</v>
      </c>
      <c r="L24" s="919">
        <v>16</v>
      </c>
      <c r="M24" s="919">
        <v>17</v>
      </c>
      <c r="N24" s="919">
        <v>18</v>
      </c>
      <c r="O24" s="1061">
        <v>19</v>
      </c>
      <c r="P24" s="919"/>
      <c r="Q24" s="1062">
        <v>10</v>
      </c>
      <c r="R24" s="1010">
        <v>11</v>
      </c>
      <c r="S24" s="919">
        <v>12</v>
      </c>
      <c r="T24" s="919">
        <v>13</v>
      </c>
      <c r="U24" s="919">
        <v>14</v>
      </c>
      <c r="V24" s="919">
        <v>15</v>
      </c>
      <c r="W24" s="1063">
        <v>16</v>
      </c>
      <c r="X24" s="919"/>
      <c r="Y24" s="1064">
        <v>15</v>
      </c>
      <c r="Z24" s="919">
        <v>16</v>
      </c>
      <c r="AA24" s="919">
        <v>17</v>
      </c>
      <c r="AB24" s="919">
        <v>18</v>
      </c>
      <c r="AC24" s="919">
        <v>19</v>
      </c>
      <c r="AD24" s="919">
        <v>20</v>
      </c>
      <c r="AE24" s="1065">
        <v>21</v>
      </c>
      <c r="AF24" s="919"/>
      <c r="AG24" s="919"/>
      <c r="AH24" s="919"/>
      <c r="AI24" s="919"/>
      <c r="AJ24" s="919"/>
      <c r="AK24" s="919"/>
      <c r="AL24" s="919"/>
      <c r="AM24" s="919"/>
      <c r="AN24" s="919"/>
      <c r="AO24" s="919"/>
      <c r="AP24" s="920"/>
      <c r="AQ24" s="919"/>
    </row>
    <row r="25" spans="1:78">
      <c r="A25" s="1069">
        <v>22</v>
      </c>
      <c r="B25" s="919">
        <v>23</v>
      </c>
      <c r="C25" s="1060">
        <v>24</v>
      </c>
      <c r="D25" s="919">
        <v>25</v>
      </c>
      <c r="E25" s="1060">
        <v>26</v>
      </c>
      <c r="F25" s="919">
        <v>27</v>
      </c>
      <c r="G25" s="1066">
        <v>28</v>
      </c>
      <c r="H25" s="919"/>
      <c r="I25" s="1059">
        <v>20</v>
      </c>
      <c r="J25" s="919">
        <v>21</v>
      </c>
      <c r="K25" s="919">
        <v>22</v>
      </c>
      <c r="L25" s="919">
        <v>23</v>
      </c>
      <c r="M25" s="919">
        <v>24</v>
      </c>
      <c r="N25" s="919">
        <v>25</v>
      </c>
      <c r="O25" s="1061">
        <v>26</v>
      </c>
      <c r="P25" s="919"/>
      <c r="Q25" s="1062">
        <v>17</v>
      </c>
      <c r="R25" s="919">
        <v>18</v>
      </c>
      <c r="S25" s="919">
        <v>19</v>
      </c>
      <c r="T25" s="919">
        <v>20</v>
      </c>
      <c r="U25" s="919">
        <v>21</v>
      </c>
      <c r="V25" s="919">
        <v>22</v>
      </c>
      <c r="W25" s="1063">
        <v>23</v>
      </c>
      <c r="X25" s="919"/>
      <c r="Y25" s="1064">
        <v>22</v>
      </c>
      <c r="Z25" s="919">
        <v>23</v>
      </c>
      <c r="AA25" s="919">
        <v>24</v>
      </c>
      <c r="AB25" s="1010">
        <v>25</v>
      </c>
      <c r="AC25" s="919">
        <v>26</v>
      </c>
      <c r="AD25" s="919">
        <v>27</v>
      </c>
      <c r="AE25" s="1065">
        <v>28</v>
      </c>
      <c r="AF25" s="919"/>
      <c r="AG25" s="919"/>
      <c r="AH25" s="919"/>
      <c r="AI25" s="919"/>
      <c r="AJ25" s="919"/>
      <c r="AK25" s="919"/>
      <c r="AL25" s="919"/>
      <c r="AM25" s="919"/>
      <c r="AN25" s="919"/>
      <c r="AO25" s="919"/>
      <c r="AP25" s="920"/>
      <c r="AQ25" s="919"/>
    </row>
    <row r="26" spans="1:78">
      <c r="A26" s="1069">
        <v>29</v>
      </c>
      <c r="B26" s="919">
        <v>30</v>
      </c>
      <c r="C26" s="919"/>
      <c r="D26" s="919"/>
      <c r="E26" s="919"/>
      <c r="F26" s="919"/>
      <c r="G26" s="1066"/>
      <c r="H26" s="919"/>
      <c r="I26" s="1059">
        <v>27</v>
      </c>
      <c r="J26" s="919">
        <v>28</v>
      </c>
      <c r="K26" s="919">
        <v>29</v>
      </c>
      <c r="L26" s="919">
        <v>30</v>
      </c>
      <c r="M26" s="919">
        <v>31</v>
      </c>
      <c r="N26" s="919"/>
      <c r="O26" s="1061"/>
      <c r="P26" s="919"/>
      <c r="Q26" s="1062">
        <v>24</v>
      </c>
      <c r="R26" s="919">
        <v>25</v>
      </c>
      <c r="S26" s="1060">
        <v>26</v>
      </c>
      <c r="T26" s="919">
        <v>27</v>
      </c>
      <c r="U26" s="1010">
        <v>28</v>
      </c>
      <c r="V26" s="919">
        <v>29</v>
      </c>
      <c r="W26" s="1063">
        <v>30</v>
      </c>
      <c r="X26" s="919"/>
      <c r="Y26" s="1064">
        <v>29</v>
      </c>
      <c r="Z26" s="919">
        <v>30</v>
      </c>
      <c r="AA26" s="919">
        <v>31</v>
      </c>
      <c r="AB26" s="919"/>
      <c r="AC26" s="919"/>
      <c r="AD26" s="919"/>
      <c r="AE26" s="1065"/>
      <c r="AF26" s="919"/>
      <c r="AG26" s="919"/>
      <c r="AH26" s="919"/>
      <c r="AI26" s="919"/>
      <c r="AJ26" s="919"/>
      <c r="AK26" s="919"/>
      <c r="AL26" s="919"/>
      <c r="AM26" s="919"/>
      <c r="AN26" s="919"/>
      <c r="AO26" s="919"/>
      <c r="AP26" s="920"/>
      <c r="AQ26" s="919"/>
    </row>
    <row r="27" spans="1:78">
      <c r="A27" s="1070"/>
      <c r="B27" s="1071"/>
      <c r="C27" s="1071"/>
      <c r="D27" s="1071"/>
      <c r="E27" s="1071"/>
      <c r="F27" s="1071"/>
      <c r="G27" s="1072"/>
      <c r="H27" s="919"/>
      <c r="I27" s="1073"/>
      <c r="J27" s="1074"/>
      <c r="K27" s="1074"/>
      <c r="L27" s="1074"/>
      <c r="M27" s="1074"/>
      <c r="N27" s="1074"/>
      <c r="O27" s="1075"/>
      <c r="P27" s="919"/>
      <c r="Q27" s="1076"/>
      <c r="R27" s="1077"/>
      <c r="S27" s="1077"/>
      <c r="T27" s="1077"/>
      <c r="U27" s="1077"/>
      <c r="V27" s="1077"/>
      <c r="W27" s="1078"/>
      <c r="X27" s="919"/>
      <c r="Y27" s="1079"/>
      <c r="Z27" s="1080"/>
      <c r="AA27" s="1080"/>
      <c r="AB27" s="1080"/>
      <c r="AC27" s="1080"/>
      <c r="AD27" s="1080"/>
      <c r="AE27" s="1081"/>
      <c r="AF27" s="919"/>
      <c r="AG27" s="919"/>
      <c r="AH27" s="919"/>
      <c r="AI27" s="919"/>
      <c r="AJ27" s="919"/>
      <c r="AK27" s="919"/>
      <c r="AL27" s="919"/>
      <c r="AM27" s="919"/>
      <c r="AN27" s="919"/>
      <c r="AO27" s="919"/>
      <c r="AP27" s="920"/>
      <c r="AQ27" s="919"/>
    </row>
    <row r="28" spans="1:78" ht="18">
      <c r="A28" s="919"/>
      <c r="B28" s="919"/>
      <c r="C28" s="919"/>
      <c r="D28" s="919"/>
      <c r="E28" s="919"/>
      <c r="F28" s="919"/>
      <c r="G28" s="919"/>
      <c r="H28" s="919"/>
      <c r="I28" s="919"/>
      <c r="J28" s="919"/>
      <c r="K28" s="919"/>
      <c r="L28" s="919"/>
      <c r="M28" s="919"/>
      <c r="N28" s="919"/>
      <c r="O28" s="919"/>
      <c r="P28" s="919"/>
      <c r="Q28" s="919"/>
      <c r="R28" s="1082"/>
      <c r="S28" s="919"/>
      <c r="T28" s="919"/>
      <c r="U28" s="919"/>
      <c r="V28" s="919"/>
      <c r="W28" s="919"/>
      <c r="X28" s="919"/>
      <c r="Y28" s="919"/>
      <c r="Z28" s="919"/>
      <c r="AA28" s="919"/>
      <c r="AB28" s="919"/>
      <c r="AC28" s="919"/>
      <c r="AD28" s="919"/>
      <c r="AE28" s="919"/>
      <c r="AF28" s="919"/>
      <c r="AG28" s="919"/>
      <c r="AH28" s="919"/>
      <c r="AI28" s="919"/>
      <c r="AJ28" s="919"/>
      <c r="AK28" s="919"/>
      <c r="AL28" s="919"/>
      <c r="AM28" s="919"/>
      <c r="AN28" s="919"/>
      <c r="AO28" s="919"/>
      <c r="AP28" s="920"/>
      <c r="AQ28" s="919"/>
    </row>
    <row r="29" spans="1:78" ht="45">
      <c r="A29" s="2170" t="s">
        <v>7081</v>
      </c>
      <c r="B29" s="2087"/>
      <c r="C29" s="2087"/>
      <c r="D29" s="2087"/>
      <c r="E29" s="2087"/>
      <c r="F29" s="2087"/>
      <c r="G29" s="2087"/>
      <c r="H29" s="2087"/>
      <c r="I29" s="2087"/>
      <c r="J29" s="2087"/>
      <c r="K29" s="1083"/>
      <c r="L29" s="1084"/>
      <c r="M29" s="1085" t="s">
        <v>7082</v>
      </c>
      <c r="N29" s="1086"/>
      <c r="O29" s="1087"/>
      <c r="P29" s="1088"/>
      <c r="Q29" s="1089" t="s">
        <v>7083</v>
      </c>
      <c r="R29" s="1090"/>
      <c r="S29" s="1087"/>
      <c r="T29" s="1091"/>
      <c r="U29" s="1091" t="s">
        <v>7084</v>
      </c>
      <c r="V29" s="1091"/>
      <c r="W29" s="1087"/>
      <c r="X29" s="1087"/>
      <c r="Y29" s="1087"/>
      <c r="Z29" s="1087"/>
      <c r="AA29" s="1087"/>
      <c r="AB29" s="1087"/>
      <c r="AC29" s="1092"/>
      <c r="AD29" s="1087"/>
      <c r="AE29" s="1087"/>
      <c r="AF29" s="919"/>
      <c r="AG29" s="919"/>
      <c r="AH29" s="919"/>
      <c r="AI29" s="919"/>
      <c r="AJ29" s="919"/>
      <c r="AK29" s="919"/>
      <c r="AL29" s="919"/>
      <c r="AM29" s="919"/>
      <c r="AN29" s="919"/>
      <c r="AO29" s="919"/>
      <c r="AP29" s="920"/>
      <c r="AQ29" s="919"/>
    </row>
    <row r="30" spans="1:78" ht="12.75" customHeight="1">
      <c r="A30" s="2171" t="s">
        <v>7062</v>
      </c>
      <c r="B30" s="2172"/>
      <c r="C30" s="2172"/>
      <c r="D30" s="2172"/>
      <c r="E30" s="2172"/>
      <c r="F30" s="2172"/>
      <c r="G30" s="2173"/>
      <c r="H30" s="919"/>
      <c r="I30" s="2174" t="s">
        <v>7063</v>
      </c>
      <c r="J30" s="2175"/>
      <c r="K30" s="2175"/>
      <c r="L30" s="2175"/>
      <c r="M30" s="2175"/>
      <c r="N30" s="2175"/>
      <c r="O30" s="2176"/>
      <c r="P30" s="1093"/>
      <c r="Q30" s="2164" t="s">
        <v>7064</v>
      </c>
      <c r="R30" s="2165"/>
      <c r="S30" s="2165"/>
      <c r="T30" s="2165"/>
      <c r="U30" s="2165"/>
      <c r="V30" s="2165"/>
      <c r="W30" s="2166"/>
      <c r="X30" s="919"/>
      <c r="Y30" s="2167" t="s">
        <v>5774</v>
      </c>
      <c r="Z30" s="2168"/>
      <c r="AA30" s="2168"/>
      <c r="AB30" s="2168"/>
      <c r="AC30" s="2168"/>
      <c r="AD30" s="2168"/>
      <c r="AE30" s="2169"/>
      <c r="AF30" s="919"/>
      <c r="AG30" s="919"/>
      <c r="AH30" s="919"/>
      <c r="AI30" s="919"/>
      <c r="AJ30" s="919"/>
      <c r="AK30" s="919"/>
      <c r="AL30" s="919"/>
      <c r="AM30" s="919"/>
      <c r="AN30" s="919"/>
      <c r="AO30" s="919"/>
      <c r="AP30" s="920"/>
      <c r="AQ30" s="919"/>
    </row>
    <row r="31" spans="1:78" ht="15">
      <c r="A31" s="1094" t="s">
        <v>7065</v>
      </c>
      <c r="B31" s="1095" t="s">
        <v>7066</v>
      </c>
      <c r="C31" s="1095" t="s">
        <v>7067</v>
      </c>
      <c r="D31" s="1095" t="s">
        <v>7068</v>
      </c>
      <c r="E31" s="1095" t="s">
        <v>7069</v>
      </c>
      <c r="F31" s="1095" t="s">
        <v>7070</v>
      </c>
      <c r="G31" s="1094" t="s">
        <v>7071</v>
      </c>
      <c r="H31" s="1096"/>
      <c r="I31" s="1097" t="s">
        <v>7065</v>
      </c>
      <c r="J31" s="1098" t="s">
        <v>7066</v>
      </c>
      <c r="K31" s="1098" t="s">
        <v>7067</v>
      </c>
      <c r="L31" s="1098" t="s">
        <v>7068</v>
      </c>
      <c r="M31" s="1098" t="s">
        <v>7069</v>
      </c>
      <c r="N31" s="1098" t="s">
        <v>7070</v>
      </c>
      <c r="O31" s="1097" t="s">
        <v>7071</v>
      </c>
      <c r="P31" s="1096"/>
      <c r="Q31" s="1099" t="s">
        <v>7065</v>
      </c>
      <c r="R31" s="1100" t="s">
        <v>7066</v>
      </c>
      <c r="S31" s="1100" t="s">
        <v>7067</v>
      </c>
      <c r="T31" s="1100" t="s">
        <v>7068</v>
      </c>
      <c r="U31" s="1100" t="s">
        <v>7069</v>
      </c>
      <c r="V31" s="1100" t="s">
        <v>7070</v>
      </c>
      <c r="W31" s="1099" t="s">
        <v>7071</v>
      </c>
      <c r="X31" s="1096"/>
      <c r="Y31" s="1101" t="s">
        <v>7065</v>
      </c>
      <c r="Z31" s="1102" t="s">
        <v>7066</v>
      </c>
      <c r="AA31" s="1102" t="s">
        <v>7067</v>
      </c>
      <c r="AB31" s="1102" t="s">
        <v>7068</v>
      </c>
      <c r="AC31" s="1102" t="s">
        <v>7069</v>
      </c>
      <c r="AD31" s="1102" t="s">
        <v>7070</v>
      </c>
      <c r="AE31" s="1101" t="s">
        <v>7071</v>
      </c>
      <c r="AF31" s="919"/>
      <c r="AG31" s="919"/>
      <c r="AH31" s="919"/>
      <c r="AI31" s="919"/>
      <c r="AJ31" s="919"/>
      <c r="AK31" s="919"/>
      <c r="AL31" s="919"/>
      <c r="AM31" s="919"/>
      <c r="AN31" s="919"/>
      <c r="AO31" s="919"/>
      <c r="AP31" s="920"/>
      <c r="AQ31" s="919"/>
    </row>
    <row r="32" spans="1:78" ht="12.75" customHeight="1">
      <c r="A32" s="1103"/>
      <c r="B32" s="1104"/>
      <c r="C32" s="1104"/>
      <c r="D32" s="1105">
        <v>1</v>
      </c>
      <c r="E32" s="1087">
        <v>2</v>
      </c>
      <c r="F32" s="1087">
        <v>3</v>
      </c>
      <c r="G32" s="1106">
        <v>4</v>
      </c>
      <c r="H32" s="1107"/>
      <c r="I32" s="1108"/>
      <c r="J32" s="1087"/>
      <c r="K32" s="1087"/>
      <c r="L32" s="1087"/>
      <c r="M32" s="1087"/>
      <c r="N32" s="1087"/>
      <c r="O32" s="1109">
        <v>1</v>
      </c>
      <c r="P32" s="1107"/>
      <c r="Q32" s="1110">
        <v>1</v>
      </c>
      <c r="R32" s="1087">
        <v>2</v>
      </c>
      <c r="S32" s="1087">
        <v>3</v>
      </c>
      <c r="T32" s="1087">
        <v>4</v>
      </c>
      <c r="U32" s="1087">
        <v>5</v>
      </c>
      <c r="V32" s="1087">
        <v>6</v>
      </c>
      <c r="W32" s="1111">
        <v>7</v>
      </c>
      <c r="X32" s="1107"/>
      <c r="Y32" s="1112"/>
      <c r="Z32" s="1087"/>
      <c r="AA32" s="1087"/>
      <c r="AB32" s="1087">
        <v>1</v>
      </c>
      <c r="AC32" s="1087">
        <v>2</v>
      </c>
      <c r="AD32" s="1087">
        <v>3</v>
      </c>
      <c r="AE32" s="1113">
        <v>4</v>
      </c>
      <c r="AF32" s="919"/>
      <c r="AG32" s="919"/>
      <c r="AH32" s="919"/>
      <c r="AI32" s="919"/>
      <c r="AJ32" s="919"/>
      <c r="AK32" s="919"/>
      <c r="AL32" s="919"/>
      <c r="AM32" s="919"/>
      <c r="AN32" s="919"/>
      <c r="AO32" s="919"/>
      <c r="AP32" s="920"/>
      <c r="AQ32" s="919"/>
    </row>
    <row r="33" spans="1:43" ht="15.75">
      <c r="A33" s="1103">
        <v>5</v>
      </c>
      <c r="B33" s="1087">
        <v>6</v>
      </c>
      <c r="C33" s="1087">
        <v>7</v>
      </c>
      <c r="D33" s="1087">
        <v>8</v>
      </c>
      <c r="E33" s="1087">
        <v>9</v>
      </c>
      <c r="F33" s="1087">
        <v>10</v>
      </c>
      <c r="G33" s="1106">
        <v>11</v>
      </c>
      <c r="H33" s="1107"/>
      <c r="I33" s="1108">
        <v>2</v>
      </c>
      <c r="J33" s="1087">
        <v>3</v>
      </c>
      <c r="K33" s="1087">
        <v>4</v>
      </c>
      <c r="L33" s="1087">
        <v>5</v>
      </c>
      <c r="M33" s="1087">
        <v>6</v>
      </c>
      <c r="N33" s="1087">
        <v>7</v>
      </c>
      <c r="O33" s="1109">
        <v>8</v>
      </c>
      <c r="P33" s="1107"/>
      <c r="Q33" s="1110">
        <v>8</v>
      </c>
      <c r="R33" s="1087">
        <v>9</v>
      </c>
      <c r="S33" s="1087">
        <v>10</v>
      </c>
      <c r="T33" s="1087">
        <v>11</v>
      </c>
      <c r="U33" s="1087">
        <v>12</v>
      </c>
      <c r="V33" s="1087">
        <v>13</v>
      </c>
      <c r="W33" s="1111">
        <v>14</v>
      </c>
      <c r="X33" s="1107"/>
      <c r="Y33" s="1112">
        <v>5</v>
      </c>
      <c r="Z33" s="1087">
        <v>6</v>
      </c>
      <c r="AA33" s="1114">
        <v>7</v>
      </c>
      <c r="AB33" s="1087">
        <v>8</v>
      </c>
      <c r="AC33" s="1114">
        <v>9</v>
      </c>
      <c r="AD33" s="1087">
        <v>10</v>
      </c>
      <c r="AE33" s="1113">
        <v>11</v>
      </c>
      <c r="AF33" s="919"/>
      <c r="AG33" s="919"/>
      <c r="AH33" s="919"/>
      <c r="AI33" s="919"/>
      <c r="AJ33" s="919"/>
      <c r="AK33" s="919"/>
      <c r="AL33" s="919"/>
      <c r="AM33" s="919"/>
      <c r="AN33" s="919"/>
      <c r="AO33" s="919"/>
      <c r="AP33" s="920"/>
      <c r="AQ33" s="919"/>
    </row>
    <row r="34" spans="1:43" ht="15.75">
      <c r="A34" s="1103">
        <v>12</v>
      </c>
      <c r="B34" s="1087">
        <v>13</v>
      </c>
      <c r="C34" s="1087">
        <v>14</v>
      </c>
      <c r="D34" s="1087">
        <v>15</v>
      </c>
      <c r="E34" s="1087">
        <v>16</v>
      </c>
      <c r="F34" s="1087">
        <v>17</v>
      </c>
      <c r="G34" s="1106">
        <v>18</v>
      </c>
      <c r="H34" s="1107"/>
      <c r="I34" s="1108">
        <v>9</v>
      </c>
      <c r="J34" s="1087">
        <v>10</v>
      </c>
      <c r="K34" s="1087">
        <v>11</v>
      </c>
      <c r="L34" s="1087">
        <v>12</v>
      </c>
      <c r="M34" s="1114">
        <v>13</v>
      </c>
      <c r="N34" s="1087">
        <v>14</v>
      </c>
      <c r="O34" s="1109">
        <v>15</v>
      </c>
      <c r="P34" s="1107"/>
      <c r="Q34" s="1110">
        <v>15</v>
      </c>
      <c r="R34" s="1087">
        <v>16</v>
      </c>
      <c r="S34" s="1087">
        <v>17</v>
      </c>
      <c r="T34" s="1087">
        <v>18</v>
      </c>
      <c r="U34" s="1087">
        <v>19</v>
      </c>
      <c r="V34" s="1087">
        <v>20</v>
      </c>
      <c r="W34" s="1111">
        <v>21</v>
      </c>
      <c r="X34" s="1107"/>
      <c r="Y34" s="1112">
        <v>12</v>
      </c>
      <c r="Z34" s="1087">
        <v>13</v>
      </c>
      <c r="AA34" s="1114">
        <v>14</v>
      </c>
      <c r="AB34" s="1087">
        <v>15</v>
      </c>
      <c r="AC34" s="1114">
        <v>16</v>
      </c>
      <c r="AD34" s="1087">
        <v>17</v>
      </c>
      <c r="AE34" s="1115">
        <v>18</v>
      </c>
      <c r="AF34" s="919"/>
      <c r="AG34" s="919"/>
      <c r="AH34" s="919"/>
      <c r="AI34" s="919"/>
      <c r="AJ34" s="919"/>
      <c r="AK34" s="919"/>
      <c r="AL34" s="919"/>
      <c r="AM34" s="919"/>
      <c r="AN34" s="919"/>
      <c r="AO34" s="919"/>
      <c r="AP34" s="920"/>
      <c r="AQ34" s="919"/>
    </row>
    <row r="35" spans="1:43" ht="15.75">
      <c r="A35" s="1103">
        <v>19</v>
      </c>
      <c r="B35" s="1105">
        <v>20</v>
      </c>
      <c r="C35" s="1087">
        <v>21</v>
      </c>
      <c r="D35" s="1087">
        <v>22</v>
      </c>
      <c r="E35" s="1087">
        <v>23</v>
      </c>
      <c r="F35" s="1087">
        <v>24</v>
      </c>
      <c r="G35" s="1106">
        <v>25</v>
      </c>
      <c r="H35" s="1107"/>
      <c r="I35" s="1108">
        <v>16</v>
      </c>
      <c r="J35" s="1105">
        <v>17</v>
      </c>
      <c r="K35" s="1114">
        <v>18</v>
      </c>
      <c r="L35" s="1087">
        <v>19</v>
      </c>
      <c r="M35" s="1087">
        <v>20</v>
      </c>
      <c r="N35" s="1087">
        <v>21</v>
      </c>
      <c r="O35" s="1115">
        <v>22</v>
      </c>
      <c r="P35" s="1107"/>
      <c r="Q35" s="1110">
        <v>22</v>
      </c>
      <c r="R35" s="1087">
        <v>23</v>
      </c>
      <c r="S35" s="1087">
        <v>24</v>
      </c>
      <c r="T35" s="1087">
        <v>25</v>
      </c>
      <c r="U35" s="1087">
        <v>26</v>
      </c>
      <c r="V35" s="1087">
        <v>27</v>
      </c>
      <c r="W35" s="1111">
        <v>28</v>
      </c>
      <c r="X35" s="1107"/>
      <c r="Y35" s="1116">
        <v>19</v>
      </c>
      <c r="Z35" s="1087">
        <v>20</v>
      </c>
      <c r="AA35" s="1087">
        <v>21</v>
      </c>
      <c r="AB35" s="1087">
        <v>22</v>
      </c>
      <c r="AC35" s="1087">
        <v>23</v>
      </c>
      <c r="AD35" s="1087">
        <v>24</v>
      </c>
      <c r="AE35" s="1113">
        <v>25</v>
      </c>
      <c r="AF35" s="919"/>
      <c r="AG35" s="919"/>
      <c r="AH35" s="919"/>
      <c r="AI35" s="919"/>
      <c r="AJ35" s="919"/>
      <c r="AK35" s="919"/>
      <c r="AL35" s="919"/>
      <c r="AM35" s="919"/>
      <c r="AN35" s="919"/>
      <c r="AO35" s="919"/>
      <c r="AP35" s="920"/>
      <c r="AQ35" s="919"/>
    </row>
    <row r="36" spans="1:43" ht="15.75">
      <c r="A36" s="1103">
        <v>26</v>
      </c>
      <c r="B36" s="1087">
        <v>27</v>
      </c>
      <c r="C36" s="1087">
        <v>28</v>
      </c>
      <c r="D36" s="1087">
        <v>29</v>
      </c>
      <c r="E36" s="1087">
        <v>30</v>
      </c>
      <c r="F36" s="1087">
        <v>31</v>
      </c>
      <c r="G36" s="1106"/>
      <c r="H36" s="1107"/>
      <c r="I36" s="1116">
        <v>23</v>
      </c>
      <c r="J36" s="1087">
        <v>24</v>
      </c>
      <c r="K36" s="1087">
        <v>25</v>
      </c>
      <c r="L36" s="1087">
        <v>26</v>
      </c>
      <c r="M36" s="1087">
        <v>27</v>
      </c>
      <c r="N36" s="1087">
        <v>28</v>
      </c>
      <c r="O36" s="1109">
        <v>29</v>
      </c>
      <c r="P36" s="1107"/>
      <c r="Q36" s="1110">
        <v>29</v>
      </c>
      <c r="R36" s="1087">
        <v>30</v>
      </c>
      <c r="S36" s="1087">
        <v>31</v>
      </c>
      <c r="T36" s="1087"/>
      <c r="U36" s="1087"/>
      <c r="V36" s="1087"/>
      <c r="W36" s="1111"/>
      <c r="X36" s="1107"/>
      <c r="Y36" s="1112">
        <v>26</v>
      </c>
      <c r="Z36" s="1087">
        <v>27</v>
      </c>
      <c r="AA36" s="1087">
        <v>28</v>
      </c>
      <c r="AB36" s="1087">
        <v>29</v>
      </c>
      <c r="AC36" s="1087">
        <v>30</v>
      </c>
      <c r="AD36" s="1087"/>
      <c r="AE36" s="1113"/>
      <c r="AF36" s="919"/>
      <c r="AG36" s="919"/>
      <c r="AH36" s="919"/>
      <c r="AI36" s="919"/>
      <c r="AJ36" s="919"/>
      <c r="AK36" s="919"/>
      <c r="AL36" s="919"/>
      <c r="AM36" s="919"/>
      <c r="AN36" s="919"/>
      <c r="AO36" s="919"/>
      <c r="AP36" s="920"/>
      <c r="AQ36" s="919"/>
    </row>
    <row r="37" spans="1:43" ht="15.75">
      <c r="A37" s="1117"/>
      <c r="B37" s="1118"/>
      <c r="C37" s="1118"/>
      <c r="D37" s="1118"/>
      <c r="E37" s="1118"/>
      <c r="F37" s="1118"/>
      <c r="G37" s="1119"/>
      <c r="H37" s="1107"/>
      <c r="I37" s="1120"/>
      <c r="J37" s="1121"/>
      <c r="K37" s="1121"/>
      <c r="L37" s="1121"/>
      <c r="M37" s="1121"/>
      <c r="N37" s="1121"/>
      <c r="O37" s="1122"/>
      <c r="P37" s="1107"/>
      <c r="Q37" s="1123"/>
      <c r="R37" s="1124"/>
      <c r="S37" s="1124"/>
      <c r="T37" s="1124"/>
      <c r="U37" s="1124"/>
      <c r="V37" s="1124"/>
      <c r="W37" s="1125"/>
      <c r="X37" s="1107"/>
      <c r="Y37" s="1126"/>
      <c r="Z37" s="1127"/>
      <c r="AA37" s="1127"/>
      <c r="AB37" s="1127"/>
      <c r="AC37" s="1127"/>
      <c r="AD37" s="1127"/>
      <c r="AE37" s="1128"/>
      <c r="AF37" s="919"/>
      <c r="AG37" s="919"/>
      <c r="AH37" s="919"/>
      <c r="AI37" s="919"/>
      <c r="AJ37" s="919"/>
      <c r="AK37" s="919"/>
      <c r="AL37" s="919"/>
      <c r="AM37" s="919"/>
      <c r="AN37" s="919"/>
      <c r="AO37" s="919"/>
      <c r="AP37" s="920"/>
      <c r="AQ37" s="919"/>
    </row>
    <row r="38" spans="1:43" ht="18">
      <c r="A38" s="1129"/>
      <c r="B38" s="1129"/>
      <c r="C38" s="1129"/>
      <c r="D38" s="1129"/>
      <c r="E38" s="1129"/>
      <c r="F38" s="1129"/>
      <c r="G38" s="1129"/>
      <c r="H38" s="1129"/>
      <c r="I38" s="1129"/>
      <c r="J38" s="1129"/>
      <c r="K38" s="1129"/>
      <c r="L38" s="1129"/>
      <c r="M38" s="1129"/>
      <c r="N38" s="1129"/>
      <c r="O38" s="1129"/>
      <c r="P38" s="1129"/>
      <c r="Q38" s="919"/>
      <c r="R38" s="1129"/>
      <c r="S38" s="1129"/>
      <c r="T38" s="919"/>
      <c r="U38" s="919"/>
      <c r="V38" s="919"/>
      <c r="W38" s="919"/>
      <c r="X38" s="919"/>
      <c r="Y38" s="919"/>
      <c r="Z38" s="1129"/>
      <c r="AA38" s="1129"/>
      <c r="AB38" s="919"/>
      <c r="AC38" s="919"/>
      <c r="AD38" s="919"/>
      <c r="AE38" s="919"/>
      <c r="AF38" s="919"/>
      <c r="AG38" s="919"/>
      <c r="AH38" s="919"/>
      <c r="AI38" s="919"/>
      <c r="AJ38" s="919"/>
      <c r="AK38" s="919"/>
      <c r="AL38" s="919"/>
      <c r="AM38" s="919"/>
      <c r="AN38" s="919"/>
      <c r="AO38" s="919"/>
      <c r="AP38" s="920"/>
      <c r="AQ38" s="919"/>
    </row>
    <row r="39" spans="1:43" ht="18">
      <c r="A39" s="2180" t="s">
        <v>23</v>
      </c>
      <c r="B39" s="2181"/>
      <c r="C39" s="2181"/>
      <c r="D39" s="2181"/>
      <c r="E39" s="2181"/>
      <c r="F39" s="2181"/>
      <c r="G39" s="2182"/>
      <c r="H39" s="919"/>
      <c r="I39" s="2183" t="s">
        <v>5832</v>
      </c>
      <c r="J39" s="2184"/>
      <c r="K39" s="2184"/>
      <c r="L39" s="2184"/>
      <c r="M39" s="2184"/>
      <c r="N39" s="2184"/>
      <c r="O39" s="2185"/>
      <c r="P39" s="919"/>
      <c r="Q39" s="2186" t="s">
        <v>138</v>
      </c>
      <c r="R39" s="2187"/>
      <c r="S39" s="2187"/>
      <c r="T39" s="2187"/>
      <c r="U39" s="2187"/>
      <c r="V39" s="2187"/>
      <c r="W39" s="2188"/>
      <c r="X39" s="1130"/>
      <c r="Y39" s="2189" t="s">
        <v>5839</v>
      </c>
      <c r="Z39" s="2190"/>
      <c r="AA39" s="2190"/>
      <c r="AB39" s="2190"/>
      <c r="AC39" s="2190"/>
      <c r="AD39" s="2190"/>
      <c r="AE39" s="2191"/>
      <c r="AF39" s="919"/>
      <c r="AG39" s="919"/>
      <c r="AH39" s="919"/>
      <c r="AI39" s="919"/>
      <c r="AJ39" s="919"/>
      <c r="AK39" s="919"/>
      <c r="AL39" s="919"/>
      <c r="AM39" s="919"/>
      <c r="AN39" s="919"/>
      <c r="AO39" s="919"/>
      <c r="AP39" s="920"/>
      <c r="AQ39" s="919"/>
    </row>
    <row r="40" spans="1:43" ht="15">
      <c r="A40" s="1131" t="s">
        <v>7065</v>
      </c>
      <c r="B40" s="1132" t="s">
        <v>7066</v>
      </c>
      <c r="C40" s="1132" t="s">
        <v>7067</v>
      </c>
      <c r="D40" s="1132" t="s">
        <v>7068</v>
      </c>
      <c r="E40" s="1132" t="s">
        <v>7069</v>
      </c>
      <c r="F40" s="1132" t="s">
        <v>7070</v>
      </c>
      <c r="G40" s="1131" t="s">
        <v>7071</v>
      </c>
      <c r="H40" s="1096"/>
      <c r="I40" s="1133" t="s">
        <v>7065</v>
      </c>
      <c r="J40" s="1134" t="s">
        <v>7066</v>
      </c>
      <c r="K40" s="1134" t="s">
        <v>7067</v>
      </c>
      <c r="L40" s="1134" t="s">
        <v>7068</v>
      </c>
      <c r="M40" s="1134" t="s">
        <v>7069</v>
      </c>
      <c r="N40" s="1134" t="s">
        <v>7070</v>
      </c>
      <c r="O40" s="1133" t="s">
        <v>7071</v>
      </c>
      <c r="P40" s="1096"/>
      <c r="Q40" s="1135" t="s">
        <v>7065</v>
      </c>
      <c r="R40" s="1136" t="s">
        <v>7066</v>
      </c>
      <c r="S40" s="1136" t="s">
        <v>7067</v>
      </c>
      <c r="T40" s="1136" t="s">
        <v>7068</v>
      </c>
      <c r="U40" s="1136" t="s">
        <v>7069</v>
      </c>
      <c r="V40" s="1136" t="s">
        <v>7070</v>
      </c>
      <c r="W40" s="1135" t="s">
        <v>7071</v>
      </c>
      <c r="X40" s="1096"/>
      <c r="Y40" s="1137" t="s">
        <v>7065</v>
      </c>
      <c r="Z40" s="1138" t="s">
        <v>7066</v>
      </c>
      <c r="AA40" s="1138" t="s">
        <v>7067</v>
      </c>
      <c r="AB40" s="1138" t="s">
        <v>7068</v>
      </c>
      <c r="AC40" s="1138" t="s">
        <v>7069</v>
      </c>
      <c r="AD40" s="1138" t="s">
        <v>7070</v>
      </c>
      <c r="AE40" s="1137" t="s">
        <v>7071</v>
      </c>
      <c r="AF40" s="919"/>
      <c r="AG40" s="919"/>
      <c r="AH40" s="919"/>
      <c r="AI40" s="919"/>
      <c r="AJ40" s="919"/>
      <c r="AK40" s="919"/>
      <c r="AL40" s="919"/>
      <c r="AM40" s="919"/>
      <c r="AN40" s="919"/>
      <c r="AO40" s="919"/>
      <c r="AP40" s="920"/>
      <c r="AQ40" s="919"/>
    </row>
    <row r="41" spans="1:43" ht="15.75">
      <c r="A41" s="1139"/>
      <c r="B41" s="1087"/>
      <c r="C41" s="1087"/>
      <c r="D41" s="1087"/>
      <c r="E41" s="1087"/>
      <c r="F41" s="1087">
        <v>1</v>
      </c>
      <c r="G41" s="1140">
        <v>2</v>
      </c>
      <c r="H41" s="1107"/>
      <c r="I41" s="1141"/>
      <c r="J41" s="1087">
        <v>1</v>
      </c>
      <c r="K41" s="1091">
        <v>2</v>
      </c>
      <c r="L41" s="1087">
        <v>3</v>
      </c>
      <c r="M41" s="1087">
        <v>4</v>
      </c>
      <c r="N41" s="1087">
        <v>5</v>
      </c>
      <c r="O41" s="1142">
        <v>6</v>
      </c>
      <c r="P41" s="1107"/>
      <c r="Q41" s="1143"/>
      <c r="R41" s="1087"/>
      <c r="S41" s="1087"/>
      <c r="T41" s="1144">
        <v>1</v>
      </c>
      <c r="U41" s="1144">
        <v>2</v>
      </c>
      <c r="V41" s="1144">
        <v>3</v>
      </c>
      <c r="W41" s="1144">
        <v>4</v>
      </c>
      <c r="X41" s="1107"/>
      <c r="Y41" s="1145"/>
      <c r="Z41" s="1144"/>
      <c r="AA41" s="1144"/>
      <c r="AB41" s="1144"/>
      <c r="AC41" s="1144"/>
      <c r="AD41" s="1144"/>
      <c r="AE41" s="1146">
        <v>1</v>
      </c>
      <c r="AF41" s="919"/>
      <c r="AG41" s="919"/>
      <c r="AH41" s="919"/>
      <c r="AI41" s="919"/>
      <c r="AJ41" s="919"/>
      <c r="AK41" s="919"/>
      <c r="AL41" s="919"/>
      <c r="AM41" s="919"/>
      <c r="AN41" s="919"/>
      <c r="AO41" s="919"/>
      <c r="AP41" s="920"/>
      <c r="AQ41" s="919"/>
    </row>
    <row r="42" spans="1:43" ht="15.75">
      <c r="A42" s="1139">
        <v>3</v>
      </c>
      <c r="B42" s="1087">
        <v>4</v>
      </c>
      <c r="C42" s="1087">
        <v>5</v>
      </c>
      <c r="D42" s="1087">
        <v>6</v>
      </c>
      <c r="E42" s="1087">
        <v>7</v>
      </c>
      <c r="F42" s="1087">
        <v>8</v>
      </c>
      <c r="G42" s="1140">
        <v>9</v>
      </c>
      <c r="H42" s="1087"/>
      <c r="I42" s="1141">
        <v>7</v>
      </c>
      <c r="J42" s="1087">
        <v>8</v>
      </c>
      <c r="K42" s="1091">
        <v>9</v>
      </c>
      <c r="L42" s="1087">
        <v>10</v>
      </c>
      <c r="M42" s="1087">
        <v>11</v>
      </c>
      <c r="N42" s="1087">
        <v>12</v>
      </c>
      <c r="O42" s="1142">
        <v>13</v>
      </c>
      <c r="P42" s="1087"/>
      <c r="Q42" s="1147">
        <v>5</v>
      </c>
      <c r="R42" s="1144">
        <v>6</v>
      </c>
      <c r="S42" s="1091">
        <v>7</v>
      </c>
      <c r="T42" s="1144">
        <v>8</v>
      </c>
      <c r="U42" s="1144">
        <v>9</v>
      </c>
      <c r="V42" s="1144">
        <v>10</v>
      </c>
      <c r="W42" s="1148">
        <v>11</v>
      </c>
      <c r="X42" s="1087"/>
      <c r="Y42" s="1145">
        <v>2</v>
      </c>
      <c r="Z42" s="1144">
        <v>3</v>
      </c>
      <c r="AA42" s="1144">
        <v>4</v>
      </c>
      <c r="AB42" s="1144">
        <v>5</v>
      </c>
      <c r="AC42" s="1144">
        <v>6</v>
      </c>
      <c r="AD42" s="1144">
        <v>7</v>
      </c>
      <c r="AE42" s="1146">
        <v>8</v>
      </c>
      <c r="AF42" s="919"/>
      <c r="AG42" s="919"/>
      <c r="AH42" s="919"/>
      <c r="AI42" s="919"/>
      <c r="AJ42" s="919"/>
      <c r="AK42" s="919"/>
      <c r="AL42" s="919"/>
      <c r="AM42" s="919"/>
      <c r="AN42" s="919"/>
      <c r="AO42" s="919"/>
      <c r="AP42" s="920"/>
      <c r="AQ42" s="919"/>
    </row>
    <row r="43" spans="1:43" ht="15.75">
      <c r="A43" s="1139">
        <v>10</v>
      </c>
      <c r="B43" s="1087">
        <v>11</v>
      </c>
      <c r="C43" s="1087">
        <v>12</v>
      </c>
      <c r="D43" s="1087">
        <v>13</v>
      </c>
      <c r="E43" s="1087">
        <v>14</v>
      </c>
      <c r="F43" s="1087">
        <v>15</v>
      </c>
      <c r="G43" s="1140">
        <v>16</v>
      </c>
      <c r="H43" s="1087"/>
      <c r="I43" s="1141">
        <v>14</v>
      </c>
      <c r="J43" s="1087">
        <v>15</v>
      </c>
      <c r="K43" s="1091">
        <v>16</v>
      </c>
      <c r="L43" s="1087">
        <v>17</v>
      </c>
      <c r="M43" s="1087">
        <v>18</v>
      </c>
      <c r="N43" s="1087">
        <v>19</v>
      </c>
      <c r="O43" s="1149">
        <v>20</v>
      </c>
      <c r="P43" s="1087"/>
      <c r="Q43" s="1147">
        <v>12</v>
      </c>
      <c r="R43" s="1144">
        <v>13</v>
      </c>
      <c r="S43" s="1144">
        <v>14</v>
      </c>
      <c r="T43" s="1144">
        <v>15</v>
      </c>
      <c r="U43" s="1144">
        <v>16</v>
      </c>
      <c r="V43" s="1144">
        <v>17</v>
      </c>
      <c r="W43" s="1148">
        <v>18</v>
      </c>
      <c r="X43" s="1087"/>
      <c r="Y43" s="1145">
        <v>9</v>
      </c>
      <c r="Z43" s="1144">
        <v>10</v>
      </c>
      <c r="AA43" s="1144">
        <v>11</v>
      </c>
      <c r="AB43" s="1144">
        <v>12</v>
      </c>
      <c r="AC43" s="1144">
        <v>13</v>
      </c>
      <c r="AD43" s="1144">
        <v>14</v>
      </c>
      <c r="AE43" s="1146">
        <v>15</v>
      </c>
      <c r="AF43" s="919"/>
      <c r="AG43" s="919"/>
      <c r="AH43" s="919"/>
      <c r="AI43" s="919"/>
      <c r="AJ43" s="919"/>
      <c r="AK43" s="919"/>
      <c r="AL43" s="919"/>
      <c r="AM43" s="919"/>
      <c r="AN43" s="919"/>
      <c r="AO43" s="919"/>
      <c r="AP43" s="920"/>
      <c r="AQ43" s="919"/>
    </row>
    <row r="44" spans="1:43" ht="15.75">
      <c r="A44" s="1139">
        <v>17</v>
      </c>
      <c r="B44" s="1087">
        <v>18</v>
      </c>
      <c r="C44" s="1087">
        <v>19</v>
      </c>
      <c r="D44" s="1087">
        <v>20</v>
      </c>
      <c r="E44" s="1087">
        <v>21</v>
      </c>
      <c r="F44" s="1087">
        <v>22</v>
      </c>
      <c r="G44" s="1140">
        <v>23</v>
      </c>
      <c r="H44" s="1087"/>
      <c r="I44" s="1141">
        <v>21</v>
      </c>
      <c r="J44" s="1087">
        <v>22</v>
      </c>
      <c r="K44" s="1091">
        <v>23</v>
      </c>
      <c r="L44" s="1087">
        <v>24</v>
      </c>
      <c r="M44" s="1087">
        <v>25</v>
      </c>
      <c r="N44" s="1087">
        <v>26</v>
      </c>
      <c r="O44" s="1142">
        <v>27</v>
      </c>
      <c r="P44" s="1087"/>
      <c r="Q44" s="1147">
        <v>19</v>
      </c>
      <c r="R44" s="1144">
        <v>20</v>
      </c>
      <c r="S44" s="1144">
        <v>21</v>
      </c>
      <c r="T44" s="1144">
        <v>22</v>
      </c>
      <c r="U44" s="1144">
        <v>23</v>
      </c>
      <c r="V44" s="1144">
        <v>24</v>
      </c>
      <c r="W44" s="1148">
        <v>25</v>
      </c>
      <c r="X44" s="1087"/>
      <c r="Y44" s="1145">
        <v>16</v>
      </c>
      <c r="Z44" s="1144">
        <v>17</v>
      </c>
      <c r="AA44" s="1144">
        <v>18</v>
      </c>
      <c r="AB44" s="1144">
        <v>19</v>
      </c>
      <c r="AC44" s="1144">
        <v>20</v>
      </c>
      <c r="AD44" s="1144">
        <v>21</v>
      </c>
      <c r="AE44" s="1146">
        <v>22</v>
      </c>
      <c r="AF44" s="919"/>
      <c r="AG44" s="919"/>
      <c r="AH44" s="919"/>
      <c r="AI44" s="919"/>
      <c r="AJ44" s="919"/>
      <c r="AK44" s="919"/>
      <c r="AL44" s="919"/>
      <c r="AM44" s="919"/>
      <c r="AN44" s="919"/>
      <c r="AO44" s="919"/>
      <c r="AP44" s="920"/>
      <c r="AQ44" s="919"/>
    </row>
    <row r="45" spans="1:43" ht="15.75">
      <c r="A45" s="1139">
        <v>24</v>
      </c>
      <c r="B45" s="1105">
        <v>25</v>
      </c>
      <c r="C45" s="1087">
        <v>26</v>
      </c>
      <c r="D45" s="1087">
        <v>27</v>
      </c>
      <c r="E45" s="1087">
        <v>28</v>
      </c>
      <c r="F45" s="1087">
        <v>29</v>
      </c>
      <c r="G45" s="1150">
        <v>30</v>
      </c>
      <c r="H45" s="1087"/>
      <c r="I45" s="1141">
        <v>28</v>
      </c>
      <c r="J45" s="1087">
        <v>29</v>
      </c>
      <c r="K45" s="1091">
        <v>30</v>
      </c>
      <c r="L45" s="1087"/>
      <c r="M45" s="1087"/>
      <c r="N45" s="1087"/>
      <c r="O45" s="1142"/>
      <c r="P45" s="1087"/>
      <c r="Q45" s="1147">
        <v>26</v>
      </c>
      <c r="R45" s="1144">
        <v>27</v>
      </c>
      <c r="S45" s="1144">
        <v>28</v>
      </c>
      <c r="T45" s="1144">
        <v>29</v>
      </c>
      <c r="U45" s="1144">
        <v>30</v>
      </c>
      <c r="V45" s="1144">
        <v>31</v>
      </c>
      <c r="W45" s="1148"/>
      <c r="X45" s="1087"/>
      <c r="Y45" s="1145">
        <v>23</v>
      </c>
      <c r="Z45" s="1144">
        <v>24</v>
      </c>
      <c r="AA45" s="1144">
        <v>25</v>
      </c>
      <c r="AB45" s="1144">
        <v>26</v>
      </c>
      <c r="AC45" s="1144">
        <v>27</v>
      </c>
      <c r="AD45" s="1144">
        <v>28</v>
      </c>
      <c r="AE45" s="1146">
        <v>29</v>
      </c>
      <c r="AF45" s="919"/>
      <c r="AG45" s="919"/>
      <c r="AH45" s="919"/>
      <c r="AI45" s="919"/>
      <c r="AJ45" s="919"/>
      <c r="AK45" s="919"/>
      <c r="AL45" s="919"/>
      <c r="AM45" s="919"/>
      <c r="AN45" s="919"/>
      <c r="AO45" s="919"/>
      <c r="AP45" s="920"/>
      <c r="AQ45" s="919"/>
    </row>
    <row r="46" spans="1:43" ht="15.75">
      <c r="A46" s="1151">
        <v>31</v>
      </c>
      <c r="B46" s="1152"/>
      <c r="C46" s="1152"/>
      <c r="D46" s="1152"/>
      <c r="E46" s="1152"/>
      <c r="F46" s="1152"/>
      <c r="G46" s="1153" t="s">
        <v>3999</v>
      </c>
      <c r="H46" s="1087"/>
      <c r="I46" s="1154"/>
      <c r="J46" s="1155"/>
      <c r="K46" s="1155"/>
      <c r="L46" s="1155"/>
      <c r="M46" s="1155"/>
      <c r="N46" s="1155"/>
      <c r="O46" s="1156"/>
      <c r="P46" s="1087"/>
      <c r="Q46" s="1157"/>
      <c r="R46" s="1158"/>
      <c r="S46" s="1158"/>
      <c r="T46" s="1158"/>
      <c r="U46" s="1158"/>
      <c r="V46" s="1158"/>
      <c r="W46" s="1159"/>
      <c r="X46" s="1087"/>
      <c r="Y46" s="1160">
        <v>30</v>
      </c>
      <c r="Z46" s="1161">
        <v>31</v>
      </c>
      <c r="AA46" s="1161"/>
      <c r="AB46" s="1161"/>
      <c r="AC46" s="1161"/>
      <c r="AD46" s="1161"/>
      <c r="AE46" s="1162"/>
      <c r="AF46" s="919"/>
      <c r="AG46" s="919"/>
      <c r="AH46" s="919"/>
      <c r="AI46" s="919"/>
      <c r="AJ46" s="919"/>
      <c r="AK46" s="919"/>
      <c r="AL46" s="919"/>
      <c r="AM46" s="919"/>
      <c r="AN46" s="919"/>
      <c r="AO46" s="919"/>
      <c r="AP46" s="920"/>
      <c r="AQ46" s="919"/>
    </row>
    <row r="47" spans="1:43">
      <c r="A47" s="919"/>
      <c r="B47" s="919"/>
      <c r="C47" s="919"/>
      <c r="D47" s="919"/>
      <c r="E47" s="919"/>
      <c r="F47" s="919"/>
      <c r="G47" s="919"/>
      <c r="H47" s="919"/>
      <c r="I47" s="919"/>
      <c r="J47" s="919"/>
      <c r="K47" s="919"/>
      <c r="L47" s="919"/>
      <c r="M47" s="919"/>
      <c r="N47" s="919"/>
      <c r="O47" s="919"/>
      <c r="P47" s="919"/>
      <c r="Q47" s="919"/>
      <c r="R47" s="919"/>
      <c r="S47" s="919"/>
      <c r="T47" s="919"/>
      <c r="U47" s="919"/>
      <c r="V47" s="919"/>
      <c r="W47" s="919"/>
      <c r="X47" s="919"/>
      <c r="Y47" s="919"/>
      <c r="Z47" s="919"/>
      <c r="AA47" s="919"/>
      <c r="AB47" s="919"/>
      <c r="AC47" s="919"/>
      <c r="AD47" s="919"/>
      <c r="AE47" s="919"/>
      <c r="AF47" s="919"/>
      <c r="AG47" s="919"/>
      <c r="AH47" s="919"/>
      <c r="AI47" s="919"/>
      <c r="AJ47" s="919"/>
      <c r="AK47" s="919"/>
      <c r="AL47" s="919"/>
      <c r="AM47" s="919"/>
      <c r="AN47" s="919"/>
      <c r="AO47" s="919"/>
      <c r="AP47" s="920"/>
      <c r="AQ47" s="919"/>
    </row>
    <row r="48" spans="1:43" ht="18">
      <c r="A48" s="2204" t="s">
        <v>7077</v>
      </c>
      <c r="B48" s="2205"/>
      <c r="C48" s="2205"/>
      <c r="D48" s="2205"/>
      <c r="E48" s="2205"/>
      <c r="F48" s="2205"/>
      <c r="G48" s="2206"/>
      <c r="H48" s="919"/>
      <c r="I48" s="2192" t="s">
        <v>7078</v>
      </c>
      <c r="J48" s="2193"/>
      <c r="K48" s="2193"/>
      <c r="L48" s="2193"/>
      <c r="M48" s="2193"/>
      <c r="N48" s="2193"/>
      <c r="O48" s="2194"/>
      <c r="P48" s="1130"/>
      <c r="Q48" s="2195" t="s">
        <v>7079</v>
      </c>
      <c r="R48" s="2196"/>
      <c r="S48" s="2196"/>
      <c r="T48" s="2196"/>
      <c r="U48" s="2196"/>
      <c r="V48" s="2196"/>
      <c r="W48" s="2197"/>
      <c r="X48" s="1130"/>
      <c r="Y48" s="2198" t="s">
        <v>6628</v>
      </c>
      <c r="Z48" s="2199"/>
      <c r="AA48" s="2199"/>
      <c r="AB48" s="2199"/>
      <c r="AC48" s="2199"/>
      <c r="AD48" s="2199"/>
      <c r="AE48" s="2200"/>
      <c r="AF48" s="919"/>
      <c r="AG48" s="919"/>
      <c r="AH48" s="919"/>
      <c r="AI48" s="919"/>
      <c r="AJ48" s="919"/>
      <c r="AK48" s="919"/>
      <c r="AL48" s="919"/>
      <c r="AM48" s="919"/>
      <c r="AN48" s="919"/>
      <c r="AO48" s="919"/>
      <c r="AP48" s="920"/>
      <c r="AQ48" s="919"/>
    </row>
    <row r="49" spans="1:43" ht="15">
      <c r="A49" s="1163" t="s">
        <v>7065</v>
      </c>
      <c r="B49" s="1164" t="s">
        <v>7066</v>
      </c>
      <c r="C49" s="1164" t="s">
        <v>7067</v>
      </c>
      <c r="D49" s="1164" t="s">
        <v>7068</v>
      </c>
      <c r="E49" s="1164" t="s">
        <v>7069</v>
      </c>
      <c r="F49" s="1164" t="s">
        <v>7070</v>
      </c>
      <c r="G49" s="1163" t="s">
        <v>7071</v>
      </c>
      <c r="H49" s="1096"/>
      <c r="I49" s="1165" t="s">
        <v>7065</v>
      </c>
      <c r="J49" s="1166" t="s">
        <v>7066</v>
      </c>
      <c r="K49" s="1166" t="s">
        <v>7067</v>
      </c>
      <c r="L49" s="1166" t="s">
        <v>7068</v>
      </c>
      <c r="M49" s="1166" t="s">
        <v>7069</v>
      </c>
      <c r="N49" s="1166" t="s">
        <v>7070</v>
      </c>
      <c r="O49" s="1165" t="s">
        <v>7071</v>
      </c>
      <c r="P49" s="1096"/>
      <c r="Q49" s="1167" t="s">
        <v>7065</v>
      </c>
      <c r="R49" s="1168" t="s">
        <v>7066</v>
      </c>
      <c r="S49" s="1168" t="s">
        <v>7067</v>
      </c>
      <c r="T49" s="1168" t="s">
        <v>7068</v>
      </c>
      <c r="U49" s="1168" t="s">
        <v>7069</v>
      </c>
      <c r="V49" s="1168" t="s">
        <v>7070</v>
      </c>
      <c r="W49" s="1167" t="s">
        <v>7071</v>
      </c>
      <c r="X49" s="1096"/>
      <c r="Y49" s="1169" t="s">
        <v>7065</v>
      </c>
      <c r="Z49" s="1170" t="s">
        <v>7066</v>
      </c>
      <c r="AA49" s="1170" t="s">
        <v>7067</v>
      </c>
      <c r="AB49" s="1170" t="s">
        <v>7068</v>
      </c>
      <c r="AC49" s="1170" t="s">
        <v>7069</v>
      </c>
      <c r="AD49" s="1170" t="s">
        <v>7070</v>
      </c>
      <c r="AE49" s="1169" t="s">
        <v>7071</v>
      </c>
      <c r="AF49" s="919"/>
      <c r="AG49" s="919"/>
      <c r="AH49" s="919"/>
      <c r="AI49" s="919"/>
      <c r="AJ49" s="919"/>
      <c r="AK49" s="919"/>
      <c r="AL49" s="919"/>
      <c r="AM49" s="919"/>
      <c r="AN49" s="919"/>
      <c r="AO49" s="919"/>
      <c r="AP49" s="920"/>
      <c r="AQ49" s="919"/>
    </row>
    <row r="50" spans="1:43" ht="15.75">
      <c r="A50" s="1171"/>
      <c r="B50" s="1144"/>
      <c r="C50" s="1144">
        <v>1</v>
      </c>
      <c r="D50" s="1144">
        <v>2</v>
      </c>
      <c r="E50" s="1144">
        <v>3</v>
      </c>
      <c r="F50" s="1144">
        <v>4</v>
      </c>
      <c r="G50" s="1172">
        <v>5</v>
      </c>
      <c r="H50" s="1107"/>
      <c r="I50" s="1173"/>
      <c r="J50" s="1087"/>
      <c r="K50" s="1087"/>
      <c r="L50" s="1087"/>
      <c r="M50" s="1087">
        <v>1</v>
      </c>
      <c r="N50" s="1087">
        <v>2</v>
      </c>
      <c r="O50" s="1174">
        <v>3</v>
      </c>
      <c r="P50" s="1107"/>
      <c r="Q50" s="1175">
        <v>1</v>
      </c>
      <c r="R50" s="1087">
        <v>2</v>
      </c>
      <c r="S50" s="1087">
        <v>3</v>
      </c>
      <c r="T50" s="1087">
        <v>4</v>
      </c>
      <c r="U50" s="1087">
        <v>5</v>
      </c>
      <c r="V50" s="1087">
        <v>6</v>
      </c>
      <c r="W50" s="1176">
        <v>7</v>
      </c>
      <c r="X50" s="1107"/>
      <c r="Y50" s="1177"/>
      <c r="Z50" s="1087"/>
      <c r="AA50" s="1087">
        <v>1</v>
      </c>
      <c r="AB50" s="1087">
        <v>2</v>
      </c>
      <c r="AC50" s="1087">
        <v>3</v>
      </c>
      <c r="AD50" s="1087">
        <v>4</v>
      </c>
      <c r="AE50" s="1178">
        <v>5</v>
      </c>
      <c r="AF50" s="919"/>
      <c r="AG50" s="919"/>
      <c r="AH50" s="919"/>
      <c r="AI50" s="919"/>
      <c r="AJ50" s="919"/>
      <c r="AK50" s="919"/>
      <c r="AL50" s="919"/>
      <c r="AM50" s="919"/>
      <c r="AN50" s="919"/>
      <c r="AO50" s="919"/>
      <c r="AP50" s="920"/>
      <c r="AQ50" s="919"/>
    </row>
    <row r="51" spans="1:43" ht="15.75">
      <c r="A51" s="1171">
        <v>6</v>
      </c>
      <c r="B51" s="1179">
        <v>7</v>
      </c>
      <c r="C51" s="1144">
        <v>8</v>
      </c>
      <c r="D51" s="1144">
        <v>9</v>
      </c>
      <c r="E51" s="1144">
        <v>10</v>
      </c>
      <c r="F51" s="1180">
        <v>11</v>
      </c>
      <c r="G51" s="1181">
        <v>12</v>
      </c>
      <c r="H51" s="1182"/>
      <c r="I51" s="1173">
        <v>4</v>
      </c>
      <c r="J51" s="1087">
        <v>5</v>
      </c>
      <c r="K51" s="1087">
        <v>6</v>
      </c>
      <c r="L51" s="1087">
        <v>7</v>
      </c>
      <c r="M51" s="1087">
        <v>8</v>
      </c>
      <c r="N51" s="1087">
        <v>9</v>
      </c>
      <c r="O51" s="1174">
        <v>10</v>
      </c>
      <c r="P51" s="1087"/>
      <c r="Q51" s="1175">
        <v>8</v>
      </c>
      <c r="R51" s="1087">
        <v>9</v>
      </c>
      <c r="S51" s="1087">
        <v>10</v>
      </c>
      <c r="T51" s="1105">
        <v>11</v>
      </c>
      <c r="U51" s="1087">
        <v>12</v>
      </c>
      <c r="V51" s="1087">
        <v>13</v>
      </c>
      <c r="W51" s="1176">
        <v>14</v>
      </c>
      <c r="X51" s="1087"/>
      <c r="Y51" s="1177">
        <v>6</v>
      </c>
      <c r="Z51" s="1087">
        <v>7</v>
      </c>
      <c r="AA51" s="1087">
        <v>8</v>
      </c>
      <c r="AB51" s="1087">
        <v>9</v>
      </c>
      <c r="AC51" s="1087">
        <v>10</v>
      </c>
      <c r="AD51" s="1087">
        <v>11</v>
      </c>
      <c r="AE51" s="1178">
        <v>12</v>
      </c>
      <c r="AF51" s="919"/>
      <c r="AG51" s="919"/>
      <c r="AH51" s="919"/>
      <c r="AI51" s="919"/>
      <c r="AJ51" s="919"/>
      <c r="AK51" s="919"/>
      <c r="AL51" s="919"/>
      <c r="AM51" s="919"/>
      <c r="AN51" s="919"/>
      <c r="AO51" s="919"/>
      <c r="AP51" s="920"/>
      <c r="AQ51" s="919"/>
    </row>
    <row r="52" spans="1:43" ht="15.75">
      <c r="A52" s="1183">
        <v>13</v>
      </c>
      <c r="B52" s="1180">
        <v>14</v>
      </c>
      <c r="C52" s="1180">
        <v>15</v>
      </c>
      <c r="D52" s="1180">
        <v>16</v>
      </c>
      <c r="E52" s="1180">
        <v>17</v>
      </c>
      <c r="F52" s="1180">
        <v>18</v>
      </c>
      <c r="G52" s="1181">
        <v>19</v>
      </c>
      <c r="H52" s="1182"/>
      <c r="I52" s="1173">
        <v>11</v>
      </c>
      <c r="J52" s="1105">
        <v>12</v>
      </c>
      <c r="K52" s="1087">
        <v>13</v>
      </c>
      <c r="L52" s="1087">
        <v>14</v>
      </c>
      <c r="M52" s="1087">
        <v>15</v>
      </c>
      <c r="N52" s="1087">
        <v>16</v>
      </c>
      <c r="O52" s="1174">
        <v>17</v>
      </c>
      <c r="P52" s="1087"/>
      <c r="Q52" s="1175">
        <v>15</v>
      </c>
      <c r="R52" s="1087">
        <v>16</v>
      </c>
      <c r="S52" s="1087">
        <v>17</v>
      </c>
      <c r="T52" s="1087">
        <v>18</v>
      </c>
      <c r="U52" s="1087">
        <v>19</v>
      </c>
      <c r="V52" s="1087">
        <v>20</v>
      </c>
      <c r="W52" s="1176">
        <v>21</v>
      </c>
      <c r="X52" s="1087"/>
      <c r="Y52" s="1177">
        <v>13</v>
      </c>
      <c r="Z52" s="1087">
        <v>14</v>
      </c>
      <c r="AA52" s="1087">
        <v>15</v>
      </c>
      <c r="AB52" s="1087">
        <v>16</v>
      </c>
      <c r="AC52" s="1087">
        <v>17</v>
      </c>
      <c r="AD52" s="1087">
        <v>18</v>
      </c>
      <c r="AE52" s="1178">
        <v>19</v>
      </c>
      <c r="AF52" s="919"/>
      <c r="AG52" s="919" t="s">
        <v>7085</v>
      </c>
      <c r="AH52" s="919"/>
      <c r="AI52" s="919"/>
      <c r="AJ52" s="919"/>
      <c r="AK52" s="919"/>
      <c r="AL52" s="919"/>
      <c r="AM52" s="919"/>
      <c r="AN52" s="919"/>
      <c r="AO52" s="919"/>
      <c r="AP52" s="920"/>
      <c r="AQ52" s="919"/>
    </row>
    <row r="53" spans="1:43" ht="15.75">
      <c r="A53" s="1183">
        <v>20</v>
      </c>
      <c r="B53" s="1180">
        <v>21</v>
      </c>
      <c r="C53" s="1180">
        <v>22</v>
      </c>
      <c r="D53" s="1180">
        <v>23</v>
      </c>
      <c r="E53" s="1180">
        <v>24</v>
      </c>
      <c r="F53" s="1180">
        <v>25</v>
      </c>
      <c r="G53" s="1181">
        <v>26</v>
      </c>
      <c r="H53" s="1182"/>
      <c r="I53" s="1173">
        <v>18</v>
      </c>
      <c r="J53" s="1087">
        <v>19</v>
      </c>
      <c r="K53" s="1087">
        <v>20</v>
      </c>
      <c r="L53" s="1087">
        <v>21</v>
      </c>
      <c r="M53" s="1087">
        <v>22</v>
      </c>
      <c r="N53" s="1087">
        <v>23</v>
      </c>
      <c r="O53" s="1174">
        <v>24</v>
      </c>
      <c r="P53" s="1087"/>
      <c r="Q53" s="1175">
        <v>22</v>
      </c>
      <c r="R53" s="1087">
        <v>23</v>
      </c>
      <c r="S53" s="1087">
        <v>24</v>
      </c>
      <c r="T53" s="1087">
        <v>25</v>
      </c>
      <c r="U53" s="1105">
        <v>26</v>
      </c>
      <c r="V53" s="1087">
        <v>27</v>
      </c>
      <c r="W53" s="1176">
        <v>28</v>
      </c>
      <c r="X53" s="1087"/>
      <c r="Y53" s="1177">
        <v>20</v>
      </c>
      <c r="Z53" s="1087">
        <v>21</v>
      </c>
      <c r="AA53" s="1087">
        <v>22</v>
      </c>
      <c r="AB53" s="1087">
        <v>23</v>
      </c>
      <c r="AC53" s="1087">
        <v>24</v>
      </c>
      <c r="AD53" s="1105">
        <v>25</v>
      </c>
      <c r="AE53" s="1178">
        <v>26</v>
      </c>
      <c r="AF53" s="919"/>
      <c r="AG53" s="919"/>
      <c r="AH53" s="919"/>
      <c r="AI53" s="919"/>
      <c r="AJ53" s="919"/>
      <c r="AK53" s="919"/>
      <c r="AL53" s="919"/>
      <c r="AM53" s="919"/>
      <c r="AN53" s="919"/>
      <c r="AO53" s="919"/>
      <c r="AP53" s="920"/>
      <c r="AQ53" s="919"/>
    </row>
    <row r="54" spans="1:43" ht="15.75">
      <c r="A54" s="1183">
        <v>27</v>
      </c>
      <c r="B54" s="1180">
        <v>28</v>
      </c>
      <c r="C54" s="1180">
        <v>29</v>
      </c>
      <c r="D54" s="1180">
        <v>30</v>
      </c>
      <c r="E54" s="1180"/>
      <c r="F54" s="1180"/>
      <c r="G54" s="1181"/>
      <c r="H54" s="1182"/>
      <c r="I54" s="1173">
        <v>25</v>
      </c>
      <c r="J54" s="1087">
        <v>26</v>
      </c>
      <c r="K54" s="1087">
        <v>27</v>
      </c>
      <c r="L54" s="1087">
        <v>28</v>
      </c>
      <c r="M54" s="1087">
        <v>29</v>
      </c>
      <c r="N54" s="1087">
        <v>30</v>
      </c>
      <c r="O54" s="1174">
        <v>31</v>
      </c>
      <c r="P54" s="1087"/>
      <c r="Q54" s="1175">
        <v>29</v>
      </c>
      <c r="R54" s="1087">
        <v>30</v>
      </c>
      <c r="S54" s="1087"/>
      <c r="T54" s="1087"/>
      <c r="U54" s="1087"/>
      <c r="V54" s="1087"/>
      <c r="W54" s="1176"/>
      <c r="X54" s="1087"/>
      <c r="Y54" s="1177">
        <v>27</v>
      </c>
      <c r="Z54" s="1087">
        <v>28</v>
      </c>
      <c r="AA54" s="1087">
        <v>29</v>
      </c>
      <c r="AB54" s="1087">
        <v>30</v>
      </c>
      <c r="AC54" s="1087">
        <v>31</v>
      </c>
      <c r="AD54" s="1087"/>
      <c r="AE54" s="1178"/>
      <c r="AF54" s="919"/>
      <c r="AG54" s="919"/>
      <c r="AH54" s="919"/>
      <c r="AI54" s="919"/>
      <c r="AJ54" s="919"/>
      <c r="AK54" s="919"/>
      <c r="AL54" s="919"/>
      <c r="AM54" s="919"/>
      <c r="AN54" s="919"/>
      <c r="AO54" s="919"/>
      <c r="AP54" s="920"/>
      <c r="AQ54" s="919"/>
    </row>
    <row r="55" spans="1:43" ht="15.75">
      <c r="A55" s="1184"/>
      <c r="B55" s="1185"/>
      <c r="C55" s="1185"/>
      <c r="D55" s="1185"/>
      <c r="E55" s="1185"/>
      <c r="F55" s="1185"/>
      <c r="G55" s="1186"/>
      <c r="H55" s="1182"/>
      <c r="I55" s="1187"/>
      <c r="J55" s="1188"/>
      <c r="K55" s="1188"/>
      <c r="L55" s="1188"/>
      <c r="M55" s="1188"/>
      <c r="N55" s="1188"/>
      <c r="O55" s="1189"/>
      <c r="P55" s="1087"/>
      <c r="Q55" s="1190"/>
      <c r="R55" s="1191"/>
      <c r="S55" s="1191"/>
      <c r="T55" s="1191"/>
      <c r="U55" s="1191"/>
      <c r="V55" s="1191"/>
      <c r="W55" s="1192"/>
      <c r="X55" s="1087"/>
      <c r="Y55" s="1193"/>
      <c r="Z55" s="1194"/>
      <c r="AA55" s="1194"/>
      <c r="AB55" s="1194"/>
      <c r="AC55" s="1195"/>
      <c r="AD55" s="1194"/>
      <c r="AE55" s="1196"/>
      <c r="AF55" s="919"/>
      <c r="AG55" s="919"/>
      <c r="AH55" s="919"/>
      <c r="AI55" s="919"/>
      <c r="AJ55" s="919"/>
      <c r="AK55" s="919"/>
      <c r="AL55" s="919"/>
      <c r="AM55" s="919"/>
      <c r="AN55" s="919"/>
      <c r="AO55" s="919"/>
      <c r="AP55" s="920"/>
      <c r="AQ55" s="919"/>
    </row>
    <row r="56" spans="1:43">
      <c r="A56" s="919"/>
      <c r="B56" s="919"/>
      <c r="C56" s="919"/>
      <c r="D56" s="919"/>
      <c r="E56" s="919"/>
      <c r="F56" s="919"/>
      <c r="G56" s="919"/>
      <c r="H56" s="919"/>
      <c r="I56" s="919"/>
      <c r="J56" s="919"/>
      <c r="K56" s="919"/>
      <c r="L56" s="919"/>
      <c r="M56" s="919"/>
      <c r="N56" s="919"/>
      <c r="O56" s="919"/>
      <c r="P56" s="919"/>
      <c r="Q56" s="919"/>
      <c r="R56" s="919"/>
      <c r="S56" s="919"/>
      <c r="T56" s="919"/>
      <c r="U56" s="919"/>
      <c r="V56" s="919"/>
      <c r="W56" s="919"/>
      <c r="X56" s="919"/>
      <c r="Y56" s="919"/>
      <c r="Z56" s="919"/>
      <c r="AA56" s="919"/>
      <c r="AB56" s="919"/>
      <c r="AC56" s="919"/>
      <c r="AD56" s="919"/>
      <c r="AE56" s="919"/>
      <c r="AF56" s="919"/>
      <c r="AG56" s="919"/>
      <c r="AH56" s="919"/>
      <c r="AI56" s="919"/>
      <c r="AJ56" s="919"/>
      <c r="AK56" s="919"/>
      <c r="AL56" s="919"/>
      <c r="AM56" s="919"/>
      <c r="AN56" s="919"/>
      <c r="AO56" s="919"/>
      <c r="AP56" s="920"/>
      <c r="AQ56" s="919"/>
    </row>
    <row r="57" spans="1:43" ht="18">
      <c r="A57" s="2207" t="s">
        <v>7086</v>
      </c>
      <c r="B57" s="2087"/>
      <c r="C57" s="2087"/>
      <c r="D57" s="2087"/>
      <c r="E57" s="2087"/>
      <c r="F57" s="2087"/>
      <c r="G57" s="2087"/>
      <c r="H57" s="1197"/>
      <c r="I57" s="1197"/>
      <c r="J57" s="1197"/>
      <c r="K57" s="1197"/>
      <c r="L57" s="1197"/>
      <c r="M57" s="1197"/>
      <c r="N57" s="1197"/>
      <c r="O57" s="1197"/>
      <c r="P57" s="1197"/>
      <c r="Q57" s="1197"/>
      <c r="R57" s="1197"/>
      <c r="S57" s="1197"/>
      <c r="T57" s="1197"/>
      <c r="U57" s="1197"/>
      <c r="V57" s="1197"/>
      <c r="W57" s="1197"/>
      <c r="X57" s="919"/>
      <c r="Y57" s="919"/>
      <c r="Z57" s="919"/>
      <c r="AA57" s="919"/>
      <c r="AB57" s="919"/>
      <c r="AC57" s="919"/>
      <c r="AD57" s="919"/>
      <c r="AE57" s="919"/>
      <c r="AF57" s="919"/>
      <c r="AG57" s="919"/>
      <c r="AH57" s="919"/>
      <c r="AI57" s="919"/>
      <c r="AJ57" s="919"/>
      <c r="AK57" s="919"/>
      <c r="AL57" s="919"/>
      <c r="AM57" s="919"/>
      <c r="AN57" s="919"/>
      <c r="AO57" s="919"/>
      <c r="AP57" s="920"/>
      <c r="AQ57" s="919"/>
    </row>
    <row r="58" spans="1:43">
      <c r="A58" s="2208">
        <v>43466</v>
      </c>
      <c r="B58" s="2094"/>
      <c r="C58" s="2201" t="s">
        <v>7087</v>
      </c>
      <c r="D58" s="2094"/>
      <c r="E58" s="2094"/>
      <c r="F58" s="2094"/>
      <c r="G58" s="1198"/>
      <c r="H58" s="1198"/>
      <c r="I58" s="2209">
        <v>43610</v>
      </c>
      <c r="J58" s="2094"/>
      <c r="K58" s="2201" t="s">
        <v>7088</v>
      </c>
      <c r="L58" s="2094"/>
      <c r="M58" s="2094"/>
      <c r="N58" s="1198"/>
      <c r="O58" s="1198"/>
      <c r="P58" s="1198"/>
      <c r="Q58" s="2202">
        <v>43715</v>
      </c>
      <c r="R58" s="2094"/>
      <c r="S58" s="2201" t="s">
        <v>7089</v>
      </c>
      <c r="T58" s="2094"/>
      <c r="U58" s="2094"/>
      <c r="V58" s="1198"/>
      <c r="W58" s="1198"/>
      <c r="X58" s="1198"/>
      <c r="Y58" s="2202">
        <v>43795</v>
      </c>
      <c r="Z58" s="2094"/>
      <c r="AA58" s="2201" t="s">
        <v>7090</v>
      </c>
      <c r="AB58" s="2094"/>
      <c r="AC58" s="2094"/>
      <c r="AD58" s="2094"/>
      <c r="AE58" s="1199"/>
      <c r="AF58" s="919"/>
      <c r="AG58" s="919"/>
      <c r="AH58" s="919"/>
      <c r="AI58" s="919"/>
      <c r="AJ58" s="919"/>
      <c r="AK58" s="919"/>
      <c r="AL58" s="919"/>
      <c r="AM58" s="919"/>
      <c r="AN58" s="919"/>
      <c r="AO58" s="919"/>
      <c r="AP58" s="920"/>
      <c r="AQ58" s="919"/>
    </row>
    <row r="59" spans="1:43">
      <c r="A59" s="2211">
        <v>43485</v>
      </c>
      <c r="B59" s="2087"/>
      <c r="C59" s="2178" t="s">
        <v>7091</v>
      </c>
      <c r="D59" s="2087"/>
      <c r="E59" s="2087"/>
      <c r="F59" s="2087"/>
      <c r="G59" s="2087"/>
      <c r="H59" s="919"/>
      <c r="I59" s="2203">
        <v>43649</v>
      </c>
      <c r="J59" s="2087"/>
      <c r="K59" s="2178" t="s">
        <v>7092</v>
      </c>
      <c r="L59" s="2087"/>
      <c r="M59" s="2087"/>
      <c r="N59" s="2087"/>
      <c r="O59" s="2087"/>
      <c r="P59" s="919"/>
      <c r="Q59" s="2203">
        <v>43750</v>
      </c>
      <c r="R59" s="2087"/>
      <c r="S59" s="2178" t="s">
        <v>7093</v>
      </c>
      <c r="T59" s="2087"/>
      <c r="U59" s="2087"/>
      <c r="V59" s="919"/>
      <c r="W59" s="919"/>
      <c r="X59" s="919"/>
      <c r="Y59" s="2203">
        <v>43824</v>
      </c>
      <c r="Z59" s="2087"/>
      <c r="AA59" s="2178" t="s">
        <v>7094</v>
      </c>
      <c r="AB59" s="2087"/>
      <c r="AC59" s="2087"/>
      <c r="AD59" s="919"/>
      <c r="AE59" s="1200"/>
      <c r="AF59" s="919"/>
      <c r="AG59" s="919"/>
      <c r="AH59" s="919"/>
      <c r="AI59" s="919"/>
      <c r="AJ59" s="919"/>
      <c r="AK59" s="919"/>
      <c r="AL59" s="919"/>
      <c r="AM59" s="919"/>
      <c r="AN59" s="919"/>
      <c r="AO59" s="919"/>
      <c r="AP59" s="920"/>
      <c r="AQ59" s="919"/>
    </row>
    <row r="60" spans="1:43">
      <c r="A60" s="2212">
        <v>43513</v>
      </c>
      <c r="B60" s="2144"/>
      <c r="C60" s="2213" t="s">
        <v>7095</v>
      </c>
      <c r="D60" s="2144"/>
      <c r="E60" s="2144"/>
      <c r="F60" s="2144"/>
      <c r="G60" s="1201"/>
      <c r="H60" s="1201"/>
      <c r="I60" s="2210">
        <v>43650</v>
      </c>
      <c r="J60" s="2144"/>
      <c r="K60" s="2213" t="s">
        <v>7096</v>
      </c>
      <c r="L60" s="2144"/>
      <c r="M60" s="2144"/>
      <c r="N60" s="2144"/>
      <c r="O60" s="1201"/>
      <c r="P60" s="1201"/>
      <c r="Q60" s="2210">
        <v>43780</v>
      </c>
      <c r="R60" s="2144"/>
      <c r="S60" s="2213" t="s">
        <v>7097</v>
      </c>
      <c r="T60" s="2144"/>
      <c r="U60" s="2144"/>
      <c r="V60" s="1201"/>
      <c r="W60" s="1201"/>
      <c r="X60" s="1201"/>
      <c r="Y60" s="1201"/>
      <c r="Z60" s="1201"/>
      <c r="AA60" s="1201"/>
      <c r="AB60" s="1201"/>
      <c r="AC60" s="1201"/>
      <c r="AD60" s="1201"/>
      <c r="AE60" s="1202"/>
      <c r="AF60" s="919"/>
      <c r="AG60" s="919"/>
      <c r="AH60" s="919"/>
      <c r="AI60" s="919"/>
      <c r="AJ60" s="919"/>
      <c r="AK60" s="919"/>
      <c r="AL60" s="919"/>
      <c r="AM60" s="919"/>
      <c r="AN60" s="919"/>
      <c r="AO60" s="919"/>
      <c r="AP60" s="920"/>
      <c r="AQ60" s="919"/>
    </row>
    <row r="61" spans="1:43">
      <c r="A61" s="2216" t="s">
        <v>7098</v>
      </c>
      <c r="B61" s="2087"/>
      <c r="C61" s="2087"/>
      <c r="D61" s="2087"/>
      <c r="E61" s="2087"/>
      <c r="F61" s="2087"/>
      <c r="G61" s="2087"/>
      <c r="H61" s="2087"/>
      <c r="I61" s="2087"/>
      <c r="J61" s="919"/>
      <c r="K61" s="919"/>
      <c r="L61" s="919"/>
      <c r="M61" s="919"/>
      <c r="N61" s="919"/>
      <c r="O61" s="919"/>
      <c r="P61" s="1203"/>
      <c r="Q61" s="919"/>
      <c r="R61" s="1203"/>
      <c r="S61" s="1203"/>
      <c r="T61" s="1203"/>
      <c r="U61" s="1203"/>
      <c r="V61" s="1203"/>
      <c r="W61" s="919"/>
      <c r="X61" s="919"/>
      <c r="Y61" s="919"/>
      <c r="Z61" s="919"/>
      <c r="AA61" s="919"/>
      <c r="AB61" s="919"/>
      <c r="AC61" s="919"/>
      <c r="AD61" s="919"/>
      <c r="AE61" s="1204" t="s">
        <v>7099</v>
      </c>
      <c r="AF61" s="919"/>
      <c r="AG61" s="919"/>
      <c r="AH61" s="919"/>
      <c r="AI61" s="919"/>
      <c r="AJ61" s="919"/>
      <c r="AK61" s="919"/>
      <c r="AL61" s="919"/>
      <c r="AM61" s="919"/>
      <c r="AN61" s="919"/>
      <c r="AO61" s="919"/>
      <c r="AP61" s="920"/>
      <c r="AQ61" s="919"/>
    </row>
    <row r="62" spans="1:43" ht="18">
      <c r="A62" s="919"/>
      <c r="B62" s="919"/>
      <c r="C62" s="919"/>
      <c r="D62" s="919"/>
      <c r="E62" s="919"/>
      <c r="F62" s="919"/>
      <c r="G62" s="919"/>
      <c r="H62" s="919"/>
      <c r="I62" s="919"/>
      <c r="J62" s="919"/>
      <c r="K62" s="919"/>
      <c r="L62" s="919"/>
      <c r="M62" s="919"/>
      <c r="N62" s="919"/>
      <c r="O62" s="919"/>
      <c r="P62" s="919"/>
      <c r="Q62" s="919"/>
      <c r="R62" s="1082"/>
      <c r="S62" s="919"/>
      <c r="T62" s="919"/>
      <c r="U62" s="919"/>
      <c r="V62" s="919"/>
      <c r="W62" s="919"/>
      <c r="X62" s="919"/>
      <c r="Y62" s="919"/>
      <c r="Z62" s="919"/>
      <c r="AA62" s="919"/>
      <c r="AB62" s="919"/>
      <c r="AC62" s="919"/>
      <c r="AD62" s="919"/>
      <c r="AE62" s="919"/>
      <c r="AF62" s="919"/>
      <c r="AG62" s="919"/>
      <c r="AH62" s="919"/>
      <c r="AI62" s="919"/>
      <c r="AJ62" s="919"/>
      <c r="AK62" s="919"/>
      <c r="AL62" s="919"/>
      <c r="AM62" s="919"/>
      <c r="AN62" s="919"/>
      <c r="AO62" s="919"/>
      <c r="AP62" s="920"/>
      <c r="AQ62" s="919"/>
    </row>
    <row r="63" spans="1:43" ht="18">
      <c r="A63" s="919"/>
      <c r="B63" s="919"/>
      <c r="C63" s="919"/>
      <c r="D63" s="919"/>
      <c r="E63" s="919"/>
      <c r="F63" s="919"/>
      <c r="G63" s="919"/>
      <c r="H63" s="919"/>
      <c r="I63" s="919"/>
      <c r="J63" s="919"/>
      <c r="K63" s="919"/>
      <c r="L63" s="919"/>
      <c r="M63" s="919"/>
      <c r="N63" s="919"/>
      <c r="O63" s="919"/>
      <c r="P63" s="919"/>
      <c r="Q63" s="919"/>
      <c r="R63" s="1082"/>
      <c r="S63" s="919"/>
      <c r="T63" s="919"/>
      <c r="U63" s="919"/>
      <c r="V63" s="919"/>
      <c r="W63" s="919"/>
      <c r="X63" s="919"/>
      <c r="Y63" s="919"/>
      <c r="Z63" s="919"/>
      <c r="AA63" s="919"/>
      <c r="AB63" s="919"/>
      <c r="AC63" s="919"/>
      <c r="AD63" s="919"/>
      <c r="AE63" s="919"/>
      <c r="AF63" s="919"/>
      <c r="AG63" s="919"/>
      <c r="AH63" s="919"/>
      <c r="AI63" s="919"/>
      <c r="AJ63" s="919"/>
      <c r="AK63" s="919"/>
      <c r="AL63" s="919"/>
      <c r="AM63" s="919"/>
      <c r="AN63" s="919"/>
      <c r="AO63" s="919"/>
      <c r="AP63" s="920"/>
      <c r="AQ63" s="919"/>
    </row>
    <row r="64" spans="1:43" ht="18">
      <c r="A64" s="919"/>
      <c r="B64" s="919"/>
      <c r="C64" s="919"/>
      <c r="D64" s="919"/>
      <c r="E64" s="919"/>
      <c r="F64" s="919"/>
      <c r="G64" s="919"/>
      <c r="H64" s="919"/>
      <c r="I64" s="919"/>
      <c r="J64" s="919"/>
      <c r="K64" s="919"/>
      <c r="L64" s="919"/>
      <c r="M64" s="919"/>
      <c r="N64" s="919"/>
      <c r="O64" s="919"/>
      <c r="P64" s="919"/>
      <c r="Q64" s="919"/>
      <c r="R64" s="1082"/>
      <c r="S64" s="919"/>
      <c r="T64" s="919"/>
      <c r="U64" s="919"/>
      <c r="V64" s="919"/>
      <c r="W64" s="919"/>
      <c r="X64" s="919"/>
      <c r="Y64" s="919"/>
      <c r="Z64" s="919"/>
      <c r="AA64" s="919"/>
      <c r="AB64" s="919"/>
      <c r="AC64" s="919"/>
      <c r="AD64" s="919"/>
      <c r="AE64" s="919"/>
      <c r="AF64" s="919"/>
      <c r="AG64" s="919"/>
      <c r="AH64" s="919"/>
      <c r="AI64" s="919"/>
      <c r="AJ64" s="919"/>
      <c r="AK64" s="919"/>
      <c r="AL64" s="919"/>
      <c r="AM64" s="919"/>
      <c r="AN64" s="919"/>
      <c r="AO64" s="919"/>
      <c r="AP64" s="920"/>
      <c r="AQ64" s="919"/>
    </row>
    <row r="65" spans="1:78" ht="23.25">
      <c r="A65" s="2217">
        <v>2018</v>
      </c>
      <c r="B65" s="2087"/>
      <c r="C65" s="2087"/>
      <c r="D65" s="2087"/>
      <c r="E65" s="2087"/>
      <c r="F65" s="2087"/>
      <c r="G65" s="2087"/>
      <c r="H65" s="2087"/>
      <c r="I65" s="2087"/>
      <c r="J65" s="2087"/>
      <c r="K65" s="2087"/>
      <c r="L65" s="2087"/>
      <c r="M65" s="2087"/>
      <c r="N65" s="2087"/>
      <c r="O65" s="2087"/>
      <c r="P65" s="919"/>
      <c r="Q65" s="919"/>
      <c r="R65" s="919"/>
      <c r="S65" s="919"/>
      <c r="T65" s="919"/>
      <c r="U65" s="919"/>
      <c r="V65" s="1205"/>
      <c r="W65" s="1206" t="s">
        <v>7100</v>
      </c>
      <c r="X65" s="919"/>
      <c r="Y65" s="919"/>
      <c r="Z65" s="919"/>
      <c r="AA65" s="919"/>
      <c r="AB65" s="1207"/>
      <c r="AC65" s="1206" t="s">
        <v>7101</v>
      </c>
      <c r="AD65" s="919"/>
      <c r="AE65" s="919"/>
      <c r="AF65" s="919"/>
      <c r="AG65" s="1060"/>
      <c r="AH65" s="2215" t="s">
        <v>7102</v>
      </c>
      <c r="AI65" s="2087"/>
      <c r="AJ65" s="2087"/>
      <c r="AK65" s="1013"/>
      <c r="AL65" s="919" t="s">
        <v>7103</v>
      </c>
      <c r="AM65" s="919"/>
      <c r="AN65" s="919"/>
      <c r="AO65" s="1208" t="s">
        <v>3874</v>
      </c>
      <c r="AP65" s="1209"/>
      <c r="AQ65" s="1209"/>
      <c r="AR65" s="1004"/>
    </row>
    <row r="66" spans="1:78">
      <c r="A66" s="2214" t="s">
        <v>7062</v>
      </c>
      <c r="B66" s="2102"/>
      <c r="C66" s="2102"/>
      <c r="D66" s="2102"/>
      <c r="E66" s="2102"/>
      <c r="F66" s="2102"/>
      <c r="G66" s="2103"/>
      <c r="H66" s="1200"/>
      <c r="I66" s="2214" t="s">
        <v>7063</v>
      </c>
      <c r="J66" s="2102"/>
      <c r="K66" s="2102"/>
      <c r="L66" s="2102"/>
      <c r="M66" s="2102"/>
      <c r="N66" s="2102"/>
      <c r="O66" s="2103"/>
      <c r="P66" s="1200"/>
      <c r="Q66" s="2214" t="s">
        <v>7064</v>
      </c>
      <c r="R66" s="2102"/>
      <c r="S66" s="2102"/>
      <c r="T66" s="2102"/>
      <c r="U66" s="2102"/>
      <c r="V66" s="2102"/>
      <c r="W66" s="2103"/>
      <c r="X66" s="1200"/>
      <c r="Y66" s="2214" t="s">
        <v>5774</v>
      </c>
      <c r="Z66" s="2102"/>
      <c r="AA66" s="2102"/>
      <c r="AB66" s="2102"/>
      <c r="AC66" s="2102"/>
      <c r="AD66" s="2102"/>
      <c r="AE66" s="2103"/>
      <c r="AF66" s="1200"/>
      <c r="AG66" s="2214" t="s">
        <v>23</v>
      </c>
      <c r="AH66" s="2102"/>
      <c r="AI66" s="2102"/>
      <c r="AJ66" s="2102"/>
      <c r="AK66" s="2102"/>
      <c r="AL66" s="2102"/>
      <c r="AM66" s="2103"/>
      <c r="AN66" s="1200"/>
      <c r="AO66" s="2214" t="s">
        <v>5832</v>
      </c>
      <c r="AP66" s="2102"/>
      <c r="AQ66" s="2102"/>
      <c r="AR66" s="2102"/>
      <c r="AS66" s="2102"/>
      <c r="AT66" s="2102"/>
      <c r="AU66" s="2103"/>
      <c r="AV66" s="919"/>
      <c r="AW66" s="919"/>
      <c r="AX66" s="919"/>
      <c r="AY66" s="919"/>
      <c r="AZ66" s="919"/>
      <c r="BA66" s="919"/>
      <c r="BB66" s="919"/>
      <c r="BC66" s="919"/>
      <c r="BD66" s="919"/>
      <c r="BE66" s="919"/>
      <c r="BF66" s="919"/>
      <c r="BG66" s="919"/>
      <c r="BH66" s="919"/>
      <c r="BI66" s="919"/>
      <c r="BJ66" s="919"/>
      <c r="BK66" s="919"/>
      <c r="BL66" s="919"/>
      <c r="BM66" s="919"/>
      <c r="BN66" s="919"/>
      <c r="BO66" s="919"/>
      <c r="BP66" s="919"/>
      <c r="BQ66" s="919"/>
      <c r="BR66" s="919"/>
      <c r="BS66" s="919"/>
      <c r="BT66" s="919"/>
      <c r="BU66" s="919"/>
      <c r="BV66" s="919"/>
      <c r="BW66" s="919"/>
      <c r="BX66" s="919"/>
      <c r="BY66" s="919"/>
      <c r="BZ66" s="919"/>
    </row>
    <row r="67" spans="1:78">
      <c r="A67" s="1210" t="s">
        <v>7065</v>
      </c>
      <c r="B67" s="1210" t="s">
        <v>7066</v>
      </c>
      <c r="C67" s="1210" t="s">
        <v>7067</v>
      </c>
      <c r="D67" s="1210" t="s">
        <v>7068</v>
      </c>
      <c r="E67" s="1210" t="s">
        <v>7069</v>
      </c>
      <c r="F67" s="1210" t="s">
        <v>7070</v>
      </c>
      <c r="G67" s="1210" t="s">
        <v>7071</v>
      </c>
      <c r="H67" s="1200"/>
      <c r="I67" s="1210" t="s">
        <v>7065</v>
      </c>
      <c r="J67" s="1210" t="s">
        <v>7066</v>
      </c>
      <c r="K67" s="1210" t="s">
        <v>7067</v>
      </c>
      <c r="L67" s="1210" t="s">
        <v>7068</v>
      </c>
      <c r="M67" s="1210" t="s">
        <v>7069</v>
      </c>
      <c r="N67" s="1210" t="s">
        <v>7070</v>
      </c>
      <c r="O67" s="1210" t="s">
        <v>7071</v>
      </c>
      <c r="P67" s="1200"/>
      <c r="Q67" s="1210" t="s">
        <v>7065</v>
      </c>
      <c r="R67" s="1210" t="s">
        <v>7066</v>
      </c>
      <c r="S67" s="1210" t="s">
        <v>7067</v>
      </c>
      <c r="T67" s="1210" t="s">
        <v>7068</v>
      </c>
      <c r="U67" s="1210" t="s">
        <v>7069</v>
      </c>
      <c r="V67" s="1210" t="s">
        <v>7070</v>
      </c>
      <c r="W67" s="1210" t="s">
        <v>7071</v>
      </c>
      <c r="X67" s="1200"/>
      <c r="Y67" s="1210" t="s">
        <v>7065</v>
      </c>
      <c r="Z67" s="1210" t="s">
        <v>7066</v>
      </c>
      <c r="AA67" s="1210" t="s">
        <v>7067</v>
      </c>
      <c r="AB67" s="1210" t="s">
        <v>7068</v>
      </c>
      <c r="AC67" s="1210" t="s">
        <v>7069</v>
      </c>
      <c r="AD67" s="1210" t="s">
        <v>7070</v>
      </c>
      <c r="AE67" s="1210" t="s">
        <v>7071</v>
      </c>
      <c r="AF67" s="1200"/>
      <c r="AG67" s="1210" t="s">
        <v>7065</v>
      </c>
      <c r="AH67" s="1210" t="s">
        <v>7066</v>
      </c>
      <c r="AI67" s="1210" t="s">
        <v>7067</v>
      </c>
      <c r="AJ67" s="1210" t="s">
        <v>7068</v>
      </c>
      <c r="AK67" s="1210" t="s">
        <v>7069</v>
      </c>
      <c r="AL67" s="1210" t="s">
        <v>7070</v>
      </c>
      <c r="AM67" s="1210" t="s">
        <v>7071</v>
      </c>
      <c r="AN67" s="1200"/>
      <c r="AO67" s="1210" t="s">
        <v>7065</v>
      </c>
      <c r="AP67" s="1210" t="s">
        <v>7066</v>
      </c>
      <c r="AQ67" s="1210" t="s">
        <v>7067</v>
      </c>
      <c r="AR67" s="1210" t="s">
        <v>7068</v>
      </c>
      <c r="AS67" s="1210" t="s">
        <v>7069</v>
      </c>
      <c r="AT67" s="1210" t="s">
        <v>7070</v>
      </c>
      <c r="AU67" s="1210" t="s">
        <v>7071</v>
      </c>
      <c r="AV67" s="919"/>
      <c r="AW67" s="919"/>
      <c r="AX67" s="919"/>
      <c r="AY67" s="919"/>
      <c r="AZ67" s="919"/>
      <c r="BA67" s="919"/>
      <c r="BB67" s="919"/>
      <c r="BC67" s="919"/>
      <c r="BD67" s="919"/>
      <c r="BE67" s="919"/>
      <c r="BF67" s="919"/>
      <c r="BG67" s="919"/>
      <c r="BH67" s="919"/>
      <c r="BI67" s="919"/>
      <c r="BJ67" s="919"/>
      <c r="BK67" s="919"/>
      <c r="BL67" s="919"/>
      <c r="BM67" s="919"/>
      <c r="BN67" s="919"/>
      <c r="BO67" s="919"/>
      <c r="BP67" s="919"/>
      <c r="BQ67" s="919"/>
      <c r="BR67" s="919"/>
      <c r="BS67" s="919"/>
      <c r="BT67" s="919"/>
      <c r="BU67" s="919"/>
      <c r="BV67" s="919"/>
      <c r="BW67" s="919"/>
      <c r="BX67" s="919"/>
      <c r="BY67" s="919"/>
      <c r="BZ67" s="919"/>
    </row>
    <row r="68" spans="1:78">
      <c r="A68" s="1211"/>
      <c r="B68" s="1212">
        <v>1</v>
      </c>
      <c r="C68" s="1212">
        <v>2</v>
      </c>
      <c r="D68" s="1212">
        <v>3</v>
      </c>
      <c r="E68" s="1212">
        <v>4</v>
      </c>
      <c r="F68" s="1212">
        <v>5</v>
      </c>
      <c r="G68" s="1213">
        <v>6</v>
      </c>
      <c r="H68" s="919"/>
      <c r="I68" s="1214"/>
      <c r="J68" s="919"/>
      <c r="K68" s="919"/>
      <c r="L68" s="919"/>
      <c r="M68" s="919">
        <v>1</v>
      </c>
      <c r="N68" s="919">
        <v>2</v>
      </c>
      <c r="O68" s="1215">
        <v>3</v>
      </c>
      <c r="P68" s="919"/>
      <c r="R68" s="919"/>
      <c r="S68" s="919"/>
      <c r="T68" s="919"/>
      <c r="U68" s="919">
        <v>1</v>
      </c>
      <c r="V68" s="1060">
        <v>2</v>
      </c>
      <c r="W68" s="1215">
        <v>3</v>
      </c>
      <c r="X68" s="919"/>
      <c r="Y68" s="1214">
        <v>1</v>
      </c>
      <c r="Z68" s="919">
        <v>2</v>
      </c>
      <c r="AA68" s="919">
        <v>3</v>
      </c>
      <c r="AB68" s="919">
        <v>4</v>
      </c>
      <c r="AC68" s="919">
        <v>5</v>
      </c>
      <c r="AD68" s="919">
        <v>6</v>
      </c>
      <c r="AE68" s="1215">
        <v>7</v>
      </c>
      <c r="AF68" s="919"/>
      <c r="AG68" s="1214"/>
      <c r="AH68" s="919"/>
      <c r="AI68" s="919">
        <v>1</v>
      </c>
      <c r="AJ68" s="919">
        <v>2</v>
      </c>
      <c r="AK68" s="919">
        <v>3</v>
      </c>
      <c r="AL68" s="919">
        <v>4</v>
      </c>
      <c r="AM68" s="1215">
        <v>5</v>
      </c>
      <c r="AN68" s="919"/>
      <c r="AO68" s="1214"/>
      <c r="AP68" s="919"/>
      <c r="AQ68" s="919"/>
      <c r="AR68" s="919"/>
      <c r="AS68" s="919"/>
      <c r="AT68" s="919">
        <v>1</v>
      </c>
      <c r="AU68" s="1215">
        <v>2</v>
      </c>
      <c r="AV68" s="919"/>
      <c r="AW68" s="919"/>
      <c r="AX68" s="919"/>
      <c r="AY68" s="919"/>
      <c r="AZ68" s="919"/>
      <c r="BA68" s="919"/>
      <c r="BB68" s="919"/>
      <c r="BC68" s="919"/>
      <c r="BD68" s="919"/>
      <c r="BE68" s="919"/>
      <c r="BF68" s="919"/>
      <c r="BG68" s="919"/>
      <c r="BH68" s="919"/>
      <c r="BI68" s="919"/>
      <c r="BJ68" s="919"/>
      <c r="BK68" s="919"/>
      <c r="BL68" s="919"/>
      <c r="BM68" s="919"/>
      <c r="BN68" s="919"/>
      <c r="BO68" s="919"/>
      <c r="BP68" s="919"/>
      <c r="BQ68" s="919"/>
      <c r="BR68" s="919"/>
      <c r="BS68" s="919"/>
      <c r="BT68" s="919"/>
      <c r="BU68" s="919"/>
      <c r="BV68" s="919"/>
      <c r="BW68" s="919"/>
      <c r="BX68" s="919"/>
      <c r="BY68" s="919"/>
      <c r="BZ68" s="919"/>
    </row>
    <row r="69" spans="1:78">
      <c r="A69" s="1211">
        <v>7</v>
      </c>
      <c r="B69" s="1212">
        <v>8</v>
      </c>
      <c r="C69" s="1212">
        <v>9</v>
      </c>
      <c r="D69" s="1212">
        <v>10</v>
      </c>
      <c r="E69" s="919">
        <v>11</v>
      </c>
      <c r="F69" s="919">
        <v>12</v>
      </c>
      <c r="G69" s="1207">
        <v>13</v>
      </c>
      <c r="H69" s="919"/>
      <c r="I69" s="1214">
        <v>4</v>
      </c>
      <c r="J69" s="919">
        <v>5</v>
      </c>
      <c r="K69" s="1207">
        <v>6</v>
      </c>
      <c r="L69" s="919">
        <v>7</v>
      </c>
      <c r="M69" s="919">
        <v>8</v>
      </c>
      <c r="N69" s="919">
        <v>9</v>
      </c>
      <c r="O69" s="1216">
        <v>10</v>
      </c>
      <c r="P69" s="919"/>
      <c r="Q69" s="1214">
        <v>4</v>
      </c>
      <c r="R69" s="919">
        <v>5</v>
      </c>
      <c r="S69" s="1207">
        <v>6</v>
      </c>
      <c r="T69" s="919">
        <v>7</v>
      </c>
      <c r="U69" s="919">
        <v>8</v>
      </c>
      <c r="V69" s="919">
        <v>9</v>
      </c>
      <c r="W69" s="1215">
        <v>10</v>
      </c>
      <c r="X69" s="919"/>
      <c r="Y69" s="1214">
        <v>8</v>
      </c>
      <c r="Z69" s="919">
        <v>9</v>
      </c>
      <c r="AA69" s="1205">
        <v>10</v>
      </c>
      <c r="AB69" s="1205">
        <v>11</v>
      </c>
      <c r="AC69" s="1205">
        <v>12</v>
      </c>
      <c r="AD69" s="919">
        <v>13</v>
      </c>
      <c r="AE69" s="1215">
        <v>14</v>
      </c>
      <c r="AF69" s="919"/>
      <c r="AG69" s="1214">
        <v>6</v>
      </c>
      <c r="AH69" s="919">
        <v>7</v>
      </c>
      <c r="AI69" s="919">
        <v>8</v>
      </c>
      <c r="AJ69" s="919">
        <v>9</v>
      </c>
      <c r="AK69" s="919">
        <v>10</v>
      </c>
      <c r="AL69" s="919">
        <v>11</v>
      </c>
      <c r="AM69" s="1215">
        <v>12</v>
      </c>
      <c r="AN69" s="919"/>
      <c r="AO69" s="1214">
        <v>3</v>
      </c>
      <c r="AP69" s="919">
        <v>4</v>
      </c>
      <c r="AQ69" s="1060">
        <v>5</v>
      </c>
      <c r="AR69" s="919">
        <v>6</v>
      </c>
      <c r="AS69" s="919">
        <v>7</v>
      </c>
      <c r="AT69" s="919">
        <v>8</v>
      </c>
      <c r="AU69" s="1215">
        <v>9</v>
      </c>
      <c r="AV69" s="919"/>
      <c r="AW69" s="919"/>
      <c r="AX69" s="919"/>
      <c r="AY69" s="919"/>
      <c r="AZ69" s="919"/>
      <c r="BA69" s="919"/>
      <c r="BB69" s="919"/>
      <c r="BC69" s="919"/>
      <c r="BD69" s="919"/>
      <c r="BE69" s="919"/>
      <c r="BF69" s="919"/>
      <c r="BG69" s="919"/>
      <c r="BH69" s="919"/>
      <c r="BI69" s="919"/>
      <c r="BJ69" s="919"/>
      <c r="BK69" s="919"/>
      <c r="BL69" s="919"/>
      <c r="BM69" s="919"/>
      <c r="BN69" s="919"/>
      <c r="BO69" s="919"/>
      <c r="BP69" s="919"/>
      <c r="BQ69" s="919"/>
      <c r="BR69" s="919"/>
      <c r="BS69" s="919"/>
      <c r="BT69" s="919"/>
      <c r="BU69" s="919"/>
      <c r="BV69" s="919"/>
      <c r="BW69" s="919"/>
      <c r="BX69" s="919"/>
      <c r="BY69" s="919"/>
      <c r="BZ69" s="919"/>
    </row>
    <row r="70" spans="1:78">
      <c r="A70" s="1214">
        <v>14</v>
      </c>
      <c r="B70" s="1010">
        <v>15</v>
      </c>
      <c r="C70" s="1207">
        <v>16</v>
      </c>
      <c r="D70" s="919">
        <v>17</v>
      </c>
      <c r="E70" s="919">
        <v>18</v>
      </c>
      <c r="F70" s="919">
        <v>19</v>
      </c>
      <c r="G70" s="1215">
        <v>20</v>
      </c>
      <c r="H70" s="919"/>
      <c r="I70" s="1217">
        <v>11</v>
      </c>
      <c r="J70" s="919">
        <v>12</v>
      </c>
      <c r="K70" s="1207">
        <v>13</v>
      </c>
      <c r="L70" s="919">
        <v>14</v>
      </c>
      <c r="M70" s="919">
        <v>15</v>
      </c>
      <c r="N70" s="919">
        <v>16</v>
      </c>
      <c r="O70" s="1215">
        <v>17</v>
      </c>
      <c r="P70" s="919"/>
      <c r="Q70" s="1214">
        <v>11</v>
      </c>
      <c r="R70" s="919">
        <v>12</v>
      </c>
      <c r="S70" s="1207">
        <v>13</v>
      </c>
      <c r="T70" s="919">
        <v>14</v>
      </c>
      <c r="U70" s="919">
        <v>15</v>
      </c>
      <c r="V70" s="919">
        <v>16</v>
      </c>
      <c r="W70" s="1215">
        <v>17</v>
      </c>
      <c r="X70" s="919"/>
      <c r="Y70" s="1214">
        <v>15</v>
      </c>
      <c r="Z70" s="919">
        <v>16</v>
      </c>
      <c r="AA70" s="919">
        <v>17</v>
      </c>
      <c r="AB70" s="919">
        <v>18</v>
      </c>
      <c r="AC70" s="919">
        <v>19</v>
      </c>
      <c r="AD70" s="919">
        <v>20</v>
      </c>
      <c r="AE70" s="1215">
        <v>21</v>
      </c>
      <c r="AF70" s="919"/>
      <c r="AG70" s="1214">
        <v>13</v>
      </c>
      <c r="AH70" s="919">
        <v>14</v>
      </c>
      <c r="AI70" s="919">
        <v>15</v>
      </c>
      <c r="AJ70" s="919">
        <v>16</v>
      </c>
      <c r="AK70" s="919">
        <v>17</v>
      </c>
      <c r="AL70" s="919">
        <v>18</v>
      </c>
      <c r="AM70" s="1215">
        <v>19</v>
      </c>
      <c r="AN70" s="919"/>
      <c r="AO70" s="1214">
        <v>10</v>
      </c>
      <c r="AP70" s="919">
        <v>11</v>
      </c>
      <c r="AQ70" s="1060">
        <v>12</v>
      </c>
      <c r="AR70" s="919">
        <v>13</v>
      </c>
      <c r="AS70" s="919">
        <v>14</v>
      </c>
      <c r="AT70" s="919">
        <v>15</v>
      </c>
      <c r="AU70" s="1215">
        <v>16</v>
      </c>
      <c r="AV70" s="919"/>
      <c r="AW70" s="919"/>
      <c r="AX70" s="919"/>
      <c r="AY70" s="919"/>
      <c r="AZ70" s="919"/>
      <c r="BA70" s="919"/>
      <c r="BB70" s="919"/>
      <c r="BC70" s="919"/>
      <c r="BD70" s="919"/>
      <c r="BE70" s="919"/>
      <c r="BF70" s="919"/>
      <c r="BG70" s="919"/>
      <c r="BH70" s="919"/>
      <c r="BI70" s="919"/>
      <c r="BJ70" s="919"/>
      <c r="BK70" s="919"/>
      <c r="BL70" s="919"/>
      <c r="BM70" s="919"/>
      <c r="BN70" s="919"/>
      <c r="BO70" s="919"/>
      <c r="BP70" s="919"/>
      <c r="BQ70" s="919"/>
      <c r="BR70" s="919"/>
      <c r="BS70" s="919"/>
      <c r="BT70" s="919"/>
      <c r="BU70" s="919"/>
      <c r="BV70" s="919"/>
      <c r="BW70" s="919"/>
      <c r="BX70" s="919"/>
      <c r="BY70" s="919"/>
      <c r="BZ70" s="919"/>
    </row>
    <row r="71" spans="1:78">
      <c r="A71" s="1214">
        <v>21</v>
      </c>
      <c r="B71" s="919">
        <v>22</v>
      </c>
      <c r="C71" s="1207">
        <v>23</v>
      </c>
      <c r="D71" s="919">
        <v>24</v>
      </c>
      <c r="E71" s="919">
        <v>25</v>
      </c>
      <c r="F71" s="919">
        <v>26</v>
      </c>
      <c r="G71" s="1215">
        <v>27</v>
      </c>
      <c r="H71" s="919"/>
      <c r="I71" s="1214">
        <v>18</v>
      </c>
      <c r="J71" s="1010">
        <v>19</v>
      </c>
      <c r="K71" s="1218">
        <v>20</v>
      </c>
      <c r="L71" s="919">
        <v>21</v>
      </c>
      <c r="M71" s="919">
        <v>22</v>
      </c>
      <c r="N71" s="919">
        <v>23</v>
      </c>
      <c r="O71" s="1215">
        <v>24</v>
      </c>
      <c r="P71" s="919"/>
      <c r="Q71" s="1214">
        <v>18</v>
      </c>
      <c r="R71" s="919">
        <v>19</v>
      </c>
      <c r="S71" s="1207">
        <v>20</v>
      </c>
      <c r="T71" s="919">
        <v>21</v>
      </c>
      <c r="U71" s="919">
        <v>22</v>
      </c>
      <c r="V71" s="919">
        <v>23</v>
      </c>
      <c r="W71" s="1215">
        <v>24</v>
      </c>
      <c r="X71" s="919"/>
      <c r="Y71" s="1214">
        <v>22</v>
      </c>
      <c r="Z71" s="919">
        <v>23</v>
      </c>
      <c r="AA71" s="919">
        <v>24</v>
      </c>
      <c r="AB71" s="919">
        <v>25</v>
      </c>
      <c r="AC71" s="919">
        <v>26</v>
      </c>
      <c r="AD71" s="919">
        <v>27</v>
      </c>
      <c r="AE71" s="1215">
        <v>28</v>
      </c>
      <c r="AF71" s="919"/>
      <c r="AG71" s="1214">
        <v>20</v>
      </c>
      <c r="AH71" s="919">
        <v>21</v>
      </c>
      <c r="AI71" s="919">
        <v>22</v>
      </c>
      <c r="AJ71" s="919">
        <v>23</v>
      </c>
      <c r="AK71" s="919">
        <v>24</v>
      </c>
      <c r="AL71" s="919">
        <v>25</v>
      </c>
      <c r="AM71" s="1215">
        <v>26</v>
      </c>
      <c r="AN71" s="919"/>
      <c r="AO71" s="1214">
        <v>17</v>
      </c>
      <c r="AP71" s="1219">
        <v>18</v>
      </c>
      <c r="AQ71" s="1060">
        <v>19</v>
      </c>
      <c r="AR71" s="919">
        <v>20</v>
      </c>
      <c r="AS71" s="919">
        <v>21</v>
      </c>
      <c r="AT71" s="919">
        <v>22</v>
      </c>
      <c r="AU71" s="1215">
        <v>23</v>
      </c>
      <c r="AV71" s="919"/>
      <c r="AW71" s="919"/>
      <c r="AX71" s="919"/>
      <c r="AY71" s="919"/>
      <c r="AZ71" s="919"/>
      <c r="BA71" s="919"/>
      <c r="BB71" s="919"/>
      <c r="BC71" s="919"/>
      <c r="BD71" s="919"/>
      <c r="BE71" s="919"/>
      <c r="BF71" s="919"/>
      <c r="BG71" s="919"/>
      <c r="BH71" s="919"/>
      <c r="BI71" s="919"/>
      <c r="BJ71" s="919"/>
      <c r="BK71" s="919"/>
      <c r="BL71" s="919"/>
      <c r="BM71" s="919"/>
      <c r="BN71" s="919"/>
      <c r="BO71" s="919"/>
      <c r="BP71" s="919"/>
      <c r="BQ71" s="919"/>
      <c r="BR71" s="919"/>
      <c r="BS71" s="919"/>
      <c r="BT71" s="919"/>
      <c r="BU71" s="919"/>
      <c r="BV71" s="919"/>
      <c r="BW71" s="919"/>
      <c r="BX71" s="919"/>
      <c r="BY71" s="919"/>
      <c r="BZ71" s="919"/>
    </row>
    <row r="72" spans="1:78">
      <c r="A72" s="1214">
        <v>28</v>
      </c>
      <c r="B72" s="919">
        <v>29</v>
      </c>
      <c r="C72" s="1207">
        <v>30</v>
      </c>
      <c r="D72" s="919">
        <v>31</v>
      </c>
      <c r="E72" s="919"/>
      <c r="F72" s="919"/>
      <c r="G72" s="1215"/>
      <c r="H72" s="919"/>
      <c r="I72" s="1214">
        <v>25</v>
      </c>
      <c r="J72" s="919">
        <v>26</v>
      </c>
      <c r="K72" s="1207">
        <v>27</v>
      </c>
      <c r="L72" s="919">
        <v>28</v>
      </c>
      <c r="M72" s="919"/>
      <c r="N72" s="919"/>
      <c r="O72" s="1215"/>
      <c r="P72" s="919"/>
      <c r="Q72" s="1214">
        <v>25</v>
      </c>
      <c r="R72" s="919">
        <v>26</v>
      </c>
      <c r="S72" s="1060">
        <v>27</v>
      </c>
      <c r="T72" s="919">
        <v>28</v>
      </c>
      <c r="U72" s="919">
        <v>29</v>
      </c>
      <c r="V72" s="919">
        <v>30</v>
      </c>
      <c r="W72" s="1215">
        <v>31</v>
      </c>
      <c r="X72" s="919"/>
      <c r="Y72" s="1214">
        <v>29</v>
      </c>
      <c r="Z72" s="919">
        <v>30</v>
      </c>
      <c r="AA72" s="919"/>
      <c r="AB72" s="919"/>
      <c r="AC72" s="919"/>
      <c r="AD72" s="919"/>
      <c r="AE72" s="1215"/>
      <c r="AF72" s="919"/>
      <c r="AG72" s="1214">
        <v>27</v>
      </c>
      <c r="AH72" s="919">
        <v>28</v>
      </c>
      <c r="AI72" s="919">
        <v>29</v>
      </c>
      <c r="AJ72" s="919">
        <v>30</v>
      </c>
      <c r="AK72" s="919">
        <v>31</v>
      </c>
      <c r="AL72" s="919"/>
      <c r="AM72" s="1215"/>
      <c r="AN72" s="919"/>
      <c r="AO72" s="1214">
        <v>24</v>
      </c>
      <c r="AP72" s="919">
        <v>25</v>
      </c>
      <c r="AQ72" s="1060">
        <v>26</v>
      </c>
      <c r="AR72" s="919">
        <v>27</v>
      </c>
      <c r="AS72" s="919">
        <v>28</v>
      </c>
      <c r="AT72" s="919">
        <v>29</v>
      </c>
      <c r="AU72" s="1215">
        <v>30</v>
      </c>
      <c r="AV72" s="919"/>
      <c r="AW72" s="919"/>
      <c r="AX72" s="919"/>
      <c r="AY72" s="919"/>
      <c r="AZ72" s="919"/>
      <c r="BA72" s="919"/>
      <c r="BB72" s="919"/>
      <c r="BC72" s="919"/>
      <c r="BD72" s="919"/>
      <c r="BE72" s="919"/>
      <c r="BF72" s="919"/>
      <c r="BG72" s="919"/>
      <c r="BH72" s="919"/>
      <c r="BI72" s="919"/>
      <c r="BJ72" s="919"/>
      <c r="BK72" s="919"/>
      <c r="BL72" s="919"/>
      <c r="BM72" s="919"/>
      <c r="BN72" s="919"/>
      <c r="BO72" s="919"/>
      <c r="BP72" s="919"/>
      <c r="BQ72" s="919"/>
      <c r="BR72" s="919"/>
      <c r="BS72" s="919"/>
      <c r="BT72" s="919"/>
      <c r="BU72" s="919"/>
      <c r="BV72" s="919"/>
      <c r="BW72" s="919"/>
      <c r="BX72" s="919"/>
      <c r="BY72" s="919"/>
      <c r="BZ72" s="919"/>
    </row>
    <row r="73" spans="1:78">
      <c r="A73" s="1220"/>
      <c r="B73" s="1201"/>
      <c r="C73" s="1201"/>
      <c r="D73" s="1201"/>
      <c r="E73" s="1201"/>
      <c r="F73" s="1201"/>
      <c r="G73" s="1221"/>
      <c r="H73" s="919"/>
      <c r="I73" s="1220"/>
      <c r="J73" s="1201"/>
      <c r="K73" s="1201"/>
      <c r="L73" s="1201"/>
      <c r="M73" s="1201"/>
      <c r="N73" s="1201"/>
      <c r="O73" s="1221"/>
      <c r="P73" s="919"/>
      <c r="Q73" s="1220"/>
      <c r="R73" s="1201"/>
      <c r="S73" s="1201"/>
      <c r="T73" s="1201"/>
      <c r="U73" s="1201"/>
      <c r="V73" s="1201"/>
      <c r="W73" s="1221"/>
      <c r="X73" s="919"/>
      <c r="Y73" s="1220"/>
      <c r="Z73" s="1201"/>
      <c r="AA73" s="1201"/>
      <c r="AB73" s="1201"/>
      <c r="AC73" s="1201"/>
      <c r="AD73" s="1201"/>
      <c r="AE73" s="1221"/>
      <c r="AF73" s="919"/>
      <c r="AG73" s="1220"/>
      <c r="AH73" s="1201"/>
      <c r="AI73" s="1201"/>
      <c r="AJ73" s="1201"/>
      <c r="AK73" s="1201"/>
      <c r="AL73" s="1201"/>
      <c r="AM73" s="1221"/>
      <c r="AN73" s="919"/>
      <c r="AO73" s="1220"/>
      <c r="AP73" s="1201"/>
      <c r="AQ73" s="1201"/>
      <c r="AR73" s="1201"/>
      <c r="AS73" s="1201"/>
      <c r="AT73" s="1201"/>
      <c r="AU73" s="1221"/>
      <c r="AV73" s="919"/>
      <c r="AW73" s="919"/>
      <c r="AX73" s="919"/>
      <c r="AY73" s="919"/>
      <c r="AZ73" s="919"/>
      <c r="BA73" s="919"/>
      <c r="BB73" s="919"/>
      <c r="BC73" s="919"/>
      <c r="BD73" s="919"/>
      <c r="BE73" s="919"/>
      <c r="BF73" s="919"/>
      <c r="BG73" s="919"/>
      <c r="BH73" s="919"/>
      <c r="BI73" s="919"/>
      <c r="BJ73" s="919"/>
      <c r="BK73" s="919"/>
      <c r="BL73" s="919"/>
      <c r="BM73" s="919"/>
      <c r="BN73" s="919"/>
      <c r="BO73" s="919"/>
      <c r="BP73" s="919"/>
      <c r="BQ73" s="919"/>
      <c r="BR73" s="919"/>
      <c r="BS73" s="919"/>
      <c r="BT73" s="919"/>
      <c r="BU73" s="919"/>
      <c r="BV73" s="919"/>
      <c r="BW73" s="919"/>
      <c r="BX73" s="919"/>
      <c r="BY73" s="919"/>
      <c r="BZ73" s="919"/>
    </row>
    <row r="74" spans="1:78">
      <c r="A74" s="919"/>
      <c r="B74" s="919"/>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19"/>
      <c r="AG74" s="919"/>
      <c r="AH74" s="919"/>
      <c r="AI74" s="919"/>
      <c r="AJ74" s="919"/>
      <c r="AK74" s="919"/>
      <c r="AL74" s="919"/>
      <c r="AM74" s="919"/>
      <c r="AN74" s="919"/>
      <c r="AO74" s="919"/>
      <c r="AP74" s="919"/>
      <c r="AQ74" s="919"/>
      <c r="AR74" s="919"/>
      <c r="AS74" s="919"/>
      <c r="AT74" s="919"/>
      <c r="AU74" s="919"/>
      <c r="AV74" s="919"/>
      <c r="AW74" s="919"/>
      <c r="AX74" s="919"/>
      <c r="AY74" s="919"/>
      <c r="AZ74" s="919"/>
      <c r="BA74" s="919"/>
      <c r="BB74" s="919"/>
      <c r="BC74" s="919"/>
      <c r="BD74" s="919"/>
      <c r="BE74" s="919"/>
      <c r="BF74" s="919"/>
      <c r="BG74" s="919"/>
      <c r="BH74" s="919"/>
      <c r="BI74" s="919"/>
      <c r="BJ74" s="919"/>
      <c r="BK74" s="919"/>
      <c r="BL74" s="919"/>
      <c r="BM74" s="919"/>
      <c r="BN74" s="919"/>
      <c r="BO74" s="919"/>
      <c r="BP74" s="919"/>
      <c r="BQ74" s="919"/>
      <c r="BR74" s="919"/>
      <c r="BS74" s="919"/>
      <c r="BT74" s="919"/>
      <c r="BU74" s="919"/>
      <c r="BV74" s="919"/>
      <c r="BW74" s="919"/>
      <c r="BX74" s="919"/>
      <c r="BY74" s="919"/>
      <c r="BZ74" s="919"/>
    </row>
    <row r="75" spans="1:78">
      <c r="A75" s="2214" t="s">
        <v>138</v>
      </c>
      <c r="B75" s="2102"/>
      <c r="C75" s="2102"/>
      <c r="D75" s="2102"/>
      <c r="E75" s="2102"/>
      <c r="F75" s="2102"/>
      <c r="G75" s="2103"/>
      <c r="H75" s="1200"/>
      <c r="I75" s="2214" t="s">
        <v>5839</v>
      </c>
      <c r="J75" s="2102"/>
      <c r="K75" s="2102"/>
      <c r="L75" s="2102"/>
      <c r="M75" s="2102"/>
      <c r="N75" s="2102"/>
      <c r="O75" s="2103"/>
      <c r="P75" s="1200"/>
      <c r="Q75" s="2214" t="s">
        <v>7077</v>
      </c>
      <c r="R75" s="2102"/>
      <c r="S75" s="2102"/>
      <c r="T75" s="2102"/>
      <c r="U75" s="2102"/>
      <c r="V75" s="2102"/>
      <c r="W75" s="2103"/>
      <c r="X75" s="1200"/>
      <c r="Y75" s="2214" t="s">
        <v>7078</v>
      </c>
      <c r="Z75" s="2102"/>
      <c r="AA75" s="2102"/>
      <c r="AB75" s="2102"/>
      <c r="AC75" s="2102"/>
      <c r="AD75" s="2102"/>
      <c r="AE75" s="2103"/>
      <c r="AF75" s="1200"/>
      <c r="AG75" s="2214" t="s">
        <v>7079</v>
      </c>
      <c r="AH75" s="2102"/>
      <c r="AI75" s="2102"/>
      <c r="AJ75" s="2102"/>
      <c r="AK75" s="2102"/>
      <c r="AL75" s="2102"/>
      <c r="AM75" s="2103"/>
      <c r="AN75" s="1200"/>
      <c r="AO75" s="2214" t="s">
        <v>6628</v>
      </c>
      <c r="AP75" s="2102"/>
      <c r="AQ75" s="2102"/>
      <c r="AR75" s="2102"/>
      <c r="AS75" s="2102"/>
      <c r="AT75" s="2102"/>
      <c r="AU75" s="2103"/>
      <c r="AV75" s="919"/>
      <c r="AW75" s="919"/>
      <c r="AX75" s="919"/>
      <c r="AY75" s="919"/>
      <c r="AZ75" s="919"/>
      <c r="BA75" s="919"/>
      <c r="BB75" s="919"/>
      <c r="BC75" s="919"/>
      <c r="BD75" s="919"/>
      <c r="BE75" s="919"/>
      <c r="BF75" s="919"/>
      <c r="BG75" s="919"/>
      <c r="BH75" s="919"/>
      <c r="BI75" s="919"/>
      <c r="BJ75" s="919"/>
      <c r="BK75" s="919"/>
      <c r="BL75" s="919"/>
      <c r="BM75" s="919"/>
      <c r="BN75" s="919"/>
      <c r="BO75" s="919"/>
      <c r="BP75" s="919"/>
      <c r="BQ75" s="919"/>
      <c r="BR75" s="919"/>
      <c r="BS75" s="919"/>
      <c r="BT75" s="919"/>
      <c r="BU75" s="919"/>
      <c r="BV75" s="919"/>
      <c r="BW75" s="919"/>
      <c r="BX75" s="919"/>
      <c r="BY75" s="919"/>
      <c r="BZ75" s="919"/>
    </row>
    <row r="76" spans="1:78">
      <c r="A76" s="1210" t="s">
        <v>7065</v>
      </c>
      <c r="B76" s="1210" t="s">
        <v>7066</v>
      </c>
      <c r="C76" s="1210" t="s">
        <v>7067</v>
      </c>
      <c r="D76" s="1210" t="s">
        <v>7068</v>
      </c>
      <c r="E76" s="1210" t="s">
        <v>7069</v>
      </c>
      <c r="F76" s="1210" t="s">
        <v>7070</v>
      </c>
      <c r="G76" s="1210" t="s">
        <v>7071</v>
      </c>
      <c r="H76" s="1200"/>
      <c r="I76" s="1210" t="s">
        <v>7065</v>
      </c>
      <c r="J76" s="1210" t="s">
        <v>7066</v>
      </c>
      <c r="K76" s="1210" t="s">
        <v>7067</v>
      </c>
      <c r="L76" s="1210" t="s">
        <v>7068</v>
      </c>
      <c r="M76" s="1210" t="s">
        <v>7069</v>
      </c>
      <c r="N76" s="1210" t="s">
        <v>7070</v>
      </c>
      <c r="O76" s="1210" t="s">
        <v>7071</v>
      </c>
      <c r="P76" s="1200"/>
      <c r="Q76" s="1210" t="s">
        <v>7065</v>
      </c>
      <c r="R76" s="1210" t="s">
        <v>7066</v>
      </c>
      <c r="S76" s="1210" t="s">
        <v>7067</v>
      </c>
      <c r="T76" s="1210" t="s">
        <v>7068</v>
      </c>
      <c r="U76" s="1210" t="s">
        <v>7069</v>
      </c>
      <c r="V76" s="1210" t="s">
        <v>7070</v>
      </c>
      <c r="W76" s="1210" t="s">
        <v>7071</v>
      </c>
      <c r="X76" s="1200"/>
      <c r="Y76" s="1210" t="s">
        <v>7065</v>
      </c>
      <c r="Z76" s="1210" t="s">
        <v>7066</v>
      </c>
      <c r="AA76" s="1210" t="s">
        <v>7067</v>
      </c>
      <c r="AB76" s="1210" t="s">
        <v>7068</v>
      </c>
      <c r="AC76" s="1210" t="s">
        <v>7069</v>
      </c>
      <c r="AD76" s="1210" t="s">
        <v>7070</v>
      </c>
      <c r="AE76" s="1210" t="s">
        <v>7071</v>
      </c>
      <c r="AF76" s="1200"/>
      <c r="AG76" s="1210" t="s">
        <v>7065</v>
      </c>
      <c r="AH76" s="1210" t="s">
        <v>7066</v>
      </c>
      <c r="AI76" s="1210" t="s">
        <v>7067</v>
      </c>
      <c r="AJ76" s="1210" t="s">
        <v>7068</v>
      </c>
      <c r="AK76" s="1210" t="s">
        <v>7069</v>
      </c>
      <c r="AL76" s="1210" t="s">
        <v>7070</v>
      </c>
      <c r="AM76" s="1210" t="s">
        <v>7071</v>
      </c>
      <c r="AN76" s="1200"/>
      <c r="AO76" s="1210" t="s">
        <v>7065</v>
      </c>
      <c r="AP76" s="1210" t="s">
        <v>7066</v>
      </c>
      <c r="AQ76" s="1210" t="s">
        <v>7067</v>
      </c>
      <c r="AR76" s="1210" t="s">
        <v>7068</v>
      </c>
      <c r="AS76" s="1210" t="s">
        <v>7069</v>
      </c>
      <c r="AT76" s="1210" t="s">
        <v>7070</v>
      </c>
      <c r="AU76" s="1210" t="s">
        <v>7071</v>
      </c>
      <c r="AV76" s="919"/>
      <c r="AW76" s="919"/>
      <c r="AX76" s="919"/>
      <c r="AY76" s="919"/>
      <c r="AZ76" s="919"/>
      <c r="BA76" s="919"/>
      <c r="BB76" s="919"/>
      <c r="BC76" s="919"/>
      <c r="BD76" s="919"/>
      <c r="BE76" s="919"/>
      <c r="BF76" s="919"/>
      <c r="BG76" s="919"/>
      <c r="BH76" s="919"/>
      <c r="BI76" s="919"/>
      <c r="BJ76" s="919"/>
      <c r="BK76" s="919"/>
      <c r="BL76" s="919"/>
      <c r="BM76" s="919"/>
      <c r="BN76" s="919"/>
      <c r="BO76" s="919"/>
      <c r="BP76" s="919"/>
      <c r="BQ76" s="919"/>
      <c r="BR76" s="919"/>
      <c r="BS76" s="919"/>
      <c r="BT76" s="919"/>
      <c r="BU76" s="919"/>
      <c r="BV76" s="919"/>
      <c r="BW76" s="919"/>
      <c r="BX76" s="919"/>
      <c r="BY76" s="919"/>
      <c r="BZ76" s="919"/>
    </row>
    <row r="77" spans="1:78">
      <c r="A77" s="1214">
        <v>1</v>
      </c>
      <c r="B77" s="919">
        <v>2</v>
      </c>
      <c r="C77" s="1060">
        <v>3</v>
      </c>
      <c r="D77" s="1010">
        <v>4</v>
      </c>
      <c r="E77" s="1060">
        <v>5</v>
      </c>
      <c r="F77" s="919">
        <v>6</v>
      </c>
      <c r="G77" s="1215">
        <v>7</v>
      </c>
      <c r="H77" s="919"/>
      <c r="I77" s="1214" t="s">
        <v>6056</v>
      </c>
      <c r="J77" s="919"/>
      <c r="K77" s="919"/>
      <c r="L77" s="1205">
        <v>1</v>
      </c>
      <c r="M77" s="1205">
        <v>2</v>
      </c>
      <c r="N77" s="919">
        <v>3</v>
      </c>
      <c r="O77" s="1215">
        <v>4</v>
      </c>
      <c r="P77" s="919"/>
      <c r="Q77" s="1214"/>
      <c r="R77" s="919" t="s">
        <v>7104</v>
      </c>
      <c r="S77" s="919"/>
      <c r="T77" s="919"/>
      <c r="U77" s="919"/>
      <c r="V77" s="919"/>
      <c r="W77" s="1215">
        <v>1</v>
      </c>
      <c r="X77" s="919"/>
      <c r="Y77" s="1214"/>
      <c r="Z77" s="919">
        <v>1</v>
      </c>
      <c r="AA77" s="919">
        <v>2</v>
      </c>
      <c r="AB77" s="919">
        <v>3</v>
      </c>
      <c r="AC77" s="1013">
        <v>4</v>
      </c>
      <c r="AD77" s="1205">
        <v>5</v>
      </c>
      <c r="AE77" s="1222">
        <v>6</v>
      </c>
      <c r="AF77" s="919"/>
      <c r="AG77" s="1214"/>
      <c r="AH77" s="919"/>
      <c r="AI77" s="919"/>
      <c r="AJ77" s="919"/>
      <c r="AK77" s="919">
        <v>1</v>
      </c>
      <c r="AL77" s="919">
        <v>2</v>
      </c>
      <c r="AM77" s="1215">
        <v>3</v>
      </c>
      <c r="AN77" s="919"/>
      <c r="AO77" s="1214"/>
      <c r="AP77" s="919"/>
      <c r="AQ77" s="919"/>
      <c r="AR77" s="919"/>
      <c r="AS77" s="919"/>
      <c r="AT77" s="919"/>
      <c r="AU77" s="1215">
        <v>1</v>
      </c>
      <c r="AV77" s="919"/>
      <c r="AW77" s="919"/>
      <c r="AX77" s="919"/>
      <c r="AY77" s="919"/>
      <c r="AZ77" s="919"/>
      <c r="BA77" s="919"/>
      <c r="BB77" s="919"/>
      <c r="BC77" s="919"/>
      <c r="BD77" s="919"/>
      <c r="BE77" s="919"/>
      <c r="BF77" s="919"/>
      <c r="BG77" s="919"/>
      <c r="BH77" s="919"/>
      <c r="BI77" s="919"/>
      <c r="BJ77" s="919"/>
      <c r="BK77" s="919"/>
      <c r="BL77" s="919"/>
      <c r="BM77" s="919"/>
      <c r="BN77" s="919"/>
      <c r="BO77" s="919"/>
      <c r="BP77" s="919"/>
      <c r="BQ77" s="919"/>
      <c r="BR77" s="919"/>
      <c r="BS77" s="919"/>
      <c r="BT77" s="919"/>
      <c r="BU77" s="919"/>
      <c r="BV77" s="919"/>
      <c r="BW77" s="919"/>
      <c r="BX77" s="919"/>
      <c r="BY77" s="919"/>
      <c r="BZ77" s="919"/>
    </row>
    <row r="78" spans="1:78">
      <c r="A78" s="1214">
        <v>8</v>
      </c>
      <c r="B78" s="919">
        <v>9</v>
      </c>
      <c r="C78" s="1060">
        <v>10</v>
      </c>
      <c r="D78" s="919">
        <v>11</v>
      </c>
      <c r="E78" s="919">
        <v>12</v>
      </c>
      <c r="F78" s="1060">
        <v>13</v>
      </c>
      <c r="G78" s="1215">
        <v>14</v>
      </c>
      <c r="H78" s="919"/>
      <c r="I78" s="1214">
        <v>5</v>
      </c>
      <c r="J78" s="919">
        <v>6</v>
      </c>
      <c r="K78" s="919">
        <v>7</v>
      </c>
      <c r="L78" s="919">
        <v>8</v>
      </c>
      <c r="M78" s="919">
        <v>9</v>
      </c>
      <c r="N78" s="919">
        <v>10</v>
      </c>
      <c r="O78" s="1215">
        <v>11</v>
      </c>
      <c r="P78" s="919"/>
      <c r="Q78" s="1214">
        <v>2</v>
      </c>
      <c r="R78" s="1010">
        <v>3</v>
      </c>
      <c r="S78" s="919">
        <v>4</v>
      </c>
      <c r="T78" s="919">
        <v>5</v>
      </c>
      <c r="U78" s="919">
        <v>6</v>
      </c>
      <c r="V78" s="919">
        <v>7</v>
      </c>
      <c r="W78" s="1215">
        <v>8</v>
      </c>
      <c r="X78" s="919"/>
      <c r="Y78" s="1223">
        <v>7</v>
      </c>
      <c r="Z78" s="1205">
        <v>8</v>
      </c>
      <c r="AA78" s="1013">
        <v>9</v>
      </c>
      <c r="AB78" s="919">
        <v>10</v>
      </c>
      <c r="AC78" s="1013">
        <v>11</v>
      </c>
      <c r="AD78" s="919">
        <v>12</v>
      </c>
      <c r="AE78" s="1215">
        <v>13</v>
      </c>
      <c r="AF78" s="919"/>
      <c r="AG78" s="1214">
        <v>4</v>
      </c>
      <c r="AH78" s="919">
        <v>5</v>
      </c>
      <c r="AI78" s="919">
        <v>6</v>
      </c>
      <c r="AJ78" s="919">
        <v>7</v>
      </c>
      <c r="AK78" s="919">
        <v>8</v>
      </c>
      <c r="AL78" s="919">
        <v>9</v>
      </c>
      <c r="AM78" s="1215">
        <v>10</v>
      </c>
      <c r="AN78" s="919"/>
      <c r="AO78" s="1214">
        <v>2</v>
      </c>
      <c r="AP78" s="919">
        <v>3</v>
      </c>
      <c r="AQ78" s="1013">
        <v>4</v>
      </c>
      <c r="AR78" s="1013">
        <v>5</v>
      </c>
      <c r="AS78" s="1015">
        <v>6</v>
      </c>
      <c r="AT78" s="919">
        <v>7</v>
      </c>
      <c r="AU78" s="1215">
        <v>8</v>
      </c>
      <c r="AV78" s="919"/>
      <c r="AW78" s="919"/>
      <c r="AX78" s="919"/>
      <c r="AY78" s="919"/>
      <c r="AZ78" s="919"/>
      <c r="BA78" s="919"/>
      <c r="BB78" s="919"/>
      <c r="BC78" s="919"/>
      <c r="BD78" s="919"/>
      <c r="BE78" s="919"/>
      <c r="BF78" s="919"/>
      <c r="BG78" s="919"/>
      <c r="BH78" s="919"/>
      <c r="BI78" s="919"/>
      <c r="BJ78" s="919"/>
      <c r="BK78" s="919"/>
      <c r="BL78" s="919"/>
      <c r="BM78" s="919"/>
      <c r="BN78" s="919"/>
      <c r="BO78" s="919"/>
      <c r="BP78" s="919"/>
      <c r="BQ78" s="919"/>
      <c r="BR78" s="919"/>
      <c r="BS78" s="919"/>
      <c r="BT78" s="919"/>
      <c r="BU78" s="919"/>
      <c r="BV78" s="919"/>
      <c r="BW78" s="919"/>
      <c r="BX78" s="919"/>
      <c r="BY78" s="919"/>
      <c r="BZ78" s="919"/>
    </row>
    <row r="79" spans="1:78">
      <c r="A79" s="1214">
        <v>15</v>
      </c>
      <c r="B79" s="1205">
        <v>16</v>
      </c>
      <c r="C79" s="1205">
        <v>17</v>
      </c>
      <c r="D79" s="1205">
        <v>18</v>
      </c>
      <c r="E79" s="1205">
        <v>19</v>
      </c>
      <c r="F79" s="1205">
        <v>20</v>
      </c>
      <c r="G79" s="1215">
        <v>21</v>
      </c>
      <c r="H79" s="919"/>
      <c r="I79" s="1214">
        <v>12</v>
      </c>
      <c r="J79" s="919">
        <v>13</v>
      </c>
      <c r="K79" s="919">
        <v>14</v>
      </c>
      <c r="L79" s="919">
        <v>15</v>
      </c>
      <c r="M79" s="919">
        <v>16</v>
      </c>
      <c r="N79" s="919">
        <v>17</v>
      </c>
      <c r="O79" s="1215">
        <v>18</v>
      </c>
      <c r="P79" s="919"/>
      <c r="Q79" s="1214">
        <v>9</v>
      </c>
      <c r="R79" s="919">
        <v>10</v>
      </c>
      <c r="S79" s="1205">
        <v>11</v>
      </c>
      <c r="T79" s="1205">
        <v>12</v>
      </c>
      <c r="U79" s="1205">
        <v>13</v>
      </c>
      <c r="V79" s="1205">
        <v>14</v>
      </c>
      <c r="W79" s="1222">
        <v>15</v>
      </c>
      <c r="X79" s="919"/>
      <c r="Y79" s="1214">
        <v>14</v>
      </c>
      <c r="Z79" s="919">
        <v>15</v>
      </c>
      <c r="AA79" s="1013">
        <v>16</v>
      </c>
      <c r="AB79" s="1013">
        <v>17</v>
      </c>
      <c r="AC79" s="1015">
        <v>18</v>
      </c>
      <c r="AD79" s="1205">
        <v>19</v>
      </c>
      <c r="AE79" s="1222">
        <v>20</v>
      </c>
      <c r="AF79" s="919"/>
      <c r="AG79" s="1214">
        <v>11</v>
      </c>
      <c r="AH79" s="919">
        <v>12</v>
      </c>
      <c r="AI79" s="919">
        <v>13</v>
      </c>
      <c r="AJ79" s="919">
        <v>14</v>
      </c>
      <c r="AK79" s="919">
        <v>15</v>
      </c>
      <c r="AL79" s="919">
        <v>16</v>
      </c>
      <c r="AM79" s="1215">
        <v>17</v>
      </c>
      <c r="AN79" s="919"/>
      <c r="AO79" s="1214">
        <v>9</v>
      </c>
      <c r="AP79" s="919">
        <v>10</v>
      </c>
      <c r="AQ79" s="919">
        <v>11</v>
      </c>
      <c r="AR79" s="919">
        <v>12</v>
      </c>
      <c r="AS79" s="919">
        <v>13</v>
      </c>
      <c r="AT79" s="919">
        <v>14</v>
      </c>
      <c r="AU79" s="1215">
        <v>15</v>
      </c>
      <c r="AV79" s="919"/>
      <c r="AW79" s="919"/>
      <c r="AX79" s="919"/>
      <c r="AY79" s="919"/>
      <c r="AZ79" s="919"/>
      <c r="BA79" s="919"/>
      <c r="BB79" s="919"/>
      <c r="BC79" s="919"/>
      <c r="BD79" s="919"/>
      <c r="BE79" s="919"/>
      <c r="BF79" s="919"/>
      <c r="BG79" s="919"/>
      <c r="BH79" s="919"/>
      <c r="BI79" s="919"/>
      <c r="BJ79" s="919"/>
      <c r="BK79" s="919"/>
      <c r="BL79" s="919"/>
      <c r="BM79" s="919"/>
      <c r="BN79" s="919"/>
      <c r="BO79" s="919"/>
      <c r="BP79" s="919"/>
      <c r="BQ79" s="919"/>
      <c r="BR79" s="919"/>
      <c r="BS79" s="919"/>
      <c r="BT79" s="919"/>
      <c r="BU79" s="919"/>
      <c r="BV79" s="919"/>
      <c r="BW79" s="919"/>
      <c r="BX79" s="919"/>
      <c r="BY79" s="919"/>
      <c r="BZ79" s="919"/>
    </row>
    <row r="80" spans="1:78">
      <c r="A80" s="1214">
        <v>22</v>
      </c>
      <c r="B80" s="919">
        <v>23</v>
      </c>
      <c r="C80" s="919">
        <v>24</v>
      </c>
      <c r="D80" s="919">
        <v>25</v>
      </c>
      <c r="E80" s="919">
        <v>26</v>
      </c>
      <c r="F80" s="919">
        <v>27</v>
      </c>
      <c r="G80" s="1215">
        <v>28</v>
      </c>
      <c r="H80" s="919"/>
      <c r="I80" s="1214">
        <v>19</v>
      </c>
      <c r="J80" s="919">
        <v>20</v>
      </c>
      <c r="K80" s="919">
        <v>21</v>
      </c>
      <c r="L80" s="919">
        <v>22</v>
      </c>
      <c r="M80" s="919">
        <v>23</v>
      </c>
      <c r="N80" s="919">
        <v>24</v>
      </c>
      <c r="O80" s="1215">
        <v>25</v>
      </c>
      <c r="P80" s="919"/>
      <c r="Q80" s="1214">
        <v>16</v>
      </c>
      <c r="R80" s="919">
        <v>17</v>
      </c>
      <c r="S80" s="919">
        <v>18</v>
      </c>
      <c r="T80" s="919">
        <v>19</v>
      </c>
      <c r="U80" s="919">
        <v>20</v>
      </c>
      <c r="V80" s="919">
        <v>21</v>
      </c>
      <c r="W80" s="1215">
        <v>22</v>
      </c>
      <c r="X80" s="919"/>
      <c r="Y80" s="1223">
        <v>21</v>
      </c>
      <c r="Z80" s="919">
        <v>22</v>
      </c>
      <c r="AA80" s="919">
        <v>23</v>
      </c>
      <c r="AB80" s="919">
        <v>24</v>
      </c>
      <c r="AC80" s="919">
        <v>25</v>
      </c>
      <c r="AD80" s="1205">
        <v>26</v>
      </c>
      <c r="AE80" s="1222">
        <v>27</v>
      </c>
      <c r="AF80" s="919"/>
      <c r="AG80" s="1214">
        <v>18</v>
      </c>
      <c r="AH80" s="919">
        <v>19</v>
      </c>
      <c r="AI80" s="919">
        <v>20</v>
      </c>
      <c r="AJ80" s="919">
        <v>21</v>
      </c>
      <c r="AK80" s="1010">
        <v>22</v>
      </c>
      <c r="AL80" s="919">
        <v>23</v>
      </c>
      <c r="AM80" s="1215">
        <v>24</v>
      </c>
      <c r="AN80" s="919"/>
      <c r="AO80" s="1214">
        <v>16</v>
      </c>
      <c r="AP80" s="919">
        <v>17</v>
      </c>
      <c r="AQ80" s="919">
        <v>18</v>
      </c>
      <c r="AR80" s="919">
        <v>19</v>
      </c>
      <c r="AS80" s="919">
        <v>20</v>
      </c>
      <c r="AT80" s="919">
        <v>21</v>
      </c>
      <c r="AU80" s="1215">
        <v>22</v>
      </c>
      <c r="AV80" s="919"/>
      <c r="AW80" s="919"/>
      <c r="AX80" s="919"/>
      <c r="AY80" s="919"/>
      <c r="AZ80" s="919"/>
      <c r="BA80" s="919"/>
      <c r="BB80" s="919"/>
      <c r="BC80" s="919"/>
      <c r="BD80" s="919"/>
      <c r="BE80" s="919"/>
      <c r="BF80" s="919"/>
      <c r="BG80" s="919"/>
      <c r="BH80" s="919"/>
      <c r="BI80" s="919"/>
      <c r="BJ80" s="919"/>
      <c r="BK80" s="919"/>
      <c r="BL80" s="919"/>
      <c r="BM80" s="919"/>
      <c r="BN80" s="919"/>
      <c r="BO80" s="919"/>
      <c r="BP80" s="919"/>
      <c r="BQ80" s="919"/>
      <c r="BR80" s="919"/>
      <c r="BS80" s="919"/>
      <c r="BT80" s="919"/>
      <c r="BU80" s="919"/>
      <c r="BV80" s="919"/>
      <c r="BW80" s="919"/>
      <c r="BX80" s="919"/>
      <c r="BY80" s="919"/>
      <c r="BZ80" s="919"/>
    </row>
    <row r="81" spans="1:78">
      <c r="A81" s="1223">
        <v>29</v>
      </c>
      <c r="B81" s="1205">
        <v>30</v>
      </c>
      <c r="C81" s="1205">
        <v>31</v>
      </c>
      <c r="D81" s="919"/>
      <c r="E81" s="919"/>
      <c r="F81" s="919"/>
      <c r="G81" s="1215"/>
      <c r="H81" s="919"/>
      <c r="I81" s="1214">
        <v>26</v>
      </c>
      <c r="J81" s="919">
        <v>27</v>
      </c>
      <c r="K81" s="919">
        <v>28</v>
      </c>
      <c r="L81" s="919">
        <v>29</v>
      </c>
      <c r="M81" s="919">
        <v>30</v>
      </c>
      <c r="N81" s="919">
        <v>31</v>
      </c>
      <c r="O81" s="1215"/>
      <c r="P81" s="919"/>
      <c r="Q81" s="1214">
        <v>23</v>
      </c>
      <c r="R81" s="919">
        <v>24</v>
      </c>
      <c r="S81" s="919">
        <v>25</v>
      </c>
      <c r="T81" s="919">
        <v>26</v>
      </c>
      <c r="U81" s="919">
        <v>27</v>
      </c>
      <c r="V81" s="919">
        <v>28</v>
      </c>
      <c r="W81" s="1215">
        <v>29</v>
      </c>
      <c r="X81" s="919"/>
      <c r="Y81" s="1223">
        <v>28</v>
      </c>
      <c r="Z81" s="1205">
        <v>29</v>
      </c>
      <c r="AA81" s="1205">
        <v>30</v>
      </c>
      <c r="AB81" s="919">
        <v>31</v>
      </c>
      <c r="AC81" s="919"/>
      <c r="AD81" s="919"/>
      <c r="AE81" s="1215"/>
      <c r="AF81" s="919"/>
      <c r="AG81" s="1214">
        <v>25</v>
      </c>
      <c r="AH81" s="919">
        <v>26</v>
      </c>
      <c r="AI81" s="1013">
        <v>27</v>
      </c>
      <c r="AJ81" s="919">
        <v>28</v>
      </c>
      <c r="AK81" s="1013">
        <v>29</v>
      </c>
      <c r="AL81" s="919">
        <v>30</v>
      </c>
      <c r="AM81" s="1215"/>
      <c r="AN81" s="919"/>
      <c r="AO81" s="1214">
        <v>23</v>
      </c>
      <c r="AP81" s="919">
        <v>24</v>
      </c>
      <c r="AQ81" s="1010">
        <v>25</v>
      </c>
      <c r="AR81" s="919">
        <v>26</v>
      </c>
      <c r="AS81" s="919">
        <v>27</v>
      </c>
      <c r="AT81" s="919">
        <v>28</v>
      </c>
      <c r="AU81" s="1215">
        <v>29</v>
      </c>
      <c r="AV81" s="919"/>
      <c r="AW81" s="919"/>
      <c r="AX81" s="919"/>
      <c r="AY81" s="919"/>
      <c r="AZ81" s="919"/>
      <c r="BA81" s="919"/>
      <c r="BB81" s="919"/>
      <c r="BC81" s="919"/>
      <c r="BD81" s="919"/>
      <c r="BE81" s="919"/>
      <c r="BF81" s="919"/>
      <c r="BG81" s="919"/>
      <c r="BH81" s="919"/>
      <c r="BI81" s="919"/>
      <c r="BJ81" s="919"/>
      <c r="BK81" s="919"/>
      <c r="BL81" s="919"/>
      <c r="BM81" s="919"/>
      <c r="BN81" s="919"/>
      <c r="BO81" s="919"/>
      <c r="BP81" s="919"/>
      <c r="BQ81" s="919"/>
      <c r="BR81" s="919"/>
      <c r="BS81" s="919"/>
      <c r="BT81" s="919"/>
      <c r="BU81" s="919"/>
      <c r="BV81" s="919"/>
      <c r="BW81" s="919"/>
      <c r="BX81" s="919"/>
      <c r="BY81" s="919"/>
      <c r="BZ81" s="919"/>
    </row>
    <row r="82" spans="1:78">
      <c r="A82" s="1220"/>
      <c r="B82" s="1201" t="s">
        <v>7105</v>
      </c>
      <c r="C82" s="1201"/>
      <c r="D82" s="1201"/>
      <c r="E82" s="1201"/>
      <c r="F82" s="1201"/>
      <c r="G82" s="1221"/>
      <c r="H82" s="919"/>
      <c r="I82" s="1220"/>
      <c r="J82" s="1201"/>
      <c r="K82" s="1201"/>
      <c r="L82" s="1201"/>
      <c r="M82" s="1201"/>
      <c r="N82" s="1201"/>
      <c r="O82" s="1221"/>
      <c r="P82" s="919"/>
      <c r="Q82" s="1220">
        <v>30</v>
      </c>
      <c r="R82" s="1201"/>
      <c r="S82" s="1201"/>
      <c r="T82" s="1201"/>
      <c r="U82" s="1201"/>
      <c r="V82" s="1201"/>
      <c r="W82" s="1221"/>
      <c r="X82" s="919"/>
      <c r="Y82" s="1220"/>
      <c r="Z82" s="1201" t="s">
        <v>4568</v>
      </c>
      <c r="AA82" s="1201"/>
      <c r="AB82" s="1201"/>
      <c r="AC82" s="1201"/>
      <c r="AD82" s="1201"/>
      <c r="AE82" s="1221"/>
      <c r="AF82" s="919"/>
      <c r="AG82" s="1220"/>
      <c r="AH82" s="1201"/>
      <c r="AI82" s="1201"/>
      <c r="AJ82" s="1201"/>
      <c r="AK82" s="1201"/>
      <c r="AL82" s="1201"/>
      <c r="AM82" s="1221"/>
      <c r="AN82" s="919"/>
      <c r="AO82" s="1220">
        <v>30</v>
      </c>
      <c r="AP82" s="1201">
        <v>31</v>
      </c>
      <c r="AQ82" s="1201"/>
      <c r="AR82" s="1201"/>
      <c r="AS82" s="1201"/>
      <c r="AT82" s="1201"/>
      <c r="AU82" s="1221"/>
      <c r="AV82" s="919"/>
      <c r="AW82" s="919"/>
      <c r="AX82" s="919"/>
      <c r="AY82" s="919"/>
      <c r="AZ82" s="919"/>
      <c r="BA82" s="919"/>
      <c r="BB82" s="919"/>
      <c r="BC82" s="919"/>
      <c r="BD82" s="919"/>
      <c r="BE82" s="919"/>
      <c r="BF82" s="919"/>
      <c r="BG82" s="919"/>
      <c r="BH82" s="919"/>
      <c r="BI82" s="919"/>
      <c r="BJ82" s="919"/>
      <c r="BK82" s="919"/>
      <c r="BL82" s="919"/>
      <c r="BM82" s="919"/>
      <c r="BN82" s="919"/>
      <c r="BO82" s="919"/>
      <c r="BP82" s="919"/>
      <c r="BQ82" s="919"/>
      <c r="BR82" s="919"/>
      <c r="BS82" s="919"/>
      <c r="BT82" s="919"/>
      <c r="BU82" s="919"/>
      <c r="BV82" s="919"/>
      <c r="BW82" s="919"/>
      <c r="BX82" s="919"/>
      <c r="BY82" s="919"/>
      <c r="BZ82" s="919"/>
    </row>
    <row r="83" spans="1:78">
      <c r="A83" s="2178" t="s">
        <v>7106</v>
      </c>
      <c r="B83" s="2087"/>
      <c r="C83" s="2087"/>
      <c r="D83" s="2087"/>
      <c r="E83" s="2087"/>
      <c r="F83" s="2087"/>
      <c r="G83" s="2087"/>
      <c r="H83" s="2087"/>
      <c r="I83" s="2087"/>
      <c r="J83" s="2087"/>
      <c r="K83" s="2087"/>
      <c r="L83" s="2087"/>
      <c r="M83" s="2087"/>
      <c r="N83" s="2087"/>
      <c r="O83" s="2087"/>
      <c r="P83" s="2087"/>
      <c r="Q83" s="2087"/>
      <c r="R83" s="2087"/>
      <c r="S83" s="2087"/>
      <c r="T83" s="2087"/>
      <c r="U83" s="2087"/>
      <c r="V83" s="2087"/>
      <c r="W83" s="2087"/>
      <c r="X83" s="2087"/>
      <c r="Y83" s="2087"/>
      <c r="Z83" s="2087"/>
      <c r="AA83" s="2087"/>
      <c r="AB83" s="2087"/>
      <c r="AC83" s="2087"/>
      <c r="AD83" s="2087"/>
      <c r="AE83" s="2087"/>
      <c r="AF83" s="2087"/>
      <c r="AG83" s="2087"/>
      <c r="AH83" s="2087"/>
      <c r="AI83" s="2087"/>
      <c r="AJ83" s="2087"/>
      <c r="AK83" s="919"/>
      <c r="AL83" s="919"/>
      <c r="AM83" s="919"/>
      <c r="AN83" s="919"/>
      <c r="AO83" s="919"/>
      <c r="AP83" s="920"/>
      <c r="AQ83" s="919"/>
      <c r="AR83" s="919"/>
      <c r="AS83" s="919"/>
      <c r="AT83" s="919"/>
      <c r="AU83" s="919" t="s">
        <v>7099</v>
      </c>
      <c r="AV83" s="919"/>
      <c r="AW83" s="919"/>
      <c r="AX83" s="919"/>
      <c r="AY83" s="919"/>
      <c r="AZ83" s="919"/>
      <c r="BA83" s="919"/>
      <c r="BB83" s="919"/>
      <c r="BC83" s="919"/>
      <c r="BD83" s="919"/>
      <c r="BE83" s="919"/>
      <c r="BF83" s="919"/>
      <c r="BG83" s="919"/>
      <c r="BH83" s="919"/>
      <c r="BI83" s="919"/>
      <c r="BJ83" s="919"/>
      <c r="BK83" s="919"/>
      <c r="BL83" s="919"/>
      <c r="BM83" s="919"/>
      <c r="BN83" s="919"/>
      <c r="BO83" s="919"/>
      <c r="BP83" s="919"/>
      <c r="BQ83" s="919"/>
      <c r="BR83" s="919"/>
      <c r="BS83" s="919"/>
      <c r="BT83" s="919"/>
      <c r="BU83" s="919"/>
      <c r="BV83" s="919"/>
      <c r="BW83" s="919"/>
      <c r="BX83" s="919"/>
      <c r="BY83" s="919"/>
      <c r="BZ83" s="919"/>
    </row>
    <row r="84" spans="1:78">
      <c r="A84" s="2178" t="s">
        <v>7107</v>
      </c>
      <c r="B84" s="2087"/>
      <c r="C84" s="2087"/>
      <c r="D84" s="2087"/>
      <c r="E84" s="2087"/>
      <c r="F84" s="2087"/>
      <c r="G84" s="2087"/>
      <c r="H84" s="2087"/>
      <c r="I84" s="2087"/>
      <c r="J84" s="2087"/>
      <c r="K84" s="2087"/>
      <c r="L84" s="2087"/>
      <c r="M84" s="2087"/>
      <c r="N84" s="2087"/>
      <c r="O84" s="2087"/>
      <c r="P84" s="2087"/>
      <c r="Q84" s="2087"/>
      <c r="R84" s="2087"/>
      <c r="S84" s="2087"/>
      <c r="T84" s="2087"/>
      <c r="U84" s="2087"/>
      <c r="V84" s="2087"/>
      <c r="W84" s="2087"/>
      <c r="X84" s="2087"/>
      <c r="Y84" s="2087"/>
      <c r="Z84" s="2087"/>
      <c r="AA84" s="2087"/>
      <c r="AB84" s="2087"/>
      <c r="AC84" s="2087"/>
      <c r="AD84" s="2087"/>
      <c r="AE84" s="2087"/>
      <c r="AF84" s="2087"/>
      <c r="AG84" s="2087"/>
      <c r="AH84" s="2087"/>
      <c r="AI84" s="919"/>
      <c r="AJ84" s="919"/>
      <c r="AK84" s="919"/>
      <c r="AL84" s="919"/>
      <c r="AM84" s="919"/>
      <c r="AN84" s="919"/>
      <c r="AO84" s="919"/>
      <c r="AP84" s="919"/>
      <c r="AQ84" s="919"/>
      <c r="AR84" s="919"/>
      <c r="AS84" s="919"/>
      <c r="AT84" s="919"/>
      <c r="AU84" s="2178" t="s">
        <v>7059</v>
      </c>
      <c r="AV84" s="2087"/>
      <c r="AW84" s="2087"/>
      <c r="AX84" s="2087"/>
      <c r="AY84" s="2087"/>
      <c r="AZ84" s="2087"/>
      <c r="BA84" s="2087"/>
      <c r="BB84" s="2087"/>
      <c r="BC84" s="2087"/>
      <c r="BD84" s="2087"/>
      <c r="BE84" s="919"/>
      <c r="BF84" s="919"/>
      <c r="BG84" s="919"/>
      <c r="BH84" s="919"/>
      <c r="BI84" s="919"/>
      <c r="BJ84" s="919"/>
      <c r="BK84" s="919"/>
      <c r="BL84" s="919"/>
      <c r="BM84" s="919"/>
      <c r="BN84" s="919"/>
      <c r="BO84" s="919"/>
      <c r="BP84" s="919"/>
      <c r="BQ84" s="919"/>
      <c r="BR84" s="919"/>
      <c r="BS84" s="919"/>
      <c r="BT84" s="919"/>
      <c r="BU84" s="920"/>
      <c r="BV84" s="919"/>
      <c r="BW84" s="1224"/>
      <c r="BX84" s="919"/>
      <c r="BY84" s="919"/>
      <c r="BZ84" s="919"/>
    </row>
    <row r="85" spans="1:78">
      <c r="AU85" s="2218" t="s">
        <v>7062</v>
      </c>
      <c r="AV85" s="2172"/>
      <c r="AW85" s="2172"/>
      <c r="AX85" s="2172"/>
      <c r="AY85" s="2172"/>
      <c r="AZ85" s="2172"/>
      <c r="BA85" s="2173"/>
      <c r="BB85" s="919"/>
      <c r="BC85" s="2219" t="s">
        <v>7063</v>
      </c>
      <c r="BD85" s="2087"/>
      <c r="BE85" s="2087"/>
      <c r="BF85" s="2087"/>
      <c r="BG85" s="2087"/>
      <c r="BH85" s="2087"/>
      <c r="BI85" s="2087"/>
      <c r="BJ85" s="919"/>
      <c r="BK85" s="2220" t="s">
        <v>7064</v>
      </c>
      <c r="BL85" s="2087"/>
      <c r="BM85" s="2087"/>
      <c r="BN85" s="2087"/>
      <c r="BO85" s="2087"/>
      <c r="BP85" s="2087"/>
      <c r="BQ85" s="2087"/>
      <c r="BR85" s="919"/>
      <c r="BS85" s="2221" t="s">
        <v>5774</v>
      </c>
      <c r="BT85" s="2087"/>
      <c r="BU85" s="2087"/>
      <c r="BV85" s="2087"/>
      <c r="BW85" s="2087"/>
      <c r="BX85" s="2087"/>
      <c r="BY85" s="2087"/>
      <c r="BZ85" s="919"/>
    </row>
    <row r="86" spans="1:78">
      <c r="K86" s="1013"/>
      <c r="L86" s="2088" t="s">
        <v>6310</v>
      </c>
      <c r="M86" s="2087"/>
      <c r="N86" s="2087"/>
      <c r="AU86" s="1227" t="s">
        <v>7065</v>
      </c>
      <c r="AV86" s="1227" t="s">
        <v>7066</v>
      </c>
      <c r="AW86" s="1227" t="s">
        <v>7067</v>
      </c>
      <c r="AX86" s="1227" t="s">
        <v>7068</v>
      </c>
      <c r="AY86" s="1227" t="s">
        <v>7069</v>
      </c>
      <c r="AZ86" s="1227" t="s">
        <v>7070</v>
      </c>
      <c r="BA86" s="1227" t="s">
        <v>7071</v>
      </c>
      <c r="BB86" s="919"/>
      <c r="BC86" s="1008" t="s">
        <v>7065</v>
      </c>
      <c r="BD86" s="1008" t="s">
        <v>7066</v>
      </c>
      <c r="BE86" s="1008" t="s">
        <v>7067</v>
      </c>
      <c r="BF86" s="1008" t="s">
        <v>7068</v>
      </c>
      <c r="BG86" s="1008" t="s">
        <v>7069</v>
      </c>
      <c r="BH86" s="1008" t="s">
        <v>7070</v>
      </c>
      <c r="BI86" s="1008" t="s">
        <v>7071</v>
      </c>
      <c r="BJ86" s="919"/>
      <c r="BK86" s="1225" t="s">
        <v>7065</v>
      </c>
      <c r="BL86" s="1225" t="s">
        <v>7066</v>
      </c>
      <c r="BM86" s="1225" t="s">
        <v>7067</v>
      </c>
      <c r="BN86" s="1225" t="s">
        <v>7068</v>
      </c>
      <c r="BO86" s="1225" t="s">
        <v>7069</v>
      </c>
      <c r="BP86" s="1225" t="s">
        <v>7070</v>
      </c>
      <c r="BQ86" s="1225" t="s">
        <v>7071</v>
      </c>
      <c r="BR86" s="919"/>
      <c r="BS86" s="1226" t="s">
        <v>7065</v>
      </c>
      <c r="BT86" s="1226" t="s">
        <v>7066</v>
      </c>
      <c r="BU86" s="1226" t="s">
        <v>7067</v>
      </c>
      <c r="BV86" s="1226" t="s">
        <v>7068</v>
      </c>
      <c r="BW86" s="1226" t="s">
        <v>7069</v>
      </c>
      <c r="BX86" s="1226" t="s">
        <v>7070</v>
      </c>
      <c r="BY86" s="1226" t="s">
        <v>7071</v>
      </c>
      <c r="BZ86" s="919"/>
    </row>
    <row r="87" spans="1:78">
      <c r="K87" s="1015"/>
      <c r="L87" s="2088" t="s">
        <v>7108</v>
      </c>
      <c r="M87" s="2087"/>
      <c r="N87" s="2087"/>
      <c r="O87" s="2087"/>
      <c r="P87" s="2087"/>
      <c r="AC87" s="2086" t="s">
        <v>7109</v>
      </c>
      <c r="AD87" s="2087"/>
      <c r="AE87" s="2087"/>
      <c r="AF87" s="2087"/>
      <c r="AG87" s="2087"/>
      <c r="AH87" s="2087"/>
      <c r="AI87" s="2087"/>
      <c r="AJ87" s="2087"/>
      <c r="AK87" s="2087"/>
      <c r="AL87" s="2087"/>
      <c r="AM87" s="2087"/>
      <c r="AN87" s="2087"/>
      <c r="AO87" s="2087"/>
      <c r="AP87" s="2087"/>
      <c r="AQ87" s="2087"/>
      <c r="AR87" s="2087"/>
      <c r="AU87" s="1009"/>
      <c r="AV87" s="919"/>
      <c r="AW87" s="1010">
        <v>1</v>
      </c>
      <c r="AX87" s="919">
        <v>2</v>
      </c>
      <c r="AY87" s="919">
        <v>3</v>
      </c>
      <c r="AZ87" s="919">
        <v>4</v>
      </c>
      <c r="BA87" s="1011">
        <v>5</v>
      </c>
      <c r="BB87" s="919"/>
      <c r="BC87" s="1012"/>
      <c r="BD87" s="919"/>
      <c r="BE87" s="919"/>
      <c r="BF87" s="919"/>
      <c r="BG87" s="919"/>
      <c r="BH87" s="919">
        <v>1</v>
      </c>
      <c r="BI87" s="1228">
        <v>2</v>
      </c>
      <c r="BJ87" s="919"/>
      <c r="BK87" s="1020"/>
      <c r="BL87" s="919"/>
      <c r="BM87" s="919"/>
      <c r="BN87" s="919"/>
      <c r="BO87" s="919"/>
      <c r="BP87" s="919">
        <v>1</v>
      </c>
      <c r="BQ87" s="1019">
        <v>2</v>
      </c>
      <c r="BR87" s="919"/>
      <c r="BS87" s="1014"/>
      <c r="BT87" s="919">
        <v>1</v>
      </c>
      <c r="BU87" s="919">
        <v>2</v>
      </c>
      <c r="BV87" s="919">
        <v>3</v>
      </c>
      <c r="BW87" s="919">
        <v>4</v>
      </c>
      <c r="BX87" s="919">
        <v>5</v>
      </c>
      <c r="BY87" s="1016">
        <v>6</v>
      </c>
      <c r="BZ87" s="919"/>
    </row>
    <row r="88" spans="1:78">
      <c r="AC88" s="2088" t="s">
        <v>7110</v>
      </c>
      <c r="AD88" s="2087"/>
      <c r="AE88" s="2087"/>
      <c r="AF88" s="2087"/>
      <c r="AG88" s="2087"/>
      <c r="AH88" s="2087"/>
      <c r="AI88" s="2087"/>
      <c r="AJ88" s="2087"/>
      <c r="AK88" s="2087"/>
      <c r="AL88" s="2087"/>
      <c r="AM88" s="2087"/>
      <c r="AN88" s="2087"/>
      <c r="AO88" s="2087"/>
      <c r="AP88" s="2087"/>
      <c r="AQ88" s="2087"/>
      <c r="AR88" s="2087"/>
      <c r="AU88" s="1009">
        <v>6</v>
      </c>
      <c r="AV88" s="919">
        <v>7</v>
      </c>
      <c r="AW88" s="919">
        <v>8</v>
      </c>
      <c r="AX88" s="919">
        <v>9</v>
      </c>
      <c r="AY88" s="919">
        <v>10</v>
      </c>
      <c r="AZ88" s="919">
        <v>11</v>
      </c>
      <c r="BA88" s="1011">
        <v>12</v>
      </c>
      <c r="BB88" s="919"/>
      <c r="BC88" s="1012">
        <v>3</v>
      </c>
      <c r="BD88" s="919">
        <v>4</v>
      </c>
      <c r="BE88" s="919">
        <v>5</v>
      </c>
      <c r="BF88" s="919">
        <v>6</v>
      </c>
      <c r="BG88" s="919">
        <v>7</v>
      </c>
      <c r="BH88" s="919">
        <v>8</v>
      </c>
      <c r="BI88" s="1228">
        <v>9</v>
      </c>
      <c r="BJ88" s="919"/>
      <c r="BK88" s="1020">
        <v>3</v>
      </c>
      <c r="BL88" s="919">
        <v>4</v>
      </c>
      <c r="BM88" s="919">
        <v>5</v>
      </c>
      <c r="BN88" s="919">
        <v>6</v>
      </c>
      <c r="BO88" s="919">
        <v>7</v>
      </c>
      <c r="BP88" s="919">
        <v>8</v>
      </c>
      <c r="BQ88" s="1019">
        <v>9</v>
      </c>
      <c r="BR88" s="919"/>
      <c r="BS88" s="1014">
        <v>7</v>
      </c>
      <c r="BT88" s="919">
        <v>8</v>
      </c>
      <c r="BU88" s="919">
        <v>9</v>
      </c>
      <c r="BV88" s="919">
        <v>10</v>
      </c>
      <c r="BW88" s="919">
        <v>11</v>
      </c>
      <c r="BX88" s="919">
        <v>12</v>
      </c>
      <c r="BY88" s="1016">
        <v>13</v>
      </c>
      <c r="BZ88" s="919"/>
    </row>
    <row r="89" spans="1:78">
      <c r="AC89" s="2088" t="s">
        <v>7111</v>
      </c>
      <c r="AD89" s="2087"/>
      <c r="AE89" s="2087"/>
      <c r="AF89" s="2087"/>
      <c r="AG89" s="2087"/>
      <c r="AH89" s="2087"/>
      <c r="AI89" s="2087"/>
      <c r="AJ89" s="2087"/>
      <c r="AK89" s="2087"/>
      <c r="AL89" s="2087"/>
      <c r="AM89" s="2087"/>
      <c r="AN89" s="2087"/>
      <c r="AO89" s="2087"/>
      <c r="AP89" s="2087"/>
      <c r="AQ89" s="2087"/>
      <c r="AR89" s="2087"/>
      <c r="AU89" s="1009">
        <v>13</v>
      </c>
      <c r="AV89" s="919">
        <v>14</v>
      </c>
      <c r="AW89" s="919">
        <v>15</v>
      </c>
      <c r="AX89" s="919">
        <v>16</v>
      </c>
      <c r="AY89" s="919">
        <v>17</v>
      </c>
      <c r="AZ89" s="919">
        <v>18</v>
      </c>
      <c r="BA89" s="1011">
        <v>19</v>
      </c>
      <c r="BB89" s="919"/>
      <c r="BC89" s="1012">
        <v>10</v>
      </c>
      <c r="BD89" s="919">
        <v>11</v>
      </c>
      <c r="BE89" s="919">
        <v>12</v>
      </c>
      <c r="BF89" s="919">
        <v>13</v>
      </c>
      <c r="BG89" s="919">
        <v>14</v>
      </c>
      <c r="BH89" s="919">
        <v>15</v>
      </c>
      <c r="BI89" s="1228">
        <v>16</v>
      </c>
      <c r="BJ89" s="919"/>
      <c r="BK89" s="1020">
        <v>10</v>
      </c>
      <c r="BL89" s="919">
        <v>11</v>
      </c>
      <c r="BM89" s="919">
        <v>12</v>
      </c>
      <c r="BN89" s="919">
        <v>13</v>
      </c>
      <c r="BO89" s="919">
        <v>14</v>
      </c>
      <c r="BP89" s="919">
        <v>15</v>
      </c>
      <c r="BQ89" s="1019">
        <v>16</v>
      </c>
      <c r="BR89" s="919"/>
      <c r="BS89" s="1014">
        <v>14</v>
      </c>
      <c r="BT89" s="919">
        <v>15</v>
      </c>
      <c r="BU89" s="919">
        <v>16</v>
      </c>
      <c r="BV89" s="919">
        <v>17</v>
      </c>
      <c r="BW89" s="919">
        <v>18</v>
      </c>
      <c r="BX89" s="919">
        <v>19</v>
      </c>
      <c r="BY89" s="1016">
        <v>20</v>
      </c>
      <c r="BZ89" s="919"/>
    </row>
    <row r="90" spans="1:78">
      <c r="AC90" s="2088"/>
      <c r="AD90" s="2087"/>
      <c r="AE90" s="2087"/>
      <c r="AF90" s="2087"/>
      <c r="AG90" s="2087"/>
      <c r="AH90" s="2087"/>
      <c r="AI90" s="2087"/>
      <c r="AJ90" s="2087"/>
      <c r="AK90" s="2087"/>
      <c r="AL90" s="2087"/>
      <c r="AM90" s="2087"/>
      <c r="AN90" s="2087"/>
      <c r="AO90" s="2087"/>
      <c r="AP90" s="2087"/>
      <c r="AQ90" s="2087"/>
      <c r="AR90" s="2087"/>
      <c r="AU90" s="1009">
        <v>20</v>
      </c>
      <c r="AV90" s="1010">
        <v>21</v>
      </c>
      <c r="AW90" s="919">
        <v>22</v>
      </c>
      <c r="AX90" s="919">
        <v>23</v>
      </c>
      <c r="AY90" s="919">
        <v>24</v>
      </c>
      <c r="AZ90" s="919">
        <v>25</v>
      </c>
      <c r="BA90" s="1011">
        <v>26</v>
      </c>
      <c r="BB90" s="919"/>
      <c r="BC90" s="1012">
        <v>17</v>
      </c>
      <c r="BD90" s="1010">
        <v>18</v>
      </c>
      <c r="BE90" s="919">
        <v>19</v>
      </c>
      <c r="BF90" s="919">
        <v>20</v>
      </c>
      <c r="BG90" s="919">
        <v>21</v>
      </c>
      <c r="BH90" s="919">
        <v>22</v>
      </c>
      <c r="BI90" s="1228">
        <v>23</v>
      </c>
      <c r="BJ90" s="919"/>
      <c r="BK90" s="1020">
        <v>17</v>
      </c>
      <c r="BL90" s="919">
        <v>18</v>
      </c>
      <c r="BM90" s="919">
        <v>19</v>
      </c>
      <c r="BN90" s="919">
        <v>20</v>
      </c>
      <c r="BO90" s="919">
        <v>21</v>
      </c>
      <c r="BP90" s="919">
        <v>22</v>
      </c>
      <c r="BQ90" s="1019">
        <v>23</v>
      </c>
      <c r="BR90" s="919"/>
      <c r="BS90" s="1014">
        <v>21</v>
      </c>
      <c r="BT90" s="919">
        <v>22</v>
      </c>
      <c r="BU90" s="919">
        <v>23</v>
      </c>
      <c r="BV90" s="919">
        <v>24</v>
      </c>
      <c r="BW90" s="919">
        <v>25</v>
      </c>
      <c r="BX90" s="919">
        <v>26</v>
      </c>
      <c r="BY90" s="1016">
        <v>27</v>
      </c>
      <c r="BZ90" s="919"/>
    </row>
    <row r="91" spans="1:78">
      <c r="I91" s="9"/>
      <c r="J91" s="9"/>
      <c r="K91" s="9"/>
      <c r="M91" s="2088"/>
      <c r="N91" s="2087"/>
      <c r="O91" s="2088"/>
      <c r="P91" s="2087"/>
      <c r="AC91" s="2222"/>
      <c r="AD91" s="2144"/>
      <c r="AE91" s="2144"/>
      <c r="AF91" s="2144"/>
      <c r="AG91" s="2144"/>
      <c r="AH91" s="2144"/>
      <c r="AI91" s="2144"/>
      <c r="AJ91" s="2144"/>
      <c r="AK91" s="2144"/>
      <c r="AL91" s="2144"/>
      <c r="AM91" s="2144"/>
      <c r="AN91" s="2144"/>
      <c r="AO91" s="2144"/>
      <c r="AP91" s="2144"/>
      <c r="AQ91" s="2144"/>
      <c r="AR91" s="2144"/>
      <c r="AU91" s="1009">
        <v>27</v>
      </c>
      <c r="AV91" s="919">
        <v>28</v>
      </c>
      <c r="AW91" s="919">
        <v>29</v>
      </c>
      <c r="AX91" s="919">
        <v>30</v>
      </c>
      <c r="AY91" s="919">
        <v>31</v>
      </c>
      <c r="AZ91" s="919"/>
      <c r="BA91" s="1011"/>
      <c r="BB91" s="919"/>
      <c r="BC91" s="1012">
        <v>24</v>
      </c>
      <c r="BD91" s="919">
        <v>25</v>
      </c>
      <c r="BE91" s="919">
        <v>26</v>
      </c>
      <c r="BF91" s="919">
        <v>27</v>
      </c>
      <c r="BG91" s="919">
        <v>28</v>
      </c>
      <c r="BH91" s="919"/>
      <c r="BI91" s="1228"/>
      <c r="BJ91" s="919"/>
      <c r="BK91" s="1020">
        <v>24</v>
      </c>
      <c r="BL91" s="919">
        <v>25</v>
      </c>
      <c r="BM91" s="919">
        <v>26</v>
      </c>
      <c r="BN91" s="919">
        <v>27</v>
      </c>
      <c r="BO91" s="919">
        <v>28</v>
      </c>
      <c r="BP91" s="919">
        <v>29</v>
      </c>
      <c r="BQ91" s="1019">
        <v>30</v>
      </c>
      <c r="BR91" s="919"/>
      <c r="BS91" s="1014">
        <v>28</v>
      </c>
      <c r="BT91" s="919">
        <v>29</v>
      </c>
      <c r="BU91" s="919">
        <v>30</v>
      </c>
      <c r="BV91" s="919"/>
      <c r="BW91" s="919"/>
      <c r="BX91" s="919"/>
      <c r="BY91" s="1016"/>
      <c r="BZ91" s="919"/>
    </row>
    <row r="92" spans="1:78">
      <c r="G92" s="2088" t="s">
        <v>7112</v>
      </c>
      <c r="H92" s="2087"/>
      <c r="I92" s="2087"/>
      <c r="J92" s="2087"/>
      <c r="K92" s="2087"/>
      <c r="L92" s="2087"/>
      <c r="M92" s="2087"/>
      <c r="N92" s="2087"/>
      <c r="O92" s="2087"/>
      <c r="P92" s="2087"/>
      <c r="Q92" s="2087"/>
      <c r="R92" s="2087"/>
      <c r="S92" s="2087"/>
      <c r="T92" s="2087"/>
      <c r="U92" s="2087"/>
      <c r="V92" s="2087"/>
      <c r="AC92" s="2088"/>
      <c r="AD92" s="2087"/>
      <c r="AE92" s="2087"/>
      <c r="AF92" s="2087"/>
      <c r="AG92" s="2087"/>
      <c r="AH92" s="2087"/>
      <c r="AI92" s="2087"/>
      <c r="AJ92" s="2087"/>
      <c r="AK92" s="2087"/>
      <c r="AL92" s="2087"/>
      <c r="AM92" s="2087"/>
      <c r="AN92" s="2087"/>
      <c r="AO92" s="2087"/>
      <c r="AP92" s="2087"/>
      <c r="AQ92" s="2087"/>
      <c r="AR92" s="2087"/>
      <c r="AU92" s="1021"/>
      <c r="AV92" s="1022"/>
      <c r="AW92" s="1022"/>
      <c r="AX92" s="1022"/>
      <c r="AY92" s="1022"/>
      <c r="AZ92" s="1022"/>
      <c r="BA92" s="1023"/>
      <c r="BB92" s="919"/>
      <c r="BC92" s="1024"/>
      <c r="BD92" s="1025"/>
      <c r="BE92" s="1025"/>
      <c r="BF92" s="1025"/>
      <c r="BG92" s="1025"/>
      <c r="BH92" s="1025"/>
      <c r="BI92" s="1026"/>
      <c r="BJ92" s="919"/>
      <c r="BK92" s="1027">
        <v>31</v>
      </c>
      <c r="BL92" s="1028"/>
      <c r="BM92" s="1028"/>
      <c r="BN92" s="1028"/>
      <c r="BO92" s="1028"/>
      <c r="BP92" s="1028"/>
      <c r="BQ92" s="1029"/>
      <c r="BR92" s="919"/>
      <c r="BS92" s="1030"/>
      <c r="BT92" s="1031"/>
      <c r="BU92" s="1031"/>
      <c r="BV92" s="1031"/>
      <c r="BW92" s="1031"/>
      <c r="BX92" s="1031"/>
      <c r="BY92" s="1032"/>
      <c r="BZ92" s="919"/>
    </row>
    <row r="93" spans="1:78">
      <c r="I93" s="9"/>
      <c r="J93" s="9"/>
      <c r="K93" s="9"/>
      <c r="M93" s="2088"/>
      <c r="N93" s="2087"/>
      <c r="O93" s="2087"/>
      <c r="P93" s="2087"/>
      <c r="AU93" s="919"/>
      <c r="AV93" s="919"/>
      <c r="AW93" s="919"/>
      <c r="AX93" s="919"/>
      <c r="AY93" s="919"/>
      <c r="AZ93" s="919"/>
      <c r="BA93" s="919"/>
      <c r="BB93" s="919"/>
      <c r="BC93" s="919"/>
      <c r="BD93" s="919"/>
      <c r="BE93" s="919"/>
      <c r="BF93" s="919"/>
      <c r="BG93" s="919"/>
      <c r="BH93" s="919"/>
      <c r="BI93" s="919"/>
      <c r="BJ93" s="919"/>
      <c r="BK93" s="919"/>
      <c r="BL93" s="919"/>
      <c r="BM93" s="919"/>
      <c r="BN93" s="919"/>
      <c r="BO93" s="919"/>
      <c r="BP93" s="919"/>
      <c r="BQ93" s="919"/>
      <c r="BR93" s="919"/>
      <c r="BS93" s="919"/>
      <c r="BT93" s="919"/>
      <c r="BU93" s="919"/>
      <c r="BV93" s="919"/>
      <c r="BW93" s="919"/>
      <c r="BX93" s="919"/>
      <c r="BY93" s="919"/>
      <c r="BZ93" s="919"/>
    </row>
    <row r="94" spans="1:78">
      <c r="G94" s="2101" t="s">
        <v>7113</v>
      </c>
      <c r="H94" s="2102"/>
      <c r="I94" s="2102"/>
      <c r="J94" s="2102"/>
      <c r="K94" s="2102"/>
      <c r="L94" s="2102"/>
      <c r="M94" s="2102"/>
      <c r="N94" s="2102"/>
      <c r="O94" s="2102"/>
      <c r="P94" s="2102"/>
      <c r="Q94" s="2102"/>
      <c r="R94" s="2102"/>
      <c r="S94" s="2102"/>
      <c r="T94" s="2102"/>
      <c r="U94" s="2102"/>
      <c r="V94" s="2102"/>
      <c r="W94" s="2102"/>
      <c r="X94" s="2102"/>
      <c r="Y94" s="2102"/>
      <c r="Z94" s="2103"/>
      <c r="AC94" s="2228" t="s">
        <v>3311</v>
      </c>
      <c r="AD94" s="2102"/>
      <c r="AE94" s="2102"/>
      <c r="AF94" s="2102"/>
      <c r="AG94" s="2102"/>
      <c r="AH94" s="2102"/>
      <c r="AI94" s="2102"/>
      <c r="AJ94" s="2102"/>
      <c r="AK94" s="2102"/>
      <c r="AL94" s="2102"/>
      <c r="AM94" s="2102"/>
      <c r="AN94" s="2102"/>
      <c r="AO94" s="2102"/>
      <c r="AP94" s="2102"/>
      <c r="AQ94" s="2102"/>
      <c r="AR94" s="2103"/>
      <c r="AU94" s="2229" t="s">
        <v>23</v>
      </c>
      <c r="AV94" s="2087"/>
      <c r="AW94" s="2087"/>
      <c r="AX94" s="2087"/>
      <c r="AY94" s="2087"/>
      <c r="AZ94" s="2087"/>
      <c r="BA94" s="2087"/>
      <c r="BB94" s="919"/>
      <c r="BC94" s="2230" t="s">
        <v>5832</v>
      </c>
      <c r="BD94" s="2087"/>
      <c r="BE94" s="2087"/>
      <c r="BF94" s="2087"/>
      <c r="BG94" s="2087"/>
      <c r="BH94" s="2087"/>
      <c r="BI94" s="2087"/>
      <c r="BJ94" s="919"/>
      <c r="BK94" s="2231" t="s">
        <v>138</v>
      </c>
      <c r="BL94" s="2087"/>
      <c r="BM94" s="2087"/>
      <c r="BN94" s="2087"/>
      <c r="BO94" s="2087"/>
      <c r="BP94" s="2087"/>
      <c r="BQ94" s="2087"/>
      <c r="BR94" s="919"/>
      <c r="BS94" s="2232" t="s">
        <v>5839</v>
      </c>
      <c r="BT94" s="2087"/>
      <c r="BU94" s="2087"/>
      <c r="BV94" s="2087"/>
      <c r="BW94" s="2087"/>
      <c r="BX94" s="2087"/>
      <c r="BY94" s="2087"/>
      <c r="BZ94" s="919"/>
    </row>
    <row r="95" spans="1:78">
      <c r="G95" s="2147" t="s">
        <v>7114</v>
      </c>
      <c r="H95" s="2094"/>
      <c r="I95" s="532"/>
      <c r="J95" s="2108" t="s">
        <v>7115</v>
      </c>
      <c r="K95" s="2094"/>
      <c r="M95" s="2108" t="s">
        <v>7116</v>
      </c>
      <c r="N95" s="2094"/>
      <c r="O95" s="532"/>
      <c r="P95" s="2223" t="s">
        <v>3364</v>
      </c>
      <c r="Q95" s="2094"/>
      <c r="R95" s="1233"/>
      <c r="S95" s="2223" t="s">
        <v>7117</v>
      </c>
      <c r="T95" s="2094"/>
      <c r="U95" s="1233"/>
      <c r="V95" s="2223" t="s">
        <v>7118</v>
      </c>
      <c r="W95" s="2094"/>
      <c r="X95" s="1233"/>
      <c r="Y95" s="2223" t="s">
        <v>7119</v>
      </c>
      <c r="Z95" s="2095"/>
      <c r="AC95" s="2224"/>
      <c r="AD95" s="2087"/>
      <c r="AE95" s="2087"/>
      <c r="AF95" s="2087"/>
      <c r="AG95" s="2087"/>
      <c r="AH95" s="2087"/>
      <c r="AI95" s="2087"/>
      <c r="AJ95" s="2087"/>
      <c r="AK95" s="2087"/>
      <c r="AL95" s="2087"/>
      <c r="AM95" s="2087"/>
      <c r="AN95" s="2087"/>
      <c r="AO95" s="2087"/>
      <c r="AP95" s="2087"/>
      <c r="AQ95" s="2087"/>
      <c r="AR95" s="2137"/>
      <c r="AU95" s="1230" t="s">
        <v>7065</v>
      </c>
      <c r="AV95" s="1230" t="s">
        <v>7066</v>
      </c>
      <c r="AW95" s="1230" t="s">
        <v>7067</v>
      </c>
      <c r="AX95" s="1230" t="s">
        <v>7068</v>
      </c>
      <c r="AY95" s="1230" t="s">
        <v>7069</v>
      </c>
      <c r="AZ95" s="1230" t="s">
        <v>7070</v>
      </c>
      <c r="BA95" s="1230" t="s">
        <v>7071</v>
      </c>
      <c r="BB95" s="919"/>
      <c r="BC95" s="1231" t="s">
        <v>7065</v>
      </c>
      <c r="BD95" s="1231" t="s">
        <v>7066</v>
      </c>
      <c r="BE95" s="1231" t="s">
        <v>7067</v>
      </c>
      <c r="BF95" s="1231" t="s">
        <v>7068</v>
      </c>
      <c r="BG95" s="1231" t="s">
        <v>7069</v>
      </c>
      <c r="BH95" s="1231" t="s">
        <v>7070</v>
      </c>
      <c r="BI95" s="1231" t="s">
        <v>7071</v>
      </c>
      <c r="BJ95" s="919"/>
      <c r="BK95" s="1232" t="s">
        <v>7065</v>
      </c>
      <c r="BL95" s="1232" t="s">
        <v>7066</v>
      </c>
      <c r="BM95" s="1232" t="s">
        <v>7067</v>
      </c>
      <c r="BN95" s="1232" t="s">
        <v>7068</v>
      </c>
      <c r="BO95" s="1232" t="s">
        <v>7069</v>
      </c>
      <c r="BP95" s="1232" t="s">
        <v>7070</v>
      </c>
      <c r="BQ95" s="1232" t="s">
        <v>7071</v>
      </c>
      <c r="BR95" s="919"/>
      <c r="BS95" s="1212" t="s">
        <v>7065</v>
      </c>
      <c r="BT95" s="1212" t="s">
        <v>7066</v>
      </c>
      <c r="BU95" s="1212" t="s">
        <v>7067</v>
      </c>
      <c r="BV95" s="1212" t="s">
        <v>7068</v>
      </c>
      <c r="BW95" s="1212" t="s">
        <v>7069</v>
      </c>
      <c r="BX95" s="1212" t="s">
        <v>7070</v>
      </c>
      <c r="BY95" s="1212" t="s">
        <v>7071</v>
      </c>
      <c r="BZ95" s="919"/>
    </row>
    <row r="96" spans="1:78">
      <c r="G96" s="2224" t="s">
        <v>4616</v>
      </c>
      <c r="H96" s="2087"/>
      <c r="J96" s="2088" t="s">
        <v>6143</v>
      </c>
      <c r="K96" s="2087"/>
      <c r="M96" s="2088" t="s">
        <v>4616</v>
      </c>
      <c r="N96" s="2087"/>
      <c r="P96" s="2227">
        <v>42872</v>
      </c>
      <c r="Q96" s="2087"/>
      <c r="R96" s="82"/>
      <c r="S96" s="2226">
        <v>682</v>
      </c>
      <c r="T96" s="2087"/>
      <c r="U96" s="82"/>
      <c r="V96" s="2225" t="s">
        <v>7120</v>
      </c>
      <c r="W96" s="2087"/>
      <c r="X96" s="82"/>
      <c r="Y96" s="2226" t="s">
        <v>7121</v>
      </c>
      <c r="Z96" s="2137"/>
      <c r="AC96" s="2224"/>
      <c r="AD96" s="2087"/>
      <c r="AE96" s="2087"/>
      <c r="AF96" s="2087"/>
      <c r="AG96" s="2087"/>
      <c r="AH96" s="2087"/>
      <c r="AI96" s="2087"/>
      <c r="AJ96" s="2087"/>
      <c r="AK96" s="2087"/>
      <c r="AL96" s="2087"/>
      <c r="AM96" s="2087"/>
      <c r="AN96" s="2087"/>
      <c r="AO96" s="2087"/>
      <c r="AP96" s="2087"/>
      <c r="AQ96" s="2087"/>
      <c r="AR96" s="2137"/>
      <c r="AU96" s="1033"/>
      <c r="AV96" s="919"/>
      <c r="AW96" s="919"/>
      <c r="AX96" s="919">
        <v>1</v>
      </c>
      <c r="AY96" s="919">
        <v>2</v>
      </c>
      <c r="AZ96" s="919">
        <v>3</v>
      </c>
      <c r="BA96" s="1034">
        <v>4</v>
      </c>
      <c r="BB96" s="919"/>
      <c r="BC96" s="1043"/>
      <c r="BD96" s="919"/>
      <c r="BE96" s="919"/>
      <c r="BF96" s="919"/>
      <c r="BG96" s="919"/>
      <c r="BH96" s="919"/>
      <c r="BI96" s="1041">
        <v>1</v>
      </c>
      <c r="BJ96" s="919"/>
      <c r="BK96" s="1035"/>
      <c r="BL96" s="919">
        <v>1</v>
      </c>
      <c r="BM96" s="919">
        <v>2</v>
      </c>
      <c r="BN96" s="919">
        <v>3</v>
      </c>
      <c r="BO96" s="1010">
        <v>4</v>
      </c>
      <c r="BP96" s="919">
        <v>5</v>
      </c>
      <c r="BQ96" s="1036">
        <v>6</v>
      </c>
      <c r="BR96" s="919"/>
      <c r="BS96" s="1037"/>
      <c r="BT96" s="919"/>
      <c r="BU96" s="919"/>
      <c r="BV96" s="919"/>
      <c r="BW96" s="919">
        <v>1</v>
      </c>
      <c r="BX96" s="919">
        <v>2</v>
      </c>
      <c r="BY96" s="1234">
        <v>3</v>
      </c>
      <c r="BZ96" s="919"/>
    </row>
    <row r="97" spans="7:78">
      <c r="G97" s="2224" t="s">
        <v>4616</v>
      </c>
      <c r="H97" s="2087"/>
      <c r="J97" s="2088" t="s">
        <v>4616</v>
      </c>
      <c r="K97" s="2087"/>
      <c r="M97" s="2088" t="s">
        <v>6383</v>
      </c>
      <c r="N97" s="2087"/>
      <c r="P97" s="2227">
        <v>42873</v>
      </c>
      <c r="Q97" s="2087"/>
      <c r="R97" s="82"/>
      <c r="S97" s="2226">
        <v>440</v>
      </c>
      <c r="T97" s="2087"/>
      <c r="U97" s="82"/>
      <c r="V97" s="2226" t="s">
        <v>7122</v>
      </c>
      <c r="W97" s="2087"/>
      <c r="X97" s="82"/>
      <c r="Y97" s="2226" t="s">
        <v>7123</v>
      </c>
      <c r="Z97" s="2137"/>
      <c r="AC97" s="2224"/>
      <c r="AD97" s="2087"/>
      <c r="AE97" s="2087"/>
      <c r="AF97" s="2087"/>
      <c r="AG97" s="2087"/>
      <c r="AH97" s="2087"/>
      <c r="AI97" s="2087"/>
      <c r="AJ97" s="2087"/>
      <c r="AK97" s="2087"/>
      <c r="AL97" s="2087"/>
      <c r="AM97" s="2087"/>
      <c r="AN97" s="2087"/>
      <c r="AO97" s="2087"/>
      <c r="AP97" s="2087"/>
      <c r="AQ97" s="2087"/>
      <c r="AR97" s="2137"/>
      <c r="AU97" s="1033">
        <v>5</v>
      </c>
      <c r="AV97" s="919">
        <v>6</v>
      </c>
      <c r="AW97" s="919">
        <v>7</v>
      </c>
      <c r="AX97" s="919">
        <v>8</v>
      </c>
      <c r="AY97" s="919">
        <v>9</v>
      </c>
      <c r="AZ97" s="919">
        <v>10</v>
      </c>
      <c r="BA97" s="1034">
        <v>11</v>
      </c>
      <c r="BB97" s="919"/>
      <c r="BC97" s="1043">
        <v>2</v>
      </c>
      <c r="BD97" s="919">
        <v>3</v>
      </c>
      <c r="BE97" s="919">
        <v>4</v>
      </c>
      <c r="BF97" s="919">
        <v>5</v>
      </c>
      <c r="BG97" s="919">
        <v>6</v>
      </c>
      <c r="BH97" s="919">
        <v>7</v>
      </c>
      <c r="BI97" s="1041">
        <v>8</v>
      </c>
      <c r="BJ97" s="919"/>
      <c r="BK97" s="1035">
        <v>7</v>
      </c>
      <c r="BL97" s="919">
        <v>8</v>
      </c>
      <c r="BM97" s="919">
        <v>9</v>
      </c>
      <c r="BN97" s="919">
        <v>10</v>
      </c>
      <c r="BO97" s="919">
        <v>11</v>
      </c>
      <c r="BP97" s="919">
        <v>12</v>
      </c>
      <c r="BQ97" s="1036">
        <v>13</v>
      </c>
      <c r="BR97" s="919"/>
      <c r="BS97" s="1037">
        <v>4</v>
      </c>
      <c r="BT97" s="919">
        <v>5</v>
      </c>
      <c r="BU97" s="919">
        <v>6</v>
      </c>
      <c r="BV97" s="919">
        <v>7</v>
      </c>
      <c r="BW97" s="919">
        <v>8</v>
      </c>
      <c r="BX97" s="919">
        <v>9</v>
      </c>
      <c r="BY97" s="1234">
        <v>10</v>
      </c>
      <c r="BZ97" s="919"/>
    </row>
    <row r="98" spans="7:78" ht="25.5">
      <c r="G98" s="2224" t="s">
        <v>7124</v>
      </c>
      <c r="H98" s="2087"/>
      <c r="J98" s="2088" t="s">
        <v>6383</v>
      </c>
      <c r="K98" s="2087"/>
      <c r="M98" s="2088" t="s">
        <v>6383</v>
      </c>
      <c r="N98" s="2087"/>
      <c r="P98" s="2227">
        <v>42873</v>
      </c>
      <c r="Q98" s="2087"/>
      <c r="R98" s="809" t="s">
        <v>7125</v>
      </c>
      <c r="S98" s="2226">
        <v>9851040079</v>
      </c>
      <c r="T98" s="2087"/>
      <c r="U98" s="2087"/>
      <c r="V98" s="2227"/>
      <c r="W98" s="2087"/>
      <c r="X98" s="82"/>
      <c r="Y98" s="2226"/>
      <c r="Z98" s="2137"/>
      <c r="AC98" s="2224" t="s">
        <v>7126</v>
      </c>
      <c r="AD98" s="2087"/>
      <c r="AE98" s="2087"/>
      <c r="AF98" s="2087"/>
      <c r="AG98" s="2087"/>
      <c r="AH98" s="2087"/>
      <c r="AI98" s="2087"/>
      <c r="AJ98" s="2087"/>
      <c r="AK98" s="2087"/>
      <c r="AL98" s="2087"/>
      <c r="AM98" s="2087"/>
      <c r="AN98" s="2087"/>
      <c r="AO98" s="2087"/>
      <c r="AP98" s="2087"/>
      <c r="AQ98" s="2087"/>
      <c r="AR98" s="2137"/>
      <c r="AU98" s="1033">
        <v>12</v>
      </c>
      <c r="AV98" s="919">
        <v>13</v>
      </c>
      <c r="AW98" s="919">
        <v>14</v>
      </c>
      <c r="AX98" s="919">
        <v>15</v>
      </c>
      <c r="AY98" s="919">
        <v>16</v>
      </c>
      <c r="AZ98" s="919">
        <v>17</v>
      </c>
      <c r="BA98" s="1034">
        <v>18</v>
      </c>
      <c r="BB98" s="919"/>
      <c r="BC98" s="1043">
        <v>9</v>
      </c>
      <c r="BD98" s="919">
        <v>10</v>
      </c>
      <c r="BE98" s="919">
        <v>11</v>
      </c>
      <c r="BF98" s="919">
        <v>12</v>
      </c>
      <c r="BG98" s="919">
        <v>13</v>
      </c>
      <c r="BH98" s="919">
        <v>14</v>
      </c>
      <c r="BI98" s="1041">
        <v>15</v>
      </c>
      <c r="BJ98" s="919"/>
      <c r="BK98" s="1035">
        <v>14</v>
      </c>
      <c r="BL98" s="919">
        <v>15</v>
      </c>
      <c r="BM98" s="919">
        <v>16</v>
      </c>
      <c r="BN98" s="919">
        <v>17</v>
      </c>
      <c r="BO98" s="919">
        <v>18</v>
      </c>
      <c r="BP98" s="919">
        <v>19</v>
      </c>
      <c r="BQ98" s="1036">
        <v>20</v>
      </c>
      <c r="BR98" s="919"/>
      <c r="BS98" s="1037">
        <v>11</v>
      </c>
      <c r="BT98" s="919">
        <v>12</v>
      </c>
      <c r="BU98" s="919">
        <v>13</v>
      </c>
      <c r="BV98" s="919">
        <v>14</v>
      </c>
      <c r="BW98" s="919">
        <v>15</v>
      </c>
      <c r="BX98" s="919">
        <v>16</v>
      </c>
      <c r="BY98" s="1234">
        <v>17</v>
      </c>
      <c r="BZ98" s="919"/>
    </row>
    <row r="99" spans="7:78" ht="15">
      <c r="G99" s="2224" t="s">
        <v>7127</v>
      </c>
      <c r="H99" s="2087"/>
      <c r="I99" s="2087"/>
      <c r="J99" s="2088" t="s">
        <v>6383</v>
      </c>
      <c r="K99" s="2087"/>
      <c r="M99" s="2088" t="s">
        <v>7128</v>
      </c>
      <c r="N99" s="2087"/>
      <c r="P99" s="2227">
        <v>42879</v>
      </c>
      <c r="Q99" s="2087"/>
      <c r="R99" s="82"/>
      <c r="S99" s="2226">
        <v>2178</v>
      </c>
      <c r="T99" s="2087"/>
      <c r="U99" s="82"/>
      <c r="V99" s="2226" t="s">
        <v>7129</v>
      </c>
      <c r="W99" s="2087"/>
      <c r="X99" s="82"/>
      <c r="Y99" s="2226" t="s">
        <v>7130</v>
      </c>
      <c r="Z99" s="2137"/>
      <c r="AC99" s="2224"/>
      <c r="AD99" s="2087"/>
      <c r="AE99" s="2087"/>
      <c r="AF99" s="2087"/>
      <c r="AG99" s="2087"/>
      <c r="AH99" s="2087"/>
      <c r="AI99" s="2087"/>
      <c r="AJ99" s="2087"/>
      <c r="AK99" s="2087"/>
      <c r="AL99" s="2087"/>
      <c r="AM99" s="2087"/>
      <c r="AN99" s="2087"/>
      <c r="AO99" s="2087"/>
      <c r="AP99" s="2087"/>
      <c r="AQ99" s="2087"/>
      <c r="AR99" s="2137"/>
      <c r="AU99" s="1033">
        <v>19</v>
      </c>
      <c r="AV99" s="919">
        <v>20</v>
      </c>
      <c r="AW99" s="919">
        <v>21</v>
      </c>
      <c r="AX99" s="919">
        <v>22</v>
      </c>
      <c r="AY99" s="919">
        <v>23</v>
      </c>
      <c r="AZ99" s="919">
        <v>24</v>
      </c>
      <c r="BA99" s="1034">
        <v>25</v>
      </c>
      <c r="BB99" s="919"/>
      <c r="BC99" s="1043">
        <v>16</v>
      </c>
      <c r="BD99" s="919">
        <v>17</v>
      </c>
      <c r="BE99" s="919">
        <v>18</v>
      </c>
      <c r="BF99" s="1044">
        <v>19</v>
      </c>
      <c r="BG99" s="919">
        <v>20</v>
      </c>
      <c r="BH99" s="919">
        <v>21</v>
      </c>
      <c r="BI99" s="1041">
        <v>22</v>
      </c>
      <c r="BJ99" s="919"/>
      <c r="BK99" s="1035">
        <v>21</v>
      </c>
      <c r="BL99" s="919">
        <v>22</v>
      </c>
      <c r="BM99" s="919">
        <v>23</v>
      </c>
      <c r="BN99" s="919">
        <v>24</v>
      </c>
      <c r="BO99" s="919">
        <v>25</v>
      </c>
      <c r="BP99" s="919">
        <v>26</v>
      </c>
      <c r="BQ99" s="1036">
        <v>27</v>
      </c>
      <c r="BR99" s="919"/>
      <c r="BS99" s="1037">
        <v>18</v>
      </c>
      <c r="BT99" s="919">
        <v>19</v>
      </c>
      <c r="BU99" s="919">
        <v>20</v>
      </c>
      <c r="BV99" s="919">
        <v>21</v>
      </c>
      <c r="BW99" s="919">
        <v>22</v>
      </c>
      <c r="BX99" s="919">
        <v>23</v>
      </c>
      <c r="BY99" s="1234">
        <v>24</v>
      </c>
      <c r="BZ99" s="919"/>
    </row>
    <row r="100" spans="7:78">
      <c r="G100" s="2224" t="s">
        <v>7127</v>
      </c>
      <c r="H100" s="2087"/>
      <c r="I100" s="2087"/>
      <c r="J100" s="2088" t="s">
        <v>7131</v>
      </c>
      <c r="K100" s="2087"/>
      <c r="M100" s="2088" t="s">
        <v>7132</v>
      </c>
      <c r="N100" s="2087"/>
      <c r="O100" s="2087"/>
      <c r="P100" s="2227">
        <v>42879</v>
      </c>
      <c r="Q100" s="2087"/>
      <c r="R100" s="82"/>
      <c r="S100" s="2226">
        <v>2597</v>
      </c>
      <c r="T100" s="2087"/>
      <c r="U100" s="82"/>
      <c r="V100" s="2226" t="s">
        <v>7133</v>
      </c>
      <c r="W100" s="2087"/>
      <c r="X100" s="82"/>
      <c r="Y100" s="2226" t="s">
        <v>7134</v>
      </c>
      <c r="Z100" s="2137"/>
      <c r="AC100" s="2224" t="s">
        <v>7135</v>
      </c>
      <c r="AD100" s="2087"/>
      <c r="AE100" s="2087"/>
      <c r="AF100" s="2087"/>
      <c r="AG100" s="2087"/>
      <c r="AH100" s="2087"/>
      <c r="AI100" s="2087"/>
      <c r="AJ100" s="2087"/>
      <c r="AK100" s="2087"/>
      <c r="AL100" s="2087"/>
      <c r="AM100" s="2087"/>
      <c r="AN100" s="2087"/>
      <c r="AO100" s="2087"/>
      <c r="AP100" s="2087"/>
      <c r="AQ100" s="2087"/>
      <c r="AR100" s="2137"/>
      <c r="AU100" s="1033">
        <v>26</v>
      </c>
      <c r="AV100" s="1010">
        <v>27</v>
      </c>
      <c r="AW100" s="919">
        <v>28</v>
      </c>
      <c r="AX100" s="919">
        <v>29</v>
      </c>
      <c r="AY100" s="919">
        <v>30</v>
      </c>
      <c r="AZ100" s="919">
        <v>31</v>
      </c>
      <c r="BA100" s="1034"/>
      <c r="BB100" s="919"/>
      <c r="BC100" s="1043">
        <v>23</v>
      </c>
      <c r="BD100" s="919">
        <v>24</v>
      </c>
      <c r="BE100" s="919">
        <v>25</v>
      </c>
      <c r="BF100" s="919">
        <v>26</v>
      </c>
      <c r="BG100" s="919">
        <v>27</v>
      </c>
      <c r="BH100" s="919">
        <v>28</v>
      </c>
      <c r="BI100" s="1041">
        <v>29</v>
      </c>
      <c r="BJ100" s="919"/>
      <c r="BK100" s="1035">
        <v>28</v>
      </c>
      <c r="BL100" s="919">
        <v>29</v>
      </c>
      <c r="BM100" s="919">
        <v>30</v>
      </c>
      <c r="BN100" s="919">
        <v>31</v>
      </c>
      <c r="BO100" s="919"/>
      <c r="BP100" s="919"/>
      <c r="BQ100" s="1036"/>
      <c r="BR100" s="919"/>
      <c r="BS100" s="1037">
        <v>25</v>
      </c>
      <c r="BT100" s="919">
        <v>26</v>
      </c>
      <c r="BU100" s="919">
        <v>27</v>
      </c>
      <c r="BV100" s="919">
        <v>28</v>
      </c>
      <c r="BW100" s="919">
        <v>29</v>
      </c>
      <c r="BX100" s="919">
        <v>30</v>
      </c>
      <c r="BY100" s="1234">
        <v>31</v>
      </c>
      <c r="BZ100" s="919"/>
    </row>
    <row r="101" spans="7:78">
      <c r="G101" s="2224" t="s">
        <v>7136</v>
      </c>
      <c r="H101" s="2087"/>
      <c r="J101" s="2088" t="s">
        <v>7137</v>
      </c>
      <c r="K101" s="2087"/>
      <c r="M101" s="2088" t="s">
        <v>6179</v>
      </c>
      <c r="N101" s="2087"/>
      <c r="O101" s="2087"/>
      <c r="P101" s="2227">
        <v>42882</v>
      </c>
      <c r="Q101" s="2087"/>
      <c r="R101" s="82"/>
      <c r="S101" s="2226">
        <v>1850</v>
      </c>
      <c r="T101" s="2087"/>
      <c r="U101" s="82"/>
      <c r="V101" s="2226" t="s">
        <v>7121</v>
      </c>
      <c r="W101" s="2087"/>
      <c r="X101" s="82"/>
      <c r="Y101" s="2226" t="s">
        <v>7138</v>
      </c>
      <c r="Z101" s="2137"/>
      <c r="AC101" s="2224"/>
      <c r="AD101" s="2087"/>
      <c r="AE101" s="2087"/>
      <c r="AF101" s="2087"/>
      <c r="AG101" s="2087"/>
      <c r="AH101" s="2087"/>
      <c r="AI101" s="2087"/>
      <c r="AJ101" s="2087"/>
      <c r="AK101" s="2087"/>
      <c r="AL101" s="2087"/>
      <c r="AM101" s="2087"/>
      <c r="AN101" s="2087"/>
      <c r="AO101" s="2087"/>
      <c r="AP101" s="2087"/>
      <c r="AQ101" s="2087"/>
      <c r="AR101" s="2137"/>
      <c r="AU101" s="1045"/>
      <c r="AV101" s="1046"/>
      <c r="AW101" s="1046"/>
      <c r="AX101" s="1046"/>
      <c r="AY101" s="1046"/>
      <c r="AZ101" s="1046"/>
      <c r="BA101" s="1047"/>
      <c r="BB101" s="919"/>
      <c r="BC101" s="1048">
        <v>30</v>
      </c>
      <c r="BD101" s="1049"/>
      <c r="BE101" s="1049"/>
      <c r="BF101" s="1049"/>
      <c r="BG101" s="1049"/>
      <c r="BH101" s="1049"/>
      <c r="BI101" s="1050"/>
      <c r="BJ101" s="919"/>
      <c r="BK101" s="1051"/>
      <c r="BL101" s="1052"/>
      <c r="BM101" s="1052"/>
      <c r="BN101" s="1052"/>
      <c r="BO101" s="1052"/>
      <c r="BP101" s="1052"/>
      <c r="BQ101" s="1053"/>
      <c r="BR101" s="919"/>
      <c r="BS101" s="1054"/>
      <c r="BT101" s="1055"/>
      <c r="BU101" s="1055"/>
      <c r="BV101" s="1055"/>
      <c r="BW101" s="1055"/>
      <c r="BX101" s="1055"/>
      <c r="BY101" s="1056"/>
      <c r="BZ101" s="919"/>
    </row>
    <row r="102" spans="7:78">
      <c r="G102" s="2116" t="s">
        <v>7136</v>
      </c>
      <c r="H102" s="2144"/>
      <c r="I102" s="133"/>
      <c r="J102" s="2222" t="s">
        <v>6179</v>
      </c>
      <c r="K102" s="2144"/>
      <c r="L102" s="2144"/>
      <c r="M102" s="2222" t="s">
        <v>7139</v>
      </c>
      <c r="N102" s="2144"/>
      <c r="O102" s="2144"/>
      <c r="P102" s="2238">
        <v>42882</v>
      </c>
      <c r="Q102" s="2144"/>
      <c r="R102" s="1235"/>
      <c r="S102" s="2237">
        <v>1639</v>
      </c>
      <c r="T102" s="2144"/>
      <c r="U102" s="1235"/>
      <c r="V102" s="2237" t="s">
        <v>7140</v>
      </c>
      <c r="W102" s="2144"/>
      <c r="X102" s="1235"/>
      <c r="Y102" s="2237" t="s">
        <v>7141</v>
      </c>
      <c r="Z102" s="2117"/>
      <c r="AC102" s="2224"/>
      <c r="AD102" s="2087"/>
      <c r="AE102" s="2087"/>
      <c r="AF102" s="2087"/>
      <c r="AG102" s="2087"/>
      <c r="AH102" s="2087"/>
      <c r="AI102" s="2087"/>
      <c r="AJ102" s="2087"/>
      <c r="AK102" s="2087"/>
      <c r="AL102" s="2087"/>
      <c r="AM102" s="2087"/>
      <c r="AN102" s="2087"/>
      <c r="AO102" s="2087"/>
      <c r="AP102" s="2087"/>
      <c r="AQ102" s="2087"/>
      <c r="AR102" s="2137"/>
      <c r="AU102" s="919"/>
      <c r="AV102" s="919"/>
      <c r="AW102" s="919"/>
      <c r="AX102" s="919"/>
      <c r="AY102" s="919"/>
      <c r="AZ102" s="919"/>
      <c r="BA102" s="919"/>
      <c r="BB102" s="919"/>
      <c r="BC102" s="919"/>
      <c r="BD102" s="919"/>
      <c r="BE102" s="919"/>
      <c r="BF102" s="919"/>
      <c r="BG102" s="919"/>
      <c r="BH102" s="919"/>
      <c r="BI102" s="919"/>
      <c r="BJ102" s="919"/>
      <c r="BK102" s="919"/>
      <c r="BL102" s="919"/>
      <c r="BM102" s="919"/>
      <c r="BN102" s="919"/>
      <c r="BO102" s="919"/>
      <c r="BP102" s="919"/>
      <c r="BQ102" s="919"/>
      <c r="BR102" s="919"/>
      <c r="BS102" s="919"/>
      <c r="BT102" s="919"/>
      <c r="BU102" s="919"/>
      <c r="BV102" s="919"/>
      <c r="BW102" s="919"/>
      <c r="BX102" s="919"/>
      <c r="BY102" s="919"/>
      <c r="BZ102" s="919"/>
    </row>
    <row r="103" spans="7:78">
      <c r="G103" s="2224" t="s">
        <v>7142</v>
      </c>
      <c r="H103" s="2087"/>
      <c r="I103" s="2087"/>
      <c r="J103" s="2088" t="s">
        <v>7143</v>
      </c>
      <c r="K103" s="2087"/>
      <c r="M103" s="2088" t="s">
        <v>7143</v>
      </c>
      <c r="N103" s="2087"/>
      <c r="P103" s="2227">
        <v>42882</v>
      </c>
      <c r="Q103" s="2087"/>
      <c r="R103" s="82" t="s">
        <v>7144</v>
      </c>
      <c r="S103" s="2227">
        <v>42890</v>
      </c>
      <c r="T103" s="2087"/>
      <c r="U103" s="82"/>
      <c r="V103" s="2226"/>
      <c r="W103" s="2087"/>
      <c r="X103" s="82"/>
      <c r="Y103" s="2226"/>
      <c r="Z103" s="2137"/>
      <c r="AC103" s="2224" t="s">
        <v>7145</v>
      </c>
      <c r="AD103" s="2087"/>
      <c r="AE103" s="2087"/>
      <c r="AF103" s="2087"/>
      <c r="AG103" s="2087"/>
      <c r="AH103" s="2087"/>
      <c r="AI103" s="2087"/>
      <c r="AJ103" s="2087"/>
      <c r="AK103" s="2087"/>
      <c r="AL103" s="2087"/>
      <c r="AM103" s="2087"/>
      <c r="AN103" s="2087"/>
      <c r="AO103" s="2087"/>
      <c r="AP103" s="2087"/>
      <c r="AQ103" s="2087"/>
      <c r="AR103" s="2137"/>
      <c r="AU103" s="2233" t="s">
        <v>7077</v>
      </c>
      <c r="AV103" s="2087"/>
      <c r="AW103" s="2087"/>
      <c r="AX103" s="2087"/>
      <c r="AY103" s="2087"/>
      <c r="AZ103" s="2087"/>
      <c r="BA103" s="2087"/>
      <c r="BB103" s="919"/>
      <c r="BC103" s="2234" t="s">
        <v>7078</v>
      </c>
      <c r="BD103" s="2087"/>
      <c r="BE103" s="2087"/>
      <c r="BF103" s="2087"/>
      <c r="BG103" s="2087"/>
      <c r="BH103" s="2087"/>
      <c r="BI103" s="2087"/>
      <c r="BJ103" s="919"/>
      <c r="BK103" s="2235" t="s">
        <v>7079</v>
      </c>
      <c r="BL103" s="2087"/>
      <c r="BM103" s="2087"/>
      <c r="BN103" s="2087"/>
      <c r="BO103" s="2087"/>
      <c r="BP103" s="2087"/>
      <c r="BQ103" s="2087"/>
      <c r="BR103" s="919"/>
      <c r="BS103" s="2236" t="s">
        <v>6628</v>
      </c>
      <c r="BT103" s="2087"/>
      <c r="BU103" s="2087"/>
      <c r="BV103" s="2087"/>
      <c r="BW103" s="2087"/>
      <c r="BX103" s="2087"/>
      <c r="BY103" s="2087"/>
      <c r="BZ103" s="919"/>
    </row>
    <row r="104" spans="7:78">
      <c r="G104" s="2224" t="s">
        <v>2509</v>
      </c>
      <c r="H104" s="2087"/>
      <c r="J104" s="2088" t="s">
        <v>7146</v>
      </c>
      <c r="K104" s="2087"/>
      <c r="M104" s="2088" t="s">
        <v>7147</v>
      </c>
      <c r="N104" s="2087"/>
      <c r="P104" s="2227">
        <v>42890</v>
      </c>
      <c r="Q104" s="2087"/>
      <c r="R104" s="40"/>
      <c r="S104" s="2226"/>
      <c r="T104" s="2087"/>
      <c r="U104" s="2087"/>
      <c r="V104" s="2226"/>
      <c r="W104" s="2087"/>
      <c r="X104" s="82"/>
      <c r="Y104" s="2226"/>
      <c r="Z104" s="2137"/>
      <c r="AC104" s="2224"/>
      <c r="AD104" s="2087"/>
      <c r="AE104" s="2087"/>
      <c r="AF104" s="2087"/>
      <c r="AG104" s="2087"/>
      <c r="AH104" s="2087"/>
      <c r="AI104" s="2087"/>
      <c r="AJ104" s="2087"/>
      <c r="AK104" s="2087"/>
      <c r="AL104" s="2087"/>
      <c r="AM104" s="2087"/>
      <c r="AN104" s="2087"/>
      <c r="AO104" s="2087"/>
      <c r="AP104" s="2087"/>
      <c r="AQ104" s="2087"/>
      <c r="AR104" s="2137"/>
      <c r="AU104" s="1236" t="s">
        <v>7065</v>
      </c>
      <c r="AV104" s="1236" t="s">
        <v>7066</v>
      </c>
      <c r="AW104" s="1236" t="s">
        <v>7067</v>
      </c>
      <c r="AX104" s="1236" t="s">
        <v>7068</v>
      </c>
      <c r="AY104" s="1236" t="s">
        <v>7069</v>
      </c>
      <c r="AZ104" s="1236" t="s">
        <v>7070</v>
      </c>
      <c r="BA104" s="1236" t="s">
        <v>7071</v>
      </c>
      <c r="BB104" s="919"/>
      <c r="BC104" s="1237" t="s">
        <v>7065</v>
      </c>
      <c r="BD104" s="1237" t="s">
        <v>7066</v>
      </c>
      <c r="BE104" s="1237" t="s">
        <v>7067</v>
      </c>
      <c r="BF104" s="1237" t="s">
        <v>7068</v>
      </c>
      <c r="BG104" s="1237" t="s">
        <v>7069</v>
      </c>
      <c r="BH104" s="1237" t="s">
        <v>7070</v>
      </c>
      <c r="BI104" s="1237" t="s">
        <v>7071</v>
      </c>
      <c r="BJ104" s="919"/>
      <c r="BK104" s="1238" t="s">
        <v>7065</v>
      </c>
      <c r="BL104" s="1238" t="s">
        <v>7066</v>
      </c>
      <c r="BM104" s="1238" t="s">
        <v>7067</v>
      </c>
      <c r="BN104" s="1238" t="s">
        <v>7068</v>
      </c>
      <c r="BO104" s="1238" t="s">
        <v>7069</v>
      </c>
      <c r="BP104" s="1238" t="s">
        <v>7070</v>
      </c>
      <c r="BQ104" s="1238" t="s">
        <v>7071</v>
      </c>
      <c r="BR104" s="919"/>
      <c r="BS104" s="1239" t="s">
        <v>7065</v>
      </c>
      <c r="BT104" s="1239" t="s">
        <v>7066</v>
      </c>
      <c r="BU104" s="1239" t="s">
        <v>7067</v>
      </c>
      <c r="BV104" s="1239" t="s">
        <v>7068</v>
      </c>
      <c r="BW104" s="1239" t="s">
        <v>7069</v>
      </c>
      <c r="BX104" s="1239" t="s">
        <v>7070</v>
      </c>
      <c r="BY104" s="1239" t="s">
        <v>7071</v>
      </c>
      <c r="BZ104" s="919"/>
    </row>
    <row r="105" spans="7:78">
      <c r="G105" s="2224" t="s">
        <v>2509</v>
      </c>
      <c r="H105" s="2087"/>
      <c r="J105" s="2088" t="s">
        <v>7147</v>
      </c>
      <c r="K105" s="2087"/>
      <c r="M105" s="2088" t="s">
        <v>4703</v>
      </c>
      <c r="N105" s="2087"/>
      <c r="P105" s="2227">
        <v>42892</v>
      </c>
      <c r="Q105" s="2087"/>
      <c r="R105" s="82"/>
      <c r="S105" s="2226"/>
      <c r="T105" s="2087"/>
      <c r="U105" s="82"/>
      <c r="V105" s="2226"/>
      <c r="W105" s="2087"/>
      <c r="X105" s="82"/>
      <c r="Y105" s="2226"/>
      <c r="Z105" s="2137"/>
      <c r="AC105" s="2224" t="s">
        <v>7148</v>
      </c>
      <c r="AD105" s="2087"/>
      <c r="AE105" s="2087"/>
      <c r="AF105" s="2087"/>
      <c r="AG105" s="2087"/>
      <c r="AH105" s="2087"/>
      <c r="AI105" s="2087"/>
      <c r="AJ105" s="2087"/>
      <c r="AK105" s="2087"/>
      <c r="AL105" s="2087"/>
      <c r="AM105" s="2087"/>
      <c r="AN105" s="2087"/>
      <c r="AO105" s="2087"/>
      <c r="AP105" s="2087"/>
      <c r="AQ105" s="2087"/>
      <c r="AR105" s="2137"/>
      <c r="AU105" s="1069">
        <v>1</v>
      </c>
      <c r="AV105" s="1010">
        <v>2</v>
      </c>
      <c r="AW105" s="919">
        <v>3</v>
      </c>
      <c r="AX105" s="919">
        <v>4</v>
      </c>
      <c r="AY105" s="919">
        <v>5</v>
      </c>
      <c r="AZ105" s="919">
        <v>6</v>
      </c>
      <c r="BA105" s="1066">
        <v>7</v>
      </c>
      <c r="BB105" s="919"/>
      <c r="BC105" s="1059"/>
      <c r="BD105" s="919"/>
      <c r="BE105" s="919">
        <v>1</v>
      </c>
      <c r="BF105" s="919">
        <v>2</v>
      </c>
      <c r="BG105" s="919">
        <v>3</v>
      </c>
      <c r="BH105" s="919">
        <v>4</v>
      </c>
      <c r="BI105" s="1061">
        <v>5</v>
      </c>
      <c r="BJ105" s="919"/>
      <c r="BK105" s="1062"/>
      <c r="BL105" s="919"/>
      <c r="BM105" s="919"/>
      <c r="BN105" s="919"/>
      <c r="BO105" s="919"/>
      <c r="BP105" s="919">
        <v>1</v>
      </c>
      <c r="BQ105" s="1063">
        <v>2</v>
      </c>
      <c r="BR105" s="919"/>
      <c r="BS105" s="1064">
        <v>1</v>
      </c>
      <c r="BT105" s="919">
        <v>2</v>
      </c>
      <c r="BU105" s="919">
        <v>3</v>
      </c>
      <c r="BV105" s="919">
        <v>4</v>
      </c>
      <c r="BW105" s="919">
        <v>5</v>
      </c>
      <c r="BX105" s="919">
        <v>6</v>
      </c>
      <c r="BY105" s="1065">
        <v>7</v>
      </c>
      <c r="BZ105" s="919"/>
    </row>
    <row r="106" spans="7:78">
      <c r="G106" s="2224"/>
      <c r="H106" s="2087"/>
      <c r="J106" s="2222"/>
      <c r="K106" s="2144"/>
      <c r="M106" s="2088"/>
      <c r="N106" s="2087"/>
      <c r="P106" s="2227"/>
      <c r="Q106" s="2087"/>
      <c r="R106" s="82"/>
      <c r="S106" s="2226"/>
      <c r="T106" s="2087"/>
      <c r="U106" s="82"/>
      <c r="V106" s="2226"/>
      <c r="W106" s="2087"/>
      <c r="X106" s="82"/>
      <c r="Y106" s="2226"/>
      <c r="Z106" s="2137"/>
      <c r="AC106" s="2224" t="s">
        <v>7149</v>
      </c>
      <c r="AD106" s="2087"/>
      <c r="AE106" s="2087"/>
      <c r="AF106" s="2087"/>
      <c r="AG106" s="2087"/>
      <c r="AH106" s="2087"/>
      <c r="AI106" s="2087"/>
      <c r="AJ106" s="2087"/>
      <c r="AK106" s="2087"/>
      <c r="AL106" s="2087"/>
      <c r="AM106" s="2087"/>
      <c r="AN106" s="2087"/>
      <c r="AO106" s="2087"/>
      <c r="AP106" s="2087"/>
      <c r="AQ106" s="2087"/>
      <c r="AR106" s="2137"/>
      <c r="AU106" s="1069">
        <v>8</v>
      </c>
      <c r="AV106" s="919">
        <v>9</v>
      </c>
      <c r="AW106" s="919">
        <v>10</v>
      </c>
      <c r="AX106" s="919">
        <v>11</v>
      </c>
      <c r="AY106" s="919">
        <v>12</v>
      </c>
      <c r="AZ106" s="919">
        <v>13</v>
      </c>
      <c r="BA106" s="1066">
        <v>14</v>
      </c>
      <c r="BB106" s="919"/>
      <c r="BC106" s="1059">
        <v>6</v>
      </c>
      <c r="BD106" s="919">
        <v>7</v>
      </c>
      <c r="BE106" s="919">
        <v>8</v>
      </c>
      <c r="BF106" s="919">
        <v>9</v>
      </c>
      <c r="BG106" s="919">
        <v>10</v>
      </c>
      <c r="BH106" s="919">
        <v>11</v>
      </c>
      <c r="BI106" s="1061">
        <v>12</v>
      </c>
      <c r="BJ106" s="919"/>
      <c r="BK106" s="1062">
        <v>3</v>
      </c>
      <c r="BL106" s="919">
        <v>4</v>
      </c>
      <c r="BM106" s="919">
        <v>5</v>
      </c>
      <c r="BN106" s="919">
        <v>6</v>
      </c>
      <c r="BO106" s="919">
        <v>7</v>
      </c>
      <c r="BP106" s="919">
        <v>8</v>
      </c>
      <c r="BQ106" s="1063">
        <v>9</v>
      </c>
      <c r="BR106" s="919"/>
      <c r="BS106" s="1064">
        <v>8</v>
      </c>
      <c r="BT106" s="919">
        <v>9</v>
      </c>
      <c r="BU106" s="919">
        <v>10</v>
      </c>
      <c r="BV106" s="919">
        <v>11</v>
      </c>
      <c r="BW106" s="919">
        <v>12</v>
      </c>
      <c r="BX106" s="919">
        <v>13</v>
      </c>
      <c r="BY106" s="1065">
        <v>14</v>
      </c>
      <c r="BZ106" s="919"/>
    </row>
    <row r="107" spans="7:78" ht="25.5">
      <c r="G107" s="2244" t="s">
        <v>7150</v>
      </c>
      <c r="H107" s="2094"/>
      <c r="I107" s="38"/>
      <c r="J107" s="2245" t="s">
        <v>7151</v>
      </c>
      <c r="K107" s="2087"/>
      <c r="L107" s="38" t="s">
        <v>7152</v>
      </c>
      <c r="M107" s="2246" t="s">
        <v>7153</v>
      </c>
      <c r="N107" s="2094"/>
      <c r="O107" s="38"/>
      <c r="P107" s="2247">
        <v>42896</v>
      </c>
      <c r="Q107" s="2094"/>
      <c r="R107" s="970"/>
      <c r="S107" s="2248">
        <v>1062</v>
      </c>
      <c r="T107" s="2094"/>
      <c r="U107" s="970"/>
      <c r="V107" s="2248" t="s">
        <v>7154</v>
      </c>
      <c r="W107" s="2094"/>
      <c r="X107" s="970"/>
      <c r="Y107" s="2248" t="s">
        <v>7155</v>
      </c>
      <c r="Z107" s="2095"/>
      <c r="AC107" s="2224"/>
      <c r="AD107" s="2087"/>
      <c r="AE107" s="2087"/>
      <c r="AF107" s="2087"/>
      <c r="AG107" s="2087"/>
      <c r="AH107" s="2087"/>
      <c r="AI107" s="2087"/>
      <c r="AJ107" s="2087"/>
      <c r="AK107" s="2087"/>
      <c r="AL107" s="2087"/>
      <c r="AM107" s="2087"/>
      <c r="AN107" s="2087"/>
      <c r="AO107" s="2087"/>
      <c r="AP107" s="2087"/>
      <c r="AQ107" s="2087"/>
      <c r="AR107" s="2137"/>
      <c r="AU107" s="1069">
        <v>15</v>
      </c>
      <c r="AV107" s="919">
        <v>16</v>
      </c>
      <c r="AW107" s="919">
        <v>17</v>
      </c>
      <c r="AX107" s="919">
        <v>18</v>
      </c>
      <c r="AY107" s="919">
        <v>19</v>
      </c>
      <c r="AZ107" s="919">
        <v>20</v>
      </c>
      <c r="BA107" s="1066">
        <v>21</v>
      </c>
      <c r="BB107" s="919"/>
      <c r="BC107" s="1059">
        <v>13</v>
      </c>
      <c r="BD107" s="1010">
        <v>14</v>
      </c>
      <c r="BE107" s="919">
        <v>15</v>
      </c>
      <c r="BF107" s="919">
        <v>16</v>
      </c>
      <c r="BG107" s="919">
        <v>17</v>
      </c>
      <c r="BH107" s="919">
        <v>18</v>
      </c>
      <c r="BI107" s="1061">
        <v>19</v>
      </c>
      <c r="BJ107" s="919"/>
      <c r="BK107" s="1062">
        <v>10</v>
      </c>
      <c r="BL107" s="1010">
        <v>11</v>
      </c>
      <c r="BM107" s="919">
        <v>12</v>
      </c>
      <c r="BN107" s="919">
        <v>13</v>
      </c>
      <c r="BO107" s="919">
        <v>14</v>
      </c>
      <c r="BP107" s="919">
        <v>15</v>
      </c>
      <c r="BQ107" s="1063">
        <v>16</v>
      </c>
      <c r="BR107" s="919"/>
      <c r="BS107" s="1064">
        <v>15</v>
      </c>
      <c r="BT107" s="919">
        <v>16</v>
      </c>
      <c r="BU107" s="919">
        <v>17</v>
      </c>
      <c r="BV107" s="919">
        <v>18</v>
      </c>
      <c r="BW107" s="919">
        <v>19</v>
      </c>
      <c r="BX107" s="919">
        <v>20</v>
      </c>
      <c r="BY107" s="1065">
        <v>21</v>
      </c>
      <c r="BZ107" s="919"/>
    </row>
    <row r="108" spans="7:78">
      <c r="G108" s="2224" t="s">
        <v>7150</v>
      </c>
      <c r="H108" s="2087"/>
      <c r="J108" s="2088" t="s">
        <v>7153</v>
      </c>
      <c r="K108" s="2087"/>
      <c r="M108" s="2088" t="s">
        <v>7156</v>
      </c>
      <c r="N108" s="2087"/>
      <c r="P108" s="2227">
        <v>42896</v>
      </c>
      <c r="Q108" s="2087"/>
      <c r="R108" s="82"/>
      <c r="S108" s="2226">
        <v>5</v>
      </c>
      <c r="T108" s="2087"/>
      <c r="U108" s="82"/>
      <c r="V108" s="2226" t="s">
        <v>7157</v>
      </c>
      <c r="W108" s="2087"/>
      <c r="X108" s="82"/>
      <c r="Y108" s="2226" t="s">
        <v>7158</v>
      </c>
      <c r="Z108" s="2137"/>
      <c r="AC108" s="2224"/>
      <c r="AD108" s="2087"/>
      <c r="AE108" s="2087"/>
      <c r="AF108" s="2087"/>
      <c r="AG108" s="2087"/>
      <c r="AH108" s="2087"/>
      <c r="AI108" s="2087"/>
      <c r="AJ108" s="2087"/>
      <c r="AK108" s="2087"/>
      <c r="AL108" s="2087"/>
      <c r="AM108" s="2087"/>
      <c r="AN108" s="2087"/>
      <c r="AO108" s="2087"/>
      <c r="AP108" s="2087"/>
      <c r="AQ108" s="2087"/>
      <c r="AR108" s="2137"/>
      <c r="AU108" s="1069">
        <v>22</v>
      </c>
      <c r="AV108" s="919">
        <v>23</v>
      </c>
      <c r="AW108" s="919">
        <v>24</v>
      </c>
      <c r="AX108" s="919">
        <v>25</v>
      </c>
      <c r="AY108" s="919">
        <v>26</v>
      </c>
      <c r="AZ108" s="919">
        <v>27</v>
      </c>
      <c r="BA108" s="1066">
        <v>28</v>
      </c>
      <c r="BB108" s="919"/>
      <c r="BC108" s="1059">
        <v>20</v>
      </c>
      <c r="BD108" s="919">
        <v>21</v>
      </c>
      <c r="BE108" s="919">
        <v>22</v>
      </c>
      <c r="BF108" s="919">
        <v>23</v>
      </c>
      <c r="BG108" s="919">
        <v>24</v>
      </c>
      <c r="BH108" s="919">
        <v>25</v>
      </c>
      <c r="BI108" s="1061">
        <v>26</v>
      </c>
      <c r="BJ108" s="919"/>
      <c r="BK108" s="1062">
        <v>17</v>
      </c>
      <c r="BL108" s="919">
        <v>18</v>
      </c>
      <c r="BM108" s="919">
        <v>19</v>
      </c>
      <c r="BN108" s="919">
        <v>20</v>
      </c>
      <c r="BO108" s="919">
        <v>21</v>
      </c>
      <c r="BP108" s="919">
        <v>22</v>
      </c>
      <c r="BQ108" s="1063">
        <v>23</v>
      </c>
      <c r="BR108" s="919"/>
      <c r="BS108" s="1064">
        <v>22</v>
      </c>
      <c r="BT108" s="919">
        <v>23</v>
      </c>
      <c r="BU108" s="919">
        <v>24</v>
      </c>
      <c r="BV108" s="1010">
        <v>25</v>
      </c>
      <c r="BW108" s="919">
        <v>26</v>
      </c>
      <c r="BX108" s="919">
        <v>27</v>
      </c>
      <c r="BY108" s="1065">
        <v>28</v>
      </c>
      <c r="BZ108" s="919"/>
    </row>
    <row r="109" spans="7:78">
      <c r="G109" s="2224" t="s">
        <v>7159</v>
      </c>
      <c r="H109" s="2087"/>
      <c r="J109" s="2088" t="s">
        <v>7160</v>
      </c>
      <c r="K109" s="2087"/>
      <c r="M109" s="2088" t="s">
        <v>6143</v>
      </c>
      <c r="N109" s="2087"/>
      <c r="P109" s="2227">
        <v>42896</v>
      </c>
      <c r="Q109" s="2087"/>
      <c r="R109" s="82"/>
      <c r="S109" s="2226">
        <v>262</v>
      </c>
      <c r="T109" s="2087"/>
      <c r="U109" s="82"/>
      <c r="V109" s="2226" t="s">
        <v>7161</v>
      </c>
      <c r="W109" s="2087"/>
      <c r="X109" s="82"/>
      <c r="Y109" s="2226" t="s">
        <v>7162</v>
      </c>
      <c r="Z109" s="2137"/>
      <c r="AC109" s="2224" t="s">
        <v>7163</v>
      </c>
      <c r="AD109" s="2087"/>
      <c r="AE109" s="2087"/>
      <c r="AF109" s="2087"/>
      <c r="AG109" s="2087"/>
      <c r="AH109" s="2087"/>
      <c r="AI109" s="2087"/>
      <c r="AJ109" s="2087"/>
      <c r="AK109" s="2087"/>
      <c r="AL109" s="2087"/>
      <c r="AM109" s="2087"/>
      <c r="AN109" s="2087"/>
      <c r="AO109" s="2087"/>
      <c r="AP109" s="2087"/>
      <c r="AQ109" s="2087"/>
      <c r="AR109" s="2137"/>
      <c r="AU109" s="1069">
        <v>29</v>
      </c>
      <c r="AV109" s="919">
        <v>30</v>
      </c>
      <c r="AW109" s="919"/>
      <c r="AX109" s="919"/>
      <c r="AY109" s="919"/>
      <c r="AZ109" s="919"/>
      <c r="BA109" s="1066"/>
      <c r="BB109" s="919"/>
      <c r="BC109" s="1059">
        <v>27</v>
      </c>
      <c r="BD109" s="919">
        <v>28</v>
      </c>
      <c r="BE109" s="919">
        <v>29</v>
      </c>
      <c r="BF109" s="919">
        <v>30</v>
      </c>
      <c r="BG109" s="919">
        <v>31</v>
      </c>
      <c r="BH109" s="919"/>
      <c r="BI109" s="1061"/>
      <c r="BJ109" s="919"/>
      <c r="BK109" s="1062">
        <v>24</v>
      </c>
      <c r="BL109" s="919">
        <v>25</v>
      </c>
      <c r="BM109" s="919">
        <v>26</v>
      </c>
      <c r="BN109" s="919">
        <v>27</v>
      </c>
      <c r="BO109" s="1010">
        <v>28</v>
      </c>
      <c r="BP109" s="919">
        <v>29</v>
      </c>
      <c r="BQ109" s="1063">
        <v>30</v>
      </c>
      <c r="BR109" s="919"/>
      <c r="BS109" s="1064">
        <v>29</v>
      </c>
      <c r="BT109" s="919">
        <v>30</v>
      </c>
      <c r="BU109" s="919">
        <v>31</v>
      </c>
      <c r="BV109" s="919"/>
      <c r="BW109" s="919"/>
      <c r="BX109" s="919"/>
      <c r="BY109" s="1065"/>
      <c r="BZ109" s="919"/>
    </row>
    <row r="110" spans="7:78">
      <c r="G110" s="2116"/>
      <c r="H110" s="2144"/>
      <c r="I110" s="133"/>
      <c r="J110" s="133"/>
      <c r="K110" s="2222"/>
      <c r="L110" s="2144"/>
      <c r="M110" s="2222"/>
      <c r="N110" s="2144"/>
      <c r="O110" s="133"/>
      <c r="P110" s="2253"/>
      <c r="Q110" s="2144"/>
      <c r="R110" s="133"/>
      <c r="S110" s="2222"/>
      <c r="T110" s="2144"/>
      <c r="U110" s="133"/>
      <c r="V110" s="2222"/>
      <c r="W110" s="2144"/>
      <c r="X110" s="133"/>
      <c r="Y110" s="2222"/>
      <c r="Z110" s="2117"/>
      <c r="AC110" s="2116" t="s">
        <v>7164</v>
      </c>
      <c r="AD110" s="2144"/>
      <c r="AE110" s="2144"/>
      <c r="AF110" s="2144"/>
      <c r="AG110" s="2144"/>
      <c r="AH110" s="2144"/>
      <c r="AI110" s="2144"/>
      <c r="AJ110" s="2144"/>
      <c r="AK110" s="2144"/>
      <c r="AL110" s="2144"/>
      <c r="AM110" s="2144"/>
      <c r="AN110" s="2144"/>
      <c r="AO110" s="2144"/>
      <c r="AP110" s="2144"/>
      <c r="AQ110" s="2144"/>
      <c r="AR110" s="2117"/>
      <c r="AU110" s="1070"/>
      <c r="AV110" s="1071"/>
      <c r="AW110" s="1071"/>
      <c r="AX110" s="1071"/>
      <c r="AY110" s="1071"/>
      <c r="AZ110" s="1071"/>
      <c r="BA110" s="1072"/>
      <c r="BB110" s="919"/>
      <c r="BC110" s="1073"/>
      <c r="BD110" s="1074"/>
      <c r="BE110" s="1074"/>
      <c r="BF110" s="1074"/>
      <c r="BG110" s="1074"/>
      <c r="BH110" s="1074"/>
      <c r="BI110" s="1075"/>
      <c r="BJ110" s="919"/>
      <c r="BK110" s="1076"/>
      <c r="BL110" s="1077"/>
      <c r="BM110" s="1077"/>
      <c r="BN110" s="1077"/>
      <c r="BO110" s="1077"/>
      <c r="BP110" s="1077"/>
      <c r="BQ110" s="1078"/>
      <c r="BR110" s="919"/>
      <c r="BS110" s="1079"/>
      <c r="BT110" s="1080"/>
      <c r="BU110" s="1080"/>
      <c r="BV110" s="1080"/>
      <c r="BW110" s="1080"/>
      <c r="BX110" s="1080"/>
      <c r="BY110" s="1081"/>
      <c r="BZ110" s="919"/>
    </row>
    <row r="111" spans="7:78">
      <c r="AC111" s="2088"/>
      <c r="AD111" s="2087"/>
      <c r="AE111" s="2087"/>
      <c r="AF111" s="2087"/>
      <c r="AG111" s="2087"/>
      <c r="AH111" s="2087"/>
      <c r="AI111" s="2087"/>
      <c r="AJ111" s="2087"/>
      <c r="AK111" s="2087"/>
      <c r="AL111" s="2087"/>
      <c r="AM111" s="2087"/>
      <c r="AN111" s="2087"/>
      <c r="AO111" s="2087"/>
      <c r="AP111" s="2087"/>
      <c r="AQ111" s="2087"/>
      <c r="AR111" s="2087"/>
    </row>
    <row r="112" spans="7:78">
      <c r="AC112" s="2088"/>
      <c r="AD112" s="2087"/>
      <c r="AE112" s="2087"/>
      <c r="AF112" s="2087"/>
      <c r="AG112" s="2087"/>
      <c r="AH112" s="2087"/>
      <c r="AI112" s="2087"/>
      <c r="AJ112" s="2087"/>
      <c r="AK112" s="2087"/>
      <c r="AL112" s="2087"/>
      <c r="AM112" s="2087"/>
      <c r="AN112" s="2087"/>
      <c r="AO112" s="2087"/>
      <c r="AP112" s="2087"/>
      <c r="AQ112" s="2087"/>
      <c r="AR112" s="2087"/>
    </row>
    <row r="113" spans="4:41">
      <c r="D113" s="2256" t="s">
        <v>7165</v>
      </c>
      <c r="E113" s="2102"/>
      <c r="F113" s="2102"/>
      <c r="G113" s="2102"/>
      <c r="H113" s="2102"/>
      <c r="I113" s="2102"/>
      <c r="J113" s="2102"/>
      <c r="K113" s="2102"/>
      <c r="L113" s="2102"/>
      <c r="M113" s="2102"/>
      <c r="N113" s="2102"/>
      <c r="O113" s="2102"/>
      <c r="P113" s="2102"/>
      <c r="Q113" s="2102"/>
      <c r="R113" s="2102"/>
      <c r="S113" s="2102"/>
      <c r="T113" s="2102"/>
      <c r="U113" s="2102"/>
      <c r="V113" s="2102"/>
      <c r="W113" s="2102"/>
      <c r="X113" s="2102"/>
      <c r="Y113" s="2102"/>
      <c r="Z113" s="2102"/>
      <c r="AA113" s="2102"/>
      <c r="AB113" s="2102"/>
      <c r="AC113" s="2102"/>
      <c r="AD113" s="2102"/>
      <c r="AE113" s="2102"/>
      <c r="AF113" s="2102"/>
      <c r="AG113" s="2102"/>
      <c r="AH113" s="2103"/>
      <c r="AI113" s="1240" t="s">
        <v>7166</v>
      </c>
      <c r="AJ113" s="1241"/>
      <c r="AK113" s="1241"/>
      <c r="AL113" s="1241"/>
    </row>
    <row r="114" spans="4:41">
      <c r="D114" s="2260" t="s">
        <v>3364</v>
      </c>
      <c r="E114" s="2087"/>
      <c r="F114" s="2254" t="s">
        <v>7167</v>
      </c>
      <c r="G114" s="2087"/>
      <c r="H114" s="2254" t="s">
        <v>7168</v>
      </c>
      <c r="I114" s="2087"/>
      <c r="J114" s="2254" t="s">
        <v>7114</v>
      </c>
      <c r="K114" s="2087"/>
      <c r="L114" s="2087"/>
      <c r="M114" s="2087"/>
      <c r="N114" s="2254" t="s">
        <v>7169</v>
      </c>
      <c r="O114" s="2087"/>
      <c r="P114" s="2254" t="s">
        <v>7117</v>
      </c>
      <c r="Q114" s="2087"/>
      <c r="R114" s="2254" t="s">
        <v>7115</v>
      </c>
      <c r="S114" s="2087"/>
      <c r="T114" s="2087"/>
      <c r="U114" s="2254" t="s">
        <v>7116</v>
      </c>
      <c r="V114" s="2087"/>
      <c r="W114" s="2087"/>
      <c r="X114" s="2255" t="s">
        <v>7170</v>
      </c>
      <c r="Y114" s="2087"/>
      <c r="Z114" s="2257" t="s">
        <v>3311</v>
      </c>
      <c r="AA114" s="2087"/>
      <c r="AB114" s="2087"/>
      <c r="AC114" s="2087"/>
      <c r="AD114" s="2087"/>
      <c r="AE114" s="2087"/>
      <c r="AF114" s="2087"/>
      <c r="AG114" s="2087"/>
      <c r="AH114" s="2087"/>
      <c r="AI114" s="1240" t="s">
        <v>7171</v>
      </c>
      <c r="AJ114" s="1241"/>
      <c r="AK114" s="1241"/>
      <c r="AL114" s="1241"/>
    </row>
    <row r="115" spans="4:41">
      <c r="D115" s="2240" t="s">
        <v>7172</v>
      </c>
      <c r="E115" s="2087"/>
      <c r="F115" s="2241" t="s">
        <v>7173</v>
      </c>
      <c r="G115" s="2087"/>
      <c r="H115" s="2259" t="s">
        <v>7174</v>
      </c>
      <c r="I115" s="2087"/>
      <c r="J115" s="2241" t="s">
        <v>7175</v>
      </c>
      <c r="K115" s="2087"/>
      <c r="L115" s="2087"/>
      <c r="M115" s="2087"/>
      <c r="N115" s="2249">
        <v>259</v>
      </c>
      <c r="O115" s="2087"/>
      <c r="P115" s="2241" t="s">
        <v>7176</v>
      </c>
      <c r="Q115" s="2087"/>
      <c r="R115" s="2241" t="s">
        <v>7177</v>
      </c>
      <c r="S115" s="2087"/>
      <c r="T115" s="2087"/>
      <c r="U115" s="2241" t="s">
        <v>7178</v>
      </c>
      <c r="V115" s="2087"/>
      <c r="W115" s="2087"/>
      <c r="X115" s="2242">
        <v>7205037007628</v>
      </c>
      <c r="Y115" s="2087"/>
      <c r="Z115" s="2243" t="s">
        <v>7179</v>
      </c>
      <c r="AA115" s="2087"/>
      <c r="AB115" s="2087"/>
      <c r="AC115" s="2087"/>
      <c r="AD115" s="2087"/>
      <c r="AE115" s="2087"/>
      <c r="AF115" s="2087"/>
      <c r="AG115" s="2087"/>
      <c r="AH115" s="2087"/>
      <c r="AI115" s="1240" t="s">
        <v>7180</v>
      </c>
      <c r="AJ115" s="1241"/>
      <c r="AK115" s="2239">
        <f>N115*2</f>
        <v>518</v>
      </c>
      <c r="AL115" s="2087"/>
      <c r="AN115" s="2088" t="s">
        <v>7181</v>
      </c>
      <c r="AO115" s="2087"/>
    </row>
    <row r="116" spans="4:41">
      <c r="D116" s="2240" t="s">
        <v>7182</v>
      </c>
      <c r="E116" s="2087"/>
      <c r="F116" s="2259" t="s">
        <v>7183</v>
      </c>
      <c r="G116" s="2087"/>
      <c r="H116" s="2259" t="s">
        <v>7184</v>
      </c>
      <c r="I116" s="2087"/>
      <c r="J116" s="2241" t="s">
        <v>7185</v>
      </c>
      <c r="K116" s="2087"/>
      <c r="L116" s="2087"/>
      <c r="M116" s="2087"/>
      <c r="N116" s="2249">
        <v>839</v>
      </c>
      <c r="O116" s="2087"/>
      <c r="P116" s="2241" t="s">
        <v>7186</v>
      </c>
      <c r="Q116" s="2087"/>
      <c r="R116" s="2241" t="s">
        <v>7178</v>
      </c>
      <c r="S116" s="2087"/>
      <c r="T116" s="2087"/>
      <c r="U116" s="2241" t="s">
        <v>7187</v>
      </c>
      <c r="V116" s="2087"/>
      <c r="W116" s="2087"/>
      <c r="X116" s="2242">
        <v>7205038695782</v>
      </c>
      <c r="Y116" s="2087"/>
      <c r="Z116" s="2243" t="s">
        <v>7188</v>
      </c>
      <c r="AA116" s="2087"/>
      <c r="AB116" s="2087"/>
      <c r="AC116" s="2087"/>
      <c r="AD116" s="2087"/>
      <c r="AE116" s="2087"/>
      <c r="AF116" s="2087"/>
      <c r="AG116" s="2087"/>
      <c r="AH116" s="2087"/>
      <c r="AI116" s="1240"/>
      <c r="AJ116" s="1241"/>
      <c r="AK116" s="2239">
        <f>N116*2</f>
        <v>1678</v>
      </c>
      <c r="AL116" s="2087"/>
      <c r="AN116" s="2088" t="s">
        <v>7181</v>
      </c>
      <c r="AO116" s="2087"/>
    </row>
    <row r="117" spans="4:41">
      <c r="D117" s="2240" t="s">
        <v>7189</v>
      </c>
      <c r="E117" s="2087"/>
      <c r="F117" s="8"/>
      <c r="G117" s="2258" t="s">
        <v>7190</v>
      </c>
      <c r="H117" s="2087"/>
      <c r="I117" s="2087"/>
      <c r="J117" s="2241" t="s">
        <v>7191</v>
      </c>
      <c r="K117" s="2087"/>
      <c r="L117" s="2087"/>
      <c r="M117" s="2087"/>
      <c r="N117" s="2249"/>
      <c r="O117" s="2087"/>
      <c r="P117" s="2241"/>
      <c r="Q117" s="2087"/>
      <c r="R117" s="2241" t="s">
        <v>6820</v>
      </c>
      <c r="S117" s="2087"/>
      <c r="T117" s="2087"/>
      <c r="U117" s="2241" t="s">
        <v>7178</v>
      </c>
      <c r="V117" s="2087"/>
      <c r="W117" s="2087"/>
      <c r="X117" s="2242" t="s">
        <v>5703</v>
      </c>
      <c r="Y117" s="2087"/>
      <c r="Z117" s="2243" t="s">
        <v>2080</v>
      </c>
      <c r="AA117" s="2087"/>
      <c r="AB117" s="2087"/>
      <c r="AC117" s="2087"/>
      <c r="AD117" s="2087"/>
      <c r="AE117" s="2087"/>
      <c r="AF117" s="2087"/>
      <c r="AG117" s="2087"/>
      <c r="AH117" s="2087"/>
      <c r="AI117" s="1240"/>
      <c r="AJ117" s="1241"/>
      <c r="AK117" s="2239"/>
      <c r="AL117" s="2087"/>
    </row>
    <row r="118" spans="4:41">
      <c r="D118" s="2240" t="s">
        <v>7190</v>
      </c>
      <c r="E118" s="2087"/>
      <c r="F118" s="2241" t="s">
        <v>7192</v>
      </c>
      <c r="G118" s="2087"/>
      <c r="H118" s="2241" t="s">
        <v>7193</v>
      </c>
      <c r="I118" s="2087"/>
      <c r="J118" s="2241" t="s">
        <v>7194</v>
      </c>
      <c r="K118" s="2087"/>
      <c r="L118" s="2087"/>
      <c r="M118" s="2087"/>
      <c r="N118" s="2249">
        <f>124.2/2</f>
        <v>62.1</v>
      </c>
      <c r="O118" s="2087"/>
      <c r="P118" s="2241">
        <v>103</v>
      </c>
      <c r="Q118" s="2087"/>
      <c r="R118" s="2241" t="s">
        <v>7178</v>
      </c>
      <c r="S118" s="2087"/>
      <c r="T118" s="2087"/>
      <c r="U118" s="2241" t="s">
        <v>7195</v>
      </c>
      <c r="V118" s="2087"/>
      <c r="W118" s="2087"/>
      <c r="X118" s="2250" t="s">
        <v>7196</v>
      </c>
      <c r="Y118" s="2087"/>
      <c r="Z118" s="2243" t="s">
        <v>7197</v>
      </c>
      <c r="AA118" s="2087"/>
      <c r="AB118" s="2087"/>
      <c r="AC118" s="2087"/>
      <c r="AD118" s="2087"/>
      <c r="AE118" s="2087"/>
      <c r="AF118" s="2087"/>
      <c r="AG118" s="2087"/>
      <c r="AH118" s="2087"/>
      <c r="AI118" s="1240"/>
      <c r="AJ118" s="1241"/>
      <c r="AK118" s="2239">
        <f>N118*2</f>
        <v>124.2</v>
      </c>
      <c r="AL118" s="2087"/>
    </row>
    <row r="119" spans="4:41">
      <c r="D119" s="2240" t="s">
        <v>7198</v>
      </c>
      <c r="E119" s="2087"/>
      <c r="F119" s="2259" t="s">
        <v>7199</v>
      </c>
      <c r="G119" s="2087"/>
      <c r="H119" s="2241" t="s">
        <v>7200</v>
      </c>
      <c r="I119" s="2087"/>
      <c r="J119" s="2241" t="s">
        <v>7175</v>
      </c>
      <c r="K119" s="2087"/>
      <c r="L119" s="2087"/>
      <c r="M119" s="2087"/>
      <c r="N119" s="2249"/>
      <c r="O119" s="2087"/>
      <c r="P119" s="2241" t="s">
        <v>7201</v>
      </c>
      <c r="Q119" s="2087"/>
      <c r="R119" s="2241" t="s">
        <v>7195</v>
      </c>
      <c r="S119" s="2087"/>
      <c r="T119" s="2087"/>
      <c r="U119" s="2241" t="s">
        <v>7178</v>
      </c>
      <c r="V119" s="2087"/>
      <c r="W119" s="2087"/>
      <c r="X119" s="2251" t="s">
        <v>7202</v>
      </c>
      <c r="Y119" s="2087"/>
      <c r="Z119" s="2243" t="s">
        <v>7203</v>
      </c>
      <c r="AA119" s="2087"/>
      <c r="AB119" s="2087"/>
      <c r="AC119" s="2087"/>
      <c r="AD119" s="2087"/>
      <c r="AE119" s="2087"/>
      <c r="AF119" s="2087"/>
      <c r="AG119" s="2087"/>
      <c r="AH119" s="2137"/>
      <c r="AI119" s="1241"/>
      <c r="AJ119" s="1241"/>
      <c r="AK119" s="2239">
        <f>N119*2</f>
        <v>0</v>
      </c>
      <c r="AL119" s="2087"/>
    </row>
    <row r="120" spans="4:41">
      <c r="D120" s="2240" t="s">
        <v>7198</v>
      </c>
      <c r="E120" s="2087"/>
      <c r="F120" s="2241" t="s">
        <v>7204</v>
      </c>
      <c r="G120" s="2087"/>
      <c r="H120" s="2241" t="s">
        <v>7205</v>
      </c>
      <c r="I120" s="2087"/>
      <c r="J120" s="2241" t="s">
        <v>7175</v>
      </c>
      <c r="K120" s="2087"/>
      <c r="L120" s="2087"/>
      <c r="M120" s="2087"/>
      <c r="N120" s="2249">
        <v>253.3</v>
      </c>
      <c r="O120" s="2087"/>
      <c r="P120" s="2241" t="s">
        <v>7206</v>
      </c>
      <c r="Q120" s="2087"/>
      <c r="R120" s="2241" t="s">
        <v>7178</v>
      </c>
      <c r="S120" s="2087"/>
      <c r="T120" s="2087"/>
      <c r="U120" s="2241" t="s">
        <v>7177</v>
      </c>
      <c r="V120" s="2087"/>
      <c r="W120" s="2087"/>
      <c r="X120" s="2251" t="s">
        <v>7202</v>
      </c>
      <c r="Y120" s="2087"/>
      <c r="Z120" s="2243" t="s">
        <v>7207</v>
      </c>
      <c r="AA120" s="2087"/>
      <c r="AB120" s="2087"/>
      <c r="AC120" s="2087"/>
      <c r="AD120" s="2087"/>
      <c r="AE120" s="2087"/>
      <c r="AF120" s="2087"/>
      <c r="AG120" s="2087"/>
      <c r="AH120" s="2137"/>
      <c r="AI120" s="1241"/>
      <c r="AJ120" s="1241"/>
      <c r="AK120" s="2239">
        <f>N120*2</f>
        <v>506.6</v>
      </c>
      <c r="AL120" s="2087"/>
    </row>
    <row r="121" spans="4:41">
      <c r="D121" s="1243"/>
      <c r="E121" s="1209"/>
      <c r="F121" s="1209"/>
      <c r="G121" s="1209"/>
      <c r="H121" s="1209"/>
      <c r="I121" s="1209"/>
      <c r="J121" s="1209"/>
      <c r="K121" s="1209"/>
      <c r="L121" s="1209"/>
      <c r="M121" s="1209" t="s">
        <v>61</v>
      </c>
      <c r="N121" s="2262">
        <f>SUM(N115:O119)</f>
        <v>1160.0999999999999</v>
      </c>
      <c r="O121" s="2144"/>
      <c r="P121" s="2262">
        <f>N121*2</f>
        <v>2320.1999999999998</v>
      </c>
      <c r="Q121" s="2144"/>
      <c r="R121" s="1209"/>
      <c r="S121" s="1209"/>
      <c r="T121" s="1209"/>
      <c r="U121" s="1209"/>
      <c r="V121" s="1209"/>
      <c r="W121" s="1209"/>
      <c r="X121" s="1209"/>
      <c r="Y121" s="1209"/>
      <c r="Z121" s="1209"/>
      <c r="AA121" s="1209"/>
      <c r="AB121" s="1209"/>
      <c r="AC121" s="1209"/>
      <c r="AD121" s="1209"/>
      <c r="AE121" s="1209"/>
      <c r="AF121" s="1209"/>
      <c r="AG121" s="1209"/>
      <c r="AH121" s="1210"/>
      <c r="AI121" s="1241"/>
      <c r="AJ121" s="1241"/>
      <c r="AK121" s="1241"/>
      <c r="AL121" s="1241"/>
    </row>
    <row r="122" spans="4:41">
      <c r="D122" s="1241"/>
      <c r="E122" s="1241"/>
      <c r="F122" s="1241"/>
      <c r="G122" s="1241"/>
      <c r="H122" s="1241"/>
      <c r="I122" s="1241"/>
      <c r="J122" s="1241"/>
      <c r="K122" s="1241"/>
      <c r="L122" s="1241"/>
      <c r="M122" s="1241"/>
      <c r="N122" s="1241"/>
      <c r="O122" s="1241"/>
      <c r="P122" s="1241"/>
      <c r="Q122" s="1241"/>
      <c r="R122" s="1241"/>
      <c r="S122" s="1241"/>
      <c r="T122" s="1241"/>
      <c r="U122" s="1241"/>
      <c r="V122" s="1241"/>
      <c r="W122" s="1241"/>
      <c r="X122" s="1241"/>
      <c r="Y122" s="1241"/>
      <c r="Z122" s="1241"/>
      <c r="AA122" s="1241"/>
      <c r="AB122" s="1241"/>
      <c r="AC122" s="1241"/>
      <c r="AD122" s="1241"/>
      <c r="AE122" s="1241"/>
      <c r="AF122" s="1241"/>
      <c r="AG122" s="1241"/>
      <c r="AH122" s="1241"/>
      <c r="AI122" s="1241"/>
      <c r="AJ122" s="1241"/>
      <c r="AK122" s="1241"/>
      <c r="AL122" s="1241"/>
    </row>
    <row r="123" spans="4:41">
      <c r="D123" s="1241"/>
      <c r="E123" s="1241"/>
      <c r="F123" s="1241"/>
      <c r="G123" s="1241"/>
      <c r="H123" s="1241"/>
      <c r="I123" s="1241"/>
      <c r="J123" s="1241"/>
      <c r="K123" s="1241"/>
      <c r="L123" s="1241"/>
      <c r="M123" s="1241"/>
      <c r="N123" s="1241"/>
      <c r="O123" s="1241"/>
      <c r="P123" s="1241"/>
      <c r="Q123" s="1241"/>
      <c r="R123" s="1241"/>
      <c r="S123" s="1241"/>
      <c r="T123" s="1241"/>
      <c r="U123" s="1241"/>
      <c r="V123" s="1241"/>
      <c r="W123" s="1241"/>
      <c r="X123" s="1241"/>
      <c r="Y123" s="1241"/>
      <c r="Z123" s="1241"/>
      <c r="AA123" s="1241"/>
      <c r="AB123" s="1241"/>
      <c r="AC123" s="1241"/>
      <c r="AD123" s="1241"/>
      <c r="AE123" s="1241"/>
      <c r="AF123" s="1241"/>
      <c r="AG123" s="1241"/>
      <c r="AH123" s="1241"/>
      <c r="AI123" s="1241"/>
      <c r="AJ123" s="1241"/>
      <c r="AK123" s="1241"/>
      <c r="AL123" s="1241"/>
    </row>
    <row r="124" spans="4:41" ht="13.5">
      <c r="D124" s="2256" t="s">
        <v>7208</v>
      </c>
      <c r="E124" s="2102"/>
      <c r="F124" s="2102"/>
      <c r="G124" s="2102"/>
      <c r="H124" s="2102"/>
      <c r="I124" s="2102"/>
      <c r="J124" s="2102"/>
      <c r="K124" s="2102"/>
      <c r="L124" s="2102"/>
      <c r="M124" s="2102"/>
      <c r="N124" s="2102"/>
      <c r="O124" s="2102"/>
      <c r="P124" s="2102"/>
      <c r="Q124" s="2102"/>
      <c r="R124" s="2102"/>
      <c r="S124" s="2102"/>
      <c r="T124" s="2102"/>
      <c r="U124" s="2102"/>
      <c r="V124" s="2102"/>
      <c r="W124" s="2102"/>
      <c r="X124" s="2103"/>
      <c r="Y124" s="1241"/>
      <c r="Z124" s="1241"/>
      <c r="AA124" s="2261" t="s">
        <v>7209</v>
      </c>
      <c r="AB124" s="2087"/>
      <c r="AC124" s="2087"/>
      <c r="AD124" s="2087"/>
      <c r="AE124" s="2087"/>
      <c r="AF124" s="2087"/>
      <c r="AG124" s="2087"/>
      <c r="AH124" s="2087"/>
      <c r="AI124" s="2087"/>
      <c r="AJ124" s="2087"/>
      <c r="AK124" s="2087"/>
      <c r="AL124" s="2087"/>
    </row>
    <row r="125" spans="4:41" ht="13.5">
      <c r="D125" s="1244" t="s">
        <v>7119</v>
      </c>
      <c r="E125" s="1242"/>
      <c r="F125" s="1242" t="s">
        <v>7118</v>
      </c>
      <c r="G125" s="1242"/>
      <c r="H125" s="1242" t="s">
        <v>3279</v>
      </c>
      <c r="I125" s="1242"/>
      <c r="J125" s="1242" t="s">
        <v>3534</v>
      </c>
      <c r="K125" s="1242"/>
      <c r="L125" s="1242"/>
      <c r="M125" s="1242"/>
      <c r="N125" s="1242" t="s">
        <v>790</v>
      </c>
      <c r="O125" s="1241"/>
      <c r="P125" s="1241"/>
      <c r="Q125" s="1241"/>
      <c r="R125" s="1241"/>
      <c r="S125" s="1241"/>
      <c r="T125" s="1241"/>
      <c r="U125" s="1241"/>
      <c r="V125" s="1241"/>
      <c r="W125" s="1241"/>
      <c r="X125" s="1245"/>
      <c r="Y125" s="1241"/>
      <c r="Z125" s="1241"/>
      <c r="AA125" s="2261" t="s">
        <v>7210</v>
      </c>
      <c r="AB125" s="2087"/>
      <c r="AC125" s="2087"/>
      <c r="AD125" s="2087"/>
      <c r="AE125" s="2087"/>
      <c r="AF125" s="2087"/>
      <c r="AG125" s="2087"/>
      <c r="AH125" s="2087"/>
      <c r="AI125" s="2087"/>
      <c r="AJ125" s="2087"/>
      <c r="AK125" s="2087"/>
      <c r="AL125" s="2087"/>
    </row>
    <row r="126" spans="4:41" ht="13.5">
      <c r="D126" s="2263">
        <v>42449</v>
      </c>
      <c r="E126" s="2087"/>
      <c r="F126" s="2264">
        <v>42452</v>
      </c>
      <c r="G126" s="2087"/>
      <c r="H126" s="1241" t="s">
        <v>7211</v>
      </c>
      <c r="I126" s="1241"/>
      <c r="J126" s="1246" t="s">
        <v>7212</v>
      </c>
      <c r="K126" s="1241"/>
      <c r="L126" s="1241"/>
      <c r="M126" s="1241"/>
      <c r="N126" s="2265">
        <v>203</v>
      </c>
      <c r="O126" s="2087"/>
      <c r="P126" s="1241" t="s">
        <v>7213</v>
      </c>
      <c r="Q126" s="1241"/>
      <c r="R126" s="1241"/>
      <c r="S126" s="1241"/>
      <c r="T126" s="1241"/>
      <c r="U126" s="1241" t="s">
        <v>7214</v>
      </c>
      <c r="V126" s="1241"/>
      <c r="W126" s="1241"/>
      <c r="X126" s="1245"/>
      <c r="Y126" s="1241"/>
      <c r="Z126" s="1241"/>
      <c r="AA126" s="2261" t="s">
        <v>7215</v>
      </c>
      <c r="AB126" s="2087"/>
      <c r="AC126" s="2087"/>
      <c r="AD126" s="2087"/>
      <c r="AE126" s="2087"/>
      <c r="AF126" s="2087"/>
      <c r="AG126" s="2087"/>
      <c r="AH126" s="2087"/>
      <c r="AI126" s="2087"/>
      <c r="AJ126" s="2087"/>
      <c r="AK126" s="2087"/>
      <c r="AL126" s="2087"/>
    </row>
    <row r="127" spans="4:41">
      <c r="D127" s="2263">
        <v>42453</v>
      </c>
      <c r="E127" s="2087"/>
      <c r="F127" s="2264">
        <v>42455</v>
      </c>
      <c r="G127" s="2087"/>
      <c r="H127" s="1241" t="s">
        <v>6820</v>
      </c>
      <c r="I127" s="1241"/>
      <c r="J127" s="1241" t="s">
        <v>7216</v>
      </c>
      <c r="K127" s="1241"/>
      <c r="L127" s="1241"/>
      <c r="M127" s="1241"/>
      <c r="N127" s="2265">
        <v>106</v>
      </c>
      <c r="O127" s="2087"/>
      <c r="P127" s="1241" t="s">
        <v>7213</v>
      </c>
      <c r="Q127" s="1241"/>
      <c r="R127" s="1241"/>
      <c r="S127" s="1241"/>
      <c r="U127" s="1241" t="s">
        <v>7217</v>
      </c>
      <c r="V127" s="1241"/>
      <c r="W127" s="1241"/>
      <c r="X127" s="1245"/>
      <c r="Y127" s="1241"/>
      <c r="Z127" s="1241"/>
      <c r="AA127" s="1241"/>
      <c r="AB127" s="1241"/>
      <c r="AC127" s="1241"/>
      <c r="AD127" s="1241"/>
      <c r="AE127" s="1241"/>
      <c r="AF127" s="1241"/>
      <c r="AG127" s="1241"/>
      <c r="AH127" s="1241"/>
      <c r="AI127" s="1241"/>
      <c r="AJ127" s="1241"/>
      <c r="AK127" s="1241"/>
      <c r="AL127" s="1241"/>
    </row>
    <row r="128" spans="4:41">
      <c r="D128" s="1243"/>
      <c r="E128" s="1209"/>
      <c r="F128" s="1209"/>
      <c r="G128" s="1209"/>
      <c r="H128" s="1209"/>
      <c r="I128" s="1209"/>
      <c r="J128" s="1209"/>
      <c r="K128" s="1209"/>
      <c r="L128" s="1209"/>
      <c r="M128" s="1209"/>
      <c r="N128" s="2266">
        <f>N126+N127</f>
        <v>309</v>
      </c>
      <c r="O128" s="2144"/>
      <c r="P128" s="1209"/>
      <c r="Q128" s="1209"/>
      <c r="R128" s="1209"/>
      <c r="S128" s="1209"/>
      <c r="T128" s="1209"/>
      <c r="U128" s="1209"/>
      <c r="V128" s="1209"/>
      <c r="W128" s="1209"/>
      <c r="X128" s="1210"/>
      <c r="Y128" s="1241"/>
      <c r="Z128" s="1241"/>
      <c r="AA128" s="1241"/>
      <c r="AB128" s="1241"/>
      <c r="AC128" s="1241"/>
      <c r="AD128" s="1241"/>
      <c r="AE128" s="1241"/>
      <c r="AF128" s="1241"/>
      <c r="AG128" s="1241"/>
      <c r="AH128" s="2243"/>
      <c r="AI128" s="2087"/>
      <c r="AJ128" s="2087"/>
      <c r="AK128" s="1241"/>
      <c r="AL128" s="1241"/>
    </row>
    <row r="129" spans="3:38">
      <c r="D129" s="1241"/>
      <c r="E129" s="1241"/>
      <c r="F129" s="1241"/>
      <c r="G129" s="1241"/>
      <c r="H129" s="1241"/>
      <c r="I129" s="1241"/>
      <c r="J129" s="1241"/>
      <c r="K129" s="1241"/>
      <c r="L129" s="1241"/>
      <c r="M129" s="1241"/>
      <c r="N129" s="1241"/>
      <c r="O129" s="1241"/>
      <c r="P129" s="1241"/>
      <c r="Q129" s="1241"/>
      <c r="R129" s="1241"/>
      <c r="S129" s="1241"/>
      <c r="T129" s="1241"/>
      <c r="U129" s="1241"/>
      <c r="V129" s="1241"/>
      <c r="W129" s="1241"/>
      <c r="X129" s="1241"/>
      <c r="Y129" s="1241"/>
      <c r="Z129" s="1241"/>
      <c r="AA129" s="1241"/>
      <c r="AB129" s="1241"/>
      <c r="AC129" s="1241"/>
      <c r="AD129" s="1241"/>
      <c r="AE129" s="1241"/>
      <c r="AF129" s="1241"/>
      <c r="AG129" s="1241"/>
      <c r="AH129" s="1241"/>
      <c r="AI129" s="1241"/>
      <c r="AJ129" s="1241"/>
      <c r="AK129" s="1241"/>
      <c r="AL129" s="1241"/>
    </row>
    <row r="130" spans="3:38">
      <c r="F130" s="2088" t="s">
        <v>7218</v>
      </c>
      <c r="G130" s="2087"/>
      <c r="H130" s="2087"/>
      <c r="I130" s="2087"/>
      <c r="J130" s="2087"/>
      <c r="K130" s="2087"/>
      <c r="L130" s="2087"/>
      <c r="M130" s="2087"/>
      <c r="N130" s="2087"/>
      <c r="O130" s="2087"/>
      <c r="P130" s="2087"/>
      <c r="Q130" s="2087"/>
      <c r="R130" s="2087"/>
      <c r="S130" s="2087"/>
      <c r="T130" s="2087"/>
      <c r="U130" s="2087"/>
      <c r="V130" s="2087"/>
      <c r="W130" s="2087"/>
      <c r="X130" s="2087"/>
      <c r="Y130" s="2087"/>
      <c r="Z130" s="2087"/>
    </row>
    <row r="134" spans="3:38">
      <c r="C134" s="2088"/>
      <c r="D134" s="2087"/>
      <c r="E134" s="2087"/>
      <c r="F134" s="2087"/>
      <c r="G134" s="2087"/>
      <c r="H134" s="2087"/>
      <c r="I134" s="2087"/>
      <c r="J134" s="2087"/>
      <c r="K134" s="2087"/>
      <c r="L134" s="2087"/>
      <c r="M134" s="2087"/>
      <c r="N134" s="2087"/>
      <c r="O134" s="2087"/>
      <c r="P134" s="2087"/>
      <c r="Q134" s="2087"/>
      <c r="R134" s="2087"/>
      <c r="S134" s="2087"/>
    </row>
    <row r="137" spans="3:38">
      <c r="C137" s="2088"/>
      <c r="D137" s="2087"/>
      <c r="E137" s="2087"/>
      <c r="F137" s="2087"/>
      <c r="G137" s="2087"/>
      <c r="H137" s="2087"/>
      <c r="I137" s="2087"/>
      <c r="J137" s="2087"/>
      <c r="K137" s="2087"/>
      <c r="L137" s="2087"/>
      <c r="M137" s="2087"/>
      <c r="N137" s="2087"/>
      <c r="O137" s="2087"/>
      <c r="P137" s="2087"/>
      <c r="Q137" s="2087"/>
      <c r="R137" s="2087"/>
      <c r="S137" s="2087"/>
    </row>
    <row r="140" spans="3:38">
      <c r="C140" s="2088"/>
      <c r="D140" s="2087"/>
      <c r="E140" s="2087"/>
      <c r="F140" s="2087"/>
      <c r="G140" s="2087"/>
      <c r="H140" s="2087"/>
      <c r="I140" s="2087"/>
      <c r="J140" s="2087"/>
      <c r="K140" s="2087"/>
      <c r="L140" s="2087"/>
      <c r="M140" s="2087"/>
      <c r="N140" s="2087"/>
      <c r="O140" s="2087"/>
      <c r="P140" s="2087"/>
      <c r="Q140" s="2087"/>
      <c r="R140" s="2087"/>
      <c r="S140" s="2087"/>
    </row>
    <row r="142" spans="3:38">
      <c r="C142" s="2088"/>
      <c r="D142" s="2087"/>
      <c r="E142" s="2087"/>
      <c r="F142" s="2087"/>
      <c r="G142" s="2087"/>
      <c r="H142" s="2087"/>
      <c r="I142" s="2087"/>
      <c r="J142" s="2087"/>
      <c r="K142" s="2087"/>
      <c r="L142" s="2087"/>
      <c r="M142" s="2087"/>
      <c r="N142" s="2087"/>
      <c r="O142" s="2087"/>
      <c r="P142" s="2087"/>
      <c r="Q142" s="2087"/>
      <c r="R142" s="2087"/>
      <c r="S142" s="2087"/>
    </row>
    <row r="143" spans="3:38" ht="12.75" customHeight="1">
      <c r="C143" s="2087"/>
      <c r="D143" s="2087"/>
      <c r="E143" s="2087"/>
      <c r="F143" s="2087"/>
      <c r="G143" s="2087"/>
      <c r="H143" s="2087"/>
      <c r="I143" s="2087"/>
      <c r="J143" s="2087"/>
      <c r="K143" s="2087"/>
      <c r="L143" s="2087"/>
      <c r="M143" s="2087"/>
      <c r="N143" s="2087"/>
      <c r="O143" s="2087"/>
      <c r="P143" s="2087"/>
      <c r="Q143" s="2087"/>
      <c r="R143" s="2087"/>
      <c r="S143" s="2087"/>
    </row>
    <row r="144" spans="3:38" ht="12.75" customHeight="1">
      <c r="C144" s="2087"/>
      <c r="D144" s="2087"/>
      <c r="E144" s="2087"/>
      <c r="F144" s="2087"/>
      <c r="G144" s="2087"/>
      <c r="H144" s="2087"/>
      <c r="I144" s="2087"/>
      <c r="J144" s="2087"/>
      <c r="K144" s="2087"/>
      <c r="L144" s="2087"/>
      <c r="M144" s="2087"/>
      <c r="N144" s="2087"/>
      <c r="O144" s="2087"/>
      <c r="P144" s="2087"/>
      <c r="Q144" s="2087"/>
      <c r="R144" s="2087"/>
      <c r="S144" s="2087"/>
    </row>
    <row r="148" spans="1:32">
      <c r="A148" s="2178" t="s">
        <v>7059</v>
      </c>
      <c r="B148" s="2087"/>
      <c r="C148" s="2087"/>
      <c r="D148" s="2087"/>
      <c r="E148" s="2087"/>
      <c r="F148" s="2087"/>
      <c r="G148" s="2087"/>
      <c r="H148" s="2087"/>
      <c r="I148" s="2087"/>
      <c r="J148" s="2087"/>
      <c r="K148" s="919"/>
      <c r="L148" s="919"/>
      <c r="M148" s="919"/>
      <c r="N148" s="919"/>
      <c r="O148" s="919"/>
      <c r="P148" s="919"/>
      <c r="Q148" s="919"/>
      <c r="R148" s="919"/>
      <c r="S148" s="919"/>
      <c r="T148" s="919"/>
      <c r="U148" s="919"/>
      <c r="V148" s="919"/>
      <c r="W148" s="919"/>
      <c r="X148" s="919"/>
      <c r="Y148" s="919"/>
      <c r="Z148" s="919"/>
      <c r="AA148" s="920"/>
      <c r="AB148" s="919"/>
      <c r="AC148" s="1247"/>
      <c r="AD148" s="919"/>
      <c r="AE148" s="919"/>
      <c r="AF148" s="919"/>
    </row>
    <row r="149" spans="1:32">
      <c r="A149" s="2218" t="s">
        <v>7062</v>
      </c>
      <c r="B149" s="2172"/>
      <c r="C149" s="2172"/>
      <c r="D149" s="2172"/>
      <c r="E149" s="2172"/>
      <c r="F149" s="2172"/>
      <c r="G149" s="2173"/>
      <c r="H149" s="919"/>
      <c r="I149" s="2219" t="s">
        <v>7063</v>
      </c>
      <c r="J149" s="2087"/>
      <c r="K149" s="2087"/>
      <c r="L149" s="2087"/>
      <c r="M149" s="2087"/>
      <c r="N149" s="2087"/>
      <c r="O149" s="2087"/>
      <c r="P149" s="919"/>
      <c r="Q149" s="2220" t="s">
        <v>7064</v>
      </c>
      <c r="R149" s="2087"/>
      <c r="S149" s="2087"/>
      <c r="T149" s="2087"/>
      <c r="U149" s="2087"/>
      <c r="V149" s="2087"/>
      <c r="W149" s="2087"/>
      <c r="X149" s="919"/>
      <c r="Y149" s="2221" t="s">
        <v>5774</v>
      </c>
      <c r="Z149" s="2087"/>
      <c r="AA149" s="2087"/>
      <c r="AB149" s="2087"/>
      <c r="AC149" s="2087"/>
      <c r="AD149" s="2087"/>
      <c r="AE149" s="2087"/>
      <c r="AF149" s="919"/>
    </row>
    <row r="150" spans="1:32">
      <c r="A150" s="1227" t="s">
        <v>7065</v>
      </c>
      <c r="B150" s="1227" t="s">
        <v>7066</v>
      </c>
      <c r="C150" s="1227" t="s">
        <v>7067</v>
      </c>
      <c r="D150" s="1227" t="s">
        <v>7068</v>
      </c>
      <c r="E150" s="1227" t="s">
        <v>7069</v>
      </c>
      <c r="F150" s="1227" t="s">
        <v>7070</v>
      </c>
      <c r="G150" s="1227" t="s">
        <v>7071</v>
      </c>
      <c r="H150" s="919"/>
      <c r="I150" s="1008" t="s">
        <v>7065</v>
      </c>
      <c r="J150" s="1008" t="s">
        <v>7066</v>
      </c>
      <c r="K150" s="1008" t="s">
        <v>7067</v>
      </c>
      <c r="L150" s="1008" t="s">
        <v>7068</v>
      </c>
      <c r="M150" s="1008" t="s">
        <v>7069</v>
      </c>
      <c r="N150" s="1008" t="s">
        <v>7070</v>
      </c>
      <c r="O150" s="1008" t="s">
        <v>7071</v>
      </c>
      <c r="P150" s="919"/>
      <c r="Q150" s="1225" t="s">
        <v>7065</v>
      </c>
      <c r="R150" s="1225" t="s">
        <v>7066</v>
      </c>
      <c r="S150" s="1225" t="s">
        <v>7067</v>
      </c>
      <c r="T150" s="1225" t="s">
        <v>7068</v>
      </c>
      <c r="U150" s="1225" t="s">
        <v>7069</v>
      </c>
      <c r="V150" s="1225" t="s">
        <v>7070</v>
      </c>
      <c r="W150" s="1225" t="s">
        <v>7071</v>
      </c>
      <c r="X150" s="919"/>
      <c r="Y150" s="1226" t="s">
        <v>7065</v>
      </c>
      <c r="Z150" s="1226" t="s">
        <v>7066</v>
      </c>
      <c r="AA150" s="1226" t="s">
        <v>7067</v>
      </c>
      <c r="AB150" s="1226" t="s">
        <v>7068</v>
      </c>
      <c r="AC150" s="1226" t="s">
        <v>7069</v>
      </c>
      <c r="AD150" s="1226" t="s">
        <v>7070</v>
      </c>
      <c r="AE150" s="1226" t="s">
        <v>7071</v>
      </c>
      <c r="AF150" s="919"/>
    </row>
    <row r="151" spans="1:32">
      <c r="A151" s="1009"/>
      <c r="B151" s="919"/>
      <c r="C151" s="1010">
        <v>1</v>
      </c>
      <c r="D151" s="919">
        <v>2</v>
      </c>
      <c r="E151" s="919">
        <v>3</v>
      </c>
      <c r="F151" s="919">
        <v>4</v>
      </c>
      <c r="G151" s="1011">
        <v>5</v>
      </c>
      <c r="H151" s="919"/>
      <c r="I151" s="1012"/>
      <c r="J151" s="919"/>
      <c r="K151" s="919"/>
      <c r="L151" s="919"/>
      <c r="M151" s="919"/>
      <c r="N151" s="919">
        <v>1</v>
      </c>
      <c r="O151" s="1228">
        <v>2</v>
      </c>
      <c r="P151" s="919"/>
      <c r="Q151" s="1020"/>
      <c r="R151" s="919"/>
      <c r="S151" s="919"/>
      <c r="T151" s="919"/>
      <c r="U151" s="919"/>
      <c r="V151" s="919">
        <v>1</v>
      </c>
      <c r="W151" s="1019">
        <v>2</v>
      </c>
      <c r="X151" s="919"/>
      <c r="Y151" s="1014"/>
      <c r="Z151" s="919">
        <v>1</v>
      </c>
      <c r="AA151" s="919">
        <v>2</v>
      </c>
      <c r="AB151" s="919">
        <v>3</v>
      </c>
      <c r="AC151" s="919">
        <v>4</v>
      </c>
      <c r="AD151" s="919">
        <v>5</v>
      </c>
      <c r="AE151" s="1016">
        <v>6</v>
      </c>
      <c r="AF151" s="919"/>
    </row>
    <row r="152" spans="1:32">
      <c r="A152" s="1009">
        <v>6</v>
      </c>
      <c r="B152" s="919">
        <v>7</v>
      </c>
      <c r="C152" s="919">
        <v>8</v>
      </c>
      <c r="D152" s="919">
        <v>9</v>
      </c>
      <c r="E152" s="919">
        <v>10</v>
      </c>
      <c r="F152" s="919">
        <v>11</v>
      </c>
      <c r="G152" s="1011">
        <v>12</v>
      </c>
      <c r="H152" s="919"/>
      <c r="I152" s="1012">
        <v>3</v>
      </c>
      <c r="J152" s="919">
        <v>4</v>
      </c>
      <c r="K152" s="919">
        <v>5</v>
      </c>
      <c r="L152" s="919">
        <v>6</v>
      </c>
      <c r="M152" s="919">
        <v>7</v>
      </c>
      <c r="N152" s="919">
        <v>8</v>
      </c>
      <c r="O152" s="1228">
        <v>9</v>
      </c>
      <c r="P152" s="919"/>
      <c r="Q152" s="1020">
        <v>3</v>
      </c>
      <c r="R152" s="919">
        <v>4</v>
      </c>
      <c r="S152" s="919">
        <v>5</v>
      </c>
      <c r="T152" s="919">
        <v>6</v>
      </c>
      <c r="U152" s="919">
        <v>7</v>
      </c>
      <c r="V152" s="919">
        <v>8</v>
      </c>
      <c r="W152" s="1019">
        <v>9</v>
      </c>
      <c r="X152" s="919"/>
      <c r="Y152" s="1014">
        <v>7</v>
      </c>
      <c r="Z152" s="919">
        <v>8</v>
      </c>
      <c r="AA152" s="919">
        <v>9</v>
      </c>
      <c r="AB152" s="919">
        <v>10</v>
      </c>
      <c r="AC152" s="919">
        <v>11</v>
      </c>
      <c r="AD152" s="919">
        <v>12</v>
      </c>
      <c r="AE152" s="1016">
        <v>13</v>
      </c>
      <c r="AF152" s="919"/>
    </row>
    <row r="153" spans="1:32">
      <c r="A153" s="1009">
        <v>13</v>
      </c>
      <c r="B153" s="919">
        <v>14</v>
      </c>
      <c r="C153" s="919">
        <v>15</v>
      </c>
      <c r="D153" s="919">
        <v>16</v>
      </c>
      <c r="E153" s="919">
        <v>17</v>
      </c>
      <c r="F153" s="919">
        <v>18</v>
      </c>
      <c r="G153" s="1011">
        <v>19</v>
      </c>
      <c r="H153" s="919"/>
      <c r="I153" s="1012">
        <v>10</v>
      </c>
      <c r="J153" s="919">
        <v>11</v>
      </c>
      <c r="K153" s="919">
        <v>12</v>
      </c>
      <c r="L153" s="919">
        <v>13</v>
      </c>
      <c r="M153" s="919">
        <v>14</v>
      </c>
      <c r="N153" s="919">
        <v>15</v>
      </c>
      <c r="O153" s="1228">
        <v>16</v>
      </c>
      <c r="P153" s="919"/>
      <c r="Q153" s="1020">
        <v>10</v>
      </c>
      <c r="R153" s="919">
        <v>11</v>
      </c>
      <c r="S153" s="919">
        <v>12</v>
      </c>
      <c r="T153" s="919">
        <v>13</v>
      </c>
      <c r="U153" s="919">
        <v>14</v>
      </c>
      <c r="V153" s="919">
        <v>15</v>
      </c>
      <c r="W153" s="1019">
        <v>16</v>
      </c>
      <c r="X153" s="919"/>
      <c r="Y153" s="1014">
        <v>14</v>
      </c>
      <c r="Z153" s="919">
        <v>15</v>
      </c>
      <c r="AA153" s="919">
        <v>16</v>
      </c>
      <c r="AB153" s="919">
        <v>17</v>
      </c>
      <c r="AC153" s="919">
        <v>18</v>
      </c>
      <c r="AD153" s="919">
        <v>19</v>
      </c>
      <c r="AE153" s="1016">
        <v>20</v>
      </c>
      <c r="AF153" s="919"/>
    </row>
    <row r="154" spans="1:32">
      <c r="A154" s="1009">
        <v>20</v>
      </c>
      <c r="B154" s="1010">
        <v>21</v>
      </c>
      <c r="C154" s="919">
        <v>22</v>
      </c>
      <c r="D154" s="919">
        <v>23</v>
      </c>
      <c r="E154" s="919">
        <v>24</v>
      </c>
      <c r="F154" s="919">
        <v>25</v>
      </c>
      <c r="G154" s="1011">
        <v>26</v>
      </c>
      <c r="H154" s="919"/>
      <c r="I154" s="1012">
        <v>17</v>
      </c>
      <c r="J154" s="1010">
        <v>18</v>
      </c>
      <c r="K154" s="919">
        <v>19</v>
      </c>
      <c r="L154" s="919">
        <v>20</v>
      </c>
      <c r="M154" s="919">
        <v>21</v>
      </c>
      <c r="N154" s="919">
        <v>22</v>
      </c>
      <c r="O154" s="1228">
        <v>23</v>
      </c>
      <c r="P154" s="919"/>
      <c r="Q154" s="1020">
        <v>17</v>
      </c>
      <c r="R154" s="919">
        <v>18</v>
      </c>
      <c r="S154" s="919">
        <v>19</v>
      </c>
      <c r="T154" s="919">
        <v>20</v>
      </c>
      <c r="U154" s="919">
        <v>21</v>
      </c>
      <c r="V154" s="919">
        <v>22</v>
      </c>
      <c r="W154" s="1019">
        <v>23</v>
      </c>
      <c r="X154" s="919"/>
      <c r="Y154" s="1014">
        <v>21</v>
      </c>
      <c r="Z154" s="919">
        <v>22</v>
      </c>
      <c r="AA154" s="919">
        <v>23</v>
      </c>
      <c r="AB154" s="919">
        <v>24</v>
      </c>
      <c r="AC154" s="919">
        <v>25</v>
      </c>
      <c r="AD154" s="919">
        <v>26</v>
      </c>
      <c r="AE154" s="1016">
        <v>27</v>
      </c>
      <c r="AF154" s="919"/>
    </row>
    <row r="155" spans="1:32">
      <c r="A155" s="1009">
        <v>27</v>
      </c>
      <c r="B155" s="919">
        <v>28</v>
      </c>
      <c r="C155" s="919">
        <v>29</v>
      </c>
      <c r="D155" s="919">
        <v>30</v>
      </c>
      <c r="E155" s="919">
        <v>31</v>
      </c>
      <c r="F155" s="919"/>
      <c r="G155" s="1011"/>
      <c r="H155" s="919"/>
      <c r="I155" s="1012">
        <v>24</v>
      </c>
      <c r="J155" s="919">
        <v>25</v>
      </c>
      <c r="K155" s="919">
        <v>26</v>
      </c>
      <c r="L155" s="919">
        <v>27</v>
      </c>
      <c r="M155" s="919">
        <v>28</v>
      </c>
      <c r="N155" s="919"/>
      <c r="O155" s="1228"/>
      <c r="P155" s="919"/>
      <c r="Q155" s="1020">
        <v>24</v>
      </c>
      <c r="R155" s="919">
        <v>25</v>
      </c>
      <c r="S155" s="919">
        <v>26</v>
      </c>
      <c r="T155" s="919">
        <v>27</v>
      </c>
      <c r="U155" s="919">
        <v>28</v>
      </c>
      <c r="V155" s="919">
        <v>29</v>
      </c>
      <c r="W155" s="1019">
        <v>30</v>
      </c>
      <c r="X155" s="919"/>
      <c r="Y155" s="1014">
        <v>28</v>
      </c>
      <c r="Z155" s="919">
        <v>29</v>
      </c>
      <c r="AA155" s="919">
        <v>30</v>
      </c>
      <c r="AB155" s="919"/>
      <c r="AC155" s="919"/>
      <c r="AD155" s="919"/>
      <c r="AE155" s="1016"/>
      <c r="AF155" s="919"/>
    </row>
    <row r="156" spans="1:32">
      <c r="A156" s="1021"/>
      <c r="B156" s="1022"/>
      <c r="C156" s="1022"/>
      <c r="D156" s="1022"/>
      <c r="E156" s="1022"/>
      <c r="F156" s="1022"/>
      <c r="G156" s="1023"/>
      <c r="H156" s="919"/>
      <c r="I156" s="1024"/>
      <c r="J156" s="1025"/>
      <c r="K156" s="1025"/>
      <c r="L156" s="1025"/>
      <c r="M156" s="1025"/>
      <c r="N156" s="1025"/>
      <c r="O156" s="1026"/>
      <c r="P156" s="919"/>
      <c r="Q156" s="1027">
        <v>31</v>
      </c>
      <c r="R156" s="1028"/>
      <c r="S156" s="1028"/>
      <c r="T156" s="1028"/>
      <c r="U156" s="1028"/>
      <c r="V156" s="1028"/>
      <c r="W156" s="1029"/>
      <c r="X156" s="919"/>
      <c r="Y156" s="1030"/>
      <c r="Z156" s="1031"/>
      <c r="AA156" s="1031"/>
      <c r="AB156" s="1031"/>
      <c r="AC156" s="1031"/>
      <c r="AD156" s="1031"/>
      <c r="AE156" s="1032"/>
      <c r="AF156" s="919"/>
    </row>
    <row r="157" spans="1:32">
      <c r="A157" s="919"/>
      <c r="B157" s="919"/>
      <c r="C157" s="919"/>
      <c r="D157" s="919"/>
      <c r="E157" s="919"/>
      <c r="F157" s="919"/>
      <c r="G157" s="919"/>
      <c r="H157" s="919"/>
      <c r="I157" s="919"/>
      <c r="J157" s="919"/>
      <c r="K157" s="919"/>
      <c r="L157" s="919"/>
      <c r="M157" s="919"/>
      <c r="N157" s="919"/>
      <c r="O157" s="919"/>
      <c r="P157" s="919"/>
      <c r="Q157" s="919"/>
      <c r="R157" s="919"/>
      <c r="S157" s="919"/>
      <c r="T157" s="919"/>
      <c r="U157" s="919"/>
      <c r="V157" s="919"/>
      <c r="W157" s="919"/>
      <c r="X157" s="919"/>
      <c r="Y157" s="919"/>
      <c r="Z157" s="919"/>
      <c r="AA157" s="919"/>
      <c r="AB157" s="919"/>
      <c r="AC157" s="919"/>
      <c r="AD157" s="919"/>
      <c r="AE157" s="919"/>
      <c r="AF157" s="919"/>
    </row>
    <row r="158" spans="1:32">
      <c r="A158" s="2229" t="s">
        <v>23</v>
      </c>
      <c r="B158" s="2087"/>
      <c r="C158" s="2087"/>
      <c r="D158" s="2087"/>
      <c r="E158" s="2087"/>
      <c r="F158" s="2087"/>
      <c r="G158" s="2087"/>
      <c r="H158" s="919"/>
      <c r="I158" s="2230" t="s">
        <v>5832</v>
      </c>
      <c r="J158" s="2087"/>
      <c r="K158" s="2087"/>
      <c r="L158" s="2087"/>
      <c r="M158" s="2087"/>
      <c r="N158" s="2087"/>
      <c r="O158" s="2087"/>
      <c r="P158" s="919"/>
      <c r="Q158" s="2231" t="s">
        <v>138</v>
      </c>
      <c r="R158" s="2087"/>
      <c r="S158" s="2087"/>
      <c r="T158" s="2087"/>
      <c r="U158" s="2087"/>
      <c r="V158" s="2087"/>
      <c r="W158" s="2087"/>
      <c r="X158" s="919"/>
      <c r="Y158" s="2232" t="s">
        <v>5839</v>
      </c>
      <c r="Z158" s="2087"/>
      <c r="AA158" s="2087"/>
      <c r="AB158" s="2087"/>
      <c r="AC158" s="2087"/>
      <c r="AD158" s="2087"/>
      <c r="AE158" s="2087"/>
      <c r="AF158" s="919"/>
    </row>
    <row r="159" spans="1:32">
      <c r="A159" s="1230" t="s">
        <v>7065</v>
      </c>
      <c r="B159" s="1230" t="s">
        <v>7066</v>
      </c>
      <c r="C159" s="1230" t="s">
        <v>7067</v>
      </c>
      <c r="D159" s="1230" t="s">
        <v>7068</v>
      </c>
      <c r="E159" s="1230" t="s">
        <v>7069</v>
      </c>
      <c r="F159" s="1230" t="s">
        <v>7070</v>
      </c>
      <c r="G159" s="1230" t="s">
        <v>7071</v>
      </c>
      <c r="H159" s="919"/>
      <c r="I159" s="1231" t="s">
        <v>7065</v>
      </c>
      <c r="J159" s="1231" t="s">
        <v>7066</v>
      </c>
      <c r="K159" s="1231" t="s">
        <v>7067</v>
      </c>
      <c r="L159" s="1231" t="s">
        <v>7068</v>
      </c>
      <c r="M159" s="1231" t="s">
        <v>7069</v>
      </c>
      <c r="N159" s="1231" t="s">
        <v>7070</v>
      </c>
      <c r="O159" s="1231" t="s">
        <v>7071</v>
      </c>
      <c r="P159" s="919"/>
      <c r="Q159" s="1232" t="s">
        <v>7065</v>
      </c>
      <c r="R159" s="1232" t="s">
        <v>7066</v>
      </c>
      <c r="S159" s="1232" t="s">
        <v>7067</v>
      </c>
      <c r="T159" s="1232" t="s">
        <v>7068</v>
      </c>
      <c r="U159" s="1232" t="s">
        <v>7069</v>
      </c>
      <c r="V159" s="1232" t="s">
        <v>7070</v>
      </c>
      <c r="W159" s="1232" t="s">
        <v>7071</v>
      </c>
      <c r="X159" s="919"/>
      <c r="Y159" s="1212" t="s">
        <v>7065</v>
      </c>
      <c r="Z159" s="1212" t="s">
        <v>7066</v>
      </c>
      <c r="AA159" s="1212" t="s">
        <v>7067</v>
      </c>
      <c r="AB159" s="1212" t="s">
        <v>7068</v>
      </c>
      <c r="AC159" s="1212" t="s">
        <v>7069</v>
      </c>
      <c r="AD159" s="1212" t="s">
        <v>7070</v>
      </c>
      <c r="AE159" s="1212" t="s">
        <v>7071</v>
      </c>
      <c r="AF159" s="919"/>
    </row>
    <row r="160" spans="1:32">
      <c r="A160" s="1033"/>
      <c r="B160" s="919"/>
      <c r="C160" s="919"/>
      <c r="D160" s="919">
        <v>1</v>
      </c>
      <c r="E160" s="919">
        <v>2</v>
      </c>
      <c r="F160" s="919">
        <v>3</v>
      </c>
      <c r="G160" s="1034">
        <v>4</v>
      </c>
      <c r="H160" s="919"/>
      <c r="I160" s="1043"/>
      <c r="J160" s="919"/>
      <c r="K160" s="919"/>
      <c r="L160" s="919"/>
      <c r="M160" s="919"/>
      <c r="N160" s="919"/>
      <c r="O160" s="1041">
        <v>1</v>
      </c>
      <c r="P160" s="919"/>
      <c r="Q160" s="1035"/>
      <c r="R160" s="919">
        <v>1</v>
      </c>
      <c r="S160" s="919">
        <v>2</v>
      </c>
      <c r="T160" s="919">
        <v>3</v>
      </c>
      <c r="U160" s="1010">
        <v>4</v>
      </c>
      <c r="V160" s="919">
        <v>5</v>
      </c>
      <c r="W160" s="1036">
        <v>6</v>
      </c>
      <c r="X160" s="919"/>
      <c r="Y160" s="1037"/>
      <c r="Z160" s="919"/>
      <c r="AA160" s="919"/>
      <c r="AB160" s="919"/>
      <c r="AC160" s="919">
        <v>1</v>
      </c>
      <c r="AD160" s="919">
        <v>2</v>
      </c>
      <c r="AE160" s="1234">
        <v>3</v>
      </c>
      <c r="AF160" s="919"/>
    </row>
    <row r="161" spans="1:32">
      <c r="A161" s="1033">
        <v>5</v>
      </c>
      <c r="B161" s="919">
        <v>6</v>
      </c>
      <c r="C161" s="919">
        <v>7</v>
      </c>
      <c r="D161" s="919">
        <v>8</v>
      </c>
      <c r="E161" s="919">
        <v>9</v>
      </c>
      <c r="F161" s="919">
        <v>10</v>
      </c>
      <c r="G161" s="1034">
        <v>11</v>
      </c>
      <c r="H161" s="919"/>
      <c r="I161" s="1043">
        <v>2</v>
      </c>
      <c r="J161" s="919">
        <v>3</v>
      </c>
      <c r="K161" s="919">
        <v>4</v>
      </c>
      <c r="L161" s="919">
        <v>5</v>
      </c>
      <c r="M161" s="919">
        <v>6</v>
      </c>
      <c r="N161" s="919">
        <v>7</v>
      </c>
      <c r="O161" s="1041">
        <v>8</v>
      </c>
      <c r="P161" s="919"/>
      <c r="Q161" s="1035">
        <v>7</v>
      </c>
      <c r="R161" s="919">
        <v>8</v>
      </c>
      <c r="S161" s="919">
        <v>9</v>
      </c>
      <c r="T161" s="919">
        <v>10</v>
      </c>
      <c r="U161" s="919">
        <v>11</v>
      </c>
      <c r="V161" s="919">
        <v>12</v>
      </c>
      <c r="W161" s="1036">
        <v>13</v>
      </c>
      <c r="X161" s="919"/>
      <c r="Y161" s="1037">
        <v>4</v>
      </c>
      <c r="Z161" s="919">
        <v>5</v>
      </c>
      <c r="AA161" s="919">
        <v>6</v>
      </c>
      <c r="AB161" s="919">
        <v>7</v>
      </c>
      <c r="AC161" s="919">
        <v>8</v>
      </c>
      <c r="AD161" s="919">
        <v>9</v>
      </c>
      <c r="AE161" s="1234">
        <v>10</v>
      </c>
      <c r="AF161" s="919"/>
    </row>
    <row r="162" spans="1:32">
      <c r="A162" s="1033">
        <v>12</v>
      </c>
      <c r="B162" s="919">
        <v>13</v>
      </c>
      <c r="C162" s="919">
        <v>14</v>
      </c>
      <c r="D162" s="919">
        <v>15</v>
      </c>
      <c r="E162" s="919">
        <v>16</v>
      </c>
      <c r="F162" s="919">
        <v>17</v>
      </c>
      <c r="G162" s="1034">
        <v>18</v>
      </c>
      <c r="H162" s="919"/>
      <c r="I162" s="1043">
        <v>9</v>
      </c>
      <c r="J162" s="919">
        <v>10</v>
      </c>
      <c r="K162" s="919">
        <v>11</v>
      </c>
      <c r="L162" s="919">
        <v>12</v>
      </c>
      <c r="M162" s="919">
        <v>13</v>
      </c>
      <c r="N162" s="919">
        <v>14</v>
      </c>
      <c r="O162" s="1041">
        <v>15</v>
      </c>
      <c r="P162" s="919"/>
      <c r="Q162" s="1035">
        <v>14</v>
      </c>
      <c r="R162" s="919">
        <v>15</v>
      </c>
      <c r="S162" s="919">
        <v>16</v>
      </c>
      <c r="T162" s="919">
        <v>17</v>
      </c>
      <c r="U162" s="919">
        <v>18</v>
      </c>
      <c r="V162" s="919">
        <v>19</v>
      </c>
      <c r="W162" s="1036">
        <v>20</v>
      </c>
      <c r="X162" s="919"/>
      <c r="Y162" s="1037">
        <v>11</v>
      </c>
      <c r="Z162" s="919">
        <v>12</v>
      </c>
      <c r="AA162" s="919">
        <v>13</v>
      </c>
      <c r="AB162" s="919">
        <v>14</v>
      </c>
      <c r="AC162" s="919">
        <v>15</v>
      </c>
      <c r="AD162" s="919">
        <v>16</v>
      </c>
      <c r="AE162" s="1234">
        <v>17</v>
      </c>
      <c r="AF162" s="919"/>
    </row>
    <row r="163" spans="1:32" ht="15">
      <c r="A163" s="1033">
        <v>19</v>
      </c>
      <c r="B163" s="919">
        <v>20</v>
      </c>
      <c r="C163" s="919">
        <v>21</v>
      </c>
      <c r="D163" s="919">
        <v>22</v>
      </c>
      <c r="E163" s="919">
        <v>23</v>
      </c>
      <c r="F163" s="919">
        <v>24</v>
      </c>
      <c r="G163" s="1034">
        <v>25</v>
      </c>
      <c r="H163" s="919"/>
      <c r="I163" s="1043">
        <v>16</v>
      </c>
      <c r="J163" s="919">
        <v>17</v>
      </c>
      <c r="K163" s="919">
        <v>18</v>
      </c>
      <c r="L163" s="1044">
        <v>19</v>
      </c>
      <c r="M163" s="919">
        <v>20</v>
      </c>
      <c r="N163" s="919">
        <v>21</v>
      </c>
      <c r="O163" s="1041">
        <v>22</v>
      </c>
      <c r="P163" s="919"/>
      <c r="Q163" s="1035">
        <v>21</v>
      </c>
      <c r="R163" s="919">
        <v>22</v>
      </c>
      <c r="S163" s="919">
        <v>23</v>
      </c>
      <c r="T163" s="919">
        <v>24</v>
      </c>
      <c r="U163" s="919">
        <v>25</v>
      </c>
      <c r="V163" s="919">
        <v>26</v>
      </c>
      <c r="W163" s="1036">
        <v>27</v>
      </c>
      <c r="X163" s="919"/>
      <c r="Y163" s="1037">
        <v>18</v>
      </c>
      <c r="Z163" s="919">
        <v>19</v>
      </c>
      <c r="AA163" s="919">
        <v>20</v>
      </c>
      <c r="AB163" s="919">
        <v>21</v>
      </c>
      <c r="AC163" s="919">
        <v>22</v>
      </c>
      <c r="AD163" s="919">
        <v>23</v>
      </c>
      <c r="AE163" s="1234">
        <v>24</v>
      </c>
      <c r="AF163" s="919"/>
    </row>
    <row r="164" spans="1:32">
      <c r="A164" s="1033">
        <v>26</v>
      </c>
      <c r="B164" s="1010">
        <v>27</v>
      </c>
      <c r="C164" s="919">
        <v>28</v>
      </c>
      <c r="D164" s="919">
        <v>29</v>
      </c>
      <c r="E164" s="919">
        <v>30</v>
      </c>
      <c r="F164" s="919">
        <v>31</v>
      </c>
      <c r="G164" s="1034"/>
      <c r="H164" s="919"/>
      <c r="I164" s="1043">
        <v>23</v>
      </c>
      <c r="J164" s="919">
        <v>24</v>
      </c>
      <c r="K164" s="919">
        <v>25</v>
      </c>
      <c r="L164" s="919">
        <v>26</v>
      </c>
      <c r="M164" s="919">
        <v>27</v>
      </c>
      <c r="N164" s="919">
        <v>28</v>
      </c>
      <c r="O164" s="1041">
        <v>29</v>
      </c>
      <c r="P164" s="919"/>
      <c r="Q164" s="1035">
        <v>28</v>
      </c>
      <c r="R164" s="919">
        <v>29</v>
      </c>
      <c r="S164" s="919">
        <v>30</v>
      </c>
      <c r="T164" s="919">
        <v>31</v>
      </c>
      <c r="U164" s="919"/>
      <c r="V164" s="919"/>
      <c r="W164" s="1036"/>
      <c r="X164" s="919"/>
      <c r="Y164" s="1037">
        <v>25</v>
      </c>
      <c r="Z164" s="919">
        <v>26</v>
      </c>
      <c r="AA164" s="919">
        <v>27</v>
      </c>
      <c r="AB164" s="919">
        <v>28</v>
      </c>
      <c r="AC164" s="919">
        <v>29</v>
      </c>
      <c r="AD164" s="919">
        <v>30</v>
      </c>
      <c r="AE164" s="1234">
        <v>31</v>
      </c>
      <c r="AF164" s="919"/>
    </row>
    <row r="165" spans="1:32">
      <c r="A165" s="1045"/>
      <c r="B165" s="1046"/>
      <c r="C165" s="1046"/>
      <c r="D165" s="1046"/>
      <c r="E165" s="1046"/>
      <c r="F165" s="1046"/>
      <c r="G165" s="1047"/>
      <c r="H165" s="919"/>
      <c r="I165" s="1048">
        <v>30</v>
      </c>
      <c r="J165" s="1049"/>
      <c r="K165" s="1049"/>
      <c r="L165" s="1049"/>
      <c r="M165" s="1049"/>
      <c r="N165" s="1049"/>
      <c r="O165" s="1050"/>
      <c r="P165" s="919"/>
      <c r="Q165" s="1051"/>
      <c r="R165" s="1052"/>
      <c r="S165" s="1052"/>
      <c r="T165" s="1052"/>
      <c r="U165" s="1052"/>
      <c r="V165" s="1052"/>
      <c r="W165" s="1053"/>
      <c r="X165" s="919"/>
      <c r="Y165" s="1054"/>
      <c r="Z165" s="1055"/>
      <c r="AA165" s="1055"/>
      <c r="AB165" s="1055"/>
      <c r="AC165" s="1055"/>
      <c r="AD165" s="1055"/>
      <c r="AE165" s="1056"/>
      <c r="AF165" s="919"/>
    </row>
    <row r="166" spans="1:32">
      <c r="A166" s="919"/>
      <c r="B166" s="919"/>
      <c r="C166" s="919"/>
      <c r="D166" s="919"/>
      <c r="E166" s="919"/>
      <c r="F166" s="919"/>
      <c r="G166" s="919"/>
      <c r="H166" s="919"/>
      <c r="I166" s="919"/>
      <c r="J166" s="919"/>
      <c r="K166" s="919"/>
      <c r="L166" s="919"/>
      <c r="M166" s="919"/>
      <c r="N166" s="919"/>
      <c r="O166" s="919"/>
      <c r="P166" s="919"/>
      <c r="Q166" s="919"/>
      <c r="R166" s="919"/>
      <c r="S166" s="919"/>
      <c r="T166" s="919"/>
      <c r="U166" s="919"/>
      <c r="V166" s="919"/>
      <c r="W166" s="919"/>
      <c r="X166" s="919"/>
      <c r="Y166" s="919"/>
      <c r="Z166" s="919"/>
      <c r="AA166" s="919"/>
      <c r="AB166" s="919"/>
      <c r="AC166" s="919"/>
      <c r="AD166" s="919"/>
      <c r="AE166" s="919"/>
      <c r="AF166" s="919"/>
    </row>
    <row r="167" spans="1:32">
      <c r="A167" s="2233" t="s">
        <v>7077</v>
      </c>
      <c r="B167" s="2087"/>
      <c r="C167" s="2087"/>
      <c r="D167" s="2087"/>
      <c r="E167" s="2087"/>
      <c r="F167" s="2087"/>
      <c r="G167" s="2087"/>
      <c r="H167" s="919"/>
      <c r="I167" s="2234" t="s">
        <v>7078</v>
      </c>
      <c r="J167" s="2087"/>
      <c r="K167" s="2087"/>
      <c r="L167" s="2087"/>
      <c r="M167" s="2087"/>
      <c r="N167" s="2087"/>
      <c r="O167" s="2087"/>
      <c r="P167" s="919"/>
      <c r="Q167" s="2235" t="s">
        <v>7079</v>
      </c>
      <c r="R167" s="2087"/>
      <c r="S167" s="2087"/>
      <c r="T167" s="2087"/>
      <c r="U167" s="2087"/>
      <c r="V167" s="2087"/>
      <c r="W167" s="2087"/>
      <c r="X167" s="919"/>
      <c r="Y167" s="2236" t="s">
        <v>6628</v>
      </c>
      <c r="Z167" s="2087"/>
      <c r="AA167" s="2087"/>
      <c r="AB167" s="2087"/>
      <c r="AC167" s="2087"/>
      <c r="AD167" s="2087"/>
      <c r="AE167" s="2087"/>
      <c r="AF167" s="919"/>
    </row>
    <row r="168" spans="1:32">
      <c r="A168" s="1236" t="s">
        <v>7065</v>
      </c>
      <c r="B168" s="1236" t="s">
        <v>7066</v>
      </c>
      <c r="C168" s="1236" t="s">
        <v>7067</v>
      </c>
      <c r="D168" s="1236" t="s">
        <v>7068</v>
      </c>
      <c r="E168" s="1236" t="s">
        <v>7069</v>
      </c>
      <c r="F168" s="1236" t="s">
        <v>7070</v>
      </c>
      <c r="G168" s="1236" t="s">
        <v>7071</v>
      </c>
      <c r="H168" s="919"/>
      <c r="I168" s="1237" t="s">
        <v>7065</v>
      </c>
      <c r="J168" s="1237" t="s">
        <v>7066</v>
      </c>
      <c r="K168" s="1237" t="s">
        <v>7067</v>
      </c>
      <c r="L168" s="1237" t="s">
        <v>7068</v>
      </c>
      <c r="M168" s="1237" t="s">
        <v>7069</v>
      </c>
      <c r="N168" s="1237" t="s">
        <v>7070</v>
      </c>
      <c r="O168" s="1237" t="s">
        <v>7071</v>
      </c>
      <c r="P168" s="919"/>
      <c r="Q168" s="1238" t="s">
        <v>7065</v>
      </c>
      <c r="R168" s="1238" t="s">
        <v>7066</v>
      </c>
      <c r="S168" s="1238" t="s">
        <v>7067</v>
      </c>
      <c r="T168" s="1238" t="s">
        <v>7068</v>
      </c>
      <c r="U168" s="1238" t="s">
        <v>7069</v>
      </c>
      <c r="V168" s="1238" t="s">
        <v>7070</v>
      </c>
      <c r="W168" s="1238" t="s">
        <v>7071</v>
      </c>
      <c r="X168" s="919"/>
      <c r="Y168" s="1239" t="s">
        <v>7065</v>
      </c>
      <c r="Z168" s="1239" t="s">
        <v>7066</v>
      </c>
      <c r="AA168" s="1239" t="s">
        <v>7067</v>
      </c>
      <c r="AB168" s="1239" t="s">
        <v>7068</v>
      </c>
      <c r="AC168" s="1239" t="s">
        <v>7069</v>
      </c>
      <c r="AD168" s="1239" t="s">
        <v>7070</v>
      </c>
      <c r="AE168" s="1239" t="s">
        <v>7071</v>
      </c>
      <c r="AF168" s="919"/>
    </row>
    <row r="169" spans="1:32">
      <c r="A169" s="1069">
        <v>1</v>
      </c>
      <c r="B169" s="1010">
        <v>2</v>
      </c>
      <c r="C169" s="919">
        <v>3</v>
      </c>
      <c r="D169" s="919">
        <v>4</v>
      </c>
      <c r="E169" s="919">
        <v>5</v>
      </c>
      <c r="F169" s="919">
        <v>6</v>
      </c>
      <c r="G169" s="1066">
        <v>7</v>
      </c>
      <c r="H169" s="919"/>
      <c r="I169" s="1059"/>
      <c r="J169" s="919"/>
      <c r="K169" s="919">
        <v>1</v>
      </c>
      <c r="L169" s="919">
        <v>2</v>
      </c>
      <c r="M169" s="919">
        <v>3</v>
      </c>
      <c r="N169" s="919">
        <v>4</v>
      </c>
      <c r="O169" s="1061">
        <v>5</v>
      </c>
      <c r="P169" s="919"/>
      <c r="Q169" s="1062"/>
      <c r="R169" s="919"/>
      <c r="S169" s="919"/>
      <c r="T169" s="919"/>
      <c r="U169" s="919"/>
      <c r="V169" s="919">
        <v>1</v>
      </c>
      <c r="W169" s="1063">
        <v>2</v>
      </c>
      <c r="X169" s="919"/>
      <c r="Y169" s="1064">
        <v>1</v>
      </c>
      <c r="Z169" s="919">
        <v>2</v>
      </c>
      <c r="AA169" s="919">
        <v>3</v>
      </c>
      <c r="AB169" s="919">
        <v>4</v>
      </c>
      <c r="AC169" s="919">
        <v>5</v>
      </c>
      <c r="AD169" s="919">
        <v>6</v>
      </c>
      <c r="AE169" s="1065">
        <v>7</v>
      </c>
      <c r="AF169" s="919"/>
    </row>
    <row r="170" spans="1:32">
      <c r="A170" s="1069">
        <v>8</v>
      </c>
      <c r="B170" s="919">
        <v>9</v>
      </c>
      <c r="C170" s="919">
        <v>10</v>
      </c>
      <c r="D170" s="919">
        <v>11</v>
      </c>
      <c r="E170" s="919">
        <v>12</v>
      </c>
      <c r="F170" s="919">
        <v>13</v>
      </c>
      <c r="G170" s="1066">
        <v>14</v>
      </c>
      <c r="H170" s="919"/>
      <c r="I170" s="1059">
        <v>6</v>
      </c>
      <c r="J170" s="919">
        <v>7</v>
      </c>
      <c r="K170" s="919">
        <v>8</v>
      </c>
      <c r="L170" s="919">
        <v>9</v>
      </c>
      <c r="M170" s="919">
        <v>10</v>
      </c>
      <c r="N170" s="919">
        <v>11</v>
      </c>
      <c r="O170" s="1061">
        <v>12</v>
      </c>
      <c r="P170" s="919"/>
      <c r="Q170" s="1062">
        <v>3</v>
      </c>
      <c r="R170" s="919">
        <v>4</v>
      </c>
      <c r="S170" s="919">
        <v>5</v>
      </c>
      <c r="T170" s="919">
        <v>6</v>
      </c>
      <c r="U170" s="919">
        <v>7</v>
      </c>
      <c r="V170" s="919">
        <v>8</v>
      </c>
      <c r="W170" s="1063">
        <v>9</v>
      </c>
      <c r="X170" s="919"/>
      <c r="Y170" s="1064">
        <v>8</v>
      </c>
      <c r="Z170" s="919">
        <v>9</v>
      </c>
      <c r="AA170" s="919">
        <v>10</v>
      </c>
      <c r="AB170" s="919">
        <v>11</v>
      </c>
      <c r="AC170" s="919">
        <v>12</v>
      </c>
      <c r="AD170" s="919">
        <v>13</v>
      </c>
      <c r="AE170" s="1065">
        <v>14</v>
      </c>
      <c r="AF170" s="919"/>
    </row>
    <row r="171" spans="1:32">
      <c r="A171" s="1069">
        <v>15</v>
      </c>
      <c r="B171" s="919">
        <v>16</v>
      </c>
      <c r="C171" s="919">
        <v>17</v>
      </c>
      <c r="D171" s="919">
        <v>18</v>
      </c>
      <c r="E171" s="919">
        <v>19</v>
      </c>
      <c r="F171" s="919">
        <v>20</v>
      </c>
      <c r="G171" s="1066">
        <v>21</v>
      </c>
      <c r="H171" s="919"/>
      <c r="I171" s="1059">
        <v>13</v>
      </c>
      <c r="J171" s="1010">
        <v>14</v>
      </c>
      <c r="K171" s="919">
        <v>15</v>
      </c>
      <c r="L171" s="919">
        <v>16</v>
      </c>
      <c r="M171" s="919">
        <v>17</v>
      </c>
      <c r="N171" s="919">
        <v>18</v>
      </c>
      <c r="O171" s="1061">
        <v>19</v>
      </c>
      <c r="P171" s="919"/>
      <c r="Q171" s="1062">
        <v>10</v>
      </c>
      <c r="R171" s="1010">
        <v>11</v>
      </c>
      <c r="S171" s="919">
        <v>12</v>
      </c>
      <c r="T171" s="919">
        <v>13</v>
      </c>
      <c r="U171" s="919">
        <v>14</v>
      </c>
      <c r="V171" s="919">
        <v>15</v>
      </c>
      <c r="W171" s="1063">
        <v>16</v>
      </c>
      <c r="X171" s="919"/>
      <c r="Y171" s="1064">
        <v>15</v>
      </c>
      <c r="Z171" s="919">
        <v>16</v>
      </c>
      <c r="AA171" s="919">
        <v>17</v>
      </c>
      <c r="AB171" s="919">
        <v>18</v>
      </c>
      <c r="AC171" s="919">
        <v>19</v>
      </c>
      <c r="AD171" s="919">
        <v>20</v>
      </c>
      <c r="AE171" s="1065">
        <v>21</v>
      </c>
      <c r="AF171" s="919"/>
    </row>
    <row r="172" spans="1:32">
      <c r="A172" s="1069">
        <v>22</v>
      </c>
      <c r="B172" s="919">
        <v>23</v>
      </c>
      <c r="C172" s="919">
        <v>24</v>
      </c>
      <c r="D172" s="919">
        <v>25</v>
      </c>
      <c r="E172" s="919">
        <v>26</v>
      </c>
      <c r="F172" s="919">
        <v>27</v>
      </c>
      <c r="G172" s="1066">
        <v>28</v>
      </c>
      <c r="H172" s="919"/>
      <c r="I172" s="1059">
        <v>20</v>
      </c>
      <c r="J172" s="919">
        <v>21</v>
      </c>
      <c r="K172" s="919">
        <v>22</v>
      </c>
      <c r="L172" s="919">
        <v>23</v>
      </c>
      <c r="M172" s="919">
        <v>24</v>
      </c>
      <c r="N172" s="919">
        <v>25</v>
      </c>
      <c r="O172" s="1061">
        <v>26</v>
      </c>
      <c r="P172" s="919"/>
      <c r="Q172" s="1062">
        <v>17</v>
      </c>
      <c r="R172" s="919">
        <v>18</v>
      </c>
      <c r="S172" s="919">
        <v>19</v>
      </c>
      <c r="T172" s="919">
        <v>20</v>
      </c>
      <c r="U172" s="919">
        <v>21</v>
      </c>
      <c r="V172" s="919">
        <v>22</v>
      </c>
      <c r="W172" s="1063">
        <v>23</v>
      </c>
      <c r="X172" s="919"/>
      <c r="Y172" s="1064">
        <v>22</v>
      </c>
      <c r="Z172" s="919">
        <v>23</v>
      </c>
      <c r="AA172" s="919">
        <v>24</v>
      </c>
      <c r="AB172" s="1010">
        <v>25</v>
      </c>
      <c r="AC172" s="919">
        <v>26</v>
      </c>
      <c r="AD172" s="919">
        <v>27</v>
      </c>
      <c r="AE172" s="1065">
        <v>28</v>
      </c>
      <c r="AF172" s="919"/>
    </row>
    <row r="173" spans="1:32">
      <c r="A173" s="1069">
        <v>29</v>
      </c>
      <c r="B173" s="919">
        <v>30</v>
      </c>
      <c r="C173" s="919"/>
      <c r="D173" s="919"/>
      <c r="E173" s="919"/>
      <c r="F173" s="919"/>
      <c r="G173" s="1066"/>
      <c r="H173" s="919"/>
      <c r="I173" s="1059">
        <v>27</v>
      </c>
      <c r="J173" s="919">
        <v>28</v>
      </c>
      <c r="K173" s="919">
        <v>29</v>
      </c>
      <c r="L173" s="919">
        <v>30</v>
      </c>
      <c r="M173" s="919">
        <v>31</v>
      </c>
      <c r="N173" s="919"/>
      <c r="O173" s="1061"/>
      <c r="P173" s="919"/>
      <c r="Q173" s="1062">
        <v>24</v>
      </c>
      <c r="R173" s="919">
        <v>25</v>
      </c>
      <c r="S173" s="919">
        <v>26</v>
      </c>
      <c r="T173" s="919">
        <v>27</v>
      </c>
      <c r="U173" s="1010">
        <v>28</v>
      </c>
      <c r="V173" s="919">
        <v>29</v>
      </c>
      <c r="W173" s="1063">
        <v>30</v>
      </c>
      <c r="X173" s="919"/>
      <c r="Y173" s="1064">
        <v>29</v>
      </c>
      <c r="Z173" s="919">
        <v>30</v>
      </c>
      <c r="AA173" s="919">
        <v>31</v>
      </c>
      <c r="AB173" s="919"/>
      <c r="AC173" s="919"/>
      <c r="AD173" s="919"/>
      <c r="AE173" s="1065"/>
      <c r="AF173" s="919"/>
    </row>
    <row r="174" spans="1:32">
      <c r="A174" s="1070"/>
      <c r="B174" s="1071"/>
      <c r="C174" s="1071"/>
      <c r="D174" s="1071"/>
      <c r="E174" s="1071"/>
      <c r="F174" s="1071"/>
      <c r="G174" s="1072"/>
      <c r="H174" s="919"/>
      <c r="I174" s="1073"/>
      <c r="J174" s="1074"/>
      <c r="K174" s="1074"/>
      <c r="L174" s="1074"/>
      <c r="M174" s="1074"/>
      <c r="N174" s="1074"/>
      <c r="O174" s="1075"/>
      <c r="P174" s="919"/>
      <c r="Q174" s="1076"/>
      <c r="R174" s="1077"/>
      <c r="S174" s="1077"/>
      <c r="T174" s="1077"/>
      <c r="U174" s="1077"/>
      <c r="V174" s="1077"/>
      <c r="W174" s="1078"/>
      <c r="X174" s="919"/>
      <c r="Y174" s="1079"/>
      <c r="Z174" s="1080"/>
      <c r="AA174" s="1080"/>
      <c r="AB174" s="1080"/>
      <c r="AC174" s="1080"/>
      <c r="AD174" s="1080"/>
      <c r="AE174" s="1081"/>
      <c r="AF174" s="919"/>
    </row>
    <row r="177" spans="1:28">
      <c r="A177" s="2101" t="s">
        <v>7219</v>
      </c>
      <c r="B177" s="2102"/>
      <c r="C177" s="2102"/>
      <c r="D177" s="2102"/>
      <c r="E177" s="2102"/>
      <c r="F177" s="2102"/>
      <c r="G177" s="2102"/>
      <c r="H177" s="2102"/>
      <c r="I177" s="2102"/>
      <c r="J177" s="2102"/>
      <c r="K177" s="2102"/>
      <c r="L177" s="2102"/>
      <c r="M177" s="2102"/>
      <c r="N177" s="2102"/>
      <c r="O177" s="2102"/>
      <c r="P177" s="2102"/>
      <c r="Q177" s="2102"/>
      <c r="R177" s="2102"/>
      <c r="S177" s="2102"/>
      <c r="T177" s="2103"/>
    </row>
    <row r="178" spans="1:28">
      <c r="A178" s="2147" t="s">
        <v>7114</v>
      </c>
      <c r="B178" s="2094"/>
      <c r="C178" s="532"/>
      <c r="D178" s="2108" t="s">
        <v>7115</v>
      </c>
      <c r="E178" s="2094"/>
      <c r="G178" s="2108" t="s">
        <v>7116</v>
      </c>
      <c r="H178" s="2094"/>
      <c r="I178" s="532"/>
      <c r="J178" s="2223" t="s">
        <v>3364</v>
      </c>
      <c r="K178" s="2094"/>
      <c r="L178" s="1233"/>
      <c r="M178" s="2223" t="s">
        <v>7117</v>
      </c>
      <c r="N178" s="2094"/>
      <c r="O178" s="1233"/>
      <c r="P178" s="2223" t="s">
        <v>7118</v>
      </c>
      <c r="Q178" s="2094"/>
      <c r="R178" s="1233"/>
      <c r="S178" s="2223" t="s">
        <v>7119</v>
      </c>
      <c r="T178" s="2095"/>
    </row>
    <row r="179" spans="1:28">
      <c r="A179" s="2224" t="s">
        <v>7220</v>
      </c>
      <c r="B179" s="2087"/>
      <c r="D179" s="2088" t="s">
        <v>7221</v>
      </c>
      <c r="E179" s="2087"/>
      <c r="G179" s="2088" t="s">
        <v>7222</v>
      </c>
      <c r="H179" s="2087"/>
      <c r="J179" s="2227">
        <v>43591</v>
      </c>
      <c r="K179" s="2087"/>
      <c r="L179" s="82"/>
      <c r="M179" s="2226">
        <v>3114</v>
      </c>
      <c r="N179" s="2087"/>
      <c r="O179" s="82"/>
      <c r="P179" s="2226" t="s">
        <v>7223</v>
      </c>
      <c r="Q179" s="2087"/>
      <c r="R179" s="82"/>
      <c r="S179" s="2226" t="s">
        <v>7224</v>
      </c>
      <c r="T179" s="2137"/>
    </row>
    <row r="180" spans="1:28">
      <c r="A180" s="2224" t="s">
        <v>7220</v>
      </c>
      <c r="B180" s="2087"/>
      <c r="D180" s="2088" t="s">
        <v>7222</v>
      </c>
      <c r="E180" s="2087"/>
      <c r="G180" s="2088" t="s">
        <v>7225</v>
      </c>
      <c r="H180" s="2087"/>
      <c r="J180" s="2227">
        <v>43591</v>
      </c>
      <c r="K180" s="2087"/>
      <c r="L180" s="82"/>
      <c r="M180" s="2226">
        <v>2682</v>
      </c>
      <c r="N180" s="2087"/>
      <c r="O180" s="82"/>
      <c r="P180" s="2226" t="s">
        <v>7226</v>
      </c>
      <c r="Q180" s="2087"/>
      <c r="R180" s="82"/>
      <c r="S180" s="2226" t="s">
        <v>7227</v>
      </c>
      <c r="T180" s="2137"/>
    </row>
    <row r="181" spans="1:28">
      <c r="A181" s="2088" t="s">
        <v>7228</v>
      </c>
      <c r="B181" s="2087"/>
      <c r="C181" s="2087"/>
      <c r="D181" s="2087"/>
      <c r="E181" s="2088" t="s">
        <v>7229</v>
      </c>
      <c r="F181" s="2087"/>
      <c r="G181" s="2087"/>
      <c r="H181" s="2087"/>
      <c r="J181" s="2088" t="s">
        <v>7230</v>
      </c>
      <c r="K181" s="2087"/>
      <c r="L181" s="2087"/>
      <c r="M181" s="2087"/>
      <c r="N181" s="2088" t="s">
        <v>7231</v>
      </c>
      <c r="O181" s="2087"/>
      <c r="P181" s="2087"/>
      <c r="Q181" s="2087"/>
      <c r="R181" s="2087"/>
      <c r="S181" s="2087"/>
      <c r="T181" s="2087"/>
      <c r="U181" s="2087"/>
      <c r="V181" s="2087"/>
      <c r="W181" s="2087"/>
      <c r="X181" s="2087"/>
      <c r="Y181" s="2087"/>
      <c r="Z181" s="2087"/>
    </row>
    <row r="182" spans="1:28">
      <c r="A182" s="2224" t="s">
        <v>7232</v>
      </c>
      <c r="B182" s="2087"/>
      <c r="C182" s="2087"/>
      <c r="D182" s="2088" t="s">
        <v>7225</v>
      </c>
      <c r="E182" s="2087"/>
      <c r="G182" s="2088" t="s">
        <v>7233</v>
      </c>
      <c r="H182" s="2087"/>
      <c r="J182" s="2227">
        <v>43593</v>
      </c>
      <c r="K182" s="2087"/>
      <c r="L182" s="82"/>
      <c r="M182" s="2226" t="s">
        <v>7234</v>
      </c>
      <c r="N182" s="2087"/>
      <c r="O182" s="82"/>
      <c r="P182" s="2226" t="s">
        <v>7235</v>
      </c>
      <c r="Q182" s="2087"/>
      <c r="R182" s="82"/>
      <c r="S182" s="2226" t="s">
        <v>7236</v>
      </c>
      <c r="T182" s="2137"/>
    </row>
    <row r="183" spans="1:28">
      <c r="A183" s="2224" t="s">
        <v>7237</v>
      </c>
      <c r="B183" s="2087"/>
      <c r="C183" s="2087"/>
      <c r="D183" s="2088" t="s">
        <v>7233</v>
      </c>
      <c r="E183" s="2087"/>
      <c r="G183" s="2088" t="s">
        <v>7238</v>
      </c>
      <c r="H183" s="2087"/>
      <c r="I183" s="2087"/>
      <c r="J183" s="2227">
        <v>43593</v>
      </c>
      <c r="K183" s="2087"/>
      <c r="L183" s="82"/>
      <c r="M183" s="2226" t="s">
        <v>7239</v>
      </c>
      <c r="N183" s="2087"/>
      <c r="O183" s="82"/>
      <c r="P183" s="2226" t="s">
        <v>7240</v>
      </c>
      <c r="Q183" s="2087"/>
      <c r="R183" s="82"/>
      <c r="S183" s="2226" t="s">
        <v>7241</v>
      </c>
      <c r="T183" s="2137"/>
    </row>
    <row r="184" spans="1:28">
      <c r="A184" s="2252" t="s">
        <v>7242</v>
      </c>
      <c r="B184" s="2087"/>
      <c r="C184" s="2087"/>
      <c r="D184" s="2086" t="s">
        <v>7243</v>
      </c>
      <c r="E184" s="2087"/>
      <c r="F184" s="2087"/>
      <c r="G184" s="2087"/>
      <c r="H184" s="2087"/>
      <c r="I184" s="2087"/>
      <c r="J184" s="2087"/>
      <c r="K184" s="2087"/>
      <c r="L184" s="2087"/>
      <c r="M184" s="2087"/>
      <c r="N184" s="2087"/>
      <c r="O184" s="2087"/>
      <c r="P184" s="2087"/>
      <c r="Q184" s="2087"/>
      <c r="R184" s="2087"/>
      <c r="S184" s="2087"/>
      <c r="T184" s="2087"/>
    </row>
    <row r="185" spans="1:28">
      <c r="A185" s="2116" t="s">
        <v>7244</v>
      </c>
      <c r="B185" s="2144"/>
      <c r="C185" s="2144"/>
      <c r="D185" s="2144"/>
      <c r="E185" s="2144"/>
      <c r="F185" s="2144"/>
      <c r="G185" s="2144"/>
      <c r="H185" s="2144"/>
      <c r="I185" s="2144"/>
      <c r="J185" s="2144"/>
      <c r="K185" s="2144"/>
      <c r="L185" s="2144"/>
      <c r="M185" s="2144"/>
      <c r="N185" s="2144"/>
      <c r="O185" s="2144"/>
      <c r="P185" s="2144"/>
      <c r="Q185" s="2144"/>
      <c r="R185" s="2144"/>
      <c r="S185" s="2144"/>
      <c r="T185" s="2144"/>
    </row>
    <row r="186" spans="1:28">
      <c r="A186" s="2224" t="s">
        <v>7245</v>
      </c>
      <c r="B186" s="2087"/>
      <c r="C186" s="2087"/>
      <c r="D186" s="2088" t="s">
        <v>6383</v>
      </c>
      <c r="E186" s="2087"/>
      <c r="G186" s="2088" t="s">
        <v>7246</v>
      </c>
      <c r="H186" s="2087"/>
      <c r="J186" s="2227">
        <v>43608</v>
      </c>
      <c r="K186" s="2087"/>
      <c r="L186" s="82"/>
      <c r="M186" s="2226" t="s">
        <v>7247</v>
      </c>
      <c r="N186" s="2087"/>
      <c r="O186" s="82"/>
      <c r="P186" s="2226" t="s">
        <v>7155</v>
      </c>
      <c r="Q186" s="2087"/>
      <c r="R186" s="82"/>
      <c r="S186" s="2226" t="s">
        <v>7248</v>
      </c>
      <c r="T186" s="2137"/>
      <c r="V186" s="2088" t="s">
        <v>7249</v>
      </c>
      <c r="W186" s="2087"/>
      <c r="X186" s="2087"/>
      <c r="Y186" s="2087"/>
      <c r="Z186" s="2087"/>
      <c r="AA186" s="2087"/>
      <c r="AB186" s="2087"/>
    </row>
    <row r="187" spans="1:28">
      <c r="A187" s="2224"/>
      <c r="B187" s="2087"/>
      <c r="D187" s="2087"/>
      <c r="E187" s="2087"/>
      <c r="G187" s="2087"/>
      <c r="H187" s="2087"/>
      <c r="J187" s="2227"/>
      <c r="K187" s="2087"/>
      <c r="L187" s="40"/>
      <c r="M187" s="2226"/>
      <c r="N187" s="2087"/>
      <c r="O187" s="2087"/>
      <c r="P187" s="2226"/>
      <c r="Q187" s="2087"/>
      <c r="R187" s="82"/>
      <c r="S187" s="2226"/>
      <c r="T187" s="2137"/>
    </row>
    <row r="188" spans="1:28">
      <c r="A188" s="2252" t="s">
        <v>7250</v>
      </c>
      <c r="B188" s="2087"/>
      <c r="C188" s="2087"/>
      <c r="D188" s="2087"/>
      <c r="E188" s="2087"/>
      <c r="F188" s="2087"/>
      <c r="G188" s="2086" t="s">
        <v>7251</v>
      </c>
      <c r="H188" s="2087"/>
      <c r="I188" s="3"/>
      <c r="J188" s="2267" t="s">
        <v>7252</v>
      </c>
      <c r="K188" s="2087"/>
      <c r="L188" s="43"/>
      <c r="M188" s="2267" t="s">
        <v>7253</v>
      </c>
      <c r="N188" s="2087"/>
      <c r="O188" s="2087"/>
      <c r="P188" s="2226"/>
      <c r="Q188" s="2087"/>
      <c r="R188" s="82"/>
      <c r="S188" s="2226"/>
      <c r="T188" s="2137"/>
    </row>
    <row r="189" spans="1:28">
      <c r="A189" s="2224"/>
      <c r="B189" s="2087"/>
      <c r="D189" s="2222"/>
      <c r="E189" s="2144"/>
      <c r="G189" s="2087"/>
      <c r="H189" s="2087"/>
      <c r="J189" s="2227"/>
      <c r="K189" s="2087"/>
      <c r="L189" s="82"/>
      <c r="M189" s="2226"/>
      <c r="N189" s="2087"/>
      <c r="O189" s="82"/>
      <c r="P189" s="2226"/>
      <c r="Q189" s="2087"/>
      <c r="R189" s="82"/>
      <c r="S189" s="2226"/>
      <c r="T189" s="2137"/>
    </row>
    <row r="190" spans="1:28">
      <c r="A190" s="2147"/>
      <c r="B190" s="2094"/>
      <c r="C190" s="532"/>
      <c r="D190" s="2268" t="s">
        <v>7254</v>
      </c>
      <c r="E190" s="2087"/>
      <c r="F190" s="532"/>
      <c r="G190" s="2108" t="s">
        <v>7221</v>
      </c>
      <c r="H190" s="2094"/>
      <c r="I190" s="38"/>
      <c r="J190" s="2247"/>
      <c r="K190" s="2094"/>
      <c r="L190" s="970"/>
      <c r="M190" s="2248"/>
      <c r="N190" s="2094"/>
      <c r="O190" s="970"/>
      <c r="P190" s="2248"/>
      <c r="Q190" s="2094"/>
      <c r="R190" s="970"/>
      <c r="S190" s="2248"/>
      <c r="T190" s="2095"/>
    </row>
    <row r="191" spans="1:28">
      <c r="A191" s="2224"/>
      <c r="B191" s="2087"/>
      <c r="D191" s="2087"/>
      <c r="E191" s="2087"/>
      <c r="G191" s="2087"/>
      <c r="H191" s="2087"/>
      <c r="J191" s="2227"/>
      <c r="K191" s="2087"/>
      <c r="L191" s="82"/>
      <c r="M191" s="2226"/>
      <c r="N191" s="2087"/>
      <c r="O191" s="82"/>
      <c r="P191" s="2226"/>
      <c r="Q191" s="2087"/>
      <c r="R191" s="82"/>
      <c r="S191" s="2226"/>
      <c r="T191" s="2137"/>
    </row>
    <row r="192" spans="1:28">
      <c r="A192" s="2224"/>
      <c r="B192" s="2087"/>
      <c r="D192" s="2087"/>
      <c r="E192" s="2087"/>
      <c r="G192" s="2087"/>
      <c r="H192" s="2087"/>
      <c r="J192" s="2227"/>
      <c r="K192" s="2087"/>
      <c r="L192" s="82"/>
      <c r="M192" s="2226"/>
      <c r="N192" s="2087"/>
      <c r="O192" s="82"/>
      <c r="P192" s="2226"/>
      <c r="Q192" s="2087"/>
      <c r="R192" s="82"/>
      <c r="S192" s="2226"/>
      <c r="T192" s="2137"/>
    </row>
    <row r="193" spans="1:32">
      <c r="A193" s="2116"/>
      <c r="B193" s="2144"/>
      <c r="C193" s="133"/>
      <c r="D193" s="133"/>
      <c r="E193" s="2222"/>
      <c r="F193" s="2144"/>
      <c r="G193" s="2222"/>
      <c r="H193" s="2144"/>
      <c r="I193" s="133"/>
      <c r="J193" s="2253"/>
      <c r="K193" s="2144"/>
      <c r="L193" s="133"/>
      <c r="M193" s="2222"/>
      <c r="N193" s="2144"/>
      <c r="O193" s="133"/>
      <c r="P193" s="2222"/>
      <c r="Q193" s="2144"/>
      <c r="R193" s="133"/>
      <c r="S193" s="2222"/>
      <c r="T193" s="2117"/>
    </row>
    <row r="196" spans="1:32">
      <c r="A196" s="2088" t="s">
        <v>4028</v>
      </c>
      <c r="B196" s="2087"/>
      <c r="C196" s="2087"/>
      <c r="J196" s="2088" t="s">
        <v>7255</v>
      </c>
      <c r="K196" s="2087"/>
      <c r="L196" s="2087"/>
      <c r="M196" s="2087"/>
      <c r="N196" s="2088" t="s">
        <v>7256</v>
      </c>
      <c r="O196" s="2087"/>
      <c r="P196" s="2087"/>
      <c r="Q196" s="2087"/>
      <c r="R196" s="2087"/>
      <c r="S196" s="2087"/>
      <c r="T196" s="9"/>
      <c r="U196" s="9"/>
      <c r="V196" s="2088" t="s">
        <v>7257</v>
      </c>
      <c r="W196" s="2087"/>
      <c r="X196" s="2087"/>
      <c r="Y196" s="2087"/>
      <c r="Z196" s="2087"/>
      <c r="AA196" s="2087"/>
      <c r="AB196" s="2087"/>
    </row>
    <row r="197" spans="1:32">
      <c r="N197" s="1248"/>
    </row>
    <row r="198" spans="1:32">
      <c r="A198" s="2088" t="s">
        <v>7258</v>
      </c>
      <c r="B198" s="2087"/>
      <c r="C198" s="2087"/>
      <c r="D198" s="2087"/>
      <c r="E198" s="2087"/>
      <c r="F198" s="2087"/>
      <c r="G198" s="2087"/>
    </row>
    <row r="200" spans="1:32">
      <c r="A200" s="2088" t="s">
        <v>7228</v>
      </c>
      <c r="B200" s="2087"/>
      <c r="C200" s="2087"/>
      <c r="D200" s="2087"/>
      <c r="E200" s="2088" t="s">
        <v>7229</v>
      </c>
      <c r="F200" s="2087"/>
      <c r="G200" s="2087"/>
      <c r="H200" s="2087"/>
      <c r="J200" s="2088" t="s">
        <v>7230</v>
      </c>
      <c r="K200" s="2087"/>
      <c r="L200" s="2087"/>
      <c r="M200" s="2087"/>
      <c r="N200" s="2088" t="s">
        <v>7231</v>
      </c>
      <c r="O200" s="2087"/>
      <c r="P200" s="2087"/>
      <c r="Q200" s="2087"/>
      <c r="R200" s="2087"/>
      <c r="S200" s="2087"/>
      <c r="T200" s="2087"/>
      <c r="U200" s="2087"/>
      <c r="V200" s="2087"/>
      <c r="W200" s="2087"/>
      <c r="X200" s="2087"/>
      <c r="Y200" s="2087"/>
      <c r="Z200" s="2087"/>
      <c r="AA200" s="9"/>
      <c r="AB200" s="9"/>
      <c r="AC200" s="9"/>
      <c r="AD200" s="9"/>
      <c r="AE200" s="9"/>
      <c r="AF200" s="9"/>
    </row>
    <row r="205" spans="1:32">
      <c r="A205" s="2088" t="s">
        <v>7259</v>
      </c>
      <c r="B205" s="2087"/>
      <c r="C205" s="2087"/>
      <c r="D205" s="2087"/>
      <c r="E205" s="2087"/>
      <c r="F205" s="2087"/>
      <c r="G205" s="2087"/>
      <c r="H205" s="2087"/>
      <c r="I205" s="2087"/>
      <c r="J205" s="2087"/>
      <c r="K205" s="2087"/>
      <c r="L205" s="2087"/>
      <c r="M205" s="2087"/>
      <c r="N205" s="2087"/>
      <c r="O205" s="2087"/>
      <c r="P205" s="2087"/>
      <c r="Q205" s="2087"/>
      <c r="R205" s="2087"/>
      <c r="S205" s="2087"/>
      <c r="T205" s="2087"/>
    </row>
  </sheetData>
  <mergeCells count="452">
    <mergeCell ref="A205:T205"/>
    <mergeCell ref="P189:Q189"/>
    <mergeCell ref="P190:Q190"/>
    <mergeCell ref="P191:Q191"/>
    <mergeCell ref="S191:T191"/>
    <mergeCell ref="P192:Q192"/>
    <mergeCell ref="S192:T192"/>
    <mergeCell ref="V196:AB196"/>
    <mergeCell ref="P193:Q193"/>
    <mergeCell ref="S193:T193"/>
    <mergeCell ref="D189:E189"/>
    <mergeCell ref="D190:E190"/>
    <mergeCell ref="A191:B191"/>
    <mergeCell ref="D191:E191"/>
    <mergeCell ref="G191:H191"/>
    <mergeCell ref="D192:E192"/>
    <mergeCell ref="G192:H192"/>
    <mergeCell ref="J191:K191"/>
    <mergeCell ref="M191:N191"/>
    <mergeCell ref="J192:K192"/>
    <mergeCell ref="M192:N192"/>
    <mergeCell ref="J196:M196"/>
    <mergeCell ref="J200:M200"/>
    <mergeCell ref="A189:B189"/>
    <mergeCell ref="G189:H189"/>
    <mergeCell ref="M189:N189"/>
    <mergeCell ref="A190:B190"/>
    <mergeCell ref="G190:H190"/>
    <mergeCell ref="M190:N190"/>
    <mergeCell ref="A192:B192"/>
    <mergeCell ref="A193:B193"/>
    <mergeCell ref="A196:C196"/>
    <mergeCell ref="A198:G198"/>
    <mergeCell ref="A200:D200"/>
    <mergeCell ref="E200:H200"/>
    <mergeCell ref="E193:F193"/>
    <mergeCell ref="G193:H193"/>
    <mergeCell ref="J193:K193"/>
    <mergeCell ref="M193:N193"/>
    <mergeCell ref="N196:S196"/>
    <mergeCell ref="N200:Z200"/>
    <mergeCell ref="D127:E127"/>
    <mergeCell ref="F127:G127"/>
    <mergeCell ref="N127:O127"/>
    <mergeCell ref="N128:O128"/>
    <mergeCell ref="A187:B187"/>
    <mergeCell ref="G187:H187"/>
    <mergeCell ref="J187:K187"/>
    <mergeCell ref="M187:O187"/>
    <mergeCell ref="P187:Q187"/>
    <mergeCell ref="S187:T187"/>
    <mergeCell ref="D187:E187"/>
    <mergeCell ref="A188:F188"/>
    <mergeCell ref="G188:H188"/>
    <mergeCell ref="J188:K188"/>
    <mergeCell ref="M188:O188"/>
    <mergeCell ref="P188:Q188"/>
    <mergeCell ref="AH128:AJ128"/>
    <mergeCell ref="F130:Z130"/>
    <mergeCell ref="C134:S134"/>
    <mergeCell ref="J189:K189"/>
    <mergeCell ref="J190:K190"/>
    <mergeCell ref="S189:T189"/>
    <mergeCell ref="S190:T190"/>
    <mergeCell ref="U116:W116"/>
    <mergeCell ref="X116:Y116"/>
    <mergeCell ref="Z116:AH116"/>
    <mergeCell ref="AA125:AL125"/>
    <mergeCell ref="AA126:AL126"/>
    <mergeCell ref="N121:O121"/>
    <mergeCell ref="P121:Q121"/>
    <mergeCell ref="D124:X124"/>
    <mergeCell ref="AA124:AL124"/>
    <mergeCell ref="D126:E126"/>
    <mergeCell ref="F126:G126"/>
    <mergeCell ref="N126:O126"/>
    <mergeCell ref="Z120:AH120"/>
    <mergeCell ref="AK120:AL120"/>
    <mergeCell ref="D120:E120"/>
    <mergeCell ref="F120:G120"/>
    <mergeCell ref="H120:I120"/>
    <mergeCell ref="AK116:AL116"/>
    <mergeCell ref="AN116:AO116"/>
    <mergeCell ref="D116:E116"/>
    <mergeCell ref="F116:G116"/>
    <mergeCell ref="H116:I116"/>
    <mergeCell ref="J116:M116"/>
    <mergeCell ref="N116:O116"/>
    <mergeCell ref="P116:Q116"/>
    <mergeCell ref="R116:T116"/>
    <mergeCell ref="R115:T115"/>
    <mergeCell ref="U115:W115"/>
    <mergeCell ref="X115:Y115"/>
    <mergeCell ref="Z115:AH115"/>
    <mergeCell ref="AK115:AL115"/>
    <mergeCell ref="AN115:AO115"/>
    <mergeCell ref="D114:E114"/>
    <mergeCell ref="D115:E115"/>
    <mergeCell ref="F115:G115"/>
    <mergeCell ref="H115:I115"/>
    <mergeCell ref="J115:M115"/>
    <mergeCell ref="N115:O115"/>
    <mergeCell ref="P115:Q115"/>
    <mergeCell ref="R118:T118"/>
    <mergeCell ref="U119:W119"/>
    <mergeCell ref="X119:Y119"/>
    <mergeCell ref="J120:M120"/>
    <mergeCell ref="N120:O120"/>
    <mergeCell ref="P120:Q120"/>
    <mergeCell ref="R120:T120"/>
    <mergeCell ref="D119:E119"/>
    <mergeCell ref="F119:G119"/>
    <mergeCell ref="H119:I119"/>
    <mergeCell ref="J119:M119"/>
    <mergeCell ref="N119:O119"/>
    <mergeCell ref="P119:Q119"/>
    <mergeCell ref="R119:T119"/>
    <mergeCell ref="P118:Q118"/>
    <mergeCell ref="AK119:AL119"/>
    <mergeCell ref="S110:T110"/>
    <mergeCell ref="V108:W108"/>
    <mergeCell ref="V109:W109"/>
    <mergeCell ref="V110:W110"/>
    <mergeCell ref="Y110:Z110"/>
    <mergeCell ref="P114:Q114"/>
    <mergeCell ref="R114:T114"/>
    <mergeCell ref="U114:W114"/>
    <mergeCell ref="X114:Y114"/>
    <mergeCell ref="S108:T108"/>
    <mergeCell ref="Y108:Z108"/>
    <mergeCell ref="S109:T109"/>
    <mergeCell ref="Y109:Z109"/>
    <mergeCell ref="D113:AH113"/>
    <mergeCell ref="F114:G114"/>
    <mergeCell ref="H114:I114"/>
    <mergeCell ref="J114:M114"/>
    <mergeCell ref="N114:O114"/>
    <mergeCell ref="Z114:AH114"/>
    <mergeCell ref="AK117:AL117"/>
    <mergeCell ref="D117:E117"/>
    <mergeCell ref="G117:I117"/>
    <mergeCell ref="H118:I118"/>
    <mergeCell ref="J108:K108"/>
    <mergeCell ref="J109:K109"/>
    <mergeCell ref="G110:H110"/>
    <mergeCell ref="K110:L110"/>
    <mergeCell ref="M110:N110"/>
    <mergeCell ref="P108:Q108"/>
    <mergeCell ref="P109:Q109"/>
    <mergeCell ref="P110:Q110"/>
    <mergeCell ref="G108:H108"/>
    <mergeCell ref="M108:N108"/>
    <mergeCell ref="G109:H109"/>
    <mergeCell ref="M109:N109"/>
    <mergeCell ref="S188:T188"/>
    <mergeCell ref="V186:AB186"/>
    <mergeCell ref="A184:C184"/>
    <mergeCell ref="D184:T184"/>
    <mergeCell ref="A185:T185"/>
    <mergeCell ref="D186:E186"/>
    <mergeCell ref="G186:H186"/>
    <mergeCell ref="J186:K186"/>
    <mergeCell ref="S186:T186"/>
    <mergeCell ref="A186:C186"/>
    <mergeCell ref="A183:C183"/>
    <mergeCell ref="D183:E183"/>
    <mergeCell ref="G183:I183"/>
    <mergeCell ref="J183:K183"/>
    <mergeCell ref="M183:N183"/>
    <mergeCell ref="P183:Q183"/>
    <mergeCell ref="S183:T183"/>
    <mergeCell ref="M186:N186"/>
    <mergeCell ref="P186:Q186"/>
    <mergeCell ref="A182:C182"/>
    <mergeCell ref="D182:E182"/>
    <mergeCell ref="G182:H182"/>
    <mergeCell ref="J182:K182"/>
    <mergeCell ref="M182:N182"/>
    <mergeCell ref="P182:Q182"/>
    <mergeCell ref="S182:T182"/>
    <mergeCell ref="D179:E179"/>
    <mergeCell ref="A180:B180"/>
    <mergeCell ref="D180:E180"/>
    <mergeCell ref="G180:H180"/>
    <mergeCell ref="A181:D181"/>
    <mergeCell ref="E181:H181"/>
    <mergeCell ref="J179:K179"/>
    <mergeCell ref="J180:K180"/>
    <mergeCell ref="J181:M181"/>
    <mergeCell ref="M179:N179"/>
    <mergeCell ref="P179:Q179"/>
    <mergeCell ref="M180:N180"/>
    <mergeCell ref="P180:Q180"/>
    <mergeCell ref="S180:T180"/>
    <mergeCell ref="N181:Z181"/>
    <mergeCell ref="A179:B179"/>
    <mergeCell ref="G179:H179"/>
    <mergeCell ref="A158:G158"/>
    <mergeCell ref="I158:O158"/>
    <mergeCell ref="Q158:W158"/>
    <mergeCell ref="Y158:AE158"/>
    <mergeCell ref="A167:G167"/>
    <mergeCell ref="Q167:W167"/>
    <mergeCell ref="Y167:AE167"/>
    <mergeCell ref="P178:Q178"/>
    <mergeCell ref="S178:T178"/>
    <mergeCell ref="J178:K178"/>
    <mergeCell ref="I167:O167"/>
    <mergeCell ref="A177:T177"/>
    <mergeCell ref="A178:B178"/>
    <mergeCell ref="G178:H178"/>
    <mergeCell ref="M178:N178"/>
    <mergeCell ref="D178:E178"/>
    <mergeCell ref="S179:T179"/>
    <mergeCell ref="J117:M117"/>
    <mergeCell ref="N117:O117"/>
    <mergeCell ref="P117:Q117"/>
    <mergeCell ref="R117:T117"/>
    <mergeCell ref="U117:W117"/>
    <mergeCell ref="I149:O149"/>
    <mergeCell ref="Q149:W149"/>
    <mergeCell ref="Y149:AE149"/>
    <mergeCell ref="C137:S137"/>
    <mergeCell ref="C140:S140"/>
    <mergeCell ref="C142:S142"/>
    <mergeCell ref="C143:S143"/>
    <mergeCell ref="C144:S144"/>
    <mergeCell ref="A148:J148"/>
    <mergeCell ref="A149:G149"/>
    <mergeCell ref="U118:W118"/>
    <mergeCell ref="X118:Y118"/>
    <mergeCell ref="Z118:AH118"/>
    <mergeCell ref="Z119:AH119"/>
    <mergeCell ref="U120:W120"/>
    <mergeCell ref="X120:Y120"/>
    <mergeCell ref="J118:M118"/>
    <mergeCell ref="N118:O118"/>
    <mergeCell ref="AK118:AL118"/>
    <mergeCell ref="D118:E118"/>
    <mergeCell ref="F118:G118"/>
    <mergeCell ref="G103:I103"/>
    <mergeCell ref="M103:N103"/>
    <mergeCell ref="S103:T103"/>
    <mergeCell ref="V103:W103"/>
    <mergeCell ref="Y103:Z103"/>
    <mergeCell ref="G104:H104"/>
    <mergeCell ref="M104:N104"/>
    <mergeCell ref="Y104:Z104"/>
    <mergeCell ref="X117:Y117"/>
    <mergeCell ref="Z117:AH117"/>
    <mergeCell ref="G106:H106"/>
    <mergeCell ref="G107:H107"/>
    <mergeCell ref="J107:K107"/>
    <mergeCell ref="M107:N107"/>
    <mergeCell ref="P107:Q107"/>
    <mergeCell ref="S107:T107"/>
    <mergeCell ref="V107:W107"/>
    <mergeCell ref="Y107:Z107"/>
    <mergeCell ref="J103:K103"/>
    <mergeCell ref="J104:K104"/>
    <mergeCell ref="G105:H105"/>
    <mergeCell ref="J105:K105"/>
    <mergeCell ref="M105:N105"/>
    <mergeCell ref="J106:K106"/>
    <mergeCell ref="P103:Q103"/>
    <mergeCell ref="P104:Q104"/>
    <mergeCell ref="P105:Q105"/>
    <mergeCell ref="P106:Q106"/>
    <mergeCell ref="S104:U104"/>
    <mergeCell ref="V104:W104"/>
    <mergeCell ref="S105:T105"/>
    <mergeCell ref="V105:W105"/>
    <mergeCell ref="M106:N106"/>
    <mergeCell ref="G98:H98"/>
    <mergeCell ref="G99:I99"/>
    <mergeCell ref="J99:K99"/>
    <mergeCell ref="M99:N99"/>
    <mergeCell ref="P99:Q99"/>
    <mergeCell ref="G100:I100"/>
    <mergeCell ref="P100:Q100"/>
    <mergeCell ref="Y105:Z105"/>
    <mergeCell ref="S106:T106"/>
    <mergeCell ref="V106:W106"/>
    <mergeCell ref="Y106:Z106"/>
    <mergeCell ref="G101:H101"/>
    <mergeCell ref="J101:K101"/>
    <mergeCell ref="M101:O101"/>
    <mergeCell ref="P101:Q101"/>
    <mergeCell ref="S101:T101"/>
    <mergeCell ref="V101:W101"/>
    <mergeCell ref="Y101:Z101"/>
    <mergeCell ref="G102:H102"/>
    <mergeCell ref="J102:L102"/>
    <mergeCell ref="M102:O102"/>
    <mergeCell ref="P102:Q102"/>
    <mergeCell ref="S102:T102"/>
    <mergeCell ref="V102:W102"/>
    <mergeCell ref="V100:W100"/>
    <mergeCell ref="AC101:AR101"/>
    <mergeCell ref="AC102:AR102"/>
    <mergeCell ref="AU103:BA103"/>
    <mergeCell ref="BC103:BI103"/>
    <mergeCell ref="BK103:BQ103"/>
    <mergeCell ref="BS103:BY103"/>
    <mergeCell ref="Y100:Z100"/>
    <mergeCell ref="J100:K100"/>
    <mergeCell ref="M100:O100"/>
    <mergeCell ref="Y102:Z102"/>
    <mergeCell ref="AU94:BA94"/>
    <mergeCell ref="BC94:BI94"/>
    <mergeCell ref="BK94:BQ94"/>
    <mergeCell ref="BS94:BY94"/>
    <mergeCell ref="P95:Q95"/>
    <mergeCell ref="P96:Q96"/>
    <mergeCell ref="P97:Q97"/>
    <mergeCell ref="S97:T97"/>
    <mergeCell ref="P98:Q98"/>
    <mergeCell ref="S98:U98"/>
    <mergeCell ref="G94:Z94"/>
    <mergeCell ref="G95:H95"/>
    <mergeCell ref="M95:N95"/>
    <mergeCell ref="S95:T95"/>
    <mergeCell ref="G96:H96"/>
    <mergeCell ref="M96:N96"/>
    <mergeCell ref="S96:T96"/>
    <mergeCell ref="Y96:Z96"/>
    <mergeCell ref="J95:K95"/>
    <mergeCell ref="J96:K96"/>
    <mergeCell ref="G97:H97"/>
    <mergeCell ref="J97:K97"/>
    <mergeCell ref="M97:N97"/>
    <mergeCell ref="J98:K98"/>
    <mergeCell ref="AC111:AR111"/>
    <mergeCell ref="AC112:AR112"/>
    <mergeCell ref="AC103:AR103"/>
    <mergeCell ref="AC104:AR104"/>
    <mergeCell ref="AC105:AR105"/>
    <mergeCell ref="AC106:AR106"/>
    <mergeCell ref="AC107:AR107"/>
    <mergeCell ref="AC108:AR108"/>
    <mergeCell ref="AC109:AR109"/>
    <mergeCell ref="Y95:Z95"/>
    <mergeCell ref="AC95:AR95"/>
    <mergeCell ref="AC96:AR96"/>
    <mergeCell ref="AC97:AR97"/>
    <mergeCell ref="AC98:AR98"/>
    <mergeCell ref="AC99:AR99"/>
    <mergeCell ref="AC100:AR100"/>
    <mergeCell ref="AC110:AR110"/>
    <mergeCell ref="G92:V92"/>
    <mergeCell ref="AC92:AR92"/>
    <mergeCell ref="V95:W95"/>
    <mergeCell ref="V96:W96"/>
    <mergeCell ref="V97:W97"/>
    <mergeCell ref="Y97:Z97"/>
    <mergeCell ref="V98:W98"/>
    <mergeCell ref="Y98:Z98"/>
    <mergeCell ref="Y99:Z99"/>
    <mergeCell ref="M93:N93"/>
    <mergeCell ref="O93:P93"/>
    <mergeCell ref="AC94:AR94"/>
    <mergeCell ref="M98:N98"/>
    <mergeCell ref="S99:T99"/>
    <mergeCell ref="S100:T100"/>
    <mergeCell ref="V99:W99"/>
    <mergeCell ref="BK85:BQ85"/>
    <mergeCell ref="BS85:BY85"/>
    <mergeCell ref="AC87:AR87"/>
    <mergeCell ref="AC88:AR88"/>
    <mergeCell ref="AC89:AR89"/>
    <mergeCell ref="AC90:AR90"/>
    <mergeCell ref="M91:N91"/>
    <mergeCell ref="O91:P91"/>
    <mergeCell ref="AC91:AR91"/>
    <mergeCell ref="L86:N86"/>
    <mergeCell ref="L87:P87"/>
    <mergeCell ref="AU84:BD84"/>
    <mergeCell ref="AU85:BA85"/>
    <mergeCell ref="BC85:BI85"/>
    <mergeCell ref="A75:G75"/>
    <mergeCell ref="I75:O75"/>
    <mergeCell ref="Q75:W75"/>
    <mergeCell ref="Y75:AE75"/>
    <mergeCell ref="AG75:AM75"/>
    <mergeCell ref="A83:AJ83"/>
    <mergeCell ref="A84:AH84"/>
    <mergeCell ref="Q60:R60"/>
    <mergeCell ref="A59:B59"/>
    <mergeCell ref="C59:G59"/>
    <mergeCell ref="K59:O59"/>
    <mergeCell ref="A60:B60"/>
    <mergeCell ref="K60:N60"/>
    <mergeCell ref="C60:F60"/>
    <mergeCell ref="AO66:AU66"/>
    <mergeCell ref="AO75:AU75"/>
    <mergeCell ref="I66:O66"/>
    <mergeCell ref="I60:J60"/>
    <mergeCell ref="AH65:AJ65"/>
    <mergeCell ref="Q66:W66"/>
    <mergeCell ref="Y66:AE66"/>
    <mergeCell ref="AG66:AM66"/>
    <mergeCell ref="S60:U60"/>
    <mergeCell ref="A61:I61"/>
    <mergeCell ref="A65:O65"/>
    <mergeCell ref="A66:G66"/>
    <mergeCell ref="A39:G39"/>
    <mergeCell ref="I39:O39"/>
    <mergeCell ref="Q39:W39"/>
    <mergeCell ref="Y39:AE39"/>
    <mergeCell ref="I48:O48"/>
    <mergeCell ref="Q48:W48"/>
    <mergeCell ref="Y48:AE48"/>
    <mergeCell ref="S59:U59"/>
    <mergeCell ref="S58:U58"/>
    <mergeCell ref="Y58:Z58"/>
    <mergeCell ref="AA58:AD58"/>
    <mergeCell ref="Y59:Z59"/>
    <mergeCell ref="AA59:AC59"/>
    <mergeCell ref="A48:G48"/>
    <mergeCell ref="A57:G57"/>
    <mergeCell ref="A58:B58"/>
    <mergeCell ref="C58:F58"/>
    <mergeCell ref="I58:J58"/>
    <mergeCell ref="K58:M58"/>
    <mergeCell ref="Q58:R58"/>
    <mergeCell ref="I59:J59"/>
    <mergeCell ref="Q59:R59"/>
    <mergeCell ref="A1:J1"/>
    <mergeCell ref="N1:T1"/>
    <mergeCell ref="AA1:AC1"/>
    <mergeCell ref="A2:G2"/>
    <mergeCell ref="I2:O2"/>
    <mergeCell ref="Q2:W2"/>
    <mergeCell ref="Y2:AE2"/>
    <mergeCell ref="AH10:AI10"/>
    <mergeCell ref="AH11:AI11"/>
    <mergeCell ref="AJ4:AK4"/>
    <mergeCell ref="AJ5:AK5"/>
    <mergeCell ref="AH9:AI9"/>
    <mergeCell ref="A11:G11"/>
    <mergeCell ref="I11:O11"/>
    <mergeCell ref="Q11:W11"/>
    <mergeCell ref="Y11:AE11"/>
    <mergeCell ref="Q30:W30"/>
    <mergeCell ref="Y30:AE30"/>
    <mergeCell ref="A20:G20"/>
    <mergeCell ref="I20:O20"/>
    <mergeCell ref="Q20:W20"/>
    <mergeCell ref="Y20:AE20"/>
    <mergeCell ref="A29:J29"/>
    <mergeCell ref="A30:G30"/>
    <mergeCell ref="I30:O30"/>
  </mergeCells>
  <hyperlinks>
    <hyperlink ref="L16" r:id="rId1" display="http://www.calendarpedia.com/" xr:uid="{00000000-0004-0000-2500-000000000000}"/>
    <hyperlink ref="AC29" r:id="rId2" display="http://www.calendarpedia.com/" xr:uid="{00000000-0004-0000-2500-000001000000}"/>
    <hyperlink ref="O43" r:id="rId3" display="http://www.calendarpedia.com/" xr:uid="{00000000-0004-0000-2500-000002000000}"/>
    <hyperlink ref="A61" r:id="rId4" xr:uid="{00000000-0004-0000-2500-000003000000}"/>
    <hyperlink ref="AP71" r:id="rId5" display="http://www.calendarpedia.com/" xr:uid="{00000000-0004-0000-2500-000004000000}"/>
    <hyperlink ref="BW84" r:id="rId6" display="http://www.calendarpedia.com/" xr:uid="{00000000-0004-0000-2500-000005000000}"/>
    <hyperlink ref="BF99" r:id="rId7" display="http://www.calendarpedia.com/" xr:uid="{00000000-0004-0000-2500-000006000000}"/>
    <hyperlink ref="J126" r:id="rId8" xr:uid="{00000000-0004-0000-2500-000007000000}"/>
    <hyperlink ref="AC148" r:id="rId9" display="http://www.calendarpedia.com/" xr:uid="{00000000-0004-0000-2500-000008000000}"/>
    <hyperlink ref="L163" r:id="rId10" display="http://www.calendarpedia.com/" xr:uid="{00000000-0004-0000-2500-000009000000}"/>
  </hyperlinks>
  <pageMargins left="0.7" right="0.7" top="0.75" bottom="0.75" header="0.3" footer="0.3"/>
  <legacyDrawing r:id="rId1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outlinePr summaryBelow="0" summaryRight="0"/>
    <pageSetUpPr fitToPage="1"/>
  </sheetPr>
  <dimension ref="A1:U119"/>
  <sheetViews>
    <sheetView workbookViewId="0"/>
  </sheetViews>
  <sheetFormatPr defaultColWidth="12.7109375" defaultRowHeight="12.75" customHeight="1"/>
  <cols>
    <col min="1" max="1" width="17.7109375" customWidth="1"/>
    <col min="2" max="3" width="11.28515625" customWidth="1"/>
    <col min="4" max="4" width="12.7109375" customWidth="1"/>
    <col min="5" max="7" width="11.7109375" customWidth="1"/>
    <col min="8" max="8" width="11.85546875" customWidth="1"/>
    <col min="9" max="9" width="11.28515625" customWidth="1"/>
    <col min="10" max="10" width="10.85546875" customWidth="1"/>
    <col min="11" max="11" width="10.7109375" customWidth="1"/>
    <col min="12" max="12" width="9.140625" customWidth="1"/>
    <col min="13" max="13" width="11.28515625" customWidth="1"/>
    <col min="14" max="14" width="7.140625" customWidth="1"/>
    <col min="15" max="15" width="8.28515625" customWidth="1"/>
    <col min="16" max="16" width="2" customWidth="1"/>
    <col min="17" max="17" width="17.28515625" customWidth="1"/>
    <col min="18" max="18" width="7.7109375" customWidth="1"/>
    <col min="19" max="19" width="6.140625" customWidth="1"/>
    <col min="20" max="20" width="5.28515625" customWidth="1"/>
    <col min="21" max="21" width="5.7109375" customWidth="1"/>
  </cols>
  <sheetData>
    <row r="1" spans="1:20">
      <c r="A1" s="1249" t="s">
        <v>7260</v>
      </c>
      <c r="B1" s="1250">
        <v>2018</v>
      </c>
      <c r="C1" s="1251"/>
      <c r="D1" s="133"/>
      <c r="E1" s="133"/>
      <c r="F1" s="133"/>
      <c r="G1" s="133"/>
      <c r="H1" s="133"/>
      <c r="I1" s="133"/>
      <c r="J1" s="133"/>
      <c r="L1" s="133"/>
      <c r="M1" s="133"/>
      <c r="N1" s="133"/>
      <c r="O1" s="133"/>
      <c r="Q1" s="1252" t="s">
        <v>4794</v>
      </c>
      <c r="R1" s="1253">
        <v>2016</v>
      </c>
      <c r="S1" s="1253">
        <v>2015</v>
      </c>
      <c r="T1" s="1253">
        <v>2014</v>
      </c>
    </row>
    <row r="2" spans="1:20">
      <c r="A2" s="1254" t="s">
        <v>7261</v>
      </c>
      <c r="B2" s="1255" t="s">
        <v>7262</v>
      </c>
      <c r="C2" s="1255" t="s">
        <v>7262</v>
      </c>
      <c r="D2" s="1255" t="s">
        <v>7262</v>
      </c>
      <c r="E2" s="1255" t="s">
        <v>7262</v>
      </c>
      <c r="G2" s="1256" t="s">
        <v>7262</v>
      </c>
      <c r="H2" s="1256" t="s">
        <v>7262</v>
      </c>
      <c r="I2" s="1256" t="s">
        <v>7262</v>
      </c>
      <c r="J2" s="1256" t="s">
        <v>7262</v>
      </c>
      <c r="K2" s="1256" t="s">
        <v>7262</v>
      </c>
      <c r="L2" s="1257"/>
      <c r="M2" s="1258"/>
      <c r="N2" s="2269"/>
      <c r="O2" s="2095"/>
      <c r="P2" s="41"/>
      <c r="Q2" s="41" t="s">
        <v>7263</v>
      </c>
      <c r="S2" s="9">
        <f>2508+7</f>
        <v>2515</v>
      </c>
      <c r="T2" s="16">
        <v>2306</v>
      </c>
    </row>
    <row r="3" spans="1:20">
      <c r="A3" s="1260"/>
      <c r="B3" s="1261">
        <v>2012</v>
      </c>
      <c r="C3" s="1261">
        <v>41474</v>
      </c>
      <c r="D3" s="1261">
        <v>2016</v>
      </c>
      <c r="E3" s="1261">
        <v>2006</v>
      </c>
      <c r="G3" s="1262">
        <v>2012</v>
      </c>
      <c r="H3" s="1262">
        <v>41604</v>
      </c>
      <c r="I3" s="1262">
        <v>42156</v>
      </c>
      <c r="J3" s="1262">
        <v>42298</v>
      </c>
      <c r="K3" s="1262">
        <v>42566</v>
      </c>
      <c r="L3" s="2270" t="s">
        <v>7264</v>
      </c>
      <c r="M3" s="2137"/>
      <c r="N3" s="2271"/>
      <c r="O3" s="2137"/>
      <c r="P3" s="41"/>
      <c r="Q3" s="41" t="s">
        <v>7265</v>
      </c>
      <c r="R3" s="9">
        <v>0</v>
      </c>
      <c r="S3" s="9">
        <v>0</v>
      </c>
      <c r="T3" s="16">
        <v>6360</v>
      </c>
    </row>
    <row r="4" spans="1:20">
      <c r="A4" s="1260"/>
      <c r="B4" s="1263" t="s">
        <v>5752</v>
      </c>
      <c r="C4" s="1263" t="s">
        <v>5747</v>
      </c>
      <c r="D4" s="1263" t="s">
        <v>7266</v>
      </c>
      <c r="E4" s="1263" t="s">
        <v>7267</v>
      </c>
      <c r="G4" s="1264" t="s">
        <v>7268</v>
      </c>
      <c r="H4" s="1264" t="s">
        <v>7269</v>
      </c>
      <c r="I4" s="1264" t="s">
        <v>7270</v>
      </c>
      <c r="J4" s="1264" t="s">
        <v>5748</v>
      </c>
      <c r="K4" s="1264" t="s">
        <v>7271</v>
      </c>
      <c r="L4" s="1265" t="s">
        <v>3534</v>
      </c>
      <c r="M4" s="1266" t="s">
        <v>7272</v>
      </c>
      <c r="N4" s="1260"/>
      <c r="O4" s="1267"/>
      <c r="P4" s="41"/>
      <c r="Q4" s="41" t="s">
        <v>7273</v>
      </c>
      <c r="R4" s="9">
        <v>27</v>
      </c>
      <c r="T4" s="16">
        <v>27</v>
      </c>
    </row>
    <row r="5" spans="1:20">
      <c r="A5" s="41" t="s">
        <v>7274</v>
      </c>
      <c r="B5" s="1268">
        <f>900*12</f>
        <v>10800</v>
      </c>
      <c r="C5" s="1268">
        <v>5175</v>
      </c>
      <c r="D5" s="1268">
        <v>0</v>
      </c>
      <c r="E5" s="1268">
        <v>0</v>
      </c>
      <c r="G5" s="1269">
        <f>800*12</f>
        <v>9600</v>
      </c>
      <c r="H5" s="1269">
        <v>33285</v>
      </c>
      <c r="I5" s="1269">
        <v>31996</v>
      </c>
      <c r="J5" s="1269">
        <f>700*12</f>
        <v>8400</v>
      </c>
      <c r="K5" s="1269">
        <f>575*12</f>
        <v>6900</v>
      </c>
      <c r="L5" s="41" t="s">
        <v>38</v>
      </c>
      <c r="M5" s="1251">
        <f>588+353</f>
        <v>941</v>
      </c>
      <c r="N5" s="41"/>
      <c r="O5" s="1270"/>
      <c r="P5" s="41"/>
      <c r="Q5" s="41" t="s">
        <v>7275</v>
      </c>
      <c r="S5" s="9">
        <v>0</v>
      </c>
      <c r="T5" s="16">
        <v>0</v>
      </c>
    </row>
    <row r="6" spans="1:20">
      <c r="A6" s="1271" t="s">
        <v>270</v>
      </c>
      <c r="B6" s="153"/>
      <c r="C6" s="153"/>
      <c r="D6" s="153"/>
      <c r="E6" s="153"/>
      <c r="G6" s="1272"/>
      <c r="H6" s="1272"/>
      <c r="I6" s="1272"/>
      <c r="J6" s="1272"/>
      <c r="K6" s="1272"/>
      <c r="L6" s="41" t="s">
        <v>7276</v>
      </c>
      <c r="M6" s="1251">
        <v>1500</v>
      </c>
      <c r="N6" s="41"/>
      <c r="O6" s="1270"/>
      <c r="P6" s="41"/>
      <c r="Q6" s="41" t="s">
        <v>7277</v>
      </c>
      <c r="T6" s="16">
        <v>1099</v>
      </c>
    </row>
    <row r="7" spans="1:20">
      <c r="A7" s="41" t="s">
        <v>3313</v>
      </c>
      <c r="B7" s="153"/>
      <c r="C7" s="153"/>
      <c r="D7" s="153"/>
      <c r="E7" s="153"/>
      <c r="G7" s="1272"/>
      <c r="H7" s="1272"/>
      <c r="I7" s="1272"/>
      <c r="J7" s="1272"/>
      <c r="K7" s="1272"/>
      <c r="L7" s="1271" t="s">
        <v>270</v>
      </c>
      <c r="M7" s="1270"/>
      <c r="N7" s="41"/>
      <c r="O7" s="1270"/>
      <c r="P7" s="41"/>
      <c r="Q7" s="41" t="s">
        <v>7278</v>
      </c>
      <c r="T7" s="16">
        <v>1099</v>
      </c>
    </row>
    <row r="8" spans="1:20">
      <c r="A8" s="41" t="s">
        <v>7279</v>
      </c>
      <c r="B8" s="1273" t="s">
        <v>7280</v>
      </c>
      <c r="C8" s="1273" t="s">
        <v>7281</v>
      </c>
      <c r="D8" s="1273" t="s">
        <v>7282</v>
      </c>
      <c r="E8" s="1273">
        <v>0</v>
      </c>
      <c r="G8" s="1269" t="s">
        <v>7283</v>
      </c>
      <c r="H8" s="1269" t="s">
        <v>7284</v>
      </c>
      <c r="I8" s="1269" t="s">
        <v>7284</v>
      </c>
      <c r="J8" s="1269" t="s">
        <v>7285</v>
      </c>
      <c r="K8" s="1269" t="s">
        <v>7286</v>
      </c>
      <c r="L8" s="41" t="s">
        <v>7287</v>
      </c>
      <c r="M8" s="1251">
        <v>129</v>
      </c>
      <c r="N8" s="41"/>
      <c r="O8" s="1270"/>
      <c r="P8" s="41"/>
      <c r="Q8" s="41" t="s">
        <v>7288</v>
      </c>
      <c r="T8" s="16">
        <v>6900</v>
      </c>
    </row>
    <row r="9" spans="1:20">
      <c r="A9" s="41" t="s">
        <v>7289</v>
      </c>
      <c r="B9" s="1268">
        <v>298</v>
      </c>
      <c r="C9" s="1268">
        <v>0</v>
      </c>
      <c r="D9" s="1268">
        <v>0</v>
      </c>
      <c r="E9" s="1268">
        <v>678</v>
      </c>
      <c r="G9" s="1269">
        <v>0</v>
      </c>
      <c r="H9" s="1269">
        <v>411</v>
      </c>
      <c r="I9" s="1269">
        <v>411</v>
      </c>
      <c r="J9" s="1269">
        <v>0</v>
      </c>
      <c r="K9" s="1269">
        <v>217</v>
      </c>
      <c r="L9" s="41"/>
      <c r="M9" s="1251"/>
      <c r="N9" s="41"/>
      <c r="O9" s="1270"/>
      <c r="P9" s="41"/>
      <c r="Q9" s="41" t="s">
        <v>3314</v>
      </c>
      <c r="S9" s="9">
        <v>0</v>
      </c>
      <c r="T9" s="16">
        <v>13</v>
      </c>
    </row>
    <row r="10" spans="1:20">
      <c r="A10" s="41" t="s">
        <v>4822</v>
      </c>
      <c r="B10" s="1268">
        <v>632</v>
      </c>
      <c r="C10" s="1268">
        <v>501</v>
      </c>
      <c r="D10" s="1268">
        <v>1463</v>
      </c>
      <c r="E10" s="1268">
        <f>705+345</f>
        <v>1050</v>
      </c>
      <c r="G10" s="1269">
        <v>457</v>
      </c>
      <c r="H10" s="1269">
        <v>1463</v>
      </c>
      <c r="I10" s="1269">
        <v>1961.13</v>
      </c>
      <c r="J10" s="1269">
        <v>455</v>
      </c>
      <c r="K10" s="1269">
        <v>411</v>
      </c>
      <c r="L10" s="9" t="s">
        <v>7290</v>
      </c>
      <c r="M10" s="1251">
        <f>72*47*2</f>
        <v>6768</v>
      </c>
      <c r="N10" s="41"/>
      <c r="O10" s="1270"/>
      <c r="P10" s="41"/>
      <c r="Q10" s="41" t="s">
        <v>7291</v>
      </c>
      <c r="R10" s="9">
        <v>0</v>
      </c>
      <c r="S10" s="9"/>
    </row>
    <row r="11" spans="1:20">
      <c r="A11" s="41" t="s">
        <v>7292</v>
      </c>
      <c r="B11" s="1268">
        <v>879</v>
      </c>
      <c r="C11" s="1268">
        <v>0</v>
      </c>
      <c r="D11" s="1268">
        <v>0</v>
      </c>
      <c r="E11" s="1268">
        <v>0</v>
      </c>
      <c r="G11" s="1269">
        <v>0</v>
      </c>
      <c r="H11" s="1269">
        <v>2214</v>
      </c>
      <c r="I11" s="1269">
        <v>868</v>
      </c>
      <c r="J11" s="1269">
        <v>0</v>
      </c>
      <c r="K11" s="1269">
        <v>0</v>
      </c>
      <c r="L11" s="41" t="s">
        <v>7293</v>
      </c>
      <c r="M11" s="1251">
        <v>30</v>
      </c>
      <c r="N11" s="41"/>
      <c r="O11" s="1270"/>
      <c r="P11" s="41"/>
      <c r="Q11" s="41" t="s">
        <v>725</v>
      </c>
      <c r="R11" s="9"/>
      <c r="T11" s="16"/>
    </row>
    <row r="12" spans="1:20">
      <c r="A12" s="41" t="s">
        <v>7294</v>
      </c>
      <c r="B12" s="1268">
        <v>0</v>
      </c>
      <c r="C12" s="1268">
        <v>0</v>
      </c>
      <c r="D12" s="1268">
        <v>0</v>
      </c>
      <c r="E12" s="1268">
        <v>0</v>
      </c>
      <c r="G12" s="1269">
        <v>0</v>
      </c>
      <c r="H12" s="1269">
        <v>0</v>
      </c>
      <c r="I12" s="1269">
        <v>0</v>
      </c>
      <c r="J12" s="1269">
        <v>0</v>
      </c>
      <c r="K12" s="1269">
        <v>0</v>
      </c>
      <c r="L12" s="41" t="s">
        <v>7295</v>
      </c>
      <c r="M12" s="1251">
        <v>281</v>
      </c>
      <c r="N12" s="41"/>
      <c r="O12" s="1270"/>
      <c r="P12" s="41"/>
      <c r="Q12" s="41"/>
      <c r="S12" s="9"/>
      <c r="T12" s="16"/>
    </row>
    <row r="13" spans="1:20">
      <c r="A13" s="41" t="s">
        <v>5024</v>
      </c>
      <c r="B13" s="1274">
        <v>0</v>
      </c>
      <c r="C13" s="1274">
        <v>0</v>
      </c>
      <c r="D13" s="1274"/>
      <c r="E13" s="1274"/>
      <c r="G13" s="1269">
        <v>0</v>
      </c>
      <c r="H13" s="1269"/>
      <c r="I13" s="1269"/>
      <c r="J13" s="1269">
        <v>0</v>
      </c>
      <c r="K13" s="1269">
        <v>0</v>
      </c>
      <c r="L13" s="245" t="s">
        <v>7296</v>
      </c>
      <c r="M13" s="1251">
        <f>82+15</f>
        <v>97</v>
      </c>
      <c r="N13" s="41"/>
      <c r="O13" s="1270"/>
      <c r="P13" s="41"/>
      <c r="Q13" s="41"/>
      <c r="S13" s="9"/>
      <c r="T13" s="16"/>
    </row>
    <row r="14" spans="1:20">
      <c r="A14" s="41" t="s">
        <v>6860</v>
      </c>
      <c r="B14" s="1268">
        <v>0</v>
      </c>
      <c r="C14" s="1268">
        <v>0</v>
      </c>
      <c r="D14" s="1268">
        <v>56561</v>
      </c>
      <c r="E14" s="1268">
        <v>45121</v>
      </c>
      <c r="G14" s="1269">
        <v>0</v>
      </c>
      <c r="H14" s="1269">
        <v>0</v>
      </c>
      <c r="I14" s="1269">
        <v>0</v>
      </c>
      <c r="J14" s="1269">
        <v>0</v>
      </c>
      <c r="K14" s="1269">
        <v>0</v>
      </c>
      <c r="L14" s="41"/>
      <c r="M14" s="1270"/>
      <c r="N14" s="41"/>
      <c r="O14" s="1270"/>
      <c r="P14" s="449"/>
      <c r="Q14" s="133"/>
      <c r="R14" s="133"/>
      <c r="S14" s="133"/>
      <c r="T14" s="133"/>
    </row>
    <row r="15" spans="1:20">
      <c r="A15" s="41" t="s">
        <v>7035</v>
      </c>
      <c r="B15" s="1268">
        <v>4115</v>
      </c>
      <c r="C15" s="1268">
        <v>3146</v>
      </c>
      <c r="D15" s="1268">
        <v>2894</v>
      </c>
      <c r="E15" s="1268">
        <v>7435</v>
      </c>
      <c r="G15" s="1269">
        <v>232</v>
      </c>
      <c r="H15" s="1269">
        <v>2148</v>
      </c>
      <c r="I15" s="1269">
        <v>1887</v>
      </c>
      <c r="J15" s="1269">
        <v>69</v>
      </c>
      <c r="K15" s="1269">
        <v>1812</v>
      </c>
      <c r="L15" s="41"/>
      <c r="M15" s="1270"/>
      <c r="N15" s="41"/>
      <c r="O15" s="1270"/>
      <c r="P15" s="41"/>
      <c r="Q15" s="1252" t="s">
        <v>7297</v>
      </c>
      <c r="R15" s="1275"/>
      <c r="S15" s="1275"/>
      <c r="T15" s="1276"/>
    </row>
    <row r="16" spans="1:20">
      <c r="A16" s="41" t="s">
        <v>7298</v>
      </c>
      <c r="B16" s="1268">
        <v>287</v>
      </c>
      <c r="C16" s="1268">
        <v>872</v>
      </c>
      <c r="D16" s="1268">
        <v>654</v>
      </c>
      <c r="E16" s="1268">
        <v>369</v>
      </c>
      <c r="G16" s="1269">
        <v>0</v>
      </c>
      <c r="H16" s="1269">
        <v>81</v>
      </c>
      <c r="I16" s="1269">
        <v>78</v>
      </c>
      <c r="J16" s="1269">
        <v>0</v>
      </c>
      <c r="K16" s="1269">
        <v>111</v>
      </c>
      <c r="L16" s="41"/>
      <c r="M16" s="1270"/>
      <c r="N16" s="41"/>
      <c r="O16" s="1270"/>
      <c r="P16" s="41"/>
      <c r="Q16" s="41" t="s">
        <v>7299</v>
      </c>
      <c r="R16" s="9">
        <v>120</v>
      </c>
      <c r="T16" s="42">
        <v>120</v>
      </c>
    </row>
    <row r="17" spans="1:21">
      <c r="A17" s="41" t="s">
        <v>4399</v>
      </c>
      <c r="B17" s="1268">
        <f>634.64*2</f>
        <v>1269.28</v>
      </c>
      <c r="C17" s="1268">
        <f>235.97*2</f>
        <v>471.94</v>
      </c>
      <c r="D17" s="1268">
        <f>1288.98*2</f>
        <v>2577.96</v>
      </c>
      <c r="E17" s="1277">
        <v>0</v>
      </c>
      <c r="G17" s="1269">
        <f>395.48*2</f>
        <v>790.96</v>
      </c>
      <c r="H17" s="1269">
        <f>1288.98*2</f>
        <v>2577.96</v>
      </c>
      <c r="I17" s="1269">
        <f>1288.98*2</f>
        <v>2577.96</v>
      </c>
      <c r="J17" s="1269">
        <f>247.82*2</f>
        <v>495.64</v>
      </c>
      <c r="K17" s="1269">
        <f>365.76*2</f>
        <v>731.52</v>
      </c>
      <c r="L17" s="41"/>
      <c r="M17" s="1270"/>
      <c r="N17" s="41"/>
      <c r="O17" s="1270"/>
      <c r="P17" s="41"/>
      <c r="Q17" s="41" t="s">
        <v>7300</v>
      </c>
      <c r="R17" s="9">
        <v>145</v>
      </c>
      <c r="T17" s="42">
        <v>200</v>
      </c>
    </row>
    <row r="18" spans="1:21">
      <c r="A18" s="41" t="s">
        <v>7301</v>
      </c>
      <c r="B18" s="1268">
        <v>342</v>
      </c>
      <c r="C18" s="1268">
        <v>67</v>
      </c>
      <c r="D18" s="1268">
        <f>72.9*11</f>
        <v>801.90000000000009</v>
      </c>
      <c r="E18" s="1268">
        <v>424</v>
      </c>
      <c r="G18" s="1269">
        <v>0</v>
      </c>
      <c r="H18" s="1269">
        <f>712.9*6</f>
        <v>4277.3999999999996</v>
      </c>
      <c r="I18" s="1269">
        <f>712.9*6</f>
        <v>4277.3999999999996</v>
      </c>
      <c r="J18" s="1269">
        <v>0</v>
      </c>
      <c r="K18" s="1269">
        <v>2839</v>
      </c>
      <c r="L18" s="41"/>
      <c r="M18" s="1270"/>
      <c r="N18" s="41"/>
      <c r="O18" s="1270"/>
      <c r="P18" s="41"/>
      <c r="Q18" s="41" t="s">
        <v>7302</v>
      </c>
      <c r="R18" s="9">
        <v>200</v>
      </c>
      <c r="S18" s="9"/>
      <c r="T18" s="42">
        <v>200</v>
      </c>
    </row>
    <row r="19" spans="1:21">
      <c r="A19" s="41" t="s">
        <v>7303</v>
      </c>
      <c r="B19" s="1277">
        <v>306.99</v>
      </c>
      <c r="C19" s="1277">
        <v>306.99</v>
      </c>
      <c r="D19" s="1277">
        <v>900</v>
      </c>
      <c r="E19" s="1277">
        <v>900</v>
      </c>
      <c r="G19" s="1269" t="s">
        <v>135</v>
      </c>
      <c r="H19" s="1269">
        <v>6173.36</v>
      </c>
      <c r="I19" s="1269">
        <v>5000</v>
      </c>
      <c r="J19" s="1269">
        <v>342</v>
      </c>
      <c r="K19" s="1269">
        <v>533</v>
      </c>
      <c r="L19" s="2252" t="s">
        <v>7304</v>
      </c>
      <c r="M19" s="2087"/>
      <c r="N19" s="41"/>
      <c r="O19" s="1270"/>
      <c r="P19" s="41"/>
      <c r="Q19" s="41" t="s">
        <v>7305</v>
      </c>
      <c r="R19" s="9">
        <v>8988</v>
      </c>
      <c r="T19" s="42">
        <f>749*12</f>
        <v>8988</v>
      </c>
    </row>
    <row r="20" spans="1:21">
      <c r="A20" s="41" t="s">
        <v>7306</v>
      </c>
      <c r="B20" s="1278">
        <v>45000</v>
      </c>
      <c r="C20" s="1278">
        <v>33000</v>
      </c>
      <c r="D20" s="1278">
        <v>20000</v>
      </c>
      <c r="E20" s="1278">
        <v>425000</v>
      </c>
      <c r="G20" s="1279">
        <v>45000</v>
      </c>
      <c r="H20" s="1279">
        <v>122000</v>
      </c>
      <c r="I20" s="1279">
        <v>50000</v>
      </c>
      <c r="J20" s="1279">
        <v>25000</v>
      </c>
      <c r="K20" s="1279">
        <v>120000</v>
      </c>
      <c r="L20" s="41" t="s">
        <v>7307</v>
      </c>
      <c r="M20" s="1251">
        <v>5000</v>
      </c>
      <c r="N20" s="41"/>
      <c r="O20" s="1270"/>
      <c r="P20" s="41"/>
      <c r="Q20" s="41" t="s">
        <v>7308</v>
      </c>
      <c r="R20" s="9">
        <v>576</v>
      </c>
      <c r="T20" s="42">
        <v>660</v>
      </c>
    </row>
    <row r="21" spans="1:21">
      <c r="A21" s="1280" t="s">
        <v>7309</v>
      </c>
      <c r="B21" s="1268">
        <v>15000</v>
      </c>
      <c r="C21" s="1268">
        <v>15000</v>
      </c>
      <c r="D21" s="1268">
        <v>15000</v>
      </c>
      <c r="E21" s="1277">
        <v>40000</v>
      </c>
      <c r="G21" s="1281">
        <v>15000</v>
      </c>
      <c r="H21" s="1279">
        <v>40000</v>
      </c>
      <c r="I21" s="1279">
        <v>40000</v>
      </c>
      <c r="J21" s="1279">
        <v>15000</v>
      </c>
      <c r="K21" s="1279">
        <v>55000</v>
      </c>
      <c r="L21" s="41" t="s">
        <v>7310</v>
      </c>
      <c r="M21" s="1251">
        <v>5000</v>
      </c>
      <c r="N21" s="41"/>
      <c r="O21" s="1270"/>
      <c r="P21" s="41"/>
      <c r="Q21" s="41" t="s">
        <v>7311</v>
      </c>
      <c r="R21" s="9">
        <v>0</v>
      </c>
      <c r="S21" s="9"/>
      <c r="T21" s="44">
        <v>158</v>
      </c>
    </row>
    <row r="22" spans="1:21">
      <c r="A22" s="9" t="s">
        <v>7312</v>
      </c>
      <c r="B22" s="1282">
        <v>43131</v>
      </c>
      <c r="C22" s="1282">
        <v>43131</v>
      </c>
      <c r="D22" s="1282">
        <v>43420</v>
      </c>
      <c r="E22" s="1282">
        <v>43448</v>
      </c>
      <c r="G22" s="1283">
        <v>43055</v>
      </c>
      <c r="H22" s="1283">
        <v>43039</v>
      </c>
      <c r="I22" s="1283">
        <v>43040</v>
      </c>
      <c r="J22" s="1283">
        <v>43074</v>
      </c>
      <c r="K22" s="1283">
        <v>43055</v>
      </c>
      <c r="L22" s="9"/>
      <c r="M22" s="1251"/>
      <c r="N22" s="41"/>
      <c r="O22" s="1270"/>
      <c r="P22" s="41"/>
      <c r="Q22" s="41" t="s">
        <v>7313</v>
      </c>
      <c r="R22" s="9">
        <v>0</v>
      </c>
      <c r="T22" s="44">
        <v>0</v>
      </c>
    </row>
    <row r="23" spans="1:21">
      <c r="A23" s="9" t="s">
        <v>7314</v>
      </c>
      <c r="B23" s="67">
        <v>110000</v>
      </c>
      <c r="C23" s="67">
        <v>75000</v>
      </c>
      <c r="D23" s="67">
        <v>120000</v>
      </c>
      <c r="E23" s="67">
        <v>395000</v>
      </c>
      <c r="G23" s="1284">
        <v>120000</v>
      </c>
      <c r="H23" s="1284">
        <f>675000/2</f>
        <v>337500</v>
      </c>
      <c r="I23" s="1284">
        <f>675000/2</f>
        <v>337500</v>
      </c>
      <c r="J23" s="1284">
        <v>95000</v>
      </c>
      <c r="K23" s="1284">
        <v>150000</v>
      </c>
      <c r="N23" s="41"/>
      <c r="O23" s="1270"/>
      <c r="P23" s="41"/>
      <c r="Q23" s="41" t="s">
        <v>7315</v>
      </c>
      <c r="R23" s="9">
        <v>100</v>
      </c>
      <c r="S23" s="9"/>
      <c r="T23" s="42">
        <v>300</v>
      </c>
    </row>
    <row r="24" spans="1:21">
      <c r="A24" s="1285" t="s">
        <v>7316</v>
      </c>
      <c r="B24" s="1286"/>
      <c r="C24" s="1286"/>
      <c r="D24" s="1286"/>
      <c r="E24" s="1287">
        <v>21760</v>
      </c>
      <c r="G24" s="1287"/>
      <c r="H24" s="1286">
        <f>583750/2</f>
        <v>291875</v>
      </c>
      <c r="I24" s="1286">
        <f>583750/2</f>
        <v>291875</v>
      </c>
      <c r="J24" s="1287" t="s">
        <v>7317</v>
      </c>
      <c r="K24" s="1288">
        <v>10000</v>
      </c>
      <c r="L24" s="1285"/>
      <c r="M24" s="760"/>
      <c r="N24" s="41"/>
      <c r="O24" s="1270">
        <f>26*5*20</f>
        <v>2600</v>
      </c>
      <c r="P24" s="41"/>
      <c r="Q24" s="77" t="s">
        <v>7318</v>
      </c>
      <c r="S24" s="133"/>
      <c r="T24" s="135">
        <v>825</v>
      </c>
    </row>
    <row r="25" spans="1:21">
      <c r="A25" s="2272" t="s">
        <v>7319</v>
      </c>
      <c r="B25" s="2087"/>
      <c r="C25" s="1286"/>
      <c r="D25" s="1286"/>
      <c r="E25" s="1286"/>
      <c r="F25" s="1286"/>
      <c r="G25" s="1286"/>
      <c r="H25" s="1286">
        <f>H23*7/100</f>
        <v>23625</v>
      </c>
      <c r="I25" s="1286">
        <f>I23*7/100</f>
        <v>23625</v>
      </c>
      <c r="J25" s="1286">
        <v>2000</v>
      </c>
      <c r="K25" s="1288">
        <f>K23-K15-K19-K24-K20</f>
        <v>17655</v>
      </c>
      <c r="L25" s="1285" t="s">
        <v>7320</v>
      </c>
      <c r="M25" s="760" t="s">
        <v>80</v>
      </c>
      <c r="N25" s="41"/>
      <c r="O25" s="1270"/>
      <c r="P25" s="41"/>
      <c r="Q25" s="38"/>
      <c r="R25" s="38"/>
      <c r="S25" s="38"/>
      <c r="T25" s="38"/>
    </row>
    <row r="26" spans="1:21">
      <c r="A26" s="2272"/>
      <c r="B26" s="2087"/>
      <c r="C26" s="2087"/>
      <c r="D26" s="2087"/>
      <c r="E26" s="1286"/>
      <c r="F26" s="1286"/>
      <c r="G26" s="1286"/>
      <c r="H26" s="1286">
        <f>H23-H24-H25</f>
        <v>22000</v>
      </c>
      <c r="I26" s="1286">
        <f>I23-I24-I25</f>
        <v>22000</v>
      </c>
      <c r="J26" s="1286" t="e">
        <f>J23-J24-J25</f>
        <v>#VALUE!</v>
      </c>
      <c r="K26" s="1289">
        <f>K23-K24-K25</f>
        <v>122345</v>
      </c>
      <c r="L26" s="1287" t="s">
        <v>7321</v>
      </c>
      <c r="M26" s="760" t="s">
        <v>83</v>
      </c>
      <c r="N26" s="41"/>
      <c r="O26" s="1270"/>
      <c r="P26" s="41"/>
      <c r="Q26" s="1290"/>
      <c r="R26" s="25"/>
      <c r="S26" s="14"/>
      <c r="T26" s="14"/>
    </row>
    <row r="27" spans="1:21">
      <c r="A27" s="9"/>
      <c r="B27" s="9"/>
      <c r="C27" s="9"/>
      <c r="D27" s="9"/>
      <c r="E27" s="9"/>
      <c r="F27" s="9"/>
      <c r="G27" s="9"/>
      <c r="H27" s="9"/>
      <c r="I27" s="9"/>
      <c r="J27" s="9" t="s">
        <v>7322</v>
      </c>
      <c r="K27" s="44">
        <f>K25*20/100</f>
        <v>3531</v>
      </c>
      <c r="L27" s="760"/>
      <c r="M27" s="760" t="s">
        <v>7323</v>
      </c>
      <c r="N27" s="41"/>
      <c r="O27" s="1270"/>
      <c r="P27" s="41"/>
      <c r="Q27" s="1290"/>
      <c r="R27" s="25"/>
      <c r="S27" s="14"/>
      <c r="T27" s="14"/>
    </row>
    <row r="28" spans="1:21">
      <c r="A28" s="9"/>
      <c r="B28" s="9"/>
      <c r="C28" s="9"/>
      <c r="D28" s="9"/>
      <c r="E28" s="9"/>
      <c r="F28" s="9"/>
      <c r="G28" s="9"/>
      <c r="H28" s="9"/>
      <c r="I28" s="9"/>
      <c r="J28" s="9"/>
      <c r="K28" s="44"/>
      <c r="L28" s="760"/>
      <c r="M28" s="760" t="s">
        <v>7324</v>
      </c>
      <c r="N28" s="41"/>
      <c r="O28" s="1270"/>
      <c r="P28" s="41"/>
      <c r="Q28" s="1290"/>
      <c r="R28" s="25"/>
      <c r="S28" s="14"/>
      <c r="T28" s="14"/>
    </row>
    <row r="29" spans="1:21">
      <c r="A29" s="9"/>
      <c r="B29" s="9"/>
      <c r="C29" s="9"/>
      <c r="D29" s="9"/>
      <c r="E29" s="9"/>
      <c r="F29" s="9"/>
      <c r="G29" s="9"/>
      <c r="H29" s="9"/>
      <c r="I29" s="9"/>
      <c r="J29" s="9"/>
      <c r="K29" s="44"/>
      <c r="L29" s="760"/>
      <c r="M29" s="760"/>
      <c r="N29" s="41"/>
      <c r="O29" s="1270"/>
      <c r="P29" s="41"/>
      <c r="Q29" s="1290"/>
      <c r="R29" s="25"/>
      <c r="S29" s="14"/>
      <c r="T29" s="14"/>
    </row>
    <row r="30" spans="1:21">
      <c r="A30" s="41"/>
      <c r="B30" s="1270"/>
      <c r="C30" s="1270"/>
      <c r="D30" s="1270"/>
      <c r="E30" s="1270"/>
      <c r="F30" s="1270"/>
      <c r="G30" s="1270"/>
      <c r="H30" s="1270"/>
      <c r="I30" s="1270"/>
      <c r="J30" s="1270"/>
      <c r="K30" s="1291"/>
      <c r="L30" s="760"/>
      <c r="M30" s="760"/>
      <c r="N30" s="41"/>
      <c r="O30" s="1270"/>
      <c r="P30" s="449"/>
      <c r="Q30" s="1292" t="s">
        <v>7325</v>
      </c>
      <c r="R30" s="1293"/>
      <c r="S30" s="1294"/>
      <c r="T30" s="1295"/>
      <c r="U30" s="41"/>
    </row>
    <row r="31" spans="1:21">
      <c r="A31" s="41"/>
      <c r="B31" s="1296" t="s">
        <v>7326</v>
      </c>
      <c r="C31" s="1270"/>
      <c r="D31" s="1270"/>
      <c r="E31" s="1270"/>
      <c r="F31" s="1270"/>
      <c r="G31" s="1270"/>
      <c r="H31" s="1270"/>
      <c r="I31" s="1270"/>
      <c r="J31" s="1270"/>
      <c r="K31" s="1296"/>
      <c r="L31" s="1297"/>
      <c r="M31" s="1298"/>
      <c r="N31" s="41"/>
      <c r="O31" s="1270"/>
      <c r="P31" s="449"/>
      <c r="Q31" s="41"/>
      <c r="T31" s="16">
        <v>0</v>
      </c>
      <c r="U31" s="41"/>
    </row>
    <row r="32" spans="1:21">
      <c r="A32" s="47" t="s">
        <v>7327</v>
      </c>
      <c r="B32" s="1296" t="s">
        <v>7328</v>
      </c>
      <c r="C32" s="1296" t="s">
        <v>7329</v>
      </c>
      <c r="D32" s="1296" t="s">
        <v>7330</v>
      </c>
      <c r="E32" s="1296" t="s">
        <v>7331</v>
      </c>
      <c r="F32" s="1296" t="s">
        <v>7332</v>
      </c>
      <c r="G32" s="1296" t="s">
        <v>7333</v>
      </c>
      <c r="H32" s="43" t="s">
        <v>7334</v>
      </c>
      <c r="K32" s="1296"/>
      <c r="L32" s="1297"/>
      <c r="M32" s="1298"/>
      <c r="N32" s="41"/>
      <c r="O32" s="1270"/>
      <c r="P32" s="449"/>
      <c r="Q32" s="41" t="s">
        <v>7335</v>
      </c>
      <c r="S32" s="9">
        <v>200</v>
      </c>
      <c r="T32" s="16">
        <v>200</v>
      </c>
      <c r="U32" s="41"/>
    </row>
    <row r="33" spans="1:21">
      <c r="A33" s="41" t="s">
        <v>7268</v>
      </c>
      <c r="B33" s="1251">
        <v>45000</v>
      </c>
      <c r="C33" s="1251">
        <v>8000</v>
      </c>
      <c r="D33" s="1251">
        <v>120000</v>
      </c>
      <c r="E33" s="1251">
        <v>121315</v>
      </c>
      <c r="F33" s="1251">
        <v>2000</v>
      </c>
      <c r="G33" s="1251">
        <f t="shared" ref="G33:G43" si="0">D33-B33-C33-F33</f>
        <v>65000</v>
      </c>
      <c r="H33" s="16">
        <f t="shared" ref="H33:H38" si="1">D33-E33-F33</f>
        <v>-3315</v>
      </c>
      <c r="K33" s="1251"/>
      <c r="L33" s="245"/>
      <c r="M33" s="44"/>
      <c r="N33" s="41"/>
      <c r="O33" s="1270"/>
      <c r="P33" s="449"/>
      <c r="Q33" s="41" t="s">
        <v>7336</v>
      </c>
      <c r="T33" s="16">
        <v>1200</v>
      </c>
      <c r="U33" s="41"/>
    </row>
    <row r="34" spans="1:21">
      <c r="A34" s="41" t="s">
        <v>7337</v>
      </c>
      <c r="B34" s="1251">
        <v>25000</v>
      </c>
      <c r="C34" s="1251">
        <v>18000</v>
      </c>
      <c r="D34" s="1251">
        <v>95000</v>
      </c>
      <c r="E34" s="1251">
        <v>90000</v>
      </c>
      <c r="F34" s="1251">
        <v>2000</v>
      </c>
      <c r="G34" s="1251">
        <f t="shared" si="0"/>
        <v>50000</v>
      </c>
      <c r="H34" s="16">
        <f t="shared" si="1"/>
        <v>3000</v>
      </c>
      <c r="K34" s="1251"/>
      <c r="L34" s="245"/>
      <c r="M34" s="44"/>
      <c r="N34" s="9"/>
      <c r="O34" s="1270"/>
      <c r="P34" s="449"/>
      <c r="Q34" s="41" t="s">
        <v>7338</v>
      </c>
      <c r="T34" s="16">
        <v>500</v>
      </c>
      <c r="U34" s="41"/>
    </row>
    <row r="35" spans="1:21">
      <c r="A35" s="41" t="s">
        <v>7269</v>
      </c>
      <c r="B35" s="1299">
        <v>110000</v>
      </c>
      <c r="C35" s="1251">
        <v>15000</v>
      </c>
      <c r="D35" s="1300">
        <v>337500</v>
      </c>
      <c r="E35" s="1251">
        <f>583750/2</f>
        <v>291875</v>
      </c>
      <c r="F35" s="1251">
        <v>22250</v>
      </c>
      <c r="G35" s="1251">
        <f t="shared" si="0"/>
        <v>190250</v>
      </c>
      <c r="H35" s="16">
        <f t="shared" si="1"/>
        <v>23375</v>
      </c>
      <c r="K35" s="1251"/>
      <c r="L35" s="245"/>
      <c r="M35" s="44"/>
      <c r="N35" s="9"/>
      <c r="O35" s="1270"/>
      <c r="P35" s="449"/>
      <c r="Q35" s="41" t="s">
        <v>7339</v>
      </c>
      <c r="T35" s="16">
        <v>150</v>
      </c>
      <c r="U35" s="41"/>
    </row>
    <row r="36" spans="1:21">
      <c r="A36" s="41" t="s">
        <v>7270</v>
      </c>
      <c r="B36" s="1251">
        <v>50000</v>
      </c>
      <c r="C36" s="1251">
        <v>40000</v>
      </c>
      <c r="D36" s="1300">
        <v>337500</v>
      </c>
      <c r="E36" s="1251">
        <f>583750/2</f>
        <v>291875</v>
      </c>
      <c r="F36" s="1251">
        <v>22250</v>
      </c>
      <c r="G36" s="1251">
        <f t="shared" si="0"/>
        <v>225250</v>
      </c>
      <c r="H36" s="16">
        <f t="shared" si="1"/>
        <v>23375</v>
      </c>
      <c r="K36" s="1251"/>
      <c r="L36" s="245"/>
      <c r="M36" s="44"/>
      <c r="N36" s="41"/>
      <c r="O36" s="1270"/>
      <c r="P36" s="449"/>
      <c r="Q36" s="9" t="s">
        <v>7340</v>
      </c>
      <c r="S36" s="9">
        <v>50</v>
      </c>
      <c r="U36" s="41"/>
    </row>
    <row r="37" spans="1:21">
      <c r="A37" s="41" t="s">
        <v>7341</v>
      </c>
      <c r="B37" s="1251">
        <v>48000</v>
      </c>
      <c r="C37" s="1251">
        <v>15000</v>
      </c>
      <c r="D37" s="1251">
        <v>125000</v>
      </c>
      <c r="E37" s="1251">
        <v>110000</v>
      </c>
      <c r="F37" s="1251">
        <v>9000</v>
      </c>
      <c r="G37" s="1251">
        <f t="shared" si="0"/>
        <v>53000</v>
      </c>
      <c r="H37" s="16">
        <f t="shared" si="1"/>
        <v>6000</v>
      </c>
      <c r="K37" s="1251"/>
      <c r="L37" s="245"/>
      <c r="M37" s="44"/>
      <c r="N37" s="41"/>
      <c r="O37" s="1270"/>
      <c r="P37" s="449"/>
      <c r="U37" s="41"/>
    </row>
    <row r="38" spans="1:21">
      <c r="A38" s="41" t="s">
        <v>7342</v>
      </c>
      <c r="B38" s="1251">
        <v>120000</v>
      </c>
      <c r="C38" s="1251">
        <v>12000</v>
      </c>
      <c r="D38" s="1251">
        <v>150000</v>
      </c>
      <c r="E38" s="1251">
        <v>120000</v>
      </c>
      <c r="F38" s="1251">
        <v>2000</v>
      </c>
      <c r="G38" s="1251">
        <f t="shared" si="0"/>
        <v>16000</v>
      </c>
      <c r="H38" s="16">
        <f t="shared" si="1"/>
        <v>28000</v>
      </c>
      <c r="K38" s="1251"/>
      <c r="L38" s="245"/>
      <c r="M38" s="44"/>
      <c r="N38" s="41"/>
      <c r="O38" s="1270"/>
      <c r="P38" s="449"/>
      <c r="U38" s="41"/>
    </row>
    <row r="39" spans="1:21">
      <c r="A39" s="1271"/>
      <c r="B39" s="1301"/>
      <c r="C39" s="1301"/>
      <c r="D39" s="1301"/>
      <c r="E39" s="1301"/>
      <c r="F39" s="1301"/>
      <c r="G39" s="1251">
        <f t="shared" si="0"/>
        <v>0</v>
      </c>
      <c r="K39" s="1301"/>
      <c r="L39" s="1302"/>
      <c r="M39" s="44"/>
      <c r="N39" s="41"/>
      <c r="O39" s="1303"/>
      <c r="P39" s="449"/>
      <c r="Q39" s="41" t="s">
        <v>7343</v>
      </c>
      <c r="T39" s="16"/>
      <c r="U39" s="41"/>
    </row>
    <row r="40" spans="1:21">
      <c r="A40" s="1304" t="s">
        <v>5752</v>
      </c>
      <c r="B40" s="1301">
        <v>45000</v>
      </c>
      <c r="C40" s="1301">
        <v>8000</v>
      </c>
      <c r="D40" s="1301"/>
      <c r="E40" s="1301"/>
      <c r="F40" s="1301"/>
      <c r="G40" s="1251">
        <f t="shared" si="0"/>
        <v>-53000</v>
      </c>
      <c r="H40" s="16">
        <f>D40-E40-F40</f>
        <v>0</v>
      </c>
      <c r="K40" s="1301"/>
      <c r="L40" s="1302"/>
      <c r="M40" s="44"/>
      <c r="N40" s="41"/>
      <c r="O40" s="1303"/>
      <c r="P40" s="41"/>
      <c r="Q40" s="41" t="s">
        <v>7344</v>
      </c>
      <c r="T40" s="16">
        <v>180</v>
      </c>
    </row>
    <row r="41" spans="1:21">
      <c r="A41" s="41" t="s">
        <v>7345</v>
      </c>
      <c r="B41" s="1251">
        <v>32000</v>
      </c>
      <c r="C41" s="1251">
        <v>3000</v>
      </c>
      <c r="D41" s="1251"/>
      <c r="E41" s="1251"/>
      <c r="F41" s="1251"/>
      <c r="G41" s="1251">
        <f t="shared" si="0"/>
        <v>-35000</v>
      </c>
      <c r="H41" s="16">
        <f>D41-E41-F41</f>
        <v>0</v>
      </c>
      <c r="K41" s="1251"/>
      <c r="L41" s="41"/>
      <c r="M41" s="44"/>
      <c r="N41" s="41"/>
      <c r="O41" s="42"/>
      <c r="P41" s="449"/>
      <c r="Q41" s="1271" t="s">
        <v>67</v>
      </c>
      <c r="T41" s="711">
        <f>SUM(T31:T37)</f>
        <v>2050</v>
      </c>
      <c r="U41" s="41"/>
    </row>
    <row r="42" spans="1:21">
      <c r="A42" s="9" t="s">
        <v>7266</v>
      </c>
      <c r="B42" s="760">
        <v>20000</v>
      </c>
      <c r="C42" s="760">
        <v>55000</v>
      </c>
      <c r="D42" s="760">
        <v>120000</v>
      </c>
      <c r="E42" s="760">
        <v>0</v>
      </c>
      <c r="F42" s="1251">
        <v>10322.83</v>
      </c>
      <c r="G42" s="1251">
        <f t="shared" si="0"/>
        <v>34677.17</v>
      </c>
      <c r="H42" s="16">
        <f>D42-E42-F42</f>
        <v>109677.17</v>
      </c>
      <c r="K42" s="760"/>
      <c r="L42" s="41">
        <f>390000*6/100</f>
        <v>23400</v>
      </c>
      <c r="M42" s="44"/>
      <c r="N42" s="41"/>
      <c r="O42" s="42"/>
      <c r="P42" s="449"/>
      <c r="Q42" s="41"/>
      <c r="T42" s="16">
        <v>600</v>
      </c>
      <c r="U42" s="41"/>
    </row>
    <row r="43" spans="1:21">
      <c r="A43" s="9" t="s">
        <v>7346</v>
      </c>
      <c r="B43" s="760">
        <v>435000</v>
      </c>
      <c r="C43" s="760">
        <v>45000</v>
      </c>
      <c r="D43" s="760">
        <v>395000</v>
      </c>
      <c r="E43" s="760">
        <v>370000</v>
      </c>
      <c r="F43" s="1251">
        <v>21760</v>
      </c>
      <c r="G43" s="1251">
        <f t="shared" si="0"/>
        <v>-106760</v>
      </c>
      <c r="H43" s="16">
        <f>D43-E43-F43</f>
        <v>3240</v>
      </c>
      <c r="K43" s="760"/>
      <c r="L43" s="41"/>
      <c r="M43" s="44"/>
      <c r="N43" s="41"/>
      <c r="O43" s="1270">
        <v>1350</v>
      </c>
      <c r="P43" s="449"/>
      <c r="Q43" s="77" t="s">
        <v>7347</v>
      </c>
      <c r="S43" s="133">
        <f>20*12</f>
        <v>240</v>
      </c>
      <c r="T43" s="134">
        <v>165</v>
      </c>
      <c r="U43" s="41"/>
    </row>
    <row r="44" spans="1:21">
      <c r="G44" s="16">
        <f>SUM(G33:G42)</f>
        <v>546177.17000000004</v>
      </c>
      <c r="L44" s="41"/>
      <c r="M44" s="44"/>
      <c r="N44" s="41"/>
      <c r="O44" s="1270">
        <v>20000</v>
      </c>
      <c r="P44" s="449"/>
      <c r="Q44" s="1305"/>
      <c r="R44" s="1305"/>
      <c r="S44" s="38"/>
      <c r="T44" s="38"/>
      <c r="U44" s="41"/>
    </row>
    <row r="45" spans="1:21">
      <c r="I45" s="133"/>
      <c r="L45" s="77"/>
      <c r="M45" s="884"/>
      <c r="N45" s="77"/>
      <c r="O45" s="884">
        <v>0</v>
      </c>
      <c r="P45" s="449"/>
      <c r="Q45" s="1252" t="s">
        <v>7348</v>
      </c>
      <c r="R45" s="1306" t="s">
        <v>3258</v>
      </c>
      <c r="S45" s="41"/>
      <c r="U45" s="41"/>
    </row>
    <row r="46" spans="1:21">
      <c r="A46" s="38"/>
      <c r="B46" s="38"/>
      <c r="C46" s="38"/>
      <c r="D46" s="38"/>
      <c r="E46" s="38"/>
      <c r="F46" s="38"/>
      <c r="G46" s="38"/>
      <c r="H46" s="38"/>
      <c r="J46" s="38"/>
      <c r="K46" s="38"/>
      <c r="L46" s="38"/>
      <c r="M46" s="38"/>
      <c r="N46" s="38"/>
      <c r="O46" s="38"/>
      <c r="P46" s="44"/>
      <c r="Q46" s="41" t="s">
        <v>7349</v>
      </c>
      <c r="R46" s="44"/>
      <c r="S46" s="41"/>
      <c r="U46" s="41"/>
    </row>
    <row r="47" spans="1:21">
      <c r="A47" s="133"/>
      <c r="B47" s="133"/>
      <c r="C47" s="133"/>
      <c r="H47" s="133"/>
      <c r="I47" s="133"/>
      <c r="J47" s="133"/>
      <c r="K47" s="133"/>
      <c r="L47" s="133"/>
      <c r="M47" s="133"/>
      <c r="P47" s="44"/>
      <c r="Q47" s="41" t="s">
        <v>7278</v>
      </c>
      <c r="R47" s="44"/>
      <c r="S47" s="41"/>
      <c r="U47" s="41"/>
    </row>
    <row r="48" spans="1:21">
      <c r="A48" s="1252" t="s">
        <v>7350</v>
      </c>
      <c r="B48" s="1253">
        <v>2015</v>
      </c>
      <c r="C48" s="1306">
        <v>2014</v>
      </c>
      <c r="D48" s="449"/>
      <c r="E48" s="1307"/>
      <c r="F48" s="1307"/>
      <c r="G48" s="1307"/>
      <c r="H48" s="1252" t="s">
        <v>7351</v>
      </c>
      <c r="I48" s="1308" t="s">
        <v>7352</v>
      </c>
      <c r="J48" s="1308" t="s">
        <v>7353</v>
      </c>
      <c r="K48" s="1308"/>
      <c r="L48" s="1308" t="s">
        <v>3281</v>
      </c>
      <c r="M48" s="1276"/>
      <c r="N48" s="41"/>
      <c r="P48" s="44"/>
      <c r="Q48" s="41" t="s">
        <v>7354</v>
      </c>
      <c r="R48" s="44"/>
      <c r="S48" s="41"/>
      <c r="U48" s="41"/>
    </row>
    <row r="49" spans="1:21">
      <c r="A49" s="41" t="s">
        <v>66</v>
      </c>
      <c r="C49" s="44">
        <v>115</v>
      </c>
      <c r="D49" s="449"/>
      <c r="E49" s="41"/>
      <c r="F49" s="41"/>
      <c r="G49" s="41"/>
      <c r="H49" s="41"/>
      <c r="I49" s="16"/>
      <c r="J49" s="16"/>
      <c r="K49" s="16"/>
      <c r="L49" s="443"/>
      <c r="M49" s="44"/>
      <c r="N49" s="41"/>
      <c r="P49" s="44"/>
      <c r="Q49" s="41" t="s">
        <v>725</v>
      </c>
      <c r="R49" s="44"/>
      <c r="S49" s="41"/>
      <c r="U49" s="41"/>
    </row>
    <row r="50" spans="1:21">
      <c r="A50" s="41" t="s">
        <v>725</v>
      </c>
      <c r="C50" s="1309">
        <v>57</v>
      </c>
      <c r="D50" s="449"/>
      <c r="E50" s="41"/>
      <c r="F50" s="41"/>
      <c r="G50" s="41"/>
      <c r="H50" s="41"/>
      <c r="I50" s="16"/>
      <c r="J50" s="16"/>
      <c r="K50" s="16"/>
      <c r="L50" s="443"/>
      <c r="M50" s="44"/>
      <c r="N50" s="41"/>
      <c r="P50" s="44"/>
      <c r="Q50" s="41"/>
      <c r="R50" s="44"/>
      <c r="S50" s="41"/>
      <c r="U50" s="41"/>
    </row>
    <row r="51" spans="1:21">
      <c r="A51" s="41" t="s">
        <v>725</v>
      </c>
      <c r="C51" s="1309">
        <v>20</v>
      </c>
      <c r="D51" s="449"/>
      <c r="E51" s="41"/>
      <c r="F51" s="41"/>
      <c r="G51" s="41"/>
      <c r="H51" s="41"/>
      <c r="I51" s="16"/>
      <c r="J51" s="16"/>
      <c r="K51" s="16"/>
      <c r="L51" s="443"/>
      <c r="M51" s="44"/>
      <c r="N51" s="41"/>
      <c r="P51" s="44"/>
      <c r="Q51" s="41"/>
      <c r="R51" s="44"/>
      <c r="S51" s="41"/>
      <c r="U51" s="41"/>
    </row>
    <row r="52" spans="1:21">
      <c r="A52" s="41" t="s">
        <v>725</v>
      </c>
      <c r="C52" s="1309">
        <v>145</v>
      </c>
      <c r="D52" s="449"/>
      <c r="E52" s="41"/>
      <c r="F52" s="41"/>
      <c r="G52" s="41"/>
      <c r="H52" s="41" t="s">
        <v>135</v>
      </c>
      <c r="I52" s="16" t="s">
        <v>135</v>
      </c>
      <c r="J52" s="16" t="s">
        <v>135</v>
      </c>
      <c r="K52" s="16"/>
      <c r="L52" s="9" t="s">
        <v>135</v>
      </c>
      <c r="M52" s="44" t="s">
        <v>135</v>
      </c>
      <c r="N52" s="41"/>
      <c r="Q52" s="41"/>
      <c r="R52" s="44"/>
      <c r="S52" s="41"/>
    </row>
    <row r="53" spans="1:21">
      <c r="A53" s="41" t="s">
        <v>7355</v>
      </c>
      <c r="C53" s="1309">
        <v>501</v>
      </c>
      <c r="D53" s="449"/>
      <c r="E53" s="41"/>
      <c r="F53" s="41"/>
      <c r="G53" s="41"/>
      <c r="H53" s="41" t="s">
        <v>135</v>
      </c>
      <c r="I53" s="16" t="s">
        <v>135</v>
      </c>
      <c r="J53" s="16" t="s">
        <v>135</v>
      </c>
      <c r="K53" s="16"/>
      <c r="L53" s="9" t="s">
        <v>135</v>
      </c>
      <c r="M53" s="44" t="s">
        <v>135</v>
      </c>
      <c r="N53" s="41"/>
      <c r="P53" s="44"/>
      <c r="Q53" s="41"/>
      <c r="R53" s="44"/>
      <c r="S53" s="41"/>
    </row>
    <row r="54" spans="1:21">
      <c r="A54" s="1280" t="s">
        <v>67</v>
      </c>
      <c r="B54" s="133"/>
      <c r="C54" s="1310">
        <f>SUM(C50:C53)</f>
        <v>723</v>
      </c>
      <c r="D54" s="449"/>
      <c r="E54" s="41"/>
      <c r="F54" s="41"/>
      <c r="G54" s="41"/>
      <c r="H54" s="77" t="s">
        <v>67</v>
      </c>
      <c r="I54" s="1311">
        <f>SUM(I49:I53)</f>
        <v>0</v>
      </c>
      <c r="J54" s="1311">
        <f>SUM(J49:J53)</f>
        <v>0</v>
      </c>
      <c r="K54" s="1311"/>
      <c r="L54" s="133"/>
      <c r="M54" s="884"/>
      <c r="N54" s="41"/>
      <c r="P54" s="44"/>
      <c r="Q54" s="77" t="s">
        <v>7356</v>
      </c>
      <c r="R54" s="1312"/>
      <c r="S54" s="41"/>
    </row>
    <row r="55" spans="1:21">
      <c r="A55" s="1229"/>
      <c r="B55" s="1313"/>
      <c r="C55" s="1229"/>
      <c r="D55" s="133"/>
      <c r="H55" s="38"/>
      <c r="I55" s="38"/>
      <c r="J55" s="38"/>
      <c r="K55" s="38"/>
      <c r="L55" s="38"/>
      <c r="M55" s="38"/>
    </row>
    <row r="56" spans="1:21">
      <c r="A56" s="2273" t="s">
        <v>7357</v>
      </c>
      <c r="B56" s="2094"/>
      <c r="C56" s="2094"/>
      <c r="D56" s="2095"/>
      <c r="E56" s="1271"/>
      <c r="F56" s="1271"/>
      <c r="G56" s="1271"/>
      <c r="H56" s="1271"/>
      <c r="L56" s="2148"/>
      <c r="M56" s="2087"/>
    </row>
    <row r="57" spans="1:21">
      <c r="A57" s="41" t="s">
        <v>1127</v>
      </c>
      <c r="B57" s="16" t="s">
        <v>5687</v>
      </c>
      <c r="C57" s="9" t="s">
        <v>3281</v>
      </c>
      <c r="D57" s="44" t="s">
        <v>7358</v>
      </c>
      <c r="H57" s="41"/>
      <c r="L57" s="16"/>
      <c r="M57" s="9"/>
    </row>
    <row r="58" spans="1:21">
      <c r="A58" s="41" t="s">
        <v>7359</v>
      </c>
      <c r="B58" s="16">
        <v>6000</v>
      </c>
      <c r="C58" s="9" t="s">
        <v>7360</v>
      </c>
      <c r="D58" s="44" t="s">
        <v>7361</v>
      </c>
      <c r="H58" s="41"/>
      <c r="L58" s="16"/>
      <c r="M58" s="9"/>
    </row>
    <row r="59" spans="1:21">
      <c r="A59" s="41" t="s">
        <v>7362</v>
      </c>
      <c r="B59" s="16">
        <v>3600</v>
      </c>
      <c r="C59" s="9" t="s">
        <v>7363</v>
      </c>
      <c r="D59" s="44" t="s">
        <v>7361</v>
      </c>
      <c r="E59" s="578"/>
      <c r="F59" s="578"/>
      <c r="G59" s="578"/>
      <c r="H59" s="1271"/>
      <c r="L59" s="897"/>
      <c r="M59" s="9"/>
    </row>
    <row r="60" spans="1:21">
      <c r="A60" s="41" t="s">
        <v>7364</v>
      </c>
      <c r="B60" s="16">
        <v>1000</v>
      </c>
      <c r="C60" s="9" t="s">
        <v>7365</v>
      </c>
      <c r="D60" s="44" t="s">
        <v>7361</v>
      </c>
      <c r="H60" s="41"/>
    </row>
    <row r="61" spans="1:21">
      <c r="A61" s="41" t="s">
        <v>7366</v>
      </c>
      <c r="B61" s="16">
        <v>1100</v>
      </c>
      <c r="C61" s="9" t="s">
        <v>7367</v>
      </c>
      <c r="D61" s="44" t="s">
        <v>7361</v>
      </c>
      <c r="H61" s="41"/>
    </row>
    <row r="62" spans="1:21">
      <c r="A62" s="41"/>
      <c r="B62" s="16"/>
      <c r="C62" s="443"/>
      <c r="D62" s="44"/>
      <c r="H62" s="41"/>
    </row>
    <row r="63" spans="1:21">
      <c r="A63" s="1280" t="s">
        <v>67</v>
      </c>
      <c r="B63" s="1311">
        <f>SUM(B57:B62)</f>
        <v>11700</v>
      </c>
      <c r="C63" s="133"/>
      <c r="D63" s="884"/>
      <c r="H63" s="41"/>
    </row>
    <row r="64" spans="1:21">
      <c r="A64" s="38"/>
      <c r="B64" s="38"/>
      <c r="C64" s="38"/>
      <c r="D64" s="38"/>
    </row>
    <row r="69" spans="1:13">
      <c r="B69" s="9"/>
      <c r="C69" s="16"/>
    </row>
    <row r="70" spans="1:13">
      <c r="A70" s="1314" t="s">
        <v>3364</v>
      </c>
      <c r="B70" s="2274" t="s">
        <v>7368</v>
      </c>
      <c r="C70" s="2094"/>
      <c r="D70" s="1315" t="s">
        <v>1112</v>
      </c>
      <c r="I70" s="2147" t="s">
        <v>7369</v>
      </c>
      <c r="J70" s="2094"/>
      <c r="K70" s="2094"/>
      <c r="L70" s="2095"/>
    </row>
    <row r="71" spans="1:13">
      <c r="A71" s="1316">
        <v>42412</v>
      </c>
      <c r="B71" s="2088" t="s">
        <v>7370</v>
      </c>
      <c r="C71" s="2087"/>
      <c r="D71" s="19">
        <v>104</v>
      </c>
      <c r="I71" s="41" t="s">
        <v>38</v>
      </c>
      <c r="J71" s="9"/>
      <c r="K71" s="9"/>
      <c r="L71" s="44">
        <f>525+576</f>
        <v>1101</v>
      </c>
    </row>
    <row r="72" spans="1:13">
      <c r="A72" s="1316"/>
      <c r="B72" s="2088"/>
      <c r="C72" s="2087"/>
      <c r="D72" s="19"/>
      <c r="I72" s="41" t="s">
        <v>7371</v>
      </c>
      <c r="L72" s="44">
        <v>80</v>
      </c>
    </row>
    <row r="73" spans="1:13">
      <c r="A73" s="646"/>
      <c r="B73" s="2088"/>
      <c r="C73" s="2087"/>
      <c r="D73" s="19"/>
      <c r="E73" s="9"/>
      <c r="F73" s="9"/>
      <c r="G73" s="9"/>
      <c r="H73" s="9"/>
      <c r="I73" s="41" t="s">
        <v>7372</v>
      </c>
      <c r="J73" s="9"/>
      <c r="K73" s="9"/>
      <c r="L73" s="44">
        <v>15</v>
      </c>
    </row>
    <row r="74" spans="1:13">
      <c r="A74" s="1316"/>
      <c r="B74" s="2088"/>
      <c r="C74" s="2087"/>
      <c r="D74" s="19"/>
      <c r="I74" s="41" t="s">
        <v>7373</v>
      </c>
      <c r="J74" s="9">
        <f>70*2*20</f>
        <v>2800</v>
      </c>
      <c r="K74" s="9"/>
      <c r="L74" s="44">
        <f>J74*0.58</f>
        <v>1624</v>
      </c>
    </row>
    <row r="75" spans="1:13">
      <c r="A75" s="1316"/>
      <c r="B75" s="2088"/>
      <c r="C75" s="2087"/>
      <c r="D75" s="19"/>
      <c r="I75" s="47" t="s">
        <v>4795</v>
      </c>
      <c r="J75" s="9"/>
      <c r="K75" s="9"/>
      <c r="L75" s="44"/>
    </row>
    <row r="76" spans="1:13">
      <c r="A76" s="1316"/>
      <c r="B76" s="2088"/>
      <c r="C76" s="2087"/>
      <c r="D76" s="19"/>
      <c r="I76" s="41" t="s">
        <v>7374</v>
      </c>
      <c r="J76" s="9" t="s">
        <v>135</v>
      </c>
      <c r="K76" s="9"/>
      <c r="L76" s="44">
        <v>225</v>
      </c>
    </row>
    <row r="77" spans="1:13">
      <c r="A77" s="1316"/>
      <c r="B77" s="2088"/>
      <c r="C77" s="2087"/>
      <c r="D77" s="19"/>
      <c r="I77" s="41" t="s">
        <v>55</v>
      </c>
      <c r="L77" s="44">
        <v>40</v>
      </c>
    </row>
    <row r="78" spans="1:13">
      <c r="A78" s="1316"/>
      <c r="B78" s="2088"/>
      <c r="C78" s="2087"/>
      <c r="D78" s="19"/>
      <c r="E78" s="9"/>
      <c r="F78" s="9"/>
      <c r="G78" s="9"/>
      <c r="H78" s="9"/>
      <c r="I78" s="41" t="s">
        <v>7375</v>
      </c>
      <c r="L78" s="44">
        <v>600</v>
      </c>
    </row>
    <row r="79" spans="1:13">
      <c r="A79" s="1316"/>
      <c r="B79" s="2088"/>
      <c r="C79" s="2087"/>
      <c r="D79" s="19"/>
      <c r="E79" s="9"/>
      <c r="F79" s="9"/>
      <c r="G79" s="9"/>
      <c r="H79" s="9"/>
      <c r="I79" s="41" t="s">
        <v>7376</v>
      </c>
      <c r="L79" s="44">
        <v>42</v>
      </c>
      <c r="M79" s="9"/>
    </row>
    <row r="80" spans="1:13">
      <c r="A80" s="1316"/>
      <c r="B80" s="2088"/>
      <c r="C80" s="2087"/>
      <c r="D80" s="19"/>
      <c r="I80" s="41"/>
      <c r="L80" s="44"/>
      <c r="M80" s="9"/>
    </row>
    <row r="81" spans="1:13">
      <c r="A81" s="1316"/>
      <c r="B81" s="2088"/>
      <c r="C81" s="2087"/>
      <c r="D81" s="19"/>
      <c r="I81" s="41"/>
      <c r="J81" s="9"/>
      <c r="K81" s="9"/>
      <c r="L81" s="44"/>
      <c r="M81" s="9"/>
    </row>
    <row r="82" spans="1:13">
      <c r="A82" s="1316"/>
      <c r="B82" s="2088"/>
      <c r="C82" s="2087"/>
      <c r="D82" s="19"/>
      <c r="E82" s="9"/>
      <c r="F82" s="9"/>
      <c r="G82" s="9"/>
      <c r="H82" s="9"/>
      <c r="I82" s="41"/>
      <c r="L82" s="44"/>
      <c r="M82" s="9"/>
    </row>
    <row r="83" spans="1:13">
      <c r="A83" s="1316"/>
      <c r="B83" s="2088"/>
      <c r="C83" s="2087"/>
      <c r="D83" s="19"/>
      <c r="I83" s="1317"/>
      <c r="J83" s="443"/>
      <c r="K83" s="443"/>
      <c r="L83" s="44"/>
      <c r="M83" s="9"/>
    </row>
    <row r="84" spans="1:13">
      <c r="A84" s="1316"/>
      <c r="B84" s="2088"/>
      <c r="C84" s="2087"/>
      <c r="D84" s="19"/>
      <c r="I84" s="1317"/>
      <c r="J84" s="443"/>
      <c r="K84" s="443"/>
      <c r="L84" s="44"/>
      <c r="M84" s="9"/>
    </row>
    <row r="85" spans="1:13">
      <c r="A85" s="1316"/>
      <c r="B85" s="2088"/>
      <c r="C85" s="2087"/>
      <c r="D85" s="19"/>
      <c r="I85" s="1317"/>
      <c r="J85" s="443"/>
      <c r="K85" s="443"/>
      <c r="L85" s="44"/>
      <c r="M85" s="9"/>
    </row>
    <row r="86" spans="1:13">
      <c r="A86" s="1316"/>
      <c r="B86" s="2088"/>
      <c r="C86" s="2087"/>
      <c r="D86" s="19"/>
      <c r="I86" s="1317"/>
      <c r="J86" s="443"/>
      <c r="K86" s="443"/>
      <c r="L86" s="44"/>
      <c r="M86" s="9"/>
    </row>
    <row r="87" spans="1:13">
      <c r="A87" s="1316"/>
      <c r="B87" s="2088"/>
      <c r="C87" s="2087"/>
      <c r="D87" s="19"/>
      <c r="I87" s="41"/>
      <c r="L87" s="44"/>
      <c r="M87" s="9"/>
    </row>
    <row r="88" spans="1:13">
      <c r="A88" s="1316"/>
      <c r="B88" s="2088"/>
      <c r="C88" s="2087"/>
      <c r="D88" s="19"/>
      <c r="I88" s="881" t="s">
        <v>7377</v>
      </c>
      <c r="J88" s="150"/>
      <c r="K88" s="150"/>
      <c r="L88" s="1318">
        <f>L71-SUM(L72:L87)</f>
        <v>-1525</v>
      </c>
      <c r="M88" s="9"/>
    </row>
    <row r="89" spans="1:13">
      <c r="A89" s="1316"/>
      <c r="B89" s="2088"/>
      <c r="C89" s="2087"/>
      <c r="D89" s="19"/>
      <c r="I89" s="443"/>
      <c r="J89" s="443"/>
      <c r="K89" s="443"/>
      <c r="M89" s="9"/>
    </row>
    <row r="90" spans="1:13">
      <c r="A90" s="646"/>
      <c r="B90" s="2088"/>
      <c r="C90" s="2087"/>
      <c r="D90" s="19"/>
      <c r="I90" s="443"/>
      <c r="J90" s="443"/>
      <c r="K90" s="443"/>
      <c r="M90" s="9"/>
    </row>
    <row r="91" spans="1:13">
      <c r="A91" s="1316"/>
      <c r="B91" s="2088"/>
      <c r="C91" s="2087"/>
      <c r="D91" s="19"/>
      <c r="I91" s="443"/>
      <c r="J91" s="443"/>
      <c r="K91" s="443"/>
      <c r="M91" s="9"/>
    </row>
    <row r="92" spans="1:13">
      <c r="A92" s="1316"/>
      <c r="B92" s="2088"/>
      <c r="C92" s="2087"/>
      <c r="D92" s="19"/>
      <c r="I92" s="443"/>
      <c r="J92" s="443"/>
      <c r="K92" s="443"/>
      <c r="M92" s="9"/>
    </row>
    <row r="93" spans="1:13">
      <c r="A93" s="1316"/>
      <c r="B93" s="2088"/>
      <c r="C93" s="2087"/>
      <c r="D93" s="19"/>
      <c r="I93" s="443"/>
      <c r="J93" s="443"/>
      <c r="K93" s="443"/>
    </row>
    <row r="94" spans="1:13">
      <c r="A94" s="1316"/>
      <c r="B94" s="2088"/>
      <c r="C94" s="2087"/>
      <c r="D94" s="19"/>
      <c r="I94" s="443"/>
      <c r="J94" s="443"/>
      <c r="K94" s="443"/>
    </row>
    <row r="95" spans="1:13">
      <c r="A95" s="1316"/>
      <c r="B95" s="2088"/>
      <c r="C95" s="2087"/>
      <c r="D95" s="19"/>
      <c r="I95" s="443"/>
      <c r="J95" s="443"/>
      <c r="K95" s="443"/>
    </row>
    <row r="96" spans="1:13">
      <c r="A96" s="1316"/>
      <c r="B96" s="2088"/>
      <c r="C96" s="2087"/>
      <c r="D96" s="19"/>
      <c r="I96" s="443"/>
      <c r="J96" s="443"/>
      <c r="K96" s="443"/>
    </row>
    <row r="97" spans="1:8">
      <c r="A97" s="1316"/>
      <c r="B97" s="2088"/>
      <c r="C97" s="2087"/>
      <c r="D97" s="19"/>
    </row>
    <row r="98" spans="1:8">
      <c r="A98" s="1316"/>
      <c r="B98" s="2088"/>
      <c r="C98" s="2087"/>
      <c r="D98" s="19"/>
    </row>
    <row r="99" spans="1:8">
      <c r="A99" s="1316"/>
      <c r="B99" s="2088"/>
      <c r="C99" s="2087"/>
      <c r="D99" s="19"/>
    </row>
    <row r="100" spans="1:8">
      <c r="A100" s="1316"/>
      <c r="B100" s="2088"/>
      <c r="C100" s="2087"/>
      <c r="D100" s="19"/>
    </row>
    <row r="101" spans="1:8">
      <c r="A101" s="1316"/>
      <c r="B101" s="2088"/>
      <c r="C101" s="2087"/>
      <c r="D101" s="19"/>
    </row>
    <row r="102" spans="1:8">
      <c r="A102" s="1316"/>
      <c r="B102" s="2088"/>
      <c r="C102" s="2087"/>
      <c r="D102" s="19"/>
    </row>
    <row r="103" spans="1:8">
      <c r="A103" s="1316"/>
      <c r="B103" s="2088"/>
      <c r="C103" s="2087"/>
      <c r="D103" s="19"/>
    </row>
    <row r="104" spans="1:8">
      <c r="D104" s="44"/>
    </row>
    <row r="105" spans="1:8">
      <c r="A105" s="1319"/>
      <c r="B105" s="2088"/>
      <c r="C105" s="2087"/>
      <c r="D105" s="19"/>
    </row>
    <row r="106" spans="1:8">
      <c r="A106" s="1319"/>
      <c r="B106" s="2088"/>
      <c r="C106" s="2087"/>
      <c r="D106" s="19"/>
    </row>
    <row r="107" spans="1:8">
      <c r="A107" s="1319"/>
      <c r="B107" s="2088"/>
      <c r="C107" s="2087"/>
      <c r="D107" s="19"/>
    </row>
    <row r="108" spans="1:8">
      <c r="A108" s="1320" t="s">
        <v>7378</v>
      </c>
      <c r="B108" s="2275"/>
      <c r="C108" s="2144"/>
      <c r="D108" s="1321">
        <f>SUM(D71:D107)</f>
        <v>104</v>
      </c>
      <c r="E108" s="333"/>
      <c r="F108" s="333"/>
      <c r="G108" s="333"/>
      <c r="H108" s="333"/>
    </row>
    <row r="109" spans="1:8">
      <c r="A109" s="9"/>
      <c r="B109" s="9"/>
    </row>
    <row r="110" spans="1:8">
      <c r="A110" s="3" t="s">
        <v>7379</v>
      </c>
      <c r="B110" s="9" t="s">
        <v>7380</v>
      </c>
    </row>
    <row r="111" spans="1:8">
      <c r="A111" s="9" t="s">
        <v>226</v>
      </c>
    </row>
    <row r="112" spans="1:8">
      <c r="A112" s="9" t="s">
        <v>229</v>
      </c>
    </row>
    <row r="113" spans="1:1">
      <c r="A113" s="9" t="s">
        <v>7381</v>
      </c>
    </row>
    <row r="114" spans="1:1">
      <c r="A114" s="9" t="s">
        <v>7382</v>
      </c>
    </row>
    <row r="115" spans="1:1">
      <c r="A115" s="9" t="s">
        <v>7383</v>
      </c>
    </row>
    <row r="116" spans="1:1">
      <c r="A116" s="9" t="s">
        <v>7384</v>
      </c>
    </row>
    <row r="117" spans="1:1">
      <c r="A117" s="9" t="s">
        <v>242</v>
      </c>
    </row>
    <row r="118" spans="1:1">
      <c r="A118" s="9" t="s">
        <v>244</v>
      </c>
    </row>
    <row r="119" spans="1:1">
      <c r="A119" s="9" t="s">
        <v>246</v>
      </c>
    </row>
  </sheetData>
  <mergeCells count="47">
    <mergeCell ref="B101:C101"/>
    <mergeCell ref="B102:C102"/>
    <mergeCell ref="B96:C96"/>
    <mergeCell ref="B97:C97"/>
    <mergeCell ref="B98:C98"/>
    <mergeCell ref="B99:C99"/>
    <mergeCell ref="B100:C100"/>
    <mergeCell ref="B103:C103"/>
    <mergeCell ref="B105:C105"/>
    <mergeCell ref="B106:C106"/>
    <mergeCell ref="B107:C107"/>
    <mergeCell ref="B108:C108"/>
    <mergeCell ref="B91:C91"/>
    <mergeCell ref="B92:C92"/>
    <mergeCell ref="B93:C93"/>
    <mergeCell ref="B94:C94"/>
    <mergeCell ref="B95:C95"/>
    <mergeCell ref="B86:C86"/>
    <mergeCell ref="B87:C87"/>
    <mergeCell ref="B88:C88"/>
    <mergeCell ref="B89:C89"/>
    <mergeCell ref="B90:C90"/>
    <mergeCell ref="B81:C81"/>
    <mergeCell ref="B82:C82"/>
    <mergeCell ref="B83:C83"/>
    <mergeCell ref="B84:C84"/>
    <mergeCell ref="B85:C85"/>
    <mergeCell ref="B76:C76"/>
    <mergeCell ref="B77:C77"/>
    <mergeCell ref="B78:C78"/>
    <mergeCell ref="B79:C79"/>
    <mergeCell ref="B80:C80"/>
    <mergeCell ref="B71:C71"/>
    <mergeCell ref="B72:C72"/>
    <mergeCell ref="B73:C73"/>
    <mergeCell ref="B74:C74"/>
    <mergeCell ref="B75:C75"/>
    <mergeCell ref="A26:D26"/>
    <mergeCell ref="L56:M56"/>
    <mergeCell ref="A56:D56"/>
    <mergeCell ref="B70:C70"/>
    <mergeCell ref="I70:L70"/>
    <mergeCell ref="N2:O2"/>
    <mergeCell ref="L3:M3"/>
    <mergeCell ref="N3:O3"/>
    <mergeCell ref="L19:M19"/>
    <mergeCell ref="A25:B25"/>
  </mergeCells>
  <printOptions horizontalCentered="1" gridLines="1"/>
  <pageMargins left="0.7" right="0.7" top="0.75" bottom="0.75" header="0" footer="0"/>
  <pageSetup fitToHeight="0" pageOrder="overThenDown" orientation="landscape" cellComments="atEnd"/>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outlinePr summaryBelow="0" summaryRight="0"/>
  </sheetPr>
  <dimension ref="A1:R265"/>
  <sheetViews>
    <sheetView workbookViewId="0"/>
  </sheetViews>
  <sheetFormatPr defaultColWidth="12.7109375" defaultRowHeight="12.75" customHeight="1"/>
  <cols>
    <col min="1" max="1" width="2.28515625" customWidth="1"/>
    <col min="2" max="2" width="19.85546875" customWidth="1"/>
    <col min="3" max="14" width="9.85546875" customWidth="1"/>
    <col min="15" max="15" width="9.28515625" customWidth="1"/>
    <col min="16" max="16" width="2.42578125" customWidth="1"/>
    <col min="17" max="17" width="8.28515625" customWidth="1"/>
  </cols>
  <sheetData>
    <row r="1" spans="1:17">
      <c r="B1" s="938" t="s">
        <v>5755</v>
      </c>
      <c r="C1" s="938" t="s">
        <v>6835</v>
      </c>
      <c r="D1" s="938" t="s">
        <v>6836</v>
      </c>
      <c r="E1" s="938" t="s">
        <v>6837</v>
      </c>
      <c r="F1" s="938" t="s">
        <v>6838</v>
      </c>
      <c r="G1" s="938" t="s">
        <v>6839</v>
      </c>
      <c r="H1" s="938" t="s">
        <v>6840</v>
      </c>
      <c r="I1" s="938" t="s">
        <v>6841</v>
      </c>
      <c r="J1" s="938" t="s">
        <v>6842</v>
      </c>
      <c r="K1" s="938" t="s">
        <v>6843</v>
      </c>
      <c r="L1" s="938" t="s">
        <v>6844</v>
      </c>
      <c r="M1" s="660"/>
      <c r="N1" s="660"/>
      <c r="O1" s="660"/>
      <c r="P1" s="660"/>
    </row>
    <row r="2" spans="1:17">
      <c r="A2" s="714"/>
      <c r="B2" s="2126" t="s">
        <v>6845</v>
      </c>
      <c r="C2" s="2127"/>
      <c r="D2" s="2127"/>
      <c r="E2" s="2127"/>
      <c r="F2" s="2127"/>
      <c r="G2" s="2127"/>
      <c r="H2" s="2127"/>
      <c r="I2" s="2127"/>
      <c r="J2" s="2127"/>
      <c r="K2" s="2127"/>
      <c r="L2" s="2127"/>
      <c r="M2" s="2127"/>
      <c r="N2" s="2127"/>
      <c r="O2" s="2128"/>
      <c r="P2" s="661"/>
    </row>
    <row r="3" spans="1:17">
      <c r="A3" s="714"/>
      <c r="B3" s="662" t="s">
        <v>7385</v>
      </c>
      <c r="C3" s="663" t="s">
        <v>143</v>
      </c>
      <c r="D3" s="663" t="s">
        <v>26</v>
      </c>
      <c r="E3" s="663" t="s">
        <v>25</v>
      </c>
      <c r="F3" s="663" t="s">
        <v>24</v>
      </c>
      <c r="G3" s="663" t="s">
        <v>23</v>
      </c>
      <c r="H3" s="663" t="s">
        <v>22</v>
      </c>
      <c r="I3" s="663" t="s">
        <v>21</v>
      </c>
      <c r="J3" s="663" t="s">
        <v>20</v>
      </c>
      <c r="K3" s="663" t="s">
        <v>256</v>
      </c>
      <c r="L3" s="663" t="s">
        <v>18</v>
      </c>
      <c r="M3" s="663" t="s">
        <v>17</v>
      </c>
      <c r="N3" s="663" t="s">
        <v>86</v>
      </c>
      <c r="O3" s="664" t="s">
        <v>67</v>
      </c>
      <c r="P3" s="665"/>
    </row>
    <row r="4" spans="1:17">
      <c r="A4" s="714"/>
      <c r="B4" s="666" t="s">
        <v>6847</v>
      </c>
      <c r="C4" s="667"/>
      <c r="D4" s="667"/>
      <c r="E4" s="667"/>
      <c r="F4" s="667"/>
      <c r="G4" s="667"/>
      <c r="H4" s="667"/>
      <c r="I4" s="667"/>
      <c r="J4" s="667"/>
      <c r="K4" s="667"/>
      <c r="L4" s="667"/>
      <c r="M4" s="667"/>
      <c r="N4" s="667"/>
      <c r="O4" s="668">
        <f>SUM(C4:N4)</f>
        <v>0</v>
      </c>
      <c r="P4" s="669"/>
    </row>
    <row r="5" spans="1:17">
      <c r="A5" s="714"/>
      <c r="B5" s="666" t="s">
        <v>4397</v>
      </c>
      <c r="C5" s="671"/>
      <c r="D5" s="671"/>
      <c r="E5" s="671"/>
      <c r="F5" s="671"/>
      <c r="G5" s="671"/>
      <c r="H5" s="671"/>
      <c r="I5" s="671"/>
      <c r="J5" s="671"/>
      <c r="K5" s="671"/>
      <c r="L5" s="671"/>
      <c r="M5" s="671"/>
      <c r="N5" s="671"/>
      <c r="O5" s="668"/>
      <c r="P5" s="672"/>
      <c r="Q5" s="9" t="s">
        <v>4392</v>
      </c>
    </row>
    <row r="6" spans="1:17">
      <c r="A6" s="714"/>
      <c r="B6" s="674" t="s">
        <v>1121</v>
      </c>
      <c r="C6" s="675">
        <v>800</v>
      </c>
      <c r="D6" s="675">
        <v>800</v>
      </c>
      <c r="E6" s="675">
        <v>800</v>
      </c>
      <c r="F6" s="675">
        <v>800</v>
      </c>
      <c r="G6" s="675">
        <v>800</v>
      </c>
      <c r="H6" s="675">
        <v>800</v>
      </c>
      <c r="I6" s="675">
        <v>800</v>
      </c>
      <c r="J6" s="675">
        <v>800</v>
      </c>
      <c r="K6" s="675">
        <v>800</v>
      </c>
      <c r="L6" s="675">
        <v>800</v>
      </c>
      <c r="M6" s="675">
        <v>800</v>
      </c>
      <c r="N6" s="675">
        <v>800</v>
      </c>
      <c r="O6" s="677">
        <f t="shared" ref="O6:O11" si="0">SUM(C6:N6)</f>
        <v>9600</v>
      </c>
      <c r="P6" s="672"/>
    </row>
    <row r="7" spans="1:17">
      <c r="A7" s="714"/>
      <c r="B7" s="674" t="s">
        <v>6848</v>
      </c>
      <c r="C7" s="675"/>
      <c r="D7" s="675"/>
      <c r="E7" s="675">
        <v>98.4</v>
      </c>
      <c r="F7" s="675"/>
      <c r="G7" s="675"/>
      <c r="H7" s="675">
        <v>556.25</v>
      </c>
      <c r="I7" s="675"/>
      <c r="J7" s="675"/>
      <c r="K7" s="675"/>
      <c r="L7" s="675"/>
      <c r="M7" s="676"/>
      <c r="N7" s="675"/>
      <c r="O7" s="677">
        <f t="shared" si="0"/>
        <v>654.65</v>
      </c>
      <c r="P7" s="672"/>
    </row>
    <row r="8" spans="1:17">
      <c r="A8" s="714"/>
      <c r="B8" s="674" t="s">
        <v>6849</v>
      </c>
      <c r="C8" s="675">
        <v>1396.49</v>
      </c>
      <c r="D8" s="675"/>
      <c r="E8" s="675">
        <v>1461.93</v>
      </c>
      <c r="F8" s="675">
        <v>1717.66</v>
      </c>
      <c r="G8" s="675">
        <v>1585.05</v>
      </c>
      <c r="H8" s="675">
        <v>1755.55</v>
      </c>
      <c r="I8" s="675">
        <v>1414.57</v>
      </c>
      <c r="J8" s="675">
        <v>1547.17</v>
      </c>
      <c r="K8" s="675">
        <v>1604</v>
      </c>
      <c r="L8" s="675"/>
      <c r="M8" s="675">
        <v>1698.72</v>
      </c>
      <c r="N8" s="675">
        <v>1613.47</v>
      </c>
      <c r="O8" s="677">
        <f t="shared" si="0"/>
        <v>15794.609999999999</v>
      </c>
      <c r="P8" s="681"/>
      <c r="Q8" s="16">
        <f>AVERAGE(E8:H8)</f>
        <v>1630.0475000000001</v>
      </c>
    </row>
    <row r="9" spans="1:17">
      <c r="A9" s="714"/>
      <c r="B9" s="674" t="s">
        <v>6850</v>
      </c>
      <c r="C9" s="675">
        <v>203.19</v>
      </c>
      <c r="D9" s="675">
        <v>217.63</v>
      </c>
      <c r="E9" s="675">
        <v>214.01</v>
      </c>
      <c r="F9" s="675">
        <v>226.63</v>
      </c>
      <c r="G9" s="675">
        <v>215.81</v>
      </c>
      <c r="H9" s="675">
        <v>237.45</v>
      </c>
      <c r="I9" s="675">
        <v>210.4</v>
      </c>
      <c r="J9" s="675">
        <v>210.4</v>
      </c>
      <c r="K9" s="675">
        <v>206.81</v>
      </c>
      <c r="L9" s="675">
        <v>205.01</v>
      </c>
      <c r="M9" s="675">
        <v>246.64</v>
      </c>
      <c r="N9" s="675">
        <v>211.92</v>
      </c>
      <c r="O9" s="677">
        <f t="shared" si="0"/>
        <v>2605.9</v>
      </c>
      <c r="P9" s="672"/>
      <c r="Q9" s="16">
        <f>AVERAGE(E9:H9)</f>
        <v>223.47500000000002</v>
      </c>
    </row>
    <row r="10" spans="1:17">
      <c r="A10" s="714"/>
      <c r="B10" s="939" t="s">
        <v>6851</v>
      </c>
      <c r="C10" s="940">
        <v>903.17</v>
      </c>
      <c r="D10" s="940">
        <v>965.5</v>
      </c>
      <c r="E10" s="940">
        <v>897.79</v>
      </c>
      <c r="F10" s="940">
        <v>930.1</v>
      </c>
      <c r="G10" s="940">
        <v>743.89</v>
      </c>
      <c r="H10" s="940">
        <v>739.89</v>
      </c>
      <c r="I10" s="940">
        <v>716.2</v>
      </c>
      <c r="J10" s="940">
        <v>608.47</v>
      </c>
      <c r="K10" s="940">
        <v>571.52</v>
      </c>
      <c r="L10" s="940">
        <v>675.4</v>
      </c>
      <c r="M10" s="940">
        <v>876.07</v>
      </c>
      <c r="N10" s="940">
        <v>785.73</v>
      </c>
      <c r="O10" s="941">
        <f t="shared" si="0"/>
        <v>9413.73</v>
      </c>
      <c r="P10" s="672"/>
      <c r="Q10" s="16">
        <f>AVERAGE(C10:H10)</f>
        <v>863.39</v>
      </c>
    </row>
    <row r="11" spans="1:17">
      <c r="A11" s="714"/>
      <c r="B11" s="942" t="s">
        <v>6852</v>
      </c>
      <c r="C11" s="680"/>
      <c r="D11" s="680"/>
      <c r="E11" s="680"/>
      <c r="F11" s="680"/>
      <c r="G11" s="680"/>
      <c r="H11" s="680"/>
      <c r="I11" s="680"/>
      <c r="J11" s="680"/>
      <c r="K11" s="680"/>
      <c r="L11" s="680"/>
      <c r="M11" s="680"/>
      <c r="N11" s="680"/>
      <c r="O11" s="943">
        <f t="shared" si="0"/>
        <v>0</v>
      </c>
      <c r="P11" s="672"/>
    </row>
    <row r="12" spans="1:17">
      <c r="A12" s="714"/>
      <c r="B12" s="674" t="s">
        <v>6853</v>
      </c>
      <c r="C12" s="675"/>
      <c r="D12" s="675"/>
      <c r="E12" s="675"/>
      <c r="F12" s="685">
        <v>58.81</v>
      </c>
      <c r="G12" s="675"/>
      <c r="H12" s="675"/>
      <c r="I12" s="675"/>
      <c r="J12" s="675"/>
      <c r="K12" s="675"/>
      <c r="L12" s="685">
        <v>58.81</v>
      </c>
      <c r="M12" s="675"/>
      <c r="N12" s="675"/>
      <c r="O12" s="677"/>
      <c r="P12" s="672"/>
    </row>
    <row r="13" spans="1:17">
      <c r="A13" s="714"/>
      <c r="B13" s="674" t="s">
        <v>6854</v>
      </c>
      <c r="C13" s="675"/>
      <c r="D13" s="675"/>
      <c r="E13" s="675">
        <v>678.62</v>
      </c>
      <c r="F13" s="675"/>
      <c r="G13" s="675"/>
      <c r="H13" s="675">
        <v>556.45000000000005</v>
      </c>
      <c r="I13" s="675"/>
      <c r="J13" s="675"/>
      <c r="K13" s="675">
        <v>747.4</v>
      </c>
      <c r="L13" s="675"/>
      <c r="M13" s="675"/>
      <c r="N13" s="675"/>
      <c r="O13" s="677"/>
      <c r="P13" s="672"/>
    </row>
    <row r="14" spans="1:17">
      <c r="A14" s="714"/>
      <c r="B14" s="674" t="s">
        <v>6855</v>
      </c>
      <c r="C14" s="675"/>
      <c r="D14" s="675"/>
      <c r="E14" s="675"/>
      <c r="F14" s="675"/>
      <c r="G14" s="675"/>
      <c r="H14" s="675"/>
      <c r="I14" s="675"/>
      <c r="J14" s="675"/>
      <c r="K14" s="675"/>
      <c r="L14" s="675"/>
      <c r="M14" s="675"/>
      <c r="N14" s="675"/>
      <c r="O14" s="677">
        <f>SUM(C14:N14)</f>
        <v>0</v>
      </c>
      <c r="P14" s="672"/>
    </row>
    <row r="15" spans="1:17">
      <c r="A15" s="714"/>
      <c r="B15" s="674" t="s">
        <v>6856</v>
      </c>
      <c r="C15" s="675"/>
      <c r="D15" s="675"/>
      <c r="E15" s="675"/>
      <c r="F15" s="675"/>
      <c r="G15" s="675"/>
      <c r="H15" s="675"/>
      <c r="I15" s="675"/>
      <c r="J15" s="675"/>
      <c r="K15" s="675"/>
      <c r="L15" s="675"/>
      <c r="M15" s="675"/>
      <c r="N15" s="675"/>
      <c r="O15" s="677">
        <f>SUM(C15:N15)</f>
        <v>0</v>
      </c>
      <c r="P15" s="672"/>
    </row>
    <row r="16" spans="1:17">
      <c r="A16" s="714"/>
      <c r="B16" s="674" t="s">
        <v>6857</v>
      </c>
      <c r="C16" s="687"/>
      <c r="D16" s="687"/>
      <c r="E16" s="687"/>
      <c r="F16" s="687"/>
      <c r="G16" s="687"/>
      <c r="H16" s="687"/>
      <c r="I16" s="687"/>
      <c r="J16" s="687"/>
      <c r="K16" s="944">
        <v>1288</v>
      </c>
      <c r="L16" s="687"/>
      <c r="M16" s="687"/>
      <c r="N16" s="687"/>
      <c r="O16" s="677">
        <f>SUM(C16:N16)</f>
        <v>1288</v>
      </c>
      <c r="P16" s="672"/>
    </row>
    <row r="17" spans="1:16">
      <c r="A17" s="714"/>
      <c r="B17" s="674" t="s">
        <v>6858</v>
      </c>
      <c r="C17" s="675"/>
      <c r="D17" s="675"/>
      <c r="E17" s="675"/>
      <c r="F17" s="675"/>
      <c r="G17" s="675"/>
      <c r="H17" s="675"/>
      <c r="I17" s="675"/>
      <c r="J17" s="675"/>
      <c r="K17" s="675"/>
      <c r="L17" s="675"/>
      <c r="M17" s="675"/>
      <c r="N17" s="675"/>
      <c r="O17" s="668"/>
      <c r="P17" s="672"/>
    </row>
    <row r="18" spans="1:16">
      <c r="A18" s="714"/>
      <c r="B18" s="674" t="s">
        <v>6859</v>
      </c>
      <c r="C18" s="945"/>
      <c r="D18" s="945"/>
      <c r="E18" s="945"/>
      <c r="F18" s="945"/>
      <c r="G18" s="945"/>
      <c r="H18" s="945"/>
      <c r="I18" s="945"/>
      <c r="J18" s="945"/>
      <c r="K18" s="945"/>
      <c r="L18" s="945"/>
      <c r="M18" s="945"/>
      <c r="N18" s="945"/>
      <c r="O18" s="668">
        <f>SUM(C18:N18)</f>
        <v>0</v>
      </c>
      <c r="P18" s="672"/>
    </row>
    <row r="19" spans="1:16">
      <c r="A19" s="714"/>
      <c r="B19" s="666" t="s">
        <v>6323</v>
      </c>
      <c r="C19" s="677">
        <f t="shared" ref="C19:N19" si="1">SUM(C18)</f>
        <v>0</v>
      </c>
      <c r="D19" s="677">
        <f t="shared" si="1"/>
        <v>0</v>
      </c>
      <c r="E19" s="677">
        <f t="shared" si="1"/>
        <v>0</v>
      </c>
      <c r="F19" s="677">
        <f t="shared" si="1"/>
        <v>0</v>
      </c>
      <c r="G19" s="677">
        <f t="shared" si="1"/>
        <v>0</v>
      </c>
      <c r="H19" s="677">
        <f t="shared" si="1"/>
        <v>0</v>
      </c>
      <c r="I19" s="677">
        <f t="shared" si="1"/>
        <v>0</v>
      </c>
      <c r="J19" s="677">
        <f t="shared" si="1"/>
        <v>0</v>
      </c>
      <c r="K19" s="677">
        <f t="shared" si="1"/>
        <v>0</v>
      </c>
      <c r="L19" s="677">
        <f t="shared" si="1"/>
        <v>0</v>
      </c>
      <c r="M19" s="677">
        <f t="shared" si="1"/>
        <v>0</v>
      </c>
      <c r="N19" s="677">
        <f t="shared" si="1"/>
        <v>0</v>
      </c>
      <c r="O19" s="668">
        <f>SUM(C19:N19)</f>
        <v>0</v>
      </c>
      <c r="P19" s="669"/>
    </row>
    <row r="20" spans="1:16">
      <c r="A20" s="714"/>
      <c r="B20" s="689" t="s">
        <v>1126</v>
      </c>
      <c r="C20" s="690">
        <f t="shared" ref="C20:O20" si="2">SUM(C6:C18)</f>
        <v>3302.85</v>
      </c>
      <c r="D20" s="690">
        <f t="shared" si="2"/>
        <v>1983.13</v>
      </c>
      <c r="E20" s="690">
        <f t="shared" si="2"/>
        <v>4150.75</v>
      </c>
      <c r="F20" s="690">
        <f t="shared" si="2"/>
        <v>3733.2</v>
      </c>
      <c r="G20" s="690">
        <f t="shared" si="2"/>
        <v>3344.75</v>
      </c>
      <c r="H20" s="690">
        <f t="shared" si="2"/>
        <v>4645.59</v>
      </c>
      <c r="I20" s="690">
        <f t="shared" si="2"/>
        <v>3141.17</v>
      </c>
      <c r="J20" s="690">
        <f t="shared" si="2"/>
        <v>3166.04</v>
      </c>
      <c r="K20" s="690">
        <f t="shared" si="2"/>
        <v>5217.7299999999996</v>
      </c>
      <c r="L20" s="690">
        <f t="shared" si="2"/>
        <v>1739.2199999999998</v>
      </c>
      <c r="M20" s="690">
        <f t="shared" si="2"/>
        <v>3621.4300000000003</v>
      </c>
      <c r="N20" s="690">
        <f t="shared" si="2"/>
        <v>3411.1200000000003</v>
      </c>
      <c r="O20" s="690">
        <f t="shared" si="2"/>
        <v>39356.89</v>
      </c>
      <c r="P20" s="691"/>
    </row>
    <row r="21" spans="1:16">
      <c r="A21" s="715"/>
      <c r="B21" s="692" t="s">
        <v>791</v>
      </c>
      <c r="C21" s="946">
        <f t="shared" ref="C21:O21" si="3">C4-C20</f>
        <v>-3302.85</v>
      </c>
      <c r="D21" s="946">
        <f t="shared" si="3"/>
        <v>-1983.13</v>
      </c>
      <c r="E21" s="946">
        <f t="shared" si="3"/>
        <v>-4150.75</v>
      </c>
      <c r="F21" s="946">
        <f t="shared" si="3"/>
        <v>-3733.2</v>
      </c>
      <c r="G21" s="946">
        <f t="shared" si="3"/>
        <v>-3344.75</v>
      </c>
      <c r="H21" s="946">
        <f t="shared" si="3"/>
        <v>-4645.59</v>
      </c>
      <c r="I21" s="946">
        <f t="shared" si="3"/>
        <v>-3141.17</v>
      </c>
      <c r="J21" s="946">
        <f t="shared" si="3"/>
        <v>-3166.04</v>
      </c>
      <c r="K21" s="946">
        <f t="shared" si="3"/>
        <v>-5217.7299999999996</v>
      </c>
      <c r="L21" s="693">
        <f t="shared" si="3"/>
        <v>-1739.2199999999998</v>
      </c>
      <c r="M21" s="693">
        <f t="shared" si="3"/>
        <v>-3621.4300000000003</v>
      </c>
      <c r="N21" s="693">
        <f t="shared" si="3"/>
        <v>-3411.1200000000003</v>
      </c>
      <c r="O21" s="693">
        <f t="shared" si="3"/>
        <v>-39356.89</v>
      </c>
      <c r="P21" s="694"/>
    </row>
    <row r="22" spans="1:16">
      <c r="A22" s="947"/>
      <c r="B22" s="674" t="s">
        <v>6860</v>
      </c>
      <c r="C22" s="948"/>
      <c r="D22" s="948"/>
      <c r="E22" s="948"/>
      <c r="F22" s="948"/>
      <c r="G22" s="948"/>
      <c r="H22" s="948"/>
      <c r="I22" s="948"/>
      <c r="J22" s="948"/>
      <c r="K22" s="948">
        <f>20000+800+500+800</f>
        <v>22100</v>
      </c>
      <c r="L22" s="949">
        <v>0</v>
      </c>
      <c r="M22" s="950">
        <v>0</v>
      </c>
      <c r="N22" s="951">
        <v>0</v>
      </c>
      <c r="O22" s="952">
        <f>SUM(C22:N22)</f>
        <v>22100</v>
      </c>
      <c r="P22" s="953"/>
    </row>
    <row r="23" spans="1:16">
      <c r="A23" s="692"/>
      <c r="B23" s="709" t="s">
        <v>6861</v>
      </c>
      <c r="C23" s="954">
        <f t="shared" ref="C23:O23" si="4">C21-C22</f>
        <v>-3302.85</v>
      </c>
      <c r="D23" s="954">
        <f t="shared" si="4"/>
        <v>-1983.13</v>
      </c>
      <c r="E23" s="954">
        <f t="shared" si="4"/>
        <v>-4150.75</v>
      </c>
      <c r="F23" s="955">
        <f t="shared" si="4"/>
        <v>-3733.2</v>
      </c>
      <c r="G23" s="954">
        <f t="shared" si="4"/>
        <v>-3344.75</v>
      </c>
      <c r="H23" s="955">
        <f t="shared" si="4"/>
        <v>-4645.59</v>
      </c>
      <c r="I23" s="955">
        <f t="shared" si="4"/>
        <v>-3141.17</v>
      </c>
      <c r="J23" s="955">
        <f t="shared" si="4"/>
        <v>-3166.04</v>
      </c>
      <c r="K23" s="955">
        <f t="shared" si="4"/>
        <v>-27317.73</v>
      </c>
      <c r="L23" s="956">
        <f t="shared" si="4"/>
        <v>-1739.2199999999998</v>
      </c>
      <c r="M23" s="956">
        <f t="shared" si="4"/>
        <v>-3621.4300000000003</v>
      </c>
      <c r="N23" s="956">
        <f t="shared" si="4"/>
        <v>-3411.1200000000003</v>
      </c>
      <c r="O23" s="956">
        <f t="shared" si="4"/>
        <v>-61456.89</v>
      </c>
      <c r="P23" s="709"/>
    </row>
    <row r="24" spans="1:16">
      <c r="A24" s="660"/>
      <c r="B24" s="660" t="s">
        <v>4822</v>
      </c>
      <c r="C24" s="2151" t="s">
        <v>6862</v>
      </c>
      <c r="D24" s="2152"/>
      <c r="E24" s="2152"/>
      <c r="F24" s="2152"/>
      <c r="G24" s="660"/>
      <c r="H24" s="660"/>
      <c r="I24" s="660"/>
      <c r="J24" s="660"/>
      <c r="K24" s="660"/>
      <c r="L24" s="660"/>
      <c r="M24" s="660"/>
      <c r="N24" s="660"/>
      <c r="O24" s="660"/>
      <c r="P24" s="660"/>
    </row>
    <row r="25" spans="1:16">
      <c r="B25" s="660"/>
      <c r="C25" s="660"/>
      <c r="D25" s="660"/>
      <c r="E25" s="660"/>
      <c r="F25" s="660"/>
      <c r="G25" s="660"/>
      <c r="H25" s="660"/>
      <c r="I25" s="660"/>
      <c r="J25" s="660"/>
      <c r="K25" s="660"/>
      <c r="L25" s="660"/>
      <c r="M25" s="660"/>
      <c r="N25" s="660"/>
      <c r="O25" s="660"/>
      <c r="P25" s="660"/>
    </row>
    <row r="26" spans="1:16">
      <c r="A26" s="714"/>
      <c r="B26" s="2126" t="s">
        <v>4389</v>
      </c>
      <c r="C26" s="2127"/>
      <c r="D26" s="2127"/>
      <c r="E26" s="2127"/>
      <c r="F26" s="2127"/>
      <c r="G26" s="2127"/>
      <c r="H26" s="2127"/>
      <c r="I26" s="2127"/>
      <c r="J26" s="2127"/>
      <c r="K26" s="2127"/>
      <c r="L26" s="2127"/>
      <c r="M26" s="2127"/>
      <c r="N26" s="2127"/>
      <c r="O26" s="2128"/>
      <c r="P26" s="661"/>
    </row>
    <row r="27" spans="1:16">
      <c r="A27" s="714"/>
      <c r="B27" s="662" t="s">
        <v>7385</v>
      </c>
      <c r="C27" s="663" t="s">
        <v>143</v>
      </c>
      <c r="D27" s="663" t="s">
        <v>26</v>
      </c>
      <c r="E27" s="663" t="s">
        <v>25</v>
      </c>
      <c r="F27" s="663" t="s">
        <v>24</v>
      </c>
      <c r="G27" s="663" t="s">
        <v>23</v>
      </c>
      <c r="H27" s="663" t="s">
        <v>22</v>
      </c>
      <c r="I27" s="663" t="s">
        <v>21</v>
      </c>
      <c r="J27" s="663" t="s">
        <v>20</v>
      </c>
      <c r="K27" s="663" t="s">
        <v>256</v>
      </c>
      <c r="L27" s="663" t="s">
        <v>18</v>
      </c>
      <c r="M27" s="663" t="s">
        <v>17</v>
      </c>
      <c r="N27" s="663" t="s">
        <v>86</v>
      </c>
      <c r="O27" s="664" t="s">
        <v>67</v>
      </c>
      <c r="P27" s="665"/>
    </row>
    <row r="28" spans="1:16">
      <c r="A28" s="714"/>
      <c r="B28" s="666" t="s">
        <v>4395</v>
      </c>
      <c r="C28" s="667"/>
      <c r="D28" s="667"/>
      <c r="E28" s="667"/>
      <c r="F28" s="667"/>
      <c r="G28" s="667"/>
      <c r="H28" s="667"/>
      <c r="I28" s="667"/>
      <c r="J28" s="667"/>
      <c r="K28" s="667"/>
      <c r="L28" s="667"/>
      <c r="M28" s="667"/>
      <c r="N28" s="667"/>
      <c r="O28" s="668">
        <f>SUM(C28:N28)</f>
        <v>0</v>
      </c>
      <c r="P28" s="669"/>
    </row>
    <row r="29" spans="1:16">
      <c r="A29" s="714"/>
      <c r="B29" s="666" t="s">
        <v>4397</v>
      </c>
      <c r="C29" s="671"/>
      <c r="D29" s="671"/>
      <c r="E29" s="671"/>
      <c r="F29" s="671"/>
      <c r="G29" s="671"/>
      <c r="H29" s="671"/>
      <c r="I29" s="671"/>
      <c r="J29" s="671"/>
      <c r="K29" s="671"/>
      <c r="L29" s="671"/>
      <c r="M29" s="671"/>
      <c r="N29" s="671"/>
      <c r="O29" s="668"/>
      <c r="P29" s="672"/>
    </row>
    <row r="30" spans="1:16">
      <c r="A30" s="714"/>
      <c r="B30" s="674" t="s">
        <v>5024</v>
      </c>
      <c r="C30" s="675"/>
      <c r="D30" s="675"/>
      <c r="E30" s="675"/>
      <c r="F30" s="675"/>
      <c r="G30" s="675"/>
      <c r="H30" s="675"/>
      <c r="I30" s="675"/>
      <c r="J30" s="675"/>
      <c r="K30" s="675"/>
      <c r="L30" s="675"/>
      <c r="M30" s="675"/>
      <c r="N30" s="675"/>
      <c r="O30" s="668">
        <f>SUM(C30:N30)</f>
        <v>0</v>
      </c>
      <c r="P30" s="672"/>
    </row>
    <row r="31" spans="1:16">
      <c r="A31" s="714"/>
      <c r="B31" s="674" t="s">
        <v>4399</v>
      </c>
      <c r="C31" s="675"/>
      <c r="D31" s="675"/>
      <c r="E31" s="675"/>
      <c r="F31" s="676"/>
      <c r="G31" s="675"/>
      <c r="H31" s="675"/>
      <c r="I31" s="675"/>
      <c r="J31" s="675"/>
      <c r="K31" s="675"/>
      <c r="L31" s="675"/>
      <c r="M31" s="676"/>
      <c r="N31" s="675"/>
      <c r="O31" s="677">
        <f>SUM(C31:N31)</f>
        <v>0</v>
      </c>
      <c r="P31" s="672"/>
    </row>
    <row r="32" spans="1:16">
      <c r="A32" s="714"/>
      <c r="B32" s="674" t="s">
        <v>7031</v>
      </c>
      <c r="C32" s="675"/>
      <c r="D32" s="675"/>
      <c r="E32" s="675"/>
      <c r="F32" s="675"/>
      <c r="G32" s="675"/>
      <c r="H32" s="675"/>
      <c r="I32" s="675"/>
      <c r="J32" s="675"/>
      <c r="K32" s="675"/>
      <c r="L32" s="675"/>
      <c r="M32" s="675"/>
      <c r="N32" s="675"/>
      <c r="O32" s="677">
        <f>SUM(C32:N32)</f>
        <v>0</v>
      </c>
      <c r="P32" s="681"/>
    </row>
    <row r="33" spans="1:16">
      <c r="A33" s="714"/>
      <c r="B33" s="674" t="s">
        <v>7042</v>
      </c>
      <c r="C33" s="675"/>
      <c r="D33" s="675"/>
      <c r="E33" s="675"/>
      <c r="F33" s="675"/>
      <c r="G33" s="675"/>
      <c r="H33" s="675"/>
      <c r="I33" s="675"/>
      <c r="J33" s="675"/>
      <c r="K33" s="675"/>
      <c r="L33" s="675"/>
      <c r="M33" s="675"/>
      <c r="N33" s="675"/>
      <c r="O33" s="677">
        <f>SUM(C33:N33)</f>
        <v>0</v>
      </c>
      <c r="P33" s="672"/>
    </row>
    <row r="34" spans="1:16">
      <c r="A34" s="714"/>
      <c r="B34" s="674" t="s">
        <v>7019</v>
      </c>
      <c r="C34" s="675"/>
      <c r="D34" s="675"/>
      <c r="E34" s="675"/>
      <c r="F34" s="675"/>
      <c r="G34" s="675"/>
      <c r="H34" s="675"/>
      <c r="I34" s="675"/>
      <c r="J34" s="675"/>
      <c r="K34" s="675"/>
      <c r="L34" s="675"/>
      <c r="M34" s="675"/>
      <c r="N34" s="675"/>
      <c r="O34" s="677"/>
      <c r="P34" s="672"/>
    </row>
    <row r="35" spans="1:16">
      <c r="A35" s="714"/>
      <c r="B35" s="674" t="s">
        <v>7033</v>
      </c>
      <c r="C35" s="675"/>
      <c r="D35" s="675"/>
      <c r="E35" s="675"/>
      <c r="F35" s="675"/>
      <c r="G35" s="675"/>
      <c r="H35" s="675"/>
      <c r="I35" s="675"/>
      <c r="J35" s="675"/>
      <c r="K35" s="675"/>
      <c r="L35" s="675"/>
      <c r="M35" s="675"/>
      <c r="N35" s="675"/>
      <c r="O35" s="677"/>
      <c r="P35" s="672"/>
    </row>
    <row r="36" spans="1:16">
      <c r="A36" s="714"/>
      <c r="B36" s="674" t="s">
        <v>4420</v>
      </c>
      <c r="C36" s="687"/>
      <c r="D36" s="687"/>
      <c r="E36" s="687"/>
      <c r="F36" s="687"/>
      <c r="G36" s="687"/>
      <c r="H36" s="687"/>
      <c r="I36" s="687"/>
      <c r="J36" s="687"/>
      <c r="K36" s="675"/>
      <c r="L36" s="687"/>
      <c r="M36" s="688">
        <v>1830.41</v>
      </c>
      <c r="N36" s="687"/>
      <c r="O36" s="677">
        <f>SUM(C36:N36)</f>
        <v>1830.41</v>
      </c>
      <c r="P36" s="672"/>
    </row>
    <row r="37" spans="1:16">
      <c r="A37" s="714"/>
      <c r="B37" s="674" t="s">
        <v>6860</v>
      </c>
      <c r="C37" s="945"/>
      <c r="D37" s="945"/>
      <c r="E37" s="945"/>
      <c r="F37" s="945"/>
      <c r="G37" s="945"/>
      <c r="H37" s="945"/>
      <c r="I37" s="945"/>
      <c r="J37" s="945"/>
      <c r="K37" s="675"/>
      <c r="L37" s="945"/>
      <c r="M37" s="945"/>
      <c r="N37" s="945"/>
      <c r="O37" s="668">
        <f>SUM(C37:N37)</f>
        <v>0</v>
      </c>
      <c r="P37" s="672"/>
    </row>
    <row r="38" spans="1:16">
      <c r="A38" s="714"/>
      <c r="B38" s="674" t="s">
        <v>7035</v>
      </c>
      <c r="C38" s="675"/>
      <c r="D38" s="675"/>
      <c r="E38" s="675"/>
      <c r="F38" s="675"/>
      <c r="G38" s="675"/>
      <c r="H38" s="675"/>
      <c r="I38" s="675"/>
      <c r="J38" s="675"/>
      <c r="K38" s="675"/>
      <c r="L38" s="675"/>
      <c r="M38" s="675"/>
      <c r="N38" s="675"/>
      <c r="O38" s="668">
        <f>SUM(C38:N38)</f>
        <v>0</v>
      </c>
      <c r="P38" s="672"/>
    </row>
    <row r="39" spans="1:16">
      <c r="A39" s="714"/>
      <c r="B39" s="666" t="s">
        <v>6323</v>
      </c>
      <c r="C39" s="677">
        <f t="shared" ref="C39:N39" si="5">SUM(C37:C38)</f>
        <v>0</v>
      </c>
      <c r="D39" s="677">
        <f t="shared" si="5"/>
        <v>0</v>
      </c>
      <c r="E39" s="677">
        <f t="shared" si="5"/>
        <v>0</v>
      </c>
      <c r="F39" s="677">
        <f t="shared" si="5"/>
        <v>0</v>
      </c>
      <c r="G39" s="677">
        <f t="shared" si="5"/>
        <v>0</v>
      </c>
      <c r="H39" s="677">
        <f t="shared" si="5"/>
        <v>0</v>
      </c>
      <c r="I39" s="677">
        <f t="shared" si="5"/>
        <v>0</v>
      </c>
      <c r="J39" s="677">
        <f t="shared" si="5"/>
        <v>0</v>
      </c>
      <c r="K39" s="677">
        <f t="shared" si="5"/>
        <v>0</v>
      </c>
      <c r="L39" s="677">
        <f t="shared" si="5"/>
        <v>0</v>
      </c>
      <c r="M39" s="677">
        <f t="shared" si="5"/>
        <v>0</v>
      </c>
      <c r="N39" s="677">
        <f t="shared" si="5"/>
        <v>0</v>
      </c>
      <c r="O39" s="668">
        <f>SUM(C39:N39)</f>
        <v>0</v>
      </c>
      <c r="P39" s="669"/>
    </row>
    <row r="40" spans="1:16">
      <c r="A40" s="714"/>
      <c r="B40" s="689" t="s">
        <v>1126</v>
      </c>
      <c r="C40" s="690">
        <f t="shared" ref="C40:O40" si="6">SUM(C30:C38)</f>
        <v>0</v>
      </c>
      <c r="D40" s="690">
        <f t="shared" si="6"/>
        <v>0</v>
      </c>
      <c r="E40" s="690">
        <f t="shared" si="6"/>
        <v>0</v>
      </c>
      <c r="F40" s="690">
        <f t="shared" si="6"/>
        <v>0</v>
      </c>
      <c r="G40" s="690">
        <f t="shared" si="6"/>
        <v>0</v>
      </c>
      <c r="H40" s="690">
        <f t="shared" si="6"/>
        <v>0</v>
      </c>
      <c r="I40" s="690">
        <f t="shared" si="6"/>
        <v>0</v>
      </c>
      <c r="J40" s="690">
        <f t="shared" si="6"/>
        <v>0</v>
      </c>
      <c r="K40" s="690">
        <f t="shared" si="6"/>
        <v>0</v>
      </c>
      <c r="L40" s="690">
        <f t="shared" si="6"/>
        <v>0</v>
      </c>
      <c r="M40" s="690">
        <f t="shared" si="6"/>
        <v>1830.41</v>
      </c>
      <c r="N40" s="690">
        <f t="shared" si="6"/>
        <v>0</v>
      </c>
      <c r="O40" s="690">
        <f t="shared" si="6"/>
        <v>1830.41</v>
      </c>
      <c r="P40" s="691"/>
    </row>
    <row r="41" spans="1:16">
      <c r="A41" s="715"/>
      <c r="B41" s="692" t="s">
        <v>791</v>
      </c>
      <c r="C41" s="693">
        <f t="shared" ref="C41:O41" si="7">C28-C40</f>
        <v>0</v>
      </c>
      <c r="D41" s="693">
        <f t="shared" si="7"/>
        <v>0</v>
      </c>
      <c r="E41" s="693">
        <f t="shared" si="7"/>
        <v>0</v>
      </c>
      <c r="F41" s="693">
        <f t="shared" si="7"/>
        <v>0</v>
      </c>
      <c r="G41" s="693">
        <f t="shared" si="7"/>
        <v>0</v>
      </c>
      <c r="H41" s="693">
        <f t="shared" si="7"/>
        <v>0</v>
      </c>
      <c r="I41" s="693">
        <f t="shared" si="7"/>
        <v>0</v>
      </c>
      <c r="J41" s="693">
        <f t="shared" si="7"/>
        <v>0</v>
      </c>
      <c r="K41" s="693">
        <f t="shared" si="7"/>
        <v>0</v>
      </c>
      <c r="L41" s="693">
        <f t="shared" si="7"/>
        <v>0</v>
      </c>
      <c r="M41" s="693">
        <f t="shared" si="7"/>
        <v>-1830.41</v>
      </c>
      <c r="N41" s="693">
        <f t="shared" si="7"/>
        <v>0</v>
      </c>
      <c r="O41" s="693">
        <f t="shared" si="7"/>
        <v>-1830.41</v>
      </c>
      <c r="P41" s="694"/>
    </row>
    <row r="42" spans="1:16">
      <c r="B42" s="9"/>
      <c r="C42" s="9"/>
      <c r="D42" s="9"/>
      <c r="E42" s="9"/>
      <c r="F42" s="9"/>
      <c r="G42" s="9"/>
      <c r="H42" s="9"/>
      <c r="I42" s="9"/>
      <c r="J42" s="9"/>
      <c r="K42" s="9"/>
      <c r="L42" s="9"/>
    </row>
    <row r="43" spans="1:16">
      <c r="B43" s="9"/>
      <c r="C43" s="9"/>
      <c r="D43" s="9"/>
      <c r="E43" s="9"/>
      <c r="F43" s="9"/>
      <c r="G43" s="9"/>
      <c r="H43" s="9"/>
      <c r="I43" s="9"/>
      <c r="J43" s="9"/>
      <c r="K43" s="9"/>
      <c r="L43" s="9"/>
    </row>
    <row r="44" spans="1:16">
      <c r="B44" s="9"/>
      <c r="C44" s="9"/>
      <c r="D44" s="9"/>
      <c r="E44" s="9"/>
      <c r="F44" s="9"/>
      <c r="G44" s="9"/>
      <c r="H44" s="9"/>
      <c r="I44" s="9"/>
      <c r="J44" s="9"/>
      <c r="K44" s="9"/>
      <c r="L44" s="9"/>
    </row>
    <row r="45" spans="1:16">
      <c r="B45" s="9"/>
      <c r="C45" s="9"/>
      <c r="D45" s="9"/>
      <c r="E45" s="9"/>
      <c r="F45" s="9"/>
      <c r="G45" s="9"/>
      <c r="H45" s="9"/>
      <c r="I45" s="9"/>
      <c r="J45" s="9"/>
      <c r="K45" s="9"/>
      <c r="L45" s="9"/>
    </row>
    <row r="46" spans="1:16">
      <c r="B46" s="938" t="s">
        <v>5755</v>
      </c>
      <c r="C46" s="938" t="s">
        <v>6835</v>
      </c>
      <c r="D46" s="938" t="s">
        <v>6836</v>
      </c>
      <c r="E46" s="938" t="s">
        <v>6837</v>
      </c>
      <c r="F46" s="938" t="s">
        <v>6838</v>
      </c>
      <c r="G46" s="938" t="s">
        <v>6839</v>
      </c>
      <c r="H46" s="938" t="s">
        <v>6840</v>
      </c>
      <c r="I46" s="938" t="s">
        <v>6841</v>
      </c>
      <c r="J46" s="938" t="s">
        <v>6842</v>
      </c>
      <c r="K46" s="938" t="s">
        <v>6843</v>
      </c>
      <c r="L46" s="938" t="s">
        <v>6844</v>
      </c>
      <c r="M46" s="660"/>
      <c r="N46" s="660"/>
      <c r="O46" s="660"/>
      <c r="P46" s="660"/>
    </row>
    <row r="47" spans="1:16">
      <c r="A47" s="714"/>
      <c r="B47" s="2126" t="s">
        <v>7386</v>
      </c>
      <c r="C47" s="2127"/>
      <c r="D47" s="2127"/>
      <c r="E47" s="2127"/>
      <c r="F47" s="2127"/>
      <c r="G47" s="2127"/>
      <c r="H47" s="2127"/>
      <c r="I47" s="2127"/>
      <c r="J47" s="2127"/>
      <c r="K47" s="2127"/>
      <c r="L47" s="2127"/>
      <c r="M47" s="2127"/>
      <c r="N47" s="2127"/>
      <c r="O47" s="2128"/>
      <c r="P47" s="661"/>
    </row>
    <row r="48" spans="1:16">
      <c r="A48" s="714"/>
      <c r="B48" s="662" t="s">
        <v>7385</v>
      </c>
      <c r="C48" s="663" t="s">
        <v>143</v>
      </c>
      <c r="D48" s="663" t="s">
        <v>26</v>
      </c>
      <c r="E48" s="663" t="s">
        <v>25</v>
      </c>
      <c r="F48" s="663" t="s">
        <v>24</v>
      </c>
      <c r="G48" s="663" t="s">
        <v>23</v>
      </c>
      <c r="H48" s="663" t="s">
        <v>22</v>
      </c>
      <c r="I48" s="663" t="s">
        <v>21</v>
      </c>
      <c r="J48" s="663" t="s">
        <v>20</v>
      </c>
      <c r="K48" s="663" t="s">
        <v>256</v>
      </c>
      <c r="L48" s="663" t="s">
        <v>18</v>
      </c>
      <c r="M48" s="663" t="s">
        <v>17</v>
      </c>
      <c r="N48" s="663" t="s">
        <v>86</v>
      </c>
      <c r="O48" s="664" t="s">
        <v>67</v>
      </c>
      <c r="P48" s="665"/>
    </row>
    <row r="49" spans="1:16">
      <c r="A49" s="714"/>
      <c r="B49" s="666" t="s">
        <v>4395</v>
      </c>
      <c r="C49" s="667">
        <v>820</v>
      </c>
      <c r="D49" s="667">
        <v>820</v>
      </c>
      <c r="E49" s="667">
        <v>820</v>
      </c>
      <c r="F49" s="667">
        <v>820</v>
      </c>
      <c r="G49" s="667">
        <v>820</v>
      </c>
      <c r="H49" s="667">
        <v>820</v>
      </c>
      <c r="I49" s="667">
        <v>820</v>
      </c>
      <c r="J49" s="667">
        <v>820</v>
      </c>
      <c r="K49" s="667">
        <v>820</v>
      </c>
      <c r="L49" s="667">
        <v>820</v>
      </c>
      <c r="M49" s="667">
        <v>820</v>
      </c>
      <c r="N49" s="667">
        <v>820</v>
      </c>
      <c r="O49" s="668">
        <f>SUM(C49:N49)</f>
        <v>9840</v>
      </c>
      <c r="P49" s="669"/>
    </row>
    <row r="50" spans="1:16">
      <c r="A50" s="714"/>
      <c r="B50" s="666" t="s">
        <v>4397</v>
      </c>
      <c r="C50" s="671"/>
      <c r="D50" s="671"/>
      <c r="E50" s="671"/>
      <c r="F50" s="671"/>
      <c r="G50" s="671"/>
      <c r="H50" s="671"/>
      <c r="I50" s="671"/>
      <c r="J50" s="671"/>
      <c r="K50" s="671"/>
      <c r="L50" s="671"/>
      <c r="M50" s="671"/>
      <c r="N50" s="671"/>
      <c r="O50" s="668"/>
      <c r="P50" s="672"/>
    </row>
    <row r="51" spans="1:16">
      <c r="A51" s="714"/>
      <c r="B51" s="674" t="s">
        <v>5024</v>
      </c>
      <c r="C51" s="675"/>
      <c r="D51" s="675"/>
      <c r="E51" s="675"/>
      <c r="F51" s="675"/>
      <c r="G51" s="675"/>
      <c r="H51" s="675"/>
      <c r="I51" s="675"/>
      <c r="J51" s="675"/>
      <c r="K51" s="675"/>
      <c r="L51" s="675"/>
      <c r="M51" s="675"/>
      <c r="N51" s="675"/>
      <c r="O51" s="668">
        <f>SUM(C51:N51)</f>
        <v>0</v>
      </c>
      <c r="P51" s="672"/>
    </row>
    <row r="52" spans="1:16">
      <c r="A52" s="714"/>
      <c r="B52" s="674" t="s">
        <v>4399</v>
      </c>
      <c r="C52" s="675"/>
      <c r="D52" s="675"/>
      <c r="E52" s="675"/>
      <c r="F52" s="676">
        <v>395.48</v>
      </c>
      <c r="G52" s="675"/>
      <c r="H52" s="675"/>
      <c r="I52" s="675"/>
      <c r="J52" s="675"/>
      <c r="K52" s="675"/>
      <c r="L52" s="675"/>
      <c r="M52" s="676">
        <v>395.48</v>
      </c>
      <c r="N52" s="675"/>
      <c r="O52" s="677">
        <f>SUM(C52:N52)</f>
        <v>790.96</v>
      </c>
      <c r="P52" s="672"/>
    </row>
    <row r="53" spans="1:16">
      <c r="A53" s="714"/>
      <c r="B53" s="674" t="s">
        <v>7031</v>
      </c>
      <c r="C53" s="675"/>
      <c r="D53" s="675"/>
      <c r="E53" s="675"/>
      <c r="F53" s="675"/>
      <c r="G53" s="675"/>
      <c r="H53" s="675"/>
      <c r="I53" s="675"/>
      <c r="J53" s="675"/>
      <c r="K53" s="675"/>
      <c r="L53" s="675"/>
      <c r="M53" s="675"/>
      <c r="N53" s="675"/>
      <c r="O53" s="677">
        <f>SUM(C53:N53)</f>
        <v>0</v>
      </c>
      <c r="P53" s="681"/>
    </row>
    <row r="54" spans="1:16">
      <c r="A54" s="714"/>
      <c r="B54" s="674" t="s">
        <v>7042</v>
      </c>
      <c r="C54" s="675"/>
      <c r="D54" s="675"/>
      <c r="E54" s="675"/>
      <c r="F54" s="675"/>
      <c r="G54" s="675"/>
      <c r="H54" s="675"/>
      <c r="I54" s="675"/>
      <c r="J54" s="675"/>
      <c r="K54" s="675"/>
      <c r="L54" s="675"/>
      <c r="M54" s="675"/>
      <c r="N54" s="675"/>
      <c r="O54" s="677">
        <f>SUM(C54:N54)</f>
        <v>0</v>
      </c>
      <c r="P54" s="672"/>
    </row>
    <row r="55" spans="1:16">
      <c r="A55" s="714"/>
      <c r="B55" s="674" t="s">
        <v>7019</v>
      </c>
      <c r="C55" s="675"/>
      <c r="D55" s="675"/>
      <c r="E55" s="675"/>
      <c r="F55" s="675"/>
      <c r="G55" s="675"/>
      <c r="H55" s="675"/>
      <c r="I55" s="675"/>
      <c r="J55" s="675"/>
      <c r="K55" s="675"/>
      <c r="L55" s="675"/>
      <c r="M55" s="675"/>
      <c r="N55" s="675"/>
      <c r="O55" s="677"/>
      <c r="P55" s="672"/>
    </row>
    <row r="56" spans="1:16">
      <c r="A56" s="714"/>
      <c r="B56" s="674" t="s">
        <v>7033</v>
      </c>
      <c r="C56" s="675"/>
      <c r="D56" s="675"/>
      <c r="E56" s="675"/>
      <c r="F56" s="675"/>
      <c r="G56" s="675"/>
      <c r="H56" s="675"/>
      <c r="I56" s="675"/>
      <c r="J56" s="675"/>
      <c r="K56" s="675"/>
      <c r="L56" s="675"/>
      <c r="M56" s="675"/>
      <c r="N56" s="675"/>
      <c r="O56" s="677"/>
      <c r="P56" s="672"/>
    </row>
    <row r="57" spans="1:16">
      <c r="A57" s="714"/>
      <c r="B57" s="674" t="s">
        <v>7387</v>
      </c>
      <c r="C57" s="687"/>
      <c r="D57" s="687"/>
      <c r="E57" s="687"/>
      <c r="F57" s="687"/>
      <c r="G57" s="687"/>
      <c r="H57" s="687"/>
      <c r="I57" s="687"/>
      <c r="J57" s="687"/>
      <c r="K57" s="675"/>
      <c r="L57" s="687"/>
      <c r="M57" s="688"/>
      <c r="N57" s="687"/>
      <c r="O57" s="677">
        <f>SUM(C57:N57)</f>
        <v>0</v>
      </c>
      <c r="P57" s="672"/>
    </row>
    <row r="58" spans="1:16">
      <c r="A58" s="714"/>
      <c r="B58" s="674" t="s">
        <v>6860</v>
      </c>
      <c r="C58" s="945"/>
      <c r="D58" s="945"/>
      <c r="E58" s="945"/>
      <c r="F58" s="945"/>
      <c r="G58" s="945"/>
      <c r="H58" s="945"/>
      <c r="I58" s="945"/>
      <c r="J58" s="945"/>
      <c r="K58" s="675"/>
      <c r="L58" s="945"/>
      <c r="M58" s="945"/>
      <c r="N58" s="945"/>
      <c r="O58" s="668">
        <f>SUM(C58:N58)</f>
        <v>0</v>
      </c>
      <c r="P58" s="672"/>
    </row>
    <row r="59" spans="1:16">
      <c r="A59" s="714"/>
      <c r="B59" s="674" t="s">
        <v>7035</v>
      </c>
      <c r="C59" s="675"/>
      <c r="D59" s="675"/>
      <c r="E59" s="675"/>
      <c r="F59" s="675"/>
      <c r="G59" s="675"/>
      <c r="H59" s="675"/>
      <c r="I59" s="675">
        <v>450</v>
      </c>
      <c r="J59" s="675"/>
      <c r="K59" s="675"/>
      <c r="L59" s="675"/>
      <c r="M59" s="675"/>
      <c r="N59" s="675"/>
      <c r="O59" s="668">
        <f>SUM(C59:N59)</f>
        <v>450</v>
      </c>
      <c r="P59" s="672"/>
    </row>
    <row r="60" spans="1:16">
      <c r="A60" s="714"/>
      <c r="B60" s="666" t="s">
        <v>6323</v>
      </c>
      <c r="C60" s="677">
        <f t="shared" ref="C60:N60" si="8">SUM(C58:C59)</f>
        <v>0</v>
      </c>
      <c r="D60" s="677">
        <f t="shared" si="8"/>
        <v>0</v>
      </c>
      <c r="E60" s="677">
        <f t="shared" si="8"/>
        <v>0</v>
      </c>
      <c r="F60" s="677">
        <f t="shared" si="8"/>
        <v>0</v>
      </c>
      <c r="G60" s="677">
        <f t="shared" si="8"/>
        <v>0</v>
      </c>
      <c r="H60" s="677">
        <f t="shared" si="8"/>
        <v>0</v>
      </c>
      <c r="I60" s="677">
        <f t="shared" si="8"/>
        <v>450</v>
      </c>
      <c r="J60" s="677">
        <f t="shared" si="8"/>
        <v>0</v>
      </c>
      <c r="K60" s="677">
        <f t="shared" si="8"/>
        <v>0</v>
      </c>
      <c r="L60" s="677">
        <f t="shared" si="8"/>
        <v>0</v>
      </c>
      <c r="M60" s="677">
        <f t="shared" si="8"/>
        <v>0</v>
      </c>
      <c r="N60" s="677">
        <f t="shared" si="8"/>
        <v>0</v>
      </c>
      <c r="O60" s="668">
        <f>SUM(C60:N60)</f>
        <v>450</v>
      </c>
      <c r="P60" s="669"/>
    </row>
    <row r="61" spans="1:16">
      <c r="A61" s="714"/>
      <c r="B61" s="689" t="s">
        <v>1126</v>
      </c>
      <c r="C61" s="690">
        <f t="shared" ref="C61:O61" si="9">SUM(C51:C59)</f>
        <v>0</v>
      </c>
      <c r="D61" s="690">
        <f t="shared" si="9"/>
        <v>0</v>
      </c>
      <c r="E61" s="690">
        <f t="shared" si="9"/>
        <v>0</v>
      </c>
      <c r="F61" s="690">
        <f t="shared" si="9"/>
        <v>395.48</v>
      </c>
      <c r="G61" s="690">
        <f t="shared" si="9"/>
        <v>0</v>
      </c>
      <c r="H61" s="690">
        <f t="shared" si="9"/>
        <v>0</v>
      </c>
      <c r="I61" s="690">
        <f t="shared" si="9"/>
        <v>450</v>
      </c>
      <c r="J61" s="690">
        <f t="shared" si="9"/>
        <v>0</v>
      </c>
      <c r="K61" s="690">
        <f t="shared" si="9"/>
        <v>0</v>
      </c>
      <c r="L61" s="690">
        <f t="shared" si="9"/>
        <v>0</v>
      </c>
      <c r="M61" s="690">
        <f t="shared" si="9"/>
        <v>395.48</v>
      </c>
      <c r="N61" s="690">
        <f t="shared" si="9"/>
        <v>0</v>
      </c>
      <c r="O61" s="690">
        <f t="shared" si="9"/>
        <v>1240.96</v>
      </c>
      <c r="P61" s="691"/>
    </row>
    <row r="62" spans="1:16">
      <c r="A62" s="715"/>
      <c r="B62" s="692" t="s">
        <v>791</v>
      </c>
      <c r="C62" s="693">
        <f t="shared" ref="C62:O62" si="10">C49-C61</f>
        <v>820</v>
      </c>
      <c r="D62" s="693">
        <f t="shared" si="10"/>
        <v>820</v>
      </c>
      <c r="E62" s="693">
        <f t="shared" si="10"/>
        <v>820</v>
      </c>
      <c r="F62" s="693">
        <f t="shared" si="10"/>
        <v>424.52</v>
      </c>
      <c r="G62" s="693">
        <f t="shared" si="10"/>
        <v>820</v>
      </c>
      <c r="H62" s="693">
        <f t="shared" si="10"/>
        <v>820</v>
      </c>
      <c r="I62" s="693">
        <f t="shared" si="10"/>
        <v>370</v>
      </c>
      <c r="J62" s="693">
        <f t="shared" si="10"/>
        <v>820</v>
      </c>
      <c r="K62" s="693">
        <f t="shared" si="10"/>
        <v>820</v>
      </c>
      <c r="L62" s="693">
        <f t="shared" si="10"/>
        <v>820</v>
      </c>
      <c r="M62" s="693">
        <f t="shared" si="10"/>
        <v>424.52</v>
      </c>
      <c r="N62" s="693">
        <f t="shared" si="10"/>
        <v>820</v>
      </c>
      <c r="O62" s="693">
        <f t="shared" si="10"/>
        <v>8599.0400000000009</v>
      </c>
      <c r="P62" s="694"/>
    </row>
    <row r="63" spans="1:16">
      <c r="A63" s="947"/>
      <c r="B63" s="950" t="s">
        <v>7036</v>
      </c>
      <c r="C63" s="950">
        <v>0</v>
      </c>
      <c r="D63" s="950">
        <v>0</v>
      </c>
      <c r="E63" s="950">
        <v>0</v>
      </c>
      <c r="F63" s="950">
        <v>0</v>
      </c>
      <c r="G63" s="950">
        <v>0</v>
      </c>
      <c r="H63" s="950">
        <v>0</v>
      </c>
      <c r="I63" s="950">
        <v>0</v>
      </c>
      <c r="J63" s="950">
        <v>0</v>
      </c>
      <c r="K63" s="950">
        <v>0</v>
      </c>
      <c r="L63" s="950">
        <v>0</v>
      </c>
      <c r="M63" s="950">
        <v>0</v>
      </c>
      <c r="N63" s="951">
        <v>0</v>
      </c>
      <c r="O63" s="952">
        <f>SUM(C63:N63)</f>
        <v>0</v>
      </c>
      <c r="P63" s="953"/>
    </row>
    <row r="64" spans="1:16">
      <c r="A64" s="692"/>
      <c r="B64" s="692" t="s">
        <v>6861</v>
      </c>
      <c r="C64" s="996">
        <f t="shared" ref="C64:O64" si="11">C62-C63</f>
        <v>820</v>
      </c>
      <c r="D64" s="996">
        <f t="shared" si="11"/>
        <v>820</v>
      </c>
      <c r="E64" s="996">
        <f t="shared" si="11"/>
        <v>820</v>
      </c>
      <c r="F64" s="956">
        <f t="shared" si="11"/>
        <v>424.52</v>
      </c>
      <c r="G64" s="996">
        <f t="shared" si="11"/>
        <v>820</v>
      </c>
      <c r="H64" s="956">
        <f t="shared" si="11"/>
        <v>820</v>
      </c>
      <c r="I64" s="956">
        <f t="shared" si="11"/>
        <v>370</v>
      </c>
      <c r="J64" s="956">
        <f t="shared" si="11"/>
        <v>820</v>
      </c>
      <c r="K64" s="956">
        <f t="shared" si="11"/>
        <v>820</v>
      </c>
      <c r="L64" s="956">
        <f t="shared" si="11"/>
        <v>820</v>
      </c>
      <c r="M64" s="956">
        <f t="shared" si="11"/>
        <v>424.52</v>
      </c>
      <c r="N64" s="956">
        <f t="shared" si="11"/>
        <v>820</v>
      </c>
      <c r="O64" s="956">
        <f t="shared" si="11"/>
        <v>8599.0400000000009</v>
      </c>
      <c r="P64" s="709"/>
    </row>
    <row r="65" spans="1:17">
      <c r="B65" s="2130" t="s">
        <v>7388</v>
      </c>
      <c r="C65" s="2087"/>
      <c r="D65" s="2087"/>
      <c r="E65" s="2087"/>
      <c r="F65" s="2087"/>
      <c r="G65" s="2087"/>
      <c r="H65" s="2087"/>
      <c r="I65" s="2087"/>
      <c r="J65" s="2087"/>
      <c r="K65" s="2087"/>
      <c r="L65" s="2087"/>
      <c r="M65" s="2087"/>
      <c r="N65" s="2087"/>
      <c r="O65" s="2087"/>
    </row>
    <row r="66" spans="1:17">
      <c r="B66" s="938" t="s">
        <v>5755</v>
      </c>
      <c r="C66" s="938" t="s">
        <v>6835</v>
      </c>
      <c r="D66" s="938" t="s">
        <v>6836</v>
      </c>
      <c r="E66" s="938" t="s">
        <v>6837</v>
      </c>
      <c r="F66" s="938" t="s">
        <v>6838</v>
      </c>
      <c r="G66" s="938" t="s">
        <v>6839</v>
      </c>
      <c r="H66" s="938" t="s">
        <v>6840</v>
      </c>
      <c r="I66" s="938" t="s">
        <v>6841</v>
      </c>
      <c r="J66" s="938" t="s">
        <v>6842</v>
      </c>
      <c r="K66" s="938" t="s">
        <v>6843</v>
      </c>
      <c r="L66" s="938" t="s">
        <v>6844</v>
      </c>
      <c r="M66" s="660"/>
      <c r="N66" s="660"/>
      <c r="O66" s="660"/>
      <c r="P66" s="660"/>
    </row>
    <row r="67" spans="1:17">
      <c r="A67" s="714"/>
      <c r="B67" s="2126" t="s">
        <v>7026</v>
      </c>
      <c r="C67" s="2127"/>
      <c r="D67" s="2127"/>
      <c r="E67" s="2127"/>
      <c r="F67" s="2127"/>
      <c r="G67" s="2127"/>
      <c r="H67" s="2127"/>
      <c r="I67" s="2127"/>
      <c r="J67" s="2127"/>
      <c r="K67" s="2127"/>
      <c r="L67" s="2127"/>
      <c r="M67" s="2127"/>
      <c r="N67" s="2127"/>
      <c r="O67" s="2128"/>
      <c r="P67" s="661"/>
    </row>
    <row r="68" spans="1:17">
      <c r="A68" s="714"/>
      <c r="B68" s="662" t="s">
        <v>7385</v>
      </c>
      <c r="C68" s="663" t="s">
        <v>143</v>
      </c>
      <c r="D68" s="663" t="s">
        <v>26</v>
      </c>
      <c r="E68" s="663" t="s">
        <v>25</v>
      </c>
      <c r="F68" s="663" t="s">
        <v>24</v>
      </c>
      <c r="G68" s="663" t="s">
        <v>23</v>
      </c>
      <c r="H68" s="663" t="s">
        <v>22</v>
      </c>
      <c r="I68" s="663" t="s">
        <v>21</v>
      </c>
      <c r="J68" s="663" t="s">
        <v>20</v>
      </c>
      <c r="K68" s="663" t="s">
        <v>256</v>
      </c>
      <c r="L68" s="663" t="s">
        <v>18</v>
      </c>
      <c r="M68" s="663" t="s">
        <v>17</v>
      </c>
      <c r="N68" s="663" t="s">
        <v>86</v>
      </c>
      <c r="O68" s="664" t="s">
        <v>67</v>
      </c>
      <c r="P68" s="665"/>
    </row>
    <row r="69" spans="1:17">
      <c r="A69" s="994"/>
      <c r="B69" s="666" t="s">
        <v>7027</v>
      </c>
      <c r="C69" s="12"/>
      <c r="D69" s="12"/>
      <c r="E69" s="12"/>
      <c r="F69" s="12"/>
      <c r="G69" s="12"/>
      <c r="H69" s="12"/>
      <c r="I69" s="12"/>
      <c r="J69" s="12"/>
      <c r="K69" s="12"/>
      <c r="L69" s="12"/>
      <c r="M69" s="12"/>
      <c r="N69" s="12"/>
      <c r="O69" s="668">
        <f>SUM(C69:N69)</f>
        <v>0</v>
      </c>
      <c r="P69" s="669"/>
    </row>
    <row r="70" spans="1:17">
      <c r="A70" s="714"/>
      <c r="B70" s="666" t="s">
        <v>7028</v>
      </c>
      <c r="C70" s="12"/>
      <c r="D70" s="12"/>
      <c r="E70" s="12"/>
      <c r="F70" s="12"/>
      <c r="G70" s="12"/>
      <c r="H70" s="12"/>
      <c r="I70" s="12"/>
      <c r="J70" s="12"/>
      <c r="K70" s="12"/>
      <c r="L70" s="12"/>
      <c r="M70" s="12"/>
      <c r="N70" s="12"/>
      <c r="O70" s="668">
        <f>SUM(C70:N70)</f>
        <v>0</v>
      </c>
      <c r="P70" s="672"/>
    </row>
    <row r="71" spans="1:17">
      <c r="A71" s="714"/>
      <c r="B71" s="666" t="s">
        <v>7029</v>
      </c>
      <c r="C71" s="12"/>
      <c r="D71" s="12"/>
      <c r="E71" s="12"/>
      <c r="F71" s="12"/>
      <c r="G71" s="12"/>
      <c r="H71" s="12"/>
      <c r="I71" s="12"/>
      <c r="J71" s="12"/>
      <c r="K71" s="12"/>
      <c r="L71" s="12"/>
      <c r="M71" s="12"/>
      <c r="N71" s="12"/>
      <c r="O71" s="668">
        <f>SUM(C71:N71)</f>
        <v>0</v>
      </c>
      <c r="P71" s="672"/>
    </row>
    <row r="72" spans="1:17">
      <c r="A72" s="714"/>
      <c r="B72" s="666" t="s">
        <v>7030</v>
      </c>
      <c r="C72" s="12"/>
      <c r="D72" s="12"/>
      <c r="E72" s="12"/>
      <c r="F72" s="12"/>
      <c r="G72" s="12"/>
      <c r="H72" s="12"/>
      <c r="I72" s="12"/>
      <c r="J72" s="12"/>
      <c r="K72" s="12"/>
      <c r="L72" s="12"/>
      <c r="M72" s="12"/>
      <c r="N72" s="12"/>
      <c r="O72" s="668">
        <f>SUM(C72:N72)</f>
        <v>0</v>
      </c>
      <c r="P72" s="672"/>
    </row>
    <row r="73" spans="1:17">
      <c r="A73" s="714"/>
      <c r="B73" s="666" t="s">
        <v>6847</v>
      </c>
      <c r="C73" s="667">
        <f t="shared" ref="C73:O73" si="12">SUM(C69:C72)</f>
        <v>0</v>
      </c>
      <c r="D73" s="667">
        <f t="shared" si="12"/>
        <v>0</v>
      </c>
      <c r="E73" s="667">
        <f t="shared" si="12"/>
        <v>0</v>
      </c>
      <c r="F73" s="667">
        <f t="shared" si="12"/>
        <v>0</v>
      </c>
      <c r="G73" s="667">
        <f t="shared" si="12"/>
        <v>0</v>
      </c>
      <c r="H73" s="667">
        <f t="shared" si="12"/>
        <v>0</v>
      </c>
      <c r="I73" s="667">
        <f t="shared" si="12"/>
        <v>0</v>
      </c>
      <c r="J73" s="667">
        <f t="shared" si="12"/>
        <v>0</v>
      </c>
      <c r="K73" s="667">
        <f t="shared" si="12"/>
        <v>0</v>
      </c>
      <c r="L73" s="667">
        <f t="shared" si="12"/>
        <v>0</v>
      </c>
      <c r="M73" s="667">
        <f t="shared" si="12"/>
        <v>0</v>
      </c>
      <c r="N73" s="667">
        <f t="shared" si="12"/>
        <v>0</v>
      </c>
      <c r="O73" s="667">
        <f t="shared" si="12"/>
        <v>0</v>
      </c>
      <c r="P73" s="672"/>
    </row>
    <row r="74" spans="1:17">
      <c r="A74" s="714"/>
      <c r="B74" s="666" t="s">
        <v>4397</v>
      </c>
      <c r="C74" s="671"/>
      <c r="D74" s="671"/>
      <c r="E74" s="671"/>
      <c r="F74" s="671"/>
      <c r="G74" s="671"/>
      <c r="H74" s="671"/>
      <c r="I74" s="671"/>
      <c r="J74" s="671"/>
      <c r="K74" s="671"/>
      <c r="L74" s="671"/>
      <c r="M74" s="671"/>
      <c r="N74" s="671"/>
      <c r="O74" s="668"/>
      <c r="P74" s="672"/>
    </row>
    <row r="75" spans="1:17">
      <c r="A75" s="714"/>
      <c r="B75" s="674" t="s">
        <v>5024</v>
      </c>
      <c r="C75" s="675"/>
      <c r="D75" s="675"/>
      <c r="E75" s="675"/>
      <c r="F75" s="675"/>
      <c r="G75" s="675"/>
      <c r="H75" s="675"/>
      <c r="I75" s="675"/>
      <c r="J75" s="675"/>
      <c r="K75" s="675"/>
      <c r="L75" s="675"/>
      <c r="M75" s="675"/>
      <c r="N75" s="675"/>
      <c r="O75" s="668">
        <f>SUM(C75:N75)</f>
        <v>0</v>
      </c>
      <c r="P75" s="672"/>
    </row>
    <row r="76" spans="1:17">
      <c r="A76" s="714"/>
      <c r="B76" s="674" t="s">
        <v>4399</v>
      </c>
      <c r="C76" s="675"/>
      <c r="D76" s="675"/>
      <c r="E76" s="675"/>
      <c r="F76" s="676">
        <v>634.64</v>
      </c>
      <c r="G76" s="675"/>
      <c r="H76" s="675"/>
      <c r="I76" s="675"/>
      <c r="J76" s="675"/>
      <c r="K76" s="675"/>
      <c r="L76" s="675"/>
      <c r="M76" s="676">
        <v>634.64</v>
      </c>
      <c r="N76" s="675"/>
      <c r="O76" s="677">
        <f>SUM(C76:N76)</f>
        <v>1269.28</v>
      </c>
      <c r="P76" s="672"/>
      <c r="Q76" s="9" t="s">
        <v>4392</v>
      </c>
    </row>
    <row r="77" spans="1:17">
      <c r="A77" s="714"/>
      <c r="B77" s="674" t="s">
        <v>7031</v>
      </c>
      <c r="C77" s="675">
        <v>238.77</v>
      </c>
      <c r="D77" s="675"/>
      <c r="E77" s="675"/>
      <c r="F77" s="675"/>
      <c r="G77" s="675">
        <v>133.84</v>
      </c>
      <c r="H77" s="675">
        <v>139.66999999999999</v>
      </c>
      <c r="I77" s="675">
        <v>148.9</v>
      </c>
      <c r="J77" s="675"/>
      <c r="K77" s="675">
        <v>186.07</v>
      </c>
      <c r="L77" s="675">
        <v>172.74</v>
      </c>
      <c r="M77" s="675">
        <v>162.52000000000001</v>
      </c>
      <c r="N77" s="675">
        <v>162.52000000000001</v>
      </c>
      <c r="O77" s="677">
        <f>SUM(C77:N77)</f>
        <v>1345.03</v>
      </c>
      <c r="P77" s="672"/>
      <c r="Q77" s="83">
        <f>(C77+G77+H77+I77+K77+L77+M77+N77)/8</f>
        <v>168.12875</v>
      </c>
    </row>
    <row r="78" spans="1:17">
      <c r="A78" s="714"/>
      <c r="B78" s="674" t="s">
        <v>6850</v>
      </c>
      <c r="C78" s="675">
        <v>263.93</v>
      </c>
      <c r="D78" s="675"/>
      <c r="E78" s="675">
        <v>245.45</v>
      </c>
      <c r="F78" s="675">
        <v>187.43</v>
      </c>
      <c r="G78" s="675">
        <v>143.99</v>
      </c>
      <c r="H78" s="675">
        <v>118.58</v>
      </c>
      <c r="I78" s="675">
        <v>127.6</v>
      </c>
      <c r="J78" s="675">
        <v>124.98</v>
      </c>
      <c r="K78" s="675">
        <v>155.26</v>
      </c>
      <c r="L78" s="675">
        <v>182.11</v>
      </c>
      <c r="M78" s="675">
        <v>199.08</v>
      </c>
      <c r="N78" s="675">
        <v>252.4</v>
      </c>
      <c r="O78" s="677">
        <f>SUM(C78:N78)</f>
        <v>2000.81</v>
      </c>
      <c r="P78" s="672"/>
      <c r="Q78" s="16">
        <f>AVERAGE(E78:N78)</f>
        <v>173.68800000000002</v>
      </c>
    </row>
    <row r="79" spans="1:17">
      <c r="A79" s="714"/>
      <c r="B79" s="674" t="s">
        <v>7032</v>
      </c>
      <c r="C79" s="675">
        <f>C77+'Accounts 16'!C70</f>
        <v>526.69000000000005</v>
      </c>
      <c r="D79" s="675"/>
      <c r="E79" s="675"/>
      <c r="F79" s="675"/>
      <c r="G79" s="675"/>
      <c r="H79" s="675"/>
      <c r="I79" s="675"/>
      <c r="J79" s="675"/>
      <c r="K79" s="675"/>
      <c r="L79" s="675"/>
      <c r="M79" s="675"/>
      <c r="N79" s="675"/>
      <c r="O79" s="677"/>
      <c r="P79" s="672"/>
      <c r="Q79" s="83">
        <f>Q77+Q78</f>
        <v>341.81675000000001</v>
      </c>
    </row>
    <row r="80" spans="1:17">
      <c r="A80" s="714"/>
      <c r="B80" s="674" t="s">
        <v>7033</v>
      </c>
      <c r="C80" s="675"/>
      <c r="D80" s="675"/>
      <c r="E80" s="675"/>
      <c r="F80" s="675"/>
      <c r="G80" s="675"/>
      <c r="H80" s="675"/>
      <c r="I80" s="675"/>
      <c r="J80" s="675"/>
      <c r="K80" s="675"/>
      <c r="L80" s="675"/>
      <c r="M80" s="675"/>
      <c r="N80" s="675"/>
      <c r="O80" s="677"/>
      <c r="P80" s="672"/>
    </row>
    <row r="81" spans="1:16">
      <c r="A81" s="714"/>
      <c r="B81" s="674" t="s">
        <v>7034</v>
      </c>
      <c r="C81" s="675"/>
      <c r="D81" s="675"/>
      <c r="E81" s="675"/>
      <c r="F81" s="675"/>
      <c r="G81" s="675"/>
      <c r="H81" s="675"/>
      <c r="I81" s="675"/>
      <c r="J81" s="675"/>
      <c r="K81" s="676"/>
      <c r="L81" s="675"/>
      <c r="M81" s="675"/>
      <c r="N81" s="675"/>
      <c r="O81" s="677">
        <f>SUM(C81:N81)</f>
        <v>0</v>
      </c>
      <c r="P81" s="672"/>
    </row>
    <row r="82" spans="1:16">
      <c r="A82" s="714"/>
      <c r="B82" s="674" t="s">
        <v>6860</v>
      </c>
      <c r="C82" s="675"/>
      <c r="D82" s="675"/>
      <c r="E82" s="675"/>
      <c r="F82" s="675"/>
      <c r="G82" s="675"/>
      <c r="H82" s="675"/>
      <c r="I82" s="675"/>
      <c r="J82" s="675"/>
      <c r="K82" s="675"/>
      <c r="L82" s="675"/>
      <c r="M82" s="675"/>
      <c r="N82" s="675"/>
      <c r="O82" s="668">
        <f>SUM(C82:N82)</f>
        <v>0</v>
      </c>
      <c r="P82" s="672"/>
    </row>
    <row r="83" spans="1:16">
      <c r="A83" s="714"/>
      <c r="B83" s="674" t="s">
        <v>7035</v>
      </c>
      <c r="C83" s="675"/>
      <c r="D83" s="675"/>
      <c r="E83" s="675"/>
      <c r="F83" s="675"/>
      <c r="G83" s="675"/>
      <c r="H83" s="675"/>
      <c r="I83" s="675"/>
      <c r="J83" s="675"/>
      <c r="K83" s="675"/>
      <c r="L83" s="675"/>
      <c r="M83" s="675"/>
      <c r="N83" s="675"/>
      <c r="O83" s="668">
        <f>SUM(C83:N83)</f>
        <v>0</v>
      </c>
      <c r="P83" s="672"/>
    </row>
    <row r="84" spans="1:16">
      <c r="A84" s="714"/>
      <c r="B84" s="666" t="s">
        <v>6323</v>
      </c>
      <c r="C84" s="677">
        <f t="shared" ref="C84:N84" si="13">SUM(C82:C83)</f>
        <v>0</v>
      </c>
      <c r="D84" s="677">
        <f t="shared" si="13"/>
        <v>0</v>
      </c>
      <c r="E84" s="677">
        <f t="shared" si="13"/>
        <v>0</v>
      </c>
      <c r="F84" s="677">
        <f t="shared" si="13"/>
        <v>0</v>
      </c>
      <c r="G84" s="677">
        <f t="shared" si="13"/>
        <v>0</v>
      </c>
      <c r="H84" s="677">
        <f t="shared" si="13"/>
        <v>0</v>
      </c>
      <c r="I84" s="677">
        <f t="shared" si="13"/>
        <v>0</v>
      </c>
      <c r="J84" s="677">
        <f t="shared" si="13"/>
        <v>0</v>
      </c>
      <c r="K84" s="677">
        <f t="shared" si="13"/>
        <v>0</v>
      </c>
      <c r="L84" s="677">
        <f t="shared" si="13"/>
        <v>0</v>
      </c>
      <c r="M84" s="677">
        <f t="shared" si="13"/>
        <v>0</v>
      </c>
      <c r="N84" s="677">
        <f t="shared" si="13"/>
        <v>0</v>
      </c>
      <c r="O84" s="668">
        <f>SUM(C84:N84)</f>
        <v>0</v>
      </c>
      <c r="P84" s="669"/>
    </row>
    <row r="85" spans="1:16">
      <c r="A85" s="714"/>
      <c r="B85" s="689" t="s">
        <v>1126</v>
      </c>
      <c r="C85" s="690">
        <f t="shared" ref="C85:O85" si="14">SUM(C76:C83)</f>
        <v>1029.3900000000001</v>
      </c>
      <c r="D85" s="690">
        <f t="shared" si="14"/>
        <v>0</v>
      </c>
      <c r="E85" s="690">
        <f t="shared" si="14"/>
        <v>245.45</v>
      </c>
      <c r="F85" s="690">
        <f t="shared" si="14"/>
        <v>822.06999999999994</v>
      </c>
      <c r="G85" s="690">
        <f t="shared" si="14"/>
        <v>277.83000000000004</v>
      </c>
      <c r="H85" s="690">
        <f t="shared" si="14"/>
        <v>258.25</v>
      </c>
      <c r="I85" s="690">
        <f t="shared" si="14"/>
        <v>276.5</v>
      </c>
      <c r="J85" s="690">
        <f t="shared" si="14"/>
        <v>124.98</v>
      </c>
      <c r="K85" s="690">
        <f t="shared" si="14"/>
        <v>341.33</v>
      </c>
      <c r="L85" s="690">
        <f t="shared" si="14"/>
        <v>354.85</v>
      </c>
      <c r="M85" s="690">
        <f t="shared" si="14"/>
        <v>996.24</v>
      </c>
      <c r="N85" s="690">
        <f t="shared" si="14"/>
        <v>414.92</v>
      </c>
      <c r="O85" s="995">
        <f t="shared" si="14"/>
        <v>4615.12</v>
      </c>
      <c r="P85" s="691"/>
    </row>
    <row r="86" spans="1:16">
      <c r="A86" s="715"/>
      <c r="B86" s="692" t="s">
        <v>791</v>
      </c>
      <c r="C86" s="693">
        <f t="shared" ref="C86:O86" si="15">C73-C85</f>
        <v>-1029.3900000000001</v>
      </c>
      <c r="D86" s="693">
        <f t="shared" si="15"/>
        <v>0</v>
      </c>
      <c r="E86" s="693">
        <f t="shared" si="15"/>
        <v>-245.45</v>
      </c>
      <c r="F86" s="693">
        <f t="shared" si="15"/>
        <v>-822.06999999999994</v>
      </c>
      <c r="G86" s="693">
        <f t="shared" si="15"/>
        <v>-277.83000000000004</v>
      </c>
      <c r="H86" s="693">
        <f t="shared" si="15"/>
        <v>-258.25</v>
      </c>
      <c r="I86" s="693">
        <f t="shared" si="15"/>
        <v>-276.5</v>
      </c>
      <c r="J86" s="693">
        <f t="shared" si="15"/>
        <v>-124.98</v>
      </c>
      <c r="K86" s="693">
        <f t="shared" si="15"/>
        <v>-341.33</v>
      </c>
      <c r="L86" s="693">
        <f t="shared" si="15"/>
        <v>-354.85</v>
      </c>
      <c r="M86" s="693">
        <f t="shared" si="15"/>
        <v>-996.24</v>
      </c>
      <c r="N86" s="693">
        <f t="shared" si="15"/>
        <v>-414.92</v>
      </c>
      <c r="O86" s="693">
        <f t="shared" si="15"/>
        <v>-4615.12</v>
      </c>
      <c r="P86" s="694"/>
    </row>
    <row r="87" spans="1:16">
      <c r="A87" s="947"/>
      <c r="B87" s="950" t="s">
        <v>7036</v>
      </c>
      <c r="C87" s="950">
        <v>0</v>
      </c>
      <c r="D87" s="950">
        <v>0</v>
      </c>
      <c r="E87" s="950">
        <v>0</v>
      </c>
      <c r="F87" s="950">
        <v>0</v>
      </c>
      <c r="G87" s="950">
        <v>0</v>
      </c>
      <c r="H87" s="950">
        <v>0</v>
      </c>
      <c r="I87" s="950">
        <v>0</v>
      </c>
      <c r="J87" s="950">
        <v>0</v>
      </c>
      <c r="K87" s="950">
        <v>0</v>
      </c>
      <c r="L87" s="950">
        <v>0</v>
      </c>
      <c r="M87" s="950">
        <v>0</v>
      </c>
      <c r="N87" s="951">
        <v>0</v>
      </c>
      <c r="O87" s="952">
        <f>SUM(C87:N87)</f>
        <v>0</v>
      </c>
      <c r="P87" s="953"/>
    </row>
    <row r="88" spans="1:16">
      <c r="A88" s="692"/>
      <c r="B88" s="692" t="s">
        <v>6861</v>
      </c>
      <c r="C88" s="996">
        <f t="shared" ref="C88:O88" si="16">C86-C87</f>
        <v>-1029.3900000000001</v>
      </c>
      <c r="D88" s="996">
        <f t="shared" si="16"/>
        <v>0</v>
      </c>
      <c r="E88" s="996">
        <f t="shared" si="16"/>
        <v>-245.45</v>
      </c>
      <c r="F88" s="996">
        <f t="shared" si="16"/>
        <v>-822.06999999999994</v>
      </c>
      <c r="G88" s="996">
        <f t="shared" si="16"/>
        <v>-277.83000000000004</v>
      </c>
      <c r="H88" s="996">
        <f t="shared" si="16"/>
        <v>-258.25</v>
      </c>
      <c r="I88" s="996">
        <f t="shared" si="16"/>
        <v>-276.5</v>
      </c>
      <c r="J88" s="996">
        <f t="shared" si="16"/>
        <v>-124.98</v>
      </c>
      <c r="K88" s="996">
        <f t="shared" si="16"/>
        <v>-341.33</v>
      </c>
      <c r="L88" s="996">
        <f t="shared" si="16"/>
        <v>-354.85</v>
      </c>
      <c r="M88" s="996">
        <f t="shared" si="16"/>
        <v>-996.24</v>
      </c>
      <c r="N88" s="996">
        <f t="shared" si="16"/>
        <v>-414.92</v>
      </c>
      <c r="O88" s="956">
        <f t="shared" si="16"/>
        <v>-4615.12</v>
      </c>
      <c r="P88" s="709"/>
    </row>
    <row r="89" spans="1:16">
      <c r="B89" s="2130" t="s">
        <v>7037</v>
      </c>
      <c r="C89" s="2087"/>
      <c r="D89" s="2087"/>
      <c r="E89" s="2087"/>
      <c r="F89" s="2087"/>
      <c r="G89" s="2087"/>
      <c r="H89" s="2087"/>
      <c r="I89" s="2087"/>
      <c r="J89" s="2087"/>
      <c r="K89" s="2087"/>
      <c r="L89" s="2087"/>
      <c r="M89" s="2087"/>
      <c r="N89" s="2087"/>
      <c r="O89" s="2087"/>
    </row>
    <row r="90" spans="1:16">
      <c r="B90" s="9" t="s">
        <v>7038</v>
      </c>
      <c r="C90" s="9">
        <f t="shared" ref="C90:O90" si="17">C77</f>
        <v>238.77</v>
      </c>
      <c r="D90" s="9">
        <f t="shared" si="17"/>
        <v>0</v>
      </c>
      <c r="E90" s="9">
        <f t="shared" si="17"/>
        <v>0</v>
      </c>
      <c r="F90" s="9">
        <f t="shared" si="17"/>
        <v>0</v>
      </c>
      <c r="G90" s="9">
        <f t="shared" si="17"/>
        <v>133.84</v>
      </c>
      <c r="H90" s="9">
        <f t="shared" si="17"/>
        <v>139.66999999999999</v>
      </c>
      <c r="I90" s="9">
        <f t="shared" si="17"/>
        <v>148.9</v>
      </c>
      <c r="J90" s="9">
        <f t="shared" si="17"/>
        <v>0</v>
      </c>
      <c r="K90" s="9">
        <f t="shared" si="17"/>
        <v>186.07</v>
      </c>
      <c r="L90" s="9">
        <f t="shared" si="17"/>
        <v>172.74</v>
      </c>
      <c r="M90" s="9">
        <f t="shared" si="17"/>
        <v>162.52000000000001</v>
      </c>
      <c r="N90" s="9">
        <f t="shared" si="17"/>
        <v>162.52000000000001</v>
      </c>
      <c r="O90" s="9">
        <f t="shared" si="17"/>
        <v>1345.03</v>
      </c>
    </row>
    <row r="91" spans="1:16">
      <c r="B91" s="9" t="s">
        <v>7039</v>
      </c>
      <c r="C91" s="9">
        <f t="shared" ref="C91:H91" si="18">C78</f>
        <v>263.93</v>
      </c>
      <c r="D91" s="9">
        <f t="shared" si="18"/>
        <v>0</v>
      </c>
      <c r="E91" s="9">
        <f t="shared" si="18"/>
        <v>245.45</v>
      </c>
      <c r="F91" s="9">
        <f t="shared" si="18"/>
        <v>187.43</v>
      </c>
      <c r="G91" s="9">
        <f t="shared" si="18"/>
        <v>143.99</v>
      </c>
      <c r="H91" s="9">
        <f t="shared" si="18"/>
        <v>118.58</v>
      </c>
      <c r="I91" s="9">
        <v>129.81</v>
      </c>
      <c r="J91" s="9">
        <f t="shared" ref="J91:O91" si="19">J78</f>
        <v>124.98</v>
      </c>
      <c r="K91" s="9">
        <f t="shared" si="19"/>
        <v>155.26</v>
      </c>
      <c r="L91" s="9">
        <f t="shared" si="19"/>
        <v>182.11</v>
      </c>
      <c r="M91" s="9">
        <f t="shared" si="19"/>
        <v>199.08</v>
      </c>
      <c r="N91" s="9">
        <f t="shared" si="19"/>
        <v>252.4</v>
      </c>
      <c r="O91" s="9">
        <f t="shared" si="19"/>
        <v>2000.81</v>
      </c>
    </row>
    <row r="92" spans="1:16">
      <c r="B92" s="9" t="s">
        <v>7040</v>
      </c>
      <c r="C92" s="9">
        <f>C70+C72</f>
        <v>0</v>
      </c>
      <c r="D92" s="9">
        <f>D70+D72</f>
        <v>0</v>
      </c>
      <c r="E92" s="9">
        <f>E70+E72</f>
        <v>0</v>
      </c>
      <c r="F92" s="9">
        <f>F70+F72</f>
        <v>0</v>
      </c>
      <c r="G92" s="9">
        <v>270</v>
      </c>
      <c r="H92" s="9">
        <v>270</v>
      </c>
      <c r="I92" s="9">
        <f t="shared" ref="I92:O92" si="20">I70+I72</f>
        <v>0</v>
      </c>
      <c r="J92" s="9">
        <f t="shared" si="20"/>
        <v>0</v>
      </c>
      <c r="K92" s="9">
        <f t="shared" si="20"/>
        <v>0</v>
      </c>
      <c r="L92" s="9">
        <f t="shared" si="20"/>
        <v>0</v>
      </c>
      <c r="M92" s="9">
        <f t="shared" si="20"/>
        <v>0</v>
      </c>
      <c r="N92" s="9">
        <f t="shared" si="20"/>
        <v>0</v>
      </c>
      <c r="O92" s="9">
        <f t="shared" si="20"/>
        <v>0</v>
      </c>
    </row>
    <row r="93" spans="1:16">
      <c r="A93" s="578"/>
      <c r="B93" s="997" t="s">
        <v>59</v>
      </c>
      <c r="C93" s="997">
        <f t="shared" ref="C93:O93" si="21">C92-C91-C90</f>
        <v>-502.70000000000005</v>
      </c>
      <c r="D93" s="997">
        <f t="shared" si="21"/>
        <v>0</v>
      </c>
      <c r="E93" s="997">
        <f t="shared" si="21"/>
        <v>-245.45</v>
      </c>
      <c r="F93" s="997">
        <f t="shared" si="21"/>
        <v>-187.43</v>
      </c>
      <c r="G93" s="998">
        <f t="shared" si="21"/>
        <v>-7.8300000000000125</v>
      </c>
      <c r="H93" s="997">
        <f t="shared" si="21"/>
        <v>11.750000000000028</v>
      </c>
      <c r="I93" s="997">
        <f t="shared" si="21"/>
        <v>-278.71000000000004</v>
      </c>
      <c r="J93" s="997">
        <f t="shared" si="21"/>
        <v>-124.98</v>
      </c>
      <c r="K93" s="997">
        <f t="shared" si="21"/>
        <v>-341.33</v>
      </c>
      <c r="L93" s="997">
        <f t="shared" si="21"/>
        <v>-354.85</v>
      </c>
      <c r="M93" s="997">
        <f t="shared" si="21"/>
        <v>-361.6</v>
      </c>
      <c r="N93" s="997">
        <f t="shared" si="21"/>
        <v>-414.92</v>
      </c>
      <c r="O93" s="997">
        <f t="shared" si="21"/>
        <v>-3345.84</v>
      </c>
      <c r="P93" s="997"/>
    </row>
    <row r="94" spans="1:16">
      <c r="B94" s="938" t="s">
        <v>5755</v>
      </c>
      <c r="C94" s="938" t="s">
        <v>6835</v>
      </c>
      <c r="D94" s="938" t="s">
        <v>6836</v>
      </c>
      <c r="E94" s="938" t="s">
        <v>6837</v>
      </c>
      <c r="F94" s="938" t="s">
        <v>6838</v>
      </c>
      <c r="G94" s="938" t="s">
        <v>6839</v>
      </c>
      <c r="H94" s="938" t="s">
        <v>6840</v>
      </c>
      <c r="I94" s="938" t="s">
        <v>6841</v>
      </c>
      <c r="J94" s="938" t="s">
        <v>6842</v>
      </c>
      <c r="K94" s="938" t="s">
        <v>6843</v>
      </c>
      <c r="L94" s="938" t="s">
        <v>6844</v>
      </c>
      <c r="M94" s="660"/>
      <c r="N94" s="660"/>
      <c r="O94" s="660"/>
      <c r="P94" s="660"/>
    </row>
    <row r="95" spans="1:16">
      <c r="A95" s="714"/>
      <c r="B95" s="2126" t="s">
        <v>7041</v>
      </c>
      <c r="C95" s="2127"/>
      <c r="D95" s="2127"/>
      <c r="E95" s="2127"/>
      <c r="F95" s="2127"/>
      <c r="G95" s="2127"/>
      <c r="H95" s="2127"/>
      <c r="I95" s="2127"/>
      <c r="J95" s="2127"/>
      <c r="K95" s="2127"/>
      <c r="L95" s="2127"/>
      <c r="M95" s="2127"/>
      <c r="N95" s="2127"/>
      <c r="O95" s="2128"/>
      <c r="P95" s="661"/>
    </row>
    <row r="96" spans="1:16">
      <c r="A96" s="714"/>
      <c r="B96" s="662" t="s">
        <v>7385</v>
      </c>
      <c r="C96" s="663" t="s">
        <v>143</v>
      </c>
      <c r="D96" s="663" t="s">
        <v>26</v>
      </c>
      <c r="E96" s="663" t="s">
        <v>25</v>
      </c>
      <c r="F96" s="663" t="s">
        <v>24</v>
      </c>
      <c r="G96" s="663" t="s">
        <v>23</v>
      </c>
      <c r="H96" s="663" t="s">
        <v>22</v>
      </c>
      <c r="I96" s="663" t="s">
        <v>21</v>
      </c>
      <c r="J96" s="663" t="s">
        <v>20</v>
      </c>
      <c r="K96" s="663" t="s">
        <v>256</v>
      </c>
      <c r="L96" s="663" t="s">
        <v>18</v>
      </c>
      <c r="M96" s="663" t="s">
        <v>17</v>
      </c>
      <c r="N96" s="663" t="s">
        <v>86</v>
      </c>
      <c r="O96" s="664" t="s">
        <v>67</v>
      </c>
      <c r="P96" s="665"/>
    </row>
    <row r="97" spans="1:16">
      <c r="A97" s="714"/>
      <c r="B97" s="666" t="s">
        <v>4395</v>
      </c>
      <c r="C97" s="667">
        <v>575</v>
      </c>
      <c r="D97" s="999">
        <v>575</v>
      </c>
      <c r="E97" s="999">
        <v>575</v>
      </c>
      <c r="F97" s="999">
        <v>600</v>
      </c>
      <c r="G97" s="999">
        <v>600</v>
      </c>
      <c r="H97" s="999">
        <v>600</v>
      </c>
      <c r="I97" s="999">
        <v>600</v>
      </c>
      <c r="J97" s="999">
        <v>600</v>
      </c>
      <c r="K97" s="999">
        <v>600</v>
      </c>
      <c r="L97" s="999">
        <v>600</v>
      </c>
      <c r="M97" s="999">
        <v>600</v>
      </c>
      <c r="N97" s="999">
        <v>600</v>
      </c>
      <c r="O97" s="668">
        <f>SUM(C97:N97)</f>
        <v>7125</v>
      </c>
      <c r="P97" s="669"/>
    </row>
    <row r="98" spans="1:16">
      <c r="A98" s="714"/>
      <c r="B98" s="666" t="s">
        <v>4397</v>
      </c>
      <c r="C98" s="671"/>
      <c r="D98" s="671"/>
      <c r="E98" s="671"/>
      <c r="F98" s="671"/>
      <c r="G98" s="671"/>
      <c r="H98" s="671"/>
      <c r="I98" s="671"/>
      <c r="J98" s="671"/>
      <c r="K98" s="671"/>
      <c r="L98" s="671"/>
      <c r="M98" s="671"/>
      <c r="N98" s="671"/>
      <c r="O98" s="668"/>
      <c r="P98" s="672"/>
    </row>
    <row r="99" spans="1:16">
      <c r="A99" s="714"/>
      <c r="B99" s="674" t="s">
        <v>5024</v>
      </c>
      <c r="C99" s="675"/>
      <c r="D99" s="675"/>
      <c r="E99" s="675"/>
      <c r="F99" s="675"/>
      <c r="G99" s="675"/>
      <c r="H99" s="675"/>
      <c r="I99" s="1000"/>
      <c r="J99" s="1000"/>
      <c r="K99" s="1000"/>
      <c r="L99" s="1000"/>
      <c r="M99" s="1000"/>
      <c r="N99" s="1000"/>
      <c r="O99" s="668">
        <f>SUM(C99:N99)</f>
        <v>0</v>
      </c>
      <c r="P99" s="672"/>
    </row>
    <row r="100" spans="1:16">
      <c r="A100" s="714"/>
      <c r="B100" s="674" t="s">
        <v>4399</v>
      </c>
      <c r="C100" s="675"/>
      <c r="D100" s="675"/>
      <c r="E100" s="675"/>
      <c r="F100" s="1001">
        <v>235.97</v>
      </c>
      <c r="G100" s="675"/>
      <c r="H100" s="675"/>
      <c r="I100" s="675"/>
      <c r="J100" s="675"/>
      <c r="K100" s="675"/>
      <c r="L100" s="675"/>
      <c r="M100" s="676">
        <v>235.97</v>
      </c>
      <c r="N100" s="675"/>
      <c r="O100" s="677">
        <f>SUM(C100:N100)</f>
        <v>471.94</v>
      </c>
      <c r="P100" s="672"/>
    </row>
    <row r="101" spans="1:16">
      <c r="A101" s="714"/>
      <c r="B101" s="674" t="s">
        <v>7031</v>
      </c>
      <c r="C101" s="675"/>
      <c r="D101" s="675"/>
      <c r="E101" s="675"/>
      <c r="F101" s="675"/>
      <c r="G101" s="675"/>
      <c r="H101" s="675"/>
      <c r="I101" s="675"/>
      <c r="J101" s="675"/>
      <c r="K101" s="675"/>
      <c r="L101" s="675"/>
      <c r="M101" s="675"/>
      <c r="N101" s="675"/>
      <c r="O101" s="677">
        <f>SUM(C101:N101)</f>
        <v>0</v>
      </c>
      <c r="P101" s="681"/>
    </row>
    <row r="102" spans="1:16">
      <c r="A102" s="714"/>
      <c r="B102" s="674" t="s">
        <v>7042</v>
      </c>
      <c r="C102" s="675"/>
      <c r="D102" s="675"/>
      <c r="E102" s="675"/>
      <c r="F102" s="675"/>
      <c r="G102" s="675"/>
      <c r="H102" s="675"/>
      <c r="I102" s="675"/>
      <c r="J102" s="675"/>
      <c r="K102" s="675"/>
      <c r="L102" s="675"/>
      <c r="M102" s="675"/>
      <c r="N102" s="675"/>
      <c r="O102" s="677">
        <f>SUM(C102:N102)</f>
        <v>0</v>
      </c>
      <c r="P102" s="672"/>
    </row>
    <row r="103" spans="1:16">
      <c r="A103" s="714"/>
      <c r="B103" s="674" t="s">
        <v>7019</v>
      </c>
      <c r="C103" s="675"/>
      <c r="D103" s="675"/>
      <c r="E103" s="675"/>
      <c r="F103" s="675"/>
      <c r="G103" s="675"/>
      <c r="H103" s="675"/>
      <c r="I103" s="675"/>
      <c r="J103" s="675"/>
      <c r="K103" s="675"/>
      <c r="L103" s="675"/>
      <c r="M103" s="675"/>
      <c r="N103" s="675"/>
      <c r="O103" s="677"/>
      <c r="P103" s="672"/>
    </row>
    <row r="104" spans="1:16">
      <c r="A104" s="714"/>
      <c r="B104" s="674" t="s">
        <v>7033</v>
      </c>
      <c r="C104" s="675"/>
      <c r="D104" s="675"/>
      <c r="E104" s="675"/>
      <c r="F104" s="675"/>
      <c r="G104" s="675"/>
      <c r="H104" s="675"/>
      <c r="I104" s="675"/>
      <c r="J104" s="675"/>
      <c r="K104" s="675"/>
      <c r="L104" s="675"/>
      <c r="M104" s="675"/>
      <c r="N104" s="675"/>
      <c r="O104" s="677"/>
      <c r="P104" s="672"/>
    </row>
    <row r="105" spans="1:16">
      <c r="A105" s="714"/>
      <c r="B105" s="674" t="s">
        <v>7043</v>
      </c>
      <c r="C105" s="687"/>
      <c r="D105" s="687"/>
      <c r="E105" s="687"/>
      <c r="F105" s="687"/>
      <c r="G105" s="687"/>
      <c r="H105" s="687"/>
      <c r="I105" s="688"/>
      <c r="J105" s="687"/>
      <c r="K105" s="687"/>
      <c r="L105" s="687"/>
      <c r="M105" s="687"/>
      <c r="N105" s="687"/>
      <c r="O105" s="677">
        <f>SUM(C105:N105)</f>
        <v>0</v>
      </c>
      <c r="P105" s="672"/>
    </row>
    <row r="106" spans="1:16">
      <c r="A106" s="714"/>
      <c r="B106" s="674" t="s">
        <v>6860</v>
      </c>
      <c r="C106" s="945"/>
      <c r="D106" s="945"/>
      <c r="E106" s="945"/>
      <c r="F106" s="945"/>
      <c r="G106" s="945"/>
      <c r="H106" s="945"/>
      <c r="I106" s="945"/>
      <c r="J106" s="945"/>
      <c r="K106" s="945"/>
      <c r="L106" s="945"/>
      <c r="M106" s="945"/>
      <c r="N106" s="945"/>
      <c r="O106" s="668">
        <f>SUM(C106:N106)</f>
        <v>0</v>
      </c>
      <c r="P106" s="672"/>
    </row>
    <row r="107" spans="1:16">
      <c r="A107" s="714"/>
      <c r="B107" s="674" t="s">
        <v>7035</v>
      </c>
      <c r="C107" s="675"/>
      <c r="D107" s="675"/>
      <c r="E107" s="675"/>
      <c r="F107" s="675"/>
      <c r="G107" s="675"/>
      <c r="H107" s="675"/>
      <c r="I107" s="675"/>
      <c r="J107" s="675"/>
      <c r="K107" s="675"/>
      <c r="L107" s="675"/>
      <c r="M107" s="675"/>
      <c r="N107" s="675"/>
      <c r="O107" s="668">
        <f>SUM(C107:N107)</f>
        <v>0</v>
      </c>
      <c r="P107" s="672"/>
    </row>
    <row r="108" spans="1:16">
      <c r="A108" s="714"/>
      <c r="B108" s="666" t="s">
        <v>6323</v>
      </c>
      <c r="C108" s="677">
        <f t="shared" ref="C108:N108" si="22">SUM(C106:C107)</f>
        <v>0</v>
      </c>
      <c r="D108" s="677">
        <f t="shared" si="22"/>
        <v>0</v>
      </c>
      <c r="E108" s="677">
        <f t="shared" si="22"/>
        <v>0</v>
      </c>
      <c r="F108" s="677">
        <f t="shared" si="22"/>
        <v>0</v>
      </c>
      <c r="G108" s="677">
        <f t="shared" si="22"/>
        <v>0</v>
      </c>
      <c r="H108" s="677">
        <f t="shared" si="22"/>
        <v>0</v>
      </c>
      <c r="I108" s="677">
        <f t="shared" si="22"/>
        <v>0</v>
      </c>
      <c r="J108" s="677">
        <f t="shared" si="22"/>
        <v>0</v>
      </c>
      <c r="K108" s="677">
        <f t="shared" si="22"/>
        <v>0</v>
      </c>
      <c r="L108" s="677">
        <f t="shared" si="22"/>
        <v>0</v>
      </c>
      <c r="M108" s="677">
        <f t="shared" si="22"/>
        <v>0</v>
      </c>
      <c r="N108" s="677">
        <f t="shared" si="22"/>
        <v>0</v>
      </c>
      <c r="O108" s="668">
        <f>SUM(C108:N108)</f>
        <v>0</v>
      </c>
      <c r="P108" s="669"/>
    </row>
    <row r="109" spans="1:16">
      <c r="A109" s="714"/>
      <c r="B109" s="689" t="s">
        <v>1126</v>
      </c>
      <c r="C109" s="690">
        <f t="shared" ref="C109:N109" si="23">SUM(C99:C107)</f>
        <v>0</v>
      </c>
      <c r="D109" s="690">
        <f t="shared" si="23"/>
        <v>0</v>
      </c>
      <c r="E109" s="690">
        <f t="shared" si="23"/>
        <v>0</v>
      </c>
      <c r="F109" s="690">
        <f t="shared" si="23"/>
        <v>235.97</v>
      </c>
      <c r="G109" s="690">
        <f t="shared" si="23"/>
        <v>0</v>
      </c>
      <c r="H109" s="690">
        <f t="shared" si="23"/>
        <v>0</v>
      </c>
      <c r="I109" s="690">
        <f t="shared" si="23"/>
        <v>0</v>
      </c>
      <c r="J109" s="690">
        <f t="shared" si="23"/>
        <v>0</v>
      </c>
      <c r="K109" s="690">
        <f t="shared" si="23"/>
        <v>0</v>
      </c>
      <c r="L109" s="690">
        <f t="shared" si="23"/>
        <v>0</v>
      </c>
      <c r="M109" s="690">
        <f t="shared" si="23"/>
        <v>235.97</v>
      </c>
      <c r="N109" s="690">
        <f t="shared" si="23"/>
        <v>0</v>
      </c>
      <c r="O109" s="995">
        <f>SUM(O100:O107)</f>
        <v>471.94</v>
      </c>
      <c r="P109" s="691"/>
    </row>
    <row r="110" spans="1:16">
      <c r="A110" s="715"/>
      <c r="B110" s="692" t="s">
        <v>791</v>
      </c>
      <c r="C110" s="693">
        <f t="shared" ref="C110:O110" si="24">C97-C109</f>
        <v>575</v>
      </c>
      <c r="D110" s="693">
        <f t="shared" si="24"/>
        <v>575</v>
      </c>
      <c r="E110" s="693">
        <f t="shared" si="24"/>
        <v>575</v>
      </c>
      <c r="F110" s="693">
        <f t="shared" si="24"/>
        <v>364.03</v>
      </c>
      <c r="G110" s="693">
        <f t="shared" si="24"/>
        <v>600</v>
      </c>
      <c r="H110" s="693">
        <f t="shared" si="24"/>
        <v>600</v>
      </c>
      <c r="I110" s="693">
        <f t="shared" si="24"/>
        <v>600</v>
      </c>
      <c r="J110" s="693">
        <f t="shared" si="24"/>
        <v>600</v>
      </c>
      <c r="K110" s="693">
        <f t="shared" si="24"/>
        <v>600</v>
      </c>
      <c r="L110" s="693">
        <f t="shared" si="24"/>
        <v>600</v>
      </c>
      <c r="M110" s="693">
        <f t="shared" si="24"/>
        <v>364.03</v>
      </c>
      <c r="N110" s="693">
        <f t="shared" si="24"/>
        <v>600</v>
      </c>
      <c r="O110" s="693">
        <f t="shared" si="24"/>
        <v>6653.06</v>
      </c>
      <c r="P110" s="694"/>
    </row>
    <row r="111" spans="1:16">
      <c r="A111" s="947"/>
      <c r="B111" s="950" t="s">
        <v>7036</v>
      </c>
      <c r="C111" s="950">
        <v>0</v>
      </c>
      <c r="D111" s="950">
        <v>0</v>
      </c>
      <c r="E111" s="950">
        <v>0</v>
      </c>
      <c r="F111" s="950">
        <v>0</v>
      </c>
      <c r="G111" s="950">
        <v>0</v>
      </c>
      <c r="H111" s="950">
        <v>0</v>
      </c>
      <c r="I111" s="950">
        <v>0</v>
      </c>
      <c r="J111" s="950">
        <v>0</v>
      </c>
      <c r="K111" s="950">
        <v>0</v>
      </c>
      <c r="L111" s="950">
        <v>0</v>
      </c>
      <c r="M111" s="950">
        <v>0</v>
      </c>
      <c r="N111" s="951">
        <v>0</v>
      </c>
      <c r="O111" s="952">
        <f>SUM(C111:N111)</f>
        <v>0</v>
      </c>
      <c r="P111" s="953"/>
    </row>
    <row r="112" spans="1:16">
      <c r="A112" s="692"/>
      <c r="B112" s="692" t="s">
        <v>6861</v>
      </c>
      <c r="C112" s="996">
        <f t="shared" ref="C112:O112" si="25">C110-C111</f>
        <v>575</v>
      </c>
      <c r="D112" s="996">
        <f t="shared" si="25"/>
        <v>575</v>
      </c>
      <c r="E112" s="996">
        <f t="shared" si="25"/>
        <v>575</v>
      </c>
      <c r="F112" s="956">
        <f t="shared" si="25"/>
        <v>364.03</v>
      </c>
      <c r="G112" s="996">
        <f t="shared" si="25"/>
        <v>600</v>
      </c>
      <c r="H112" s="956">
        <f t="shared" si="25"/>
        <v>600</v>
      </c>
      <c r="I112" s="956">
        <f t="shared" si="25"/>
        <v>600</v>
      </c>
      <c r="J112" s="956">
        <f t="shared" si="25"/>
        <v>600</v>
      </c>
      <c r="K112" s="956">
        <f t="shared" si="25"/>
        <v>600</v>
      </c>
      <c r="L112" s="956">
        <f t="shared" si="25"/>
        <v>600</v>
      </c>
      <c r="M112" s="956">
        <f t="shared" si="25"/>
        <v>364.03</v>
      </c>
      <c r="N112" s="956">
        <f t="shared" si="25"/>
        <v>600</v>
      </c>
      <c r="O112" s="956">
        <f t="shared" si="25"/>
        <v>6653.06</v>
      </c>
      <c r="P112" s="709"/>
    </row>
    <row r="113" spans="1:17">
      <c r="B113" s="2161" t="s">
        <v>7044</v>
      </c>
      <c r="C113" s="2087"/>
      <c r="D113" s="2087"/>
      <c r="E113" s="2087"/>
      <c r="F113" s="2087"/>
      <c r="G113" s="2087"/>
      <c r="H113" s="2087"/>
      <c r="I113" s="2087"/>
      <c r="J113" s="2087"/>
      <c r="K113" s="2087"/>
      <c r="L113" s="2087"/>
      <c r="M113" s="2087"/>
      <c r="N113" s="2087"/>
      <c r="O113" s="2087"/>
    </row>
    <row r="114" spans="1:17">
      <c r="B114" s="623"/>
      <c r="C114" s="623"/>
      <c r="D114" s="623"/>
      <c r="E114" s="623"/>
      <c r="F114" s="623"/>
      <c r="G114" s="623"/>
      <c r="H114" s="623"/>
      <c r="I114" s="623"/>
      <c r="J114" s="623"/>
      <c r="K114" s="623"/>
      <c r="L114" s="623"/>
      <c r="M114" s="623"/>
      <c r="N114" s="623"/>
      <c r="O114" s="623"/>
    </row>
    <row r="115" spans="1:17">
      <c r="B115" s="938" t="s">
        <v>5755</v>
      </c>
      <c r="C115" s="938" t="s">
        <v>6835</v>
      </c>
      <c r="D115" s="938" t="s">
        <v>6836</v>
      </c>
      <c r="E115" s="938" t="s">
        <v>6837</v>
      </c>
      <c r="F115" s="938" t="s">
        <v>6838</v>
      </c>
      <c r="G115" s="938" t="s">
        <v>6839</v>
      </c>
      <c r="H115" s="938" t="s">
        <v>6840</v>
      </c>
      <c r="I115" s="938" t="s">
        <v>6841</v>
      </c>
      <c r="J115" s="938" t="s">
        <v>6842</v>
      </c>
      <c r="K115" s="938" t="s">
        <v>6843</v>
      </c>
      <c r="L115" s="938" t="s">
        <v>6844</v>
      </c>
      <c r="M115" s="660"/>
      <c r="N115" s="660"/>
      <c r="O115" s="660"/>
      <c r="P115" s="660"/>
    </row>
    <row r="116" spans="1:17">
      <c r="A116" s="714"/>
      <c r="B116" s="2126" t="s">
        <v>7389</v>
      </c>
      <c r="C116" s="2127"/>
      <c r="D116" s="2127"/>
      <c r="E116" s="2127"/>
      <c r="F116" s="2127"/>
      <c r="G116" s="2127"/>
      <c r="H116" s="2127"/>
      <c r="I116" s="2127"/>
      <c r="J116" s="2127"/>
      <c r="K116" s="2127"/>
      <c r="L116" s="2127"/>
      <c r="M116" s="2127"/>
      <c r="N116" s="2127"/>
      <c r="O116" s="2128"/>
      <c r="P116" s="661"/>
    </row>
    <row r="117" spans="1:17">
      <c r="A117" s="714"/>
      <c r="B117" s="662" t="s">
        <v>7385</v>
      </c>
      <c r="C117" s="663" t="s">
        <v>143</v>
      </c>
      <c r="D117" s="663" t="s">
        <v>26</v>
      </c>
      <c r="E117" s="663" t="s">
        <v>25</v>
      </c>
      <c r="F117" s="663" t="s">
        <v>24</v>
      </c>
      <c r="G117" s="663" t="s">
        <v>23</v>
      </c>
      <c r="H117" s="663" t="s">
        <v>22</v>
      </c>
      <c r="I117" s="663" t="s">
        <v>21</v>
      </c>
      <c r="J117" s="663" t="s">
        <v>20</v>
      </c>
      <c r="K117" s="663" t="s">
        <v>256</v>
      </c>
      <c r="L117" s="663" t="s">
        <v>18</v>
      </c>
      <c r="M117" s="663" t="s">
        <v>17</v>
      </c>
      <c r="N117" s="663" t="s">
        <v>86</v>
      </c>
      <c r="O117" s="664" t="s">
        <v>67</v>
      </c>
      <c r="P117" s="665"/>
    </row>
    <row r="118" spans="1:17">
      <c r="A118" s="714"/>
      <c r="B118" s="666" t="s">
        <v>6847</v>
      </c>
      <c r="C118" s="667"/>
      <c r="D118" s="667"/>
      <c r="E118" s="667"/>
      <c r="F118" s="667"/>
      <c r="G118" s="667"/>
      <c r="H118" s="667"/>
      <c r="I118" s="667"/>
      <c r="J118" s="667"/>
      <c r="K118" s="667"/>
      <c r="L118" s="667"/>
      <c r="M118" s="667"/>
      <c r="N118" s="667"/>
      <c r="O118" s="668">
        <f>SUM(C118:N118)</f>
        <v>0</v>
      </c>
      <c r="P118" s="669"/>
    </row>
    <row r="119" spans="1:17">
      <c r="A119" s="714"/>
      <c r="B119" s="666" t="s">
        <v>4397</v>
      </c>
      <c r="C119" s="671"/>
      <c r="D119" s="671"/>
      <c r="E119" s="671"/>
      <c r="F119" s="671"/>
      <c r="G119" s="671"/>
      <c r="H119" s="671"/>
      <c r="I119" s="671"/>
      <c r="J119" s="671"/>
      <c r="K119" s="671"/>
      <c r="L119" s="671"/>
      <c r="M119" s="671"/>
      <c r="N119" s="671"/>
      <c r="O119" s="668"/>
      <c r="P119" s="672"/>
      <c r="Q119" s="9" t="s">
        <v>659</v>
      </c>
    </row>
    <row r="120" spans="1:17">
      <c r="A120" s="714"/>
      <c r="B120" s="674" t="s">
        <v>5024</v>
      </c>
      <c r="C120" s="675"/>
      <c r="D120" s="675"/>
      <c r="E120" s="675"/>
      <c r="F120" s="675"/>
      <c r="G120" s="675"/>
      <c r="H120" s="675"/>
      <c r="I120" s="675"/>
      <c r="J120" s="675"/>
      <c r="K120" s="675"/>
      <c r="L120" s="675"/>
      <c r="M120" s="675"/>
      <c r="N120" s="675"/>
      <c r="O120" s="668">
        <f t="shared" ref="O120:O131" si="26">SUM(C120:N120)</f>
        <v>0</v>
      </c>
      <c r="P120" s="672"/>
    </row>
    <row r="121" spans="1:17">
      <c r="A121" s="714"/>
      <c r="B121" s="674" t="s">
        <v>7390</v>
      </c>
      <c r="C121" s="675"/>
      <c r="D121" s="675"/>
      <c r="E121" s="675"/>
      <c r="F121" s="685">
        <v>1288.98</v>
      </c>
      <c r="G121" s="675"/>
      <c r="H121" s="675"/>
      <c r="I121" s="675"/>
      <c r="J121" s="675"/>
      <c r="K121" s="675"/>
      <c r="L121" s="675"/>
      <c r="M121" s="676">
        <v>1288.98</v>
      </c>
      <c r="N121" s="675"/>
      <c r="O121" s="677">
        <f t="shared" si="26"/>
        <v>2577.96</v>
      </c>
      <c r="P121" s="672"/>
    </row>
    <row r="122" spans="1:17">
      <c r="A122" s="714"/>
      <c r="B122" s="674" t="s">
        <v>7391</v>
      </c>
      <c r="C122" s="675"/>
      <c r="D122" s="675"/>
      <c r="E122" s="675"/>
      <c r="F122" s="685">
        <v>1288.98</v>
      </c>
      <c r="G122" s="675"/>
      <c r="H122" s="675"/>
      <c r="I122" s="675"/>
      <c r="J122" s="675"/>
      <c r="K122" s="675"/>
      <c r="L122" s="675"/>
      <c r="M122" s="676">
        <v>1288.98</v>
      </c>
      <c r="N122" s="675"/>
      <c r="O122" s="677">
        <f t="shared" si="26"/>
        <v>2577.96</v>
      </c>
      <c r="P122" s="672"/>
    </row>
    <row r="123" spans="1:17">
      <c r="A123" s="714"/>
      <c r="B123" s="674" t="s">
        <v>7031</v>
      </c>
      <c r="C123" s="675">
        <v>821.73</v>
      </c>
      <c r="D123" s="675"/>
      <c r="E123" s="675"/>
      <c r="F123" s="675">
        <v>707.34</v>
      </c>
      <c r="G123" s="675">
        <v>716.62</v>
      </c>
      <c r="H123" s="675">
        <v>670.24</v>
      </c>
      <c r="I123" s="675">
        <v>670.24</v>
      </c>
      <c r="J123" s="675">
        <v>800.08</v>
      </c>
      <c r="K123" s="675">
        <v>837.18</v>
      </c>
      <c r="L123" s="675">
        <v>772.27</v>
      </c>
      <c r="M123" s="675"/>
      <c r="N123" s="675"/>
      <c r="O123" s="677">
        <f t="shared" si="26"/>
        <v>5995.7000000000007</v>
      </c>
      <c r="P123" s="681"/>
      <c r="Q123" s="12">
        <f>AVERAGE(F123:J123)</f>
        <v>712.90399999999988</v>
      </c>
    </row>
    <row r="124" spans="1:17">
      <c r="A124" s="714"/>
      <c r="B124" s="674" t="s">
        <v>6850</v>
      </c>
      <c r="C124" s="675">
        <v>33.49</v>
      </c>
      <c r="D124" s="675"/>
      <c r="E124" s="675"/>
      <c r="F124" s="675"/>
      <c r="G124" s="675"/>
      <c r="H124" s="675"/>
      <c r="I124" s="675"/>
      <c r="J124" s="675"/>
      <c r="K124" s="675"/>
      <c r="L124" s="675"/>
      <c r="M124" s="675"/>
      <c r="N124" s="675"/>
      <c r="O124" s="677">
        <f t="shared" si="26"/>
        <v>33.49</v>
      </c>
      <c r="P124" s="672"/>
    </row>
    <row r="125" spans="1:17">
      <c r="A125" s="714"/>
      <c r="B125" s="674" t="s">
        <v>7019</v>
      </c>
      <c r="C125" s="675"/>
      <c r="D125" s="675"/>
      <c r="E125" s="675"/>
      <c r="F125" s="675"/>
      <c r="G125" s="675"/>
      <c r="H125" s="675"/>
      <c r="I125" s="675"/>
      <c r="J125" s="675"/>
      <c r="K125" s="675"/>
      <c r="L125" s="675"/>
      <c r="M125" s="675"/>
      <c r="N125" s="675"/>
      <c r="O125" s="677">
        <f t="shared" si="26"/>
        <v>0</v>
      </c>
      <c r="P125" s="672"/>
    </row>
    <row r="126" spans="1:17">
      <c r="A126" s="714"/>
      <c r="B126" s="674" t="s">
        <v>7392</v>
      </c>
      <c r="C126" s="675"/>
      <c r="D126" s="675"/>
      <c r="E126" s="675"/>
      <c r="F126" s="675"/>
      <c r="G126" s="675"/>
      <c r="H126" s="675"/>
      <c r="I126" s="675"/>
      <c r="J126" s="675"/>
      <c r="K126" s="675"/>
      <c r="L126" s="675"/>
      <c r="M126" s="675"/>
      <c r="N126" s="675"/>
      <c r="O126" s="677">
        <f t="shared" si="26"/>
        <v>0</v>
      </c>
      <c r="P126" s="672"/>
    </row>
    <row r="127" spans="1:17">
      <c r="A127" s="714"/>
      <c r="B127" s="674" t="s">
        <v>7033</v>
      </c>
      <c r="C127" s="675"/>
      <c r="D127" s="675"/>
      <c r="E127" s="675"/>
      <c r="F127" s="675"/>
      <c r="G127" s="675"/>
      <c r="H127" s="675"/>
      <c r="I127" s="675"/>
      <c r="J127" s="675"/>
      <c r="K127" s="675"/>
      <c r="L127" s="675"/>
      <c r="M127" s="675"/>
      <c r="N127" s="675"/>
      <c r="O127" s="677">
        <f t="shared" si="26"/>
        <v>0</v>
      </c>
      <c r="P127" s="672"/>
    </row>
    <row r="128" spans="1:17">
      <c r="A128" s="714"/>
      <c r="B128" s="674" t="s">
        <v>7043</v>
      </c>
      <c r="C128" s="687"/>
      <c r="D128" s="687"/>
      <c r="E128" s="687"/>
      <c r="F128" s="687"/>
      <c r="G128" s="687"/>
      <c r="H128" s="688">
        <v>1961.13</v>
      </c>
      <c r="I128" s="687"/>
      <c r="J128" s="687"/>
      <c r="K128" s="687"/>
      <c r="L128" s="687"/>
      <c r="M128" s="31">
        <v>1462.67</v>
      </c>
      <c r="N128" s="687"/>
      <c r="O128" s="677">
        <f t="shared" si="26"/>
        <v>3423.8</v>
      </c>
      <c r="P128" s="672"/>
    </row>
    <row r="129" spans="1:16">
      <c r="A129" s="714"/>
      <c r="B129" s="674" t="s">
        <v>6860</v>
      </c>
      <c r="C129" s="945"/>
      <c r="D129" s="945"/>
      <c r="E129" s="945"/>
      <c r="F129" s="945"/>
      <c r="G129" s="945"/>
      <c r="H129" s="945"/>
      <c r="I129" s="945"/>
      <c r="J129" s="945"/>
      <c r="K129" s="945"/>
      <c r="L129" s="945"/>
      <c r="M129" s="945"/>
      <c r="N129" s="945"/>
      <c r="O129" s="668">
        <f t="shared" si="26"/>
        <v>0</v>
      </c>
      <c r="P129" s="672"/>
    </row>
    <row r="130" spans="1:16">
      <c r="A130" s="714"/>
      <c r="B130" s="674" t="s">
        <v>7035</v>
      </c>
      <c r="C130" s="675"/>
      <c r="D130" s="675"/>
      <c r="E130" s="675"/>
      <c r="F130" s="675"/>
      <c r="G130" s="675"/>
      <c r="H130" s="675"/>
      <c r="I130" s="675"/>
      <c r="J130" s="675"/>
      <c r="K130" s="675"/>
      <c r="L130" s="675"/>
      <c r="M130" s="675"/>
      <c r="N130" s="675"/>
      <c r="O130" s="668">
        <f t="shared" si="26"/>
        <v>0</v>
      </c>
      <c r="P130" s="672"/>
    </row>
    <row r="131" spans="1:16">
      <c r="A131" s="714"/>
      <c r="B131" s="666" t="s">
        <v>6323</v>
      </c>
      <c r="C131" s="677">
        <f t="shared" ref="C131:N131" si="27">SUM(C129:C130)</f>
        <v>0</v>
      </c>
      <c r="D131" s="677">
        <f t="shared" si="27"/>
        <v>0</v>
      </c>
      <c r="E131" s="677">
        <f t="shared" si="27"/>
        <v>0</v>
      </c>
      <c r="F131" s="677">
        <f t="shared" si="27"/>
        <v>0</v>
      </c>
      <c r="G131" s="677">
        <f t="shared" si="27"/>
        <v>0</v>
      </c>
      <c r="H131" s="677">
        <f t="shared" si="27"/>
        <v>0</v>
      </c>
      <c r="I131" s="677">
        <f t="shared" si="27"/>
        <v>0</v>
      </c>
      <c r="J131" s="677">
        <f t="shared" si="27"/>
        <v>0</v>
      </c>
      <c r="K131" s="677">
        <f t="shared" si="27"/>
        <v>0</v>
      </c>
      <c r="L131" s="677">
        <f t="shared" si="27"/>
        <v>0</v>
      </c>
      <c r="M131" s="677">
        <f t="shared" si="27"/>
        <v>0</v>
      </c>
      <c r="N131" s="677">
        <f t="shared" si="27"/>
        <v>0</v>
      </c>
      <c r="O131" s="668">
        <f t="shared" si="26"/>
        <v>0</v>
      </c>
      <c r="P131" s="669"/>
    </row>
    <row r="132" spans="1:16">
      <c r="A132" s="714"/>
      <c r="B132" s="689" t="s">
        <v>1126</v>
      </c>
      <c r="C132" s="690">
        <f t="shared" ref="C132:O132" si="28">SUM(C120:C130)</f>
        <v>855.22</v>
      </c>
      <c r="D132" s="690">
        <f t="shared" si="28"/>
        <v>0</v>
      </c>
      <c r="E132" s="690">
        <f t="shared" si="28"/>
        <v>0</v>
      </c>
      <c r="F132" s="690">
        <f t="shared" si="28"/>
        <v>3285.3</v>
      </c>
      <c r="G132" s="690">
        <f t="shared" si="28"/>
        <v>716.62</v>
      </c>
      <c r="H132" s="690">
        <f t="shared" si="28"/>
        <v>2631.37</v>
      </c>
      <c r="I132" s="690">
        <f t="shared" si="28"/>
        <v>670.24</v>
      </c>
      <c r="J132" s="690">
        <f t="shared" si="28"/>
        <v>800.08</v>
      </c>
      <c r="K132" s="690">
        <f t="shared" si="28"/>
        <v>837.18</v>
      </c>
      <c r="L132" s="690">
        <f t="shared" si="28"/>
        <v>772.27</v>
      </c>
      <c r="M132" s="690">
        <f t="shared" si="28"/>
        <v>4040.63</v>
      </c>
      <c r="N132" s="690">
        <f t="shared" si="28"/>
        <v>0</v>
      </c>
      <c r="O132" s="995">
        <f t="shared" si="28"/>
        <v>14608.91</v>
      </c>
      <c r="P132" s="691"/>
    </row>
    <row r="133" spans="1:16">
      <c r="A133" s="715"/>
      <c r="B133" s="692" t="s">
        <v>791</v>
      </c>
      <c r="C133" s="693">
        <f t="shared" ref="C133:O133" si="29">C118-C132</f>
        <v>-855.22</v>
      </c>
      <c r="D133" s="693">
        <f t="shared" si="29"/>
        <v>0</v>
      </c>
      <c r="E133" s="693">
        <f t="shared" si="29"/>
        <v>0</v>
      </c>
      <c r="F133" s="693">
        <f t="shared" si="29"/>
        <v>-3285.3</v>
      </c>
      <c r="G133" s="693">
        <f t="shared" si="29"/>
        <v>-716.62</v>
      </c>
      <c r="H133" s="693">
        <f t="shared" si="29"/>
        <v>-2631.37</v>
      </c>
      <c r="I133" s="693">
        <f t="shared" si="29"/>
        <v>-670.24</v>
      </c>
      <c r="J133" s="693">
        <f t="shared" si="29"/>
        <v>-800.08</v>
      </c>
      <c r="K133" s="693">
        <f t="shared" si="29"/>
        <v>-837.18</v>
      </c>
      <c r="L133" s="693">
        <f t="shared" si="29"/>
        <v>-772.27</v>
      </c>
      <c r="M133" s="693">
        <f t="shared" si="29"/>
        <v>-4040.63</v>
      </c>
      <c r="N133" s="693">
        <f t="shared" si="29"/>
        <v>0</v>
      </c>
      <c r="O133" s="693">
        <f t="shared" si="29"/>
        <v>-14608.91</v>
      </c>
      <c r="P133" s="694"/>
    </row>
    <row r="134" spans="1:16">
      <c r="A134" s="947"/>
      <c r="B134" s="950" t="s">
        <v>7036</v>
      </c>
      <c r="C134" s="950">
        <v>0</v>
      </c>
      <c r="D134" s="950">
        <v>0</v>
      </c>
      <c r="E134" s="950">
        <v>0</v>
      </c>
      <c r="F134" s="950">
        <v>0</v>
      </c>
      <c r="G134" s="950">
        <v>0</v>
      </c>
      <c r="H134" s="950">
        <v>0</v>
      </c>
      <c r="I134" s="950">
        <v>0</v>
      </c>
      <c r="J134" s="950">
        <v>0</v>
      </c>
      <c r="K134" s="950">
        <v>0</v>
      </c>
      <c r="L134" s="950">
        <v>0</v>
      </c>
      <c r="M134" s="950">
        <v>0</v>
      </c>
      <c r="N134" s="951">
        <v>0</v>
      </c>
      <c r="O134" s="952">
        <f>SUM(C134:N134)</f>
        <v>0</v>
      </c>
      <c r="P134" s="953"/>
    </row>
    <row r="135" spans="1:16">
      <c r="A135" s="692"/>
      <c r="B135" s="692" t="s">
        <v>6861</v>
      </c>
      <c r="C135" s="996">
        <f t="shared" ref="C135:O135" si="30">C133-C134</f>
        <v>-855.22</v>
      </c>
      <c r="D135" s="996">
        <f t="shared" si="30"/>
        <v>0</v>
      </c>
      <c r="E135" s="996">
        <f t="shared" si="30"/>
        <v>0</v>
      </c>
      <c r="F135" s="956">
        <f t="shared" si="30"/>
        <v>-3285.3</v>
      </c>
      <c r="G135" s="996">
        <f t="shared" si="30"/>
        <v>-716.62</v>
      </c>
      <c r="H135" s="956">
        <f t="shared" si="30"/>
        <v>-2631.37</v>
      </c>
      <c r="I135" s="956">
        <f t="shared" si="30"/>
        <v>-670.24</v>
      </c>
      <c r="J135" s="956">
        <f t="shared" si="30"/>
        <v>-800.08</v>
      </c>
      <c r="K135" s="956">
        <f t="shared" si="30"/>
        <v>-837.18</v>
      </c>
      <c r="L135" s="956">
        <f t="shared" si="30"/>
        <v>-772.27</v>
      </c>
      <c r="M135" s="956">
        <f t="shared" si="30"/>
        <v>-4040.63</v>
      </c>
      <c r="N135" s="956">
        <f t="shared" si="30"/>
        <v>0</v>
      </c>
      <c r="O135" s="996">
        <f t="shared" si="30"/>
        <v>-14608.91</v>
      </c>
      <c r="P135" s="709"/>
    </row>
    <row r="136" spans="1:16">
      <c r="B136" s="2161" t="s">
        <v>7393</v>
      </c>
      <c r="C136" s="2087"/>
      <c r="D136" s="2087"/>
      <c r="E136" s="2087"/>
      <c r="F136" s="2087"/>
      <c r="G136" s="2087"/>
      <c r="H136" s="2087"/>
      <c r="I136" s="2087"/>
      <c r="J136" s="2087"/>
      <c r="K136" s="2087"/>
      <c r="L136" s="2087"/>
      <c r="M136" s="2087"/>
      <c r="N136" s="2087"/>
      <c r="O136" s="2087"/>
    </row>
    <row r="137" spans="1:16">
      <c r="B137" s="2161" t="s">
        <v>7394</v>
      </c>
      <c r="C137" s="2087"/>
      <c r="D137" s="2087"/>
      <c r="E137" s="2087"/>
      <c r="F137" s="2087"/>
      <c r="G137" s="2087"/>
      <c r="H137" s="2087"/>
      <c r="I137" s="2087"/>
      <c r="J137" s="2087"/>
      <c r="K137" s="2087"/>
      <c r="L137" s="2087"/>
      <c r="M137" s="2087"/>
      <c r="N137" s="2087"/>
      <c r="O137" s="2087"/>
    </row>
    <row r="138" spans="1:16">
      <c r="B138" s="938" t="s">
        <v>5755</v>
      </c>
      <c r="C138" s="938" t="s">
        <v>6835</v>
      </c>
      <c r="D138" s="938" t="s">
        <v>6836</v>
      </c>
      <c r="E138" s="938" t="s">
        <v>6837</v>
      </c>
      <c r="F138" s="938" t="s">
        <v>6838</v>
      </c>
      <c r="G138" s="938" t="s">
        <v>6839</v>
      </c>
      <c r="H138" s="938" t="s">
        <v>6840</v>
      </c>
      <c r="I138" s="938" t="s">
        <v>6841</v>
      </c>
      <c r="J138" s="938" t="s">
        <v>6842</v>
      </c>
      <c r="K138" s="938" t="s">
        <v>6843</v>
      </c>
      <c r="L138" s="938" t="s">
        <v>6844</v>
      </c>
      <c r="M138" s="660"/>
      <c r="N138" s="660"/>
      <c r="O138" s="660"/>
      <c r="P138" s="660"/>
    </row>
    <row r="139" spans="1:16">
      <c r="A139" s="714"/>
      <c r="B139" s="2126" t="s">
        <v>7395</v>
      </c>
      <c r="C139" s="2127"/>
      <c r="D139" s="2127"/>
      <c r="E139" s="2127"/>
      <c r="F139" s="2127"/>
      <c r="G139" s="2127"/>
      <c r="H139" s="2127"/>
      <c r="I139" s="2127"/>
      <c r="J139" s="2127"/>
      <c r="K139" s="2127"/>
      <c r="L139" s="2127"/>
      <c r="M139" s="2127"/>
      <c r="N139" s="2127"/>
      <c r="O139" s="2128"/>
      <c r="P139" s="661"/>
    </row>
    <row r="140" spans="1:16">
      <c r="A140" s="714"/>
      <c r="B140" s="662" t="s">
        <v>7385</v>
      </c>
      <c r="C140" s="663" t="s">
        <v>143</v>
      </c>
      <c r="D140" s="663" t="s">
        <v>26</v>
      </c>
      <c r="E140" s="663" t="s">
        <v>25</v>
      </c>
      <c r="F140" s="663" t="s">
        <v>24</v>
      </c>
      <c r="G140" s="663" t="s">
        <v>23</v>
      </c>
      <c r="H140" s="663" t="s">
        <v>22</v>
      </c>
      <c r="I140" s="663" t="s">
        <v>21</v>
      </c>
      <c r="J140" s="663" t="s">
        <v>20</v>
      </c>
      <c r="K140" s="663" t="s">
        <v>256</v>
      </c>
      <c r="L140" s="663" t="s">
        <v>18</v>
      </c>
      <c r="M140" s="663" t="s">
        <v>17</v>
      </c>
      <c r="N140" s="663" t="s">
        <v>86</v>
      </c>
      <c r="O140" s="664" t="s">
        <v>67</v>
      </c>
      <c r="P140" s="665"/>
    </row>
    <row r="141" spans="1:16">
      <c r="A141" s="714"/>
      <c r="B141" s="666" t="s">
        <v>4395</v>
      </c>
      <c r="C141" s="667">
        <v>0</v>
      </c>
      <c r="D141" s="667">
        <v>0</v>
      </c>
      <c r="E141" s="667">
        <v>0</v>
      </c>
      <c r="F141" s="667">
        <v>0</v>
      </c>
      <c r="G141" s="667">
        <v>0</v>
      </c>
      <c r="H141" s="667">
        <v>0</v>
      </c>
      <c r="I141" s="667">
        <v>0</v>
      </c>
      <c r="J141" s="667">
        <v>0</v>
      </c>
      <c r="K141" s="667">
        <v>0</v>
      </c>
      <c r="L141" s="667">
        <v>0</v>
      </c>
      <c r="M141" s="667">
        <v>0</v>
      </c>
      <c r="N141" s="999">
        <v>675</v>
      </c>
      <c r="O141" s="668">
        <f>SUM(C141:N141)</f>
        <v>675</v>
      </c>
      <c r="P141" s="669"/>
    </row>
    <row r="142" spans="1:16">
      <c r="A142" s="714"/>
      <c r="B142" s="666" t="s">
        <v>4397</v>
      </c>
      <c r="C142" s="671"/>
      <c r="D142" s="671"/>
      <c r="E142" s="671"/>
      <c r="F142" s="671"/>
      <c r="G142" s="671"/>
      <c r="H142" s="671"/>
      <c r="I142" s="671"/>
      <c r="J142" s="671"/>
      <c r="K142" s="671"/>
      <c r="L142" s="671"/>
      <c r="M142" s="671"/>
      <c r="N142" s="671"/>
      <c r="O142" s="668"/>
      <c r="P142" s="672"/>
    </row>
    <row r="143" spans="1:16">
      <c r="A143" s="714"/>
      <c r="B143" s="674" t="s">
        <v>5024</v>
      </c>
      <c r="C143" s="675"/>
      <c r="D143" s="675"/>
      <c r="E143" s="675"/>
      <c r="F143" s="675"/>
      <c r="G143" s="675"/>
      <c r="H143" s="675"/>
      <c r="I143" s="675"/>
      <c r="J143" s="675"/>
      <c r="K143" s="675"/>
      <c r="L143" s="675"/>
      <c r="M143" s="675"/>
      <c r="N143" s="675"/>
      <c r="O143" s="668">
        <f t="shared" ref="O143:O151" si="31">SUM(C143:N143)</f>
        <v>0</v>
      </c>
      <c r="P143" s="672"/>
    </row>
    <row r="144" spans="1:16">
      <c r="A144" s="714"/>
      <c r="B144" s="674" t="s">
        <v>4399</v>
      </c>
      <c r="C144" s="675"/>
      <c r="D144" s="675"/>
      <c r="E144" s="675"/>
      <c r="F144" s="1001">
        <v>247.82</v>
      </c>
      <c r="G144" s="675"/>
      <c r="H144" s="675"/>
      <c r="I144" s="675"/>
      <c r="J144" s="675"/>
      <c r="K144" s="675"/>
      <c r="L144" s="675"/>
      <c r="M144" s="676">
        <v>247.82</v>
      </c>
      <c r="N144" s="675"/>
      <c r="O144" s="677">
        <f t="shared" si="31"/>
        <v>495.64</v>
      </c>
      <c r="P144" s="672"/>
    </row>
    <row r="145" spans="1:17">
      <c r="A145" s="714"/>
      <c r="B145" s="674" t="s">
        <v>7031</v>
      </c>
      <c r="C145" s="675"/>
      <c r="D145" s="675"/>
      <c r="E145" s="675"/>
      <c r="F145" s="675"/>
      <c r="G145" s="675"/>
      <c r="H145" s="675"/>
      <c r="I145" s="675"/>
      <c r="J145" s="675"/>
      <c r="K145" s="675"/>
      <c r="L145" s="675"/>
      <c r="M145" s="675"/>
      <c r="N145" s="675"/>
      <c r="O145" s="677">
        <f t="shared" si="31"/>
        <v>0</v>
      </c>
      <c r="P145" s="681"/>
    </row>
    <row r="146" spans="1:17">
      <c r="A146" s="714"/>
      <c r="B146" s="674" t="s">
        <v>6850</v>
      </c>
      <c r="C146" s="675"/>
      <c r="D146" s="675"/>
      <c r="E146" s="675"/>
      <c r="F146" s="675"/>
      <c r="G146" s="675"/>
      <c r="H146" s="675"/>
      <c r="I146" s="675"/>
      <c r="J146" s="675"/>
      <c r="K146" s="675"/>
      <c r="L146" s="675"/>
      <c r="M146" s="675"/>
      <c r="N146" s="675"/>
      <c r="O146" s="677">
        <f t="shared" si="31"/>
        <v>0</v>
      </c>
      <c r="P146" s="672"/>
    </row>
    <row r="147" spans="1:17">
      <c r="A147" s="714"/>
      <c r="B147" s="674" t="s">
        <v>7019</v>
      </c>
      <c r="C147" s="675"/>
      <c r="D147" s="675"/>
      <c r="E147" s="675"/>
      <c r="F147" s="675"/>
      <c r="G147" s="675"/>
      <c r="H147" s="675"/>
      <c r="I147" s="675"/>
      <c r="J147" s="675"/>
      <c r="K147" s="675"/>
      <c r="L147" s="675"/>
      <c r="M147" s="675"/>
      <c r="N147" s="675"/>
      <c r="O147" s="677">
        <f t="shared" si="31"/>
        <v>0</v>
      </c>
      <c r="P147" s="672"/>
    </row>
    <row r="148" spans="1:17">
      <c r="A148" s="714"/>
      <c r="B148" s="674" t="s">
        <v>7043</v>
      </c>
      <c r="C148" s="687"/>
      <c r="D148" s="687"/>
      <c r="E148" s="687"/>
      <c r="F148" s="687"/>
      <c r="G148" s="687"/>
      <c r="H148" s="687"/>
      <c r="I148" s="687"/>
      <c r="J148" s="687"/>
      <c r="K148" s="687"/>
      <c r="L148" s="688"/>
      <c r="M148" s="687"/>
      <c r="N148" s="687"/>
      <c r="O148" s="677">
        <f t="shared" si="31"/>
        <v>0</v>
      </c>
      <c r="P148" s="672"/>
    </row>
    <row r="149" spans="1:17">
      <c r="A149" s="714"/>
      <c r="B149" s="674" t="s">
        <v>6860</v>
      </c>
      <c r="C149" s="945"/>
      <c r="D149" s="945"/>
      <c r="E149" s="945"/>
      <c r="F149" s="945"/>
      <c r="G149" s="945"/>
      <c r="H149" s="945"/>
      <c r="I149" s="945"/>
      <c r="J149" s="945"/>
      <c r="K149" s="945"/>
      <c r="L149" s="945"/>
      <c r="M149" s="945"/>
      <c r="N149" s="945"/>
      <c r="O149" s="668">
        <f t="shared" si="31"/>
        <v>0</v>
      </c>
      <c r="P149" s="672"/>
    </row>
    <row r="150" spans="1:17">
      <c r="A150" s="714"/>
      <c r="B150" s="674" t="s">
        <v>7035</v>
      </c>
      <c r="C150" s="675"/>
      <c r="D150" s="675"/>
      <c r="E150" s="675"/>
      <c r="F150" s="675"/>
      <c r="G150" s="675"/>
      <c r="H150" s="675"/>
      <c r="I150" s="675"/>
      <c r="J150" s="675"/>
      <c r="K150" s="675"/>
      <c r="L150" s="675"/>
      <c r="M150" s="675"/>
      <c r="N150" s="675"/>
      <c r="O150" s="668">
        <f t="shared" si="31"/>
        <v>0</v>
      </c>
      <c r="P150" s="672"/>
    </row>
    <row r="151" spans="1:17">
      <c r="A151" s="714"/>
      <c r="B151" s="666" t="s">
        <v>6323</v>
      </c>
      <c r="C151" s="677">
        <f t="shared" ref="C151:N151" si="32">SUM(C149:C150)</f>
        <v>0</v>
      </c>
      <c r="D151" s="677">
        <f t="shared" si="32"/>
        <v>0</v>
      </c>
      <c r="E151" s="677">
        <f t="shared" si="32"/>
        <v>0</v>
      </c>
      <c r="F151" s="677">
        <f t="shared" si="32"/>
        <v>0</v>
      </c>
      <c r="G151" s="677">
        <f t="shared" si="32"/>
        <v>0</v>
      </c>
      <c r="H151" s="677">
        <f t="shared" si="32"/>
        <v>0</v>
      </c>
      <c r="I151" s="677">
        <f t="shared" si="32"/>
        <v>0</v>
      </c>
      <c r="J151" s="677">
        <f t="shared" si="32"/>
        <v>0</v>
      </c>
      <c r="K151" s="677">
        <f t="shared" si="32"/>
        <v>0</v>
      </c>
      <c r="L151" s="677">
        <f t="shared" si="32"/>
        <v>0</v>
      </c>
      <c r="M151" s="677">
        <f t="shared" si="32"/>
        <v>0</v>
      </c>
      <c r="N151" s="677">
        <f t="shared" si="32"/>
        <v>0</v>
      </c>
      <c r="O151" s="668">
        <f t="shared" si="31"/>
        <v>0</v>
      </c>
      <c r="P151" s="669"/>
    </row>
    <row r="152" spans="1:17">
      <c r="A152" s="714"/>
      <c r="B152" s="689" t="s">
        <v>1126</v>
      </c>
      <c r="C152" s="690">
        <f t="shared" ref="C152:N152" si="33">SUM(C143:C150)</f>
        <v>0</v>
      </c>
      <c r="D152" s="690">
        <f t="shared" si="33"/>
        <v>0</v>
      </c>
      <c r="E152" s="690">
        <f t="shared" si="33"/>
        <v>0</v>
      </c>
      <c r="F152" s="690">
        <f t="shared" si="33"/>
        <v>247.82</v>
      </c>
      <c r="G152" s="690">
        <f t="shared" si="33"/>
        <v>0</v>
      </c>
      <c r="H152" s="690">
        <f t="shared" si="33"/>
        <v>0</v>
      </c>
      <c r="I152" s="690">
        <f t="shared" si="33"/>
        <v>0</v>
      </c>
      <c r="J152" s="690">
        <f t="shared" si="33"/>
        <v>0</v>
      </c>
      <c r="K152" s="690">
        <f t="shared" si="33"/>
        <v>0</v>
      </c>
      <c r="L152" s="690">
        <f t="shared" si="33"/>
        <v>0</v>
      </c>
      <c r="M152" s="690">
        <f t="shared" si="33"/>
        <v>247.82</v>
      </c>
      <c r="N152" s="690">
        <f t="shared" si="33"/>
        <v>0</v>
      </c>
      <c r="O152" s="995">
        <f>SUM(O144:O150)</f>
        <v>495.64</v>
      </c>
      <c r="P152" s="691"/>
    </row>
    <row r="153" spans="1:17">
      <c r="A153" s="715"/>
      <c r="B153" s="692" t="s">
        <v>791</v>
      </c>
      <c r="C153" s="693">
        <f t="shared" ref="C153:O153" si="34">C141-C152</f>
        <v>0</v>
      </c>
      <c r="D153" s="693">
        <f t="shared" si="34"/>
        <v>0</v>
      </c>
      <c r="E153" s="693">
        <f t="shared" si="34"/>
        <v>0</v>
      </c>
      <c r="F153" s="693">
        <f t="shared" si="34"/>
        <v>-247.82</v>
      </c>
      <c r="G153" s="693">
        <f t="shared" si="34"/>
        <v>0</v>
      </c>
      <c r="H153" s="693">
        <f t="shared" si="34"/>
        <v>0</v>
      </c>
      <c r="I153" s="693">
        <f t="shared" si="34"/>
        <v>0</v>
      </c>
      <c r="J153" s="693">
        <f t="shared" si="34"/>
        <v>0</v>
      </c>
      <c r="K153" s="693">
        <f t="shared" si="34"/>
        <v>0</v>
      </c>
      <c r="L153" s="693">
        <f t="shared" si="34"/>
        <v>0</v>
      </c>
      <c r="M153" s="693">
        <f t="shared" si="34"/>
        <v>-247.82</v>
      </c>
      <c r="N153" s="693">
        <f t="shared" si="34"/>
        <v>675</v>
      </c>
      <c r="O153" s="693">
        <f t="shared" si="34"/>
        <v>179.36</v>
      </c>
      <c r="P153" s="694"/>
    </row>
    <row r="154" spans="1:17">
      <c r="B154" s="2161" t="s">
        <v>7396</v>
      </c>
      <c r="C154" s="2087"/>
      <c r="D154" s="2087"/>
      <c r="E154" s="2087"/>
      <c r="F154" s="2087"/>
      <c r="G154" s="2087"/>
      <c r="H154" s="2087"/>
      <c r="I154" s="2087"/>
      <c r="J154" s="2087"/>
      <c r="K154" s="2087"/>
      <c r="L154" s="2087"/>
      <c r="M154" s="2087"/>
      <c r="N154" s="2087"/>
      <c r="O154" s="2087"/>
    </row>
    <row r="155" spans="1:17">
      <c r="B155" s="938" t="s">
        <v>5755</v>
      </c>
      <c r="C155" s="938" t="s">
        <v>6835</v>
      </c>
      <c r="D155" s="938" t="s">
        <v>6836</v>
      </c>
      <c r="E155" s="938" t="s">
        <v>6837</v>
      </c>
      <c r="F155" s="938" t="s">
        <v>6838</v>
      </c>
      <c r="G155" s="938" t="s">
        <v>6839</v>
      </c>
      <c r="H155" s="938" t="s">
        <v>6840</v>
      </c>
      <c r="I155" s="938" t="s">
        <v>6841</v>
      </c>
      <c r="J155" s="938" t="s">
        <v>6842</v>
      </c>
      <c r="K155" s="938" t="s">
        <v>6843</v>
      </c>
      <c r="L155" s="938" t="s">
        <v>6844</v>
      </c>
      <c r="M155" s="660"/>
      <c r="N155" s="660"/>
      <c r="O155" s="660"/>
      <c r="P155" s="660"/>
    </row>
    <row r="156" spans="1:17">
      <c r="A156" s="714"/>
      <c r="B156" s="2126" t="s">
        <v>7397</v>
      </c>
      <c r="C156" s="2127"/>
      <c r="D156" s="2127"/>
      <c r="E156" s="2127"/>
      <c r="F156" s="2127"/>
      <c r="G156" s="2127"/>
      <c r="H156" s="2127"/>
      <c r="I156" s="2127"/>
      <c r="J156" s="2127"/>
      <c r="K156" s="2127"/>
      <c r="L156" s="2127"/>
      <c r="M156" s="2127"/>
      <c r="N156" s="2127"/>
      <c r="O156" s="2128"/>
      <c r="P156" s="661"/>
    </row>
    <row r="157" spans="1:17">
      <c r="A157" s="714"/>
      <c r="B157" s="662" t="s">
        <v>7385</v>
      </c>
      <c r="C157" s="663" t="s">
        <v>143</v>
      </c>
      <c r="D157" s="663" t="s">
        <v>26</v>
      </c>
      <c r="E157" s="663" t="s">
        <v>25</v>
      </c>
      <c r="F157" s="663" t="s">
        <v>24</v>
      </c>
      <c r="G157" s="663" t="s">
        <v>23</v>
      </c>
      <c r="H157" s="663" t="s">
        <v>22</v>
      </c>
      <c r="I157" s="663" t="s">
        <v>21</v>
      </c>
      <c r="J157" s="663" t="s">
        <v>20</v>
      </c>
      <c r="K157" s="663" t="s">
        <v>256</v>
      </c>
      <c r="L157" s="663" t="s">
        <v>18</v>
      </c>
      <c r="M157" s="663" t="s">
        <v>17</v>
      </c>
      <c r="N157" s="663" t="s">
        <v>86</v>
      </c>
      <c r="O157" s="664" t="s">
        <v>67</v>
      </c>
      <c r="P157" s="665"/>
    </row>
    <row r="158" spans="1:17">
      <c r="A158" s="714"/>
      <c r="B158" s="666" t="s">
        <v>4395</v>
      </c>
      <c r="C158" s="667">
        <v>0</v>
      </c>
      <c r="D158" s="667">
        <v>0</v>
      </c>
      <c r="E158" s="667">
        <v>0</v>
      </c>
      <c r="F158" s="667">
        <v>0</v>
      </c>
      <c r="G158" s="667">
        <v>0</v>
      </c>
      <c r="H158" s="667">
        <v>0</v>
      </c>
      <c r="I158" s="667">
        <v>0</v>
      </c>
      <c r="J158" s="667">
        <v>0</v>
      </c>
      <c r="K158" s="667">
        <v>0</v>
      </c>
      <c r="L158" s="667">
        <v>0</v>
      </c>
      <c r="M158" s="667">
        <v>0</v>
      </c>
      <c r="N158" s="999">
        <v>675</v>
      </c>
      <c r="O158" s="668">
        <f>SUM(C158:N158)</f>
        <v>675</v>
      </c>
      <c r="P158" s="669"/>
    </row>
    <row r="159" spans="1:17">
      <c r="A159" s="714"/>
      <c r="B159" s="666" t="s">
        <v>4397</v>
      </c>
      <c r="C159" s="671"/>
      <c r="D159" s="671"/>
      <c r="E159" s="671"/>
      <c r="F159" s="671"/>
      <c r="G159" s="671"/>
      <c r="H159" s="671"/>
      <c r="I159" s="671"/>
      <c r="J159" s="671"/>
      <c r="K159" s="671"/>
      <c r="L159" s="671"/>
      <c r="M159" s="671"/>
      <c r="N159" s="671"/>
      <c r="O159" s="668"/>
      <c r="P159" s="672"/>
      <c r="Q159" s="9" t="s">
        <v>659</v>
      </c>
    </row>
    <row r="160" spans="1:17">
      <c r="A160" s="714"/>
      <c r="B160" s="674" t="s">
        <v>5024</v>
      </c>
      <c r="C160" s="675"/>
      <c r="D160" s="675"/>
      <c r="E160" s="675"/>
      <c r="F160" s="675"/>
      <c r="G160" s="675"/>
      <c r="H160" s="675"/>
      <c r="I160" s="675"/>
      <c r="J160" s="675"/>
      <c r="K160" s="675"/>
      <c r="L160" s="675"/>
      <c r="M160" s="675"/>
      <c r="N160" s="675"/>
      <c r="O160" s="668">
        <f t="shared" ref="O160:O168" si="35">SUM(C160:N160)</f>
        <v>0</v>
      </c>
      <c r="P160" s="672"/>
    </row>
    <row r="161" spans="1:17">
      <c r="A161" s="714"/>
      <c r="B161" s="674" t="s">
        <v>4399</v>
      </c>
      <c r="C161" s="675"/>
      <c r="D161" s="675"/>
      <c r="E161" s="675"/>
      <c r="F161" s="675">
        <f>731.51/2</f>
        <v>365.755</v>
      </c>
      <c r="G161" s="675"/>
      <c r="H161" s="675"/>
      <c r="I161" s="675"/>
      <c r="J161" s="675"/>
      <c r="K161" s="675"/>
      <c r="L161" s="675"/>
      <c r="M161" s="676">
        <f>742.17/2</f>
        <v>371.08499999999998</v>
      </c>
      <c r="N161" s="675"/>
      <c r="O161" s="677">
        <f t="shared" si="35"/>
        <v>736.83999999999992</v>
      </c>
      <c r="P161" s="672"/>
      <c r="Q161" s="11">
        <f>F161/6</f>
        <v>60.959166666666668</v>
      </c>
    </row>
    <row r="162" spans="1:17">
      <c r="A162" s="714"/>
      <c r="B162" s="674" t="s">
        <v>7031</v>
      </c>
      <c r="C162" s="675"/>
      <c r="D162" s="675"/>
      <c r="E162" s="675">
        <f>386.04/2</f>
        <v>193.02</v>
      </c>
      <c r="F162" s="675">
        <f>386.04/2</f>
        <v>193.02</v>
      </c>
      <c r="G162" s="675">
        <f>363.79/2</f>
        <v>181.89500000000001</v>
      </c>
      <c r="H162" s="675">
        <f>363.79/2</f>
        <v>181.89500000000001</v>
      </c>
      <c r="I162" s="675">
        <f>363.79/2</f>
        <v>181.89500000000001</v>
      </c>
      <c r="J162" s="675">
        <f>363.79/2</f>
        <v>181.89500000000001</v>
      </c>
      <c r="K162" s="675"/>
      <c r="L162" s="675"/>
      <c r="M162" s="675"/>
      <c r="N162" s="675"/>
      <c r="O162" s="677">
        <f t="shared" si="35"/>
        <v>1113.6200000000001</v>
      </c>
      <c r="P162" s="681"/>
      <c r="Q162" s="11">
        <f>AVERAGE(E162:J162)*12</f>
        <v>2227.2400000000002</v>
      </c>
    </row>
    <row r="163" spans="1:17">
      <c r="A163" s="714"/>
      <c r="B163" s="674" t="s">
        <v>6850</v>
      </c>
      <c r="C163" s="675">
        <v>81.31</v>
      </c>
      <c r="D163" s="675"/>
      <c r="E163" s="675">
        <v>99.83</v>
      </c>
      <c r="F163" s="675">
        <v>89.38</v>
      </c>
      <c r="G163" s="675"/>
      <c r="H163" s="675">
        <v>62.88</v>
      </c>
      <c r="I163" s="675">
        <v>23.06</v>
      </c>
      <c r="J163" s="675">
        <v>18.27</v>
      </c>
      <c r="K163" s="675">
        <v>16.36</v>
      </c>
      <c r="L163" s="675">
        <v>27.03</v>
      </c>
      <c r="M163" s="675">
        <v>40.479999999999997</v>
      </c>
      <c r="N163" s="675"/>
      <c r="O163" s="677">
        <f t="shared" si="35"/>
        <v>458.6</v>
      </c>
      <c r="P163" s="672"/>
      <c r="Q163" s="11">
        <v>611.46</v>
      </c>
    </row>
    <row r="164" spans="1:17">
      <c r="A164" s="714"/>
      <c r="B164" s="674" t="s">
        <v>7019</v>
      </c>
      <c r="C164" s="675"/>
      <c r="D164" s="675"/>
      <c r="E164" s="675"/>
      <c r="F164" s="675"/>
      <c r="G164" s="675"/>
      <c r="H164" s="675"/>
      <c r="I164" s="675"/>
      <c r="J164" s="675"/>
      <c r="K164" s="675"/>
      <c r="L164" s="675"/>
      <c r="M164" s="675"/>
      <c r="N164" s="675"/>
      <c r="O164" s="677">
        <f t="shared" si="35"/>
        <v>0</v>
      </c>
      <c r="P164" s="672"/>
      <c r="Q164" s="11">
        <f>Q163+Q162</f>
        <v>2838.7000000000003</v>
      </c>
    </row>
    <row r="165" spans="1:17">
      <c r="A165" s="714"/>
      <c r="B165" s="674" t="s">
        <v>7043</v>
      </c>
      <c r="C165" s="687"/>
      <c r="D165" s="687"/>
      <c r="E165" s="687"/>
      <c r="F165" s="687"/>
      <c r="G165" s="687"/>
      <c r="H165" s="687"/>
      <c r="I165" s="688"/>
      <c r="J165" s="687"/>
      <c r="K165" s="687"/>
      <c r="L165" s="687"/>
      <c r="M165" s="687"/>
      <c r="N165" s="687"/>
      <c r="O165" s="677">
        <f t="shared" si="35"/>
        <v>0</v>
      </c>
      <c r="P165" s="672"/>
    </row>
    <row r="166" spans="1:17">
      <c r="A166" s="714"/>
      <c r="B166" s="674" t="s">
        <v>6860</v>
      </c>
      <c r="C166" s="945"/>
      <c r="D166" s="945"/>
      <c r="E166" s="945"/>
      <c r="F166" s="945"/>
      <c r="G166" s="945"/>
      <c r="H166" s="945"/>
      <c r="I166" s="945"/>
      <c r="J166" s="945"/>
      <c r="K166" s="945"/>
      <c r="L166" s="945"/>
      <c r="M166" s="945"/>
      <c r="N166" s="945"/>
      <c r="O166" s="668">
        <f t="shared" si="35"/>
        <v>0</v>
      </c>
      <c r="P166" s="672"/>
    </row>
    <row r="167" spans="1:17">
      <c r="A167" s="714"/>
      <c r="B167" s="674" t="s">
        <v>7035</v>
      </c>
      <c r="C167" s="675"/>
      <c r="D167" s="675"/>
      <c r="E167" s="675"/>
      <c r="F167" s="675"/>
      <c r="G167" s="675"/>
      <c r="H167" s="675"/>
      <c r="I167" s="675"/>
      <c r="J167" s="675"/>
      <c r="K167" s="675"/>
      <c r="L167" s="675"/>
      <c r="M167" s="675"/>
      <c r="N167" s="675"/>
      <c r="O167" s="668">
        <f t="shared" si="35"/>
        <v>0</v>
      </c>
      <c r="P167" s="672"/>
    </row>
    <row r="168" spans="1:17">
      <c r="A168" s="714"/>
      <c r="B168" s="666" t="s">
        <v>6323</v>
      </c>
      <c r="C168" s="677">
        <f t="shared" ref="C168:N168" si="36">SUM(C166:C167)</f>
        <v>0</v>
      </c>
      <c r="D168" s="677">
        <f t="shared" si="36"/>
        <v>0</v>
      </c>
      <c r="E168" s="677">
        <f t="shared" si="36"/>
        <v>0</v>
      </c>
      <c r="F168" s="677">
        <f t="shared" si="36"/>
        <v>0</v>
      </c>
      <c r="G168" s="677">
        <f t="shared" si="36"/>
        <v>0</v>
      </c>
      <c r="H168" s="677">
        <f t="shared" si="36"/>
        <v>0</v>
      </c>
      <c r="I168" s="677">
        <f t="shared" si="36"/>
        <v>0</v>
      </c>
      <c r="J168" s="677">
        <f t="shared" si="36"/>
        <v>0</v>
      </c>
      <c r="K168" s="677">
        <f t="shared" si="36"/>
        <v>0</v>
      </c>
      <c r="L168" s="677">
        <f t="shared" si="36"/>
        <v>0</v>
      </c>
      <c r="M168" s="677">
        <f t="shared" si="36"/>
        <v>0</v>
      </c>
      <c r="N168" s="677">
        <f t="shared" si="36"/>
        <v>0</v>
      </c>
      <c r="O168" s="668">
        <f t="shared" si="35"/>
        <v>0</v>
      </c>
      <c r="P168" s="669"/>
    </row>
    <row r="169" spans="1:17">
      <c r="A169" s="714"/>
      <c r="B169" s="689" t="s">
        <v>1126</v>
      </c>
      <c r="C169" s="690">
        <f t="shared" ref="C169:N169" si="37">SUM(C160:C167)</f>
        <v>81.31</v>
      </c>
      <c r="D169" s="690">
        <f t="shared" si="37"/>
        <v>0</v>
      </c>
      <c r="E169" s="690">
        <f t="shared" si="37"/>
        <v>292.85000000000002</v>
      </c>
      <c r="F169" s="690">
        <f t="shared" si="37"/>
        <v>648.15499999999997</v>
      </c>
      <c r="G169" s="690">
        <f t="shared" si="37"/>
        <v>181.89500000000001</v>
      </c>
      <c r="H169" s="690">
        <f t="shared" si="37"/>
        <v>244.77500000000001</v>
      </c>
      <c r="I169" s="690">
        <f t="shared" si="37"/>
        <v>204.95500000000001</v>
      </c>
      <c r="J169" s="690">
        <f t="shared" si="37"/>
        <v>200.16500000000002</v>
      </c>
      <c r="K169" s="690">
        <f t="shared" si="37"/>
        <v>16.36</v>
      </c>
      <c r="L169" s="690">
        <f t="shared" si="37"/>
        <v>27.03</v>
      </c>
      <c r="M169" s="690">
        <f t="shared" si="37"/>
        <v>411.565</v>
      </c>
      <c r="N169" s="690">
        <f t="shared" si="37"/>
        <v>0</v>
      </c>
      <c r="O169" s="995">
        <f>SUM(O161:O167)</f>
        <v>2309.06</v>
      </c>
      <c r="P169" s="691"/>
    </row>
    <row r="170" spans="1:17">
      <c r="A170" s="715"/>
      <c r="B170" s="692" t="s">
        <v>791</v>
      </c>
      <c r="C170" s="693">
        <f t="shared" ref="C170:O170" si="38">C158-C169</f>
        <v>-81.31</v>
      </c>
      <c r="D170" s="693">
        <f t="shared" si="38"/>
        <v>0</v>
      </c>
      <c r="E170" s="693">
        <f t="shared" si="38"/>
        <v>-292.85000000000002</v>
      </c>
      <c r="F170" s="693">
        <f t="shared" si="38"/>
        <v>-648.15499999999997</v>
      </c>
      <c r="G170" s="693">
        <f t="shared" si="38"/>
        <v>-181.89500000000001</v>
      </c>
      <c r="H170" s="693">
        <f t="shared" si="38"/>
        <v>-244.77500000000001</v>
      </c>
      <c r="I170" s="693">
        <f t="shared" si="38"/>
        <v>-204.95500000000001</v>
      </c>
      <c r="J170" s="693">
        <f t="shared" si="38"/>
        <v>-200.16500000000002</v>
      </c>
      <c r="K170" s="693">
        <f t="shared" si="38"/>
        <v>-16.36</v>
      </c>
      <c r="L170" s="693">
        <f t="shared" si="38"/>
        <v>-27.03</v>
      </c>
      <c r="M170" s="693">
        <f t="shared" si="38"/>
        <v>-411.565</v>
      </c>
      <c r="N170" s="693">
        <f t="shared" si="38"/>
        <v>675</v>
      </c>
      <c r="O170" s="693">
        <f t="shared" si="38"/>
        <v>-1634.06</v>
      </c>
      <c r="P170" s="694"/>
    </row>
    <row r="171" spans="1:17">
      <c r="B171" s="2161" t="s">
        <v>7398</v>
      </c>
      <c r="C171" s="2087"/>
      <c r="D171" s="2087"/>
      <c r="E171" s="2087"/>
      <c r="F171" s="2087"/>
      <c r="G171" s="2087"/>
      <c r="H171" s="2087"/>
      <c r="I171" s="2087"/>
      <c r="J171" s="2087"/>
      <c r="K171" s="2087"/>
      <c r="L171" s="2087"/>
      <c r="M171" s="2087"/>
      <c r="N171" s="2087"/>
      <c r="O171" s="2087"/>
    </row>
    <row r="172" spans="1:17">
      <c r="B172" s="938" t="s">
        <v>5755</v>
      </c>
      <c r="C172" s="938" t="s">
        <v>6835</v>
      </c>
      <c r="D172" s="938" t="s">
        <v>6836</v>
      </c>
      <c r="E172" s="938" t="s">
        <v>6837</v>
      </c>
      <c r="F172" s="938" t="s">
        <v>6838</v>
      </c>
      <c r="G172" s="938" t="s">
        <v>6839</v>
      </c>
      <c r="H172" s="938" t="s">
        <v>6840</v>
      </c>
      <c r="I172" s="938" t="s">
        <v>6841</v>
      </c>
      <c r="J172" s="938" t="s">
        <v>6842</v>
      </c>
      <c r="K172" s="938" t="s">
        <v>6843</v>
      </c>
      <c r="L172" s="938" t="s">
        <v>6844</v>
      </c>
      <c r="M172" s="660"/>
      <c r="N172" s="660"/>
      <c r="O172" s="660"/>
      <c r="P172" s="660"/>
    </row>
    <row r="173" spans="1:17">
      <c r="A173" s="714"/>
      <c r="B173" s="2126" t="s">
        <v>7399</v>
      </c>
      <c r="C173" s="2127"/>
      <c r="D173" s="2127"/>
      <c r="E173" s="2127"/>
      <c r="F173" s="2127"/>
      <c r="G173" s="2127"/>
      <c r="H173" s="2127"/>
      <c r="I173" s="2127"/>
      <c r="J173" s="2127"/>
      <c r="K173" s="2127"/>
      <c r="L173" s="2127"/>
      <c r="M173" s="2127"/>
      <c r="N173" s="2127"/>
      <c r="O173" s="2128"/>
      <c r="P173" s="661"/>
    </row>
    <row r="174" spans="1:17">
      <c r="A174" s="714"/>
      <c r="B174" s="662" t="s">
        <v>7385</v>
      </c>
      <c r="C174" s="663" t="s">
        <v>143</v>
      </c>
      <c r="D174" s="663" t="s">
        <v>26</v>
      </c>
      <c r="E174" s="663" t="s">
        <v>25</v>
      </c>
      <c r="F174" s="663" t="s">
        <v>24</v>
      </c>
      <c r="G174" s="663" t="s">
        <v>23</v>
      </c>
      <c r="H174" s="663" t="s">
        <v>22</v>
      </c>
      <c r="I174" s="663" t="s">
        <v>21</v>
      </c>
      <c r="J174" s="663" t="s">
        <v>20</v>
      </c>
      <c r="K174" s="663" t="s">
        <v>256</v>
      </c>
      <c r="L174" s="663" t="s">
        <v>18</v>
      </c>
      <c r="M174" s="663" t="s">
        <v>17</v>
      </c>
      <c r="N174" s="663" t="s">
        <v>86</v>
      </c>
      <c r="O174" s="664" t="s">
        <v>67</v>
      </c>
      <c r="P174" s="665"/>
    </row>
    <row r="175" spans="1:17">
      <c r="A175" s="714"/>
      <c r="B175" s="666" t="s">
        <v>4395</v>
      </c>
      <c r="C175" s="667">
        <v>0</v>
      </c>
      <c r="D175" s="667">
        <v>0</v>
      </c>
      <c r="E175" s="667">
        <v>0</v>
      </c>
      <c r="F175" s="667">
        <v>0</v>
      </c>
      <c r="G175" s="667">
        <v>0</v>
      </c>
      <c r="H175" s="667">
        <v>0</v>
      </c>
      <c r="I175" s="667">
        <v>0</v>
      </c>
      <c r="J175" s="667">
        <v>0</v>
      </c>
      <c r="K175" s="667">
        <v>0</v>
      </c>
      <c r="L175" s="667">
        <v>0</v>
      </c>
      <c r="M175" s="667">
        <v>0</v>
      </c>
      <c r="N175" s="999">
        <v>675</v>
      </c>
      <c r="O175" s="668">
        <f>SUM(C175:N175)</f>
        <v>675</v>
      </c>
      <c r="P175" s="669"/>
    </row>
    <row r="176" spans="1:17">
      <c r="A176" s="714"/>
      <c r="B176" s="666" t="s">
        <v>4397</v>
      </c>
      <c r="C176" s="671"/>
      <c r="D176" s="671"/>
      <c r="E176" s="671"/>
      <c r="F176" s="671"/>
      <c r="G176" s="671"/>
      <c r="H176" s="671"/>
      <c r="I176" s="671"/>
      <c r="J176" s="671"/>
      <c r="K176" s="671"/>
      <c r="L176" s="671"/>
      <c r="M176" s="671"/>
      <c r="N176" s="671"/>
      <c r="O176" s="668"/>
      <c r="P176" s="672"/>
    </row>
    <row r="177" spans="1:17">
      <c r="A177" s="714"/>
      <c r="B177" s="674" t="s">
        <v>5024</v>
      </c>
      <c r="C177" s="675"/>
      <c r="D177" s="675"/>
      <c r="E177" s="675"/>
      <c r="F177" s="675"/>
      <c r="G177" s="675"/>
      <c r="H177" s="675"/>
      <c r="I177" s="675"/>
      <c r="J177" s="675"/>
      <c r="K177" s="675"/>
      <c r="L177" s="675"/>
      <c r="M177" s="675"/>
      <c r="N177" s="675"/>
      <c r="O177" s="668">
        <f t="shared" ref="O177:O185" si="39">SUM(C177:N177)</f>
        <v>0</v>
      </c>
      <c r="P177" s="672"/>
      <c r="Q177" s="9" t="s">
        <v>659</v>
      </c>
    </row>
    <row r="178" spans="1:17">
      <c r="A178" s="714"/>
      <c r="B178" s="674" t="s">
        <v>4399</v>
      </c>
      <c r="C178" s="675"/>
      <c r="D178" s="675"/>
      <c r="E178" s="675"/>
      <c r="F178" s="675"/>
      <c r="G178" s="675"/>
      <c r="H178" s="675"/>
      <c r="I178" s="675"/>
      <c r="J178" s="675"/>
      <c r="K178" s="675"/>
      <c r="L178" s="675"/>
      <c r="M178" s="676"/>
      <c r="N178" s="675"/>
      <c r="O178" s="677">
        <f t="shared" si="39"/>
        <v>0</v>
      </c>
      <c r="P178" s="672"/>
    </row>
    <row r="179" spans="1:17">
      <c r="A179" s="714"/>
      <c r="B179" s="674" t="s">
        <v>7031</v>
      </c>
      <c r="C179" s="675"/>
      <c r="D179" s="675"/>
      <c r="E179" s="675"/>
      <c r="F179" s="675"/>
      <c r="G179" s="675">
        <v>59.92</v>
      </c>
      <c r="H179" s="675">
        <v>48.4</v>
      </c>
      <c r="I179" s="675">
        <v>59.92</v>
      </c>
      <c r="J179" s="675">
        <v>90.54</v>
      </c>
      <c r="K179" s="675">
        <v>146.30000000000001</v>
      </c>
      <c r="L179" s="675"/>
      <c r="M179" s="675"/>
      <c r="N179" s="675"/>
      <c r="O179" s="677">
        <f t="shared" si="39"/>
        <v>405.08000000000004</v>
      </c>
      <c r="P179" s="681"/>
      <c r="Q179" s="12">
        <f>AVERAGE(G179:K179)</f>
        <v>81.016000000000005</v>
      </c>
    </row>
    <row r="180" spans="1:17">
      <c r="A180" s="714"/>
      <c r="B180" s="674" t="s">
        <v>6850</v>
      </c>
      <c r="C180" s="675"/>
      <c r="D180" s="675"/>
      <c r="E180" s="675"/>
      <c r="F180" s="675"/>
      <c r="G180" s="675"/>
      <c r="H180" s="675">
        <v>87.26</v>
      </c>
      <c r="I180" s="675">
        <v>27.42</v>
      </c>
      <c r="J180" s="675">
        <v>32.85</v>
      </c>
      <c r="K180" s="675"/>
      <c r="L180" s="675"/>
      <c r="M180" s="675"/>
      <c r="N180" s="675"/>
      <c r="O180" s="677">
        <f t="shared" si="39"/>
        <v>147.53</v>
      </c>
      <c r="P180" s="672"/>
      <c r="Q180" s="12">
        <f>AVERAGE(H180:J180)</f>
        <v>49.176666666666669</v>
      </c>
    </row>
    <row r="181" spans="1:17">
      <c r="A181" s="714"/>
      <c r="B181" s="674" t="s">
        <v>7019</v>
      </c>
      <c r="C181" s="675"/>
      <c r="D181" s="675"/>
      <c r="E181" s="675"/>
      <c r="F181" s="675"/>
      <c r="G181" s="675"/>
      <c r="H181" s="675"/>
      <c r="I181" s="675"/>
      <c r="J181" s="675"/>
      <c r="K181" s="675"/>
      <c r="L181" s="675"/>
      <c r="M181" s="675"/>
      <c r="N181" s="675"/>
      <c r="O181" s="677">
        <f t="shared" si="39"/>
        <v>0</v>
      </c>
      <c r="P181" s="672"/>
    </row>
    <row r="182" spans="1:17">
      <c r="A182" s="714"/>
      <c r="B182" s="674" t="s">
        <v>7046</v>
      </c>
      <c r="C182" s="687">
        <v>60</v>
      </c>
      <c r="D182" s="687">
        <v>60</v>
      </c>
      <c r="E182" s="687">
        <v>60</v>
      </c>
      <c r="F182" s="687">
        <v>60</v>
      </c>
      <c r="G182" s="687">
        <v>60</v>
      </c>
      <c r="H182" s="687">
        <v>60</v>
      </c>
      <c r="I182" s="687">
        <v>60</v>
      </c>
      <c r="J182" s="687">
        <v>60</v>
      </c>
      <c r="K182" s="687">
        <v>60</v>
      </c>
      <c r="L182" s="687">
        <v>60</v>
      </c>
      <c r="M182" s="687">
        <v>60</v>
      </c>
      <c r="N182" s="687">
        <v>60</v>
      </c>
      <c r="O182" s="677">
        <f t="shared" si="39"/>
        <v>720</v>
      </c>
      <c r="P182" s="672"/>
    </row>
    <row r="183" spans="1:17">
      <c r="A183" s="714"/>
      <c r="B183" s="674" t="s">
        <v>6860</v>
      </c>
      <c r="C183" s="945"/>
      <c r="D183" s="945"/>
      <c r="E183" s="945"/>
      <c r="F183" s="945"/>
      <c r="G183" s="945"/>
      <c r="H183" s="945"/>
      <c r="I183" s="945"/>
      <c r="J183" s="945"/>
      <c r="K183" s="945"/>
      <c r="L183" s="945"/>
      <c r="M183" s="945"/>
      <c r="N183" s="945"/>
      <c r="O183" s="668">
        <f t="shared" si="39"/>
        <v>0</v>
      </c>
      <c r="P183" s="672"/>
    </row>
    <row r="184" spans="1:17">
      <c r="A184" s="714"/>
      <c r="B184" s="674" t="s">
        <v>7035</v>
      </c>
      <c r="C184" s="675"/>
      <c r="D184" s="675"/>
      <c r="E184" s="675"/>
      <c r="F184" s="675"/>
      <c r="G184" s="675"/>
      <c r="H184" s="675"/>
      <c r="I184" s="675"/>
      <c r="J184" s="675"/>
      <c r="K184" s="675"/>
      <c r="L184" s="675"/>
      <c r="M184" s="675"/>
      <c r="N184" s="675"/>
      <c r="O184" s="668">
        <f t="shared" si="39"/>
        <v>0</v>
      </c>
      <c r="P184" s="672"/>
    </row>
    <row r="185" spans="1:17">
      <c r="A185" s="714"/>
      <c r="B185" s="666" t="s">
        <v>6323</v>
      </c>
      <c r="C185" s="677">
        <f t="shared" ref="C185:N185" si="40">SUM(C183:C184)</f>
        <v>0</v>
      </c>
      <c r="D185" s="677">
        <f t="shared" si="40"/>
        <v>0</v>
      </c>
      <c r="E185" s="677">
        <f t="shared" si="40"/>
        <v>0</v>
      </c>
      <c r="F185" s="677">
        <f t="shared" si="40"/>
        <v>0</v>
      </c>
      <c r="G185" s="677">
        <f t="shared" si="40"/>
        <v>0</v>
      </c>
      <c r="H185" s="677">
        <f t="shared" si="40"/>
        <v>0</v>
      </c>
      <c r="I185" s="677">
        <f t="shared" si="40"/>
        <v>0</v>
      </c>
      <c r="J185" s="677">
        <f t="shared" si="40"/>
        <v>0</v>
      </c>
      <c r="K185" s="677">
        <f t="shared" si="40"/>
        <v>0</v>
      </c>
      <c r="L185" s="677">
        <f t="shared" si="40"/>
        <v>0</v>
      </c>
      <c r="M185" s="677">
        <f t="shared" si="40"/>
        <v>0</v>
      </c>
      <c r="N185" s="677">
        <f t="shared" si="40"/>
        <v>0</v>
      </c>
      <c r="O185" s="668">
        <f t="shared" si="39"/>
        <v>0</v>
      </c>
      <c r="P185" s="669"/>
    </row>
    <row r="186" spans="1:17">
      <c r="A186" s="714"/>
      <c r="B186" s="689" t="s">
        <v>1126</v>
      </c>
      <c r="C186" s="690">
        <f t="shared" ref="C186:N186" si="41">SUM(C177:C184)</f>
        <v>60</v>
      </c>
      <c r="D186" s="690">
        <f t="shared" si="41"/>
        <v>60</v>
      </c>
      <c r="E186" s="690">
        <f t="shared" si="41"/>
        <v>60</v>
      </c>
      <c r="F186" s="690">
        <f t="shared" si="41"/>
        <v>60</v>
      </c>
      <c r="G186" s="690">
        <f t="shared" si="41"/>
        <v>119.92</v>
      </c>
      <c r="H186" s="690">
        <f t="shared" si="41"/>
        <v>195.66</v>
      </c>
      <c r="I186" s="690">
        <f t="shared" si="41"/>
        <v>147.34</v>
      </c>
      <c r="J186" s="690">
        <f t="shared" si="41"/>
        <v>183.39000000000001</v>
      </c>
      <c r="K186" s="690">
        <f t="shared" si="41"/>
        <v>206.3</v>
      </c>
      <c r="L186" s="690">
        <f t="shared" si="41"/>
        <v>60</v>
      </c>
      <c r="M186" s="690">
        <f t="shared" si="41"/>
        <v>60</v>
      </c>
      <c r="N186" s="690">
        <f t="shared" si="41"/>
        <v>60</v>
      </c>
      <c r="O186" s="995">
        <f>SUM(O178:O184)</f>
        <v>1272.6100000000001</v>
      </c>
      <c r="P186" s="691"/>
    </row>
    <row r="187" spans="1:17">
      <c r="A187" s="715"/>
      <c r="B187" s="692" t="s">
        <v>791</v>
      </c>
      <c r="C187" s="693">
        <f t="shared" ref="C187:O187" si="42">C175-C186</f>
        <v>-60</v>
      </c>
      <c r="D187" s="693">
        <f t="shared" si="42"/>
        <v>-60</v>
      </c>
      <c r="E187" s="693">
        <f t="shared" si="42"/>
        <v>-60</v>
      </c>
      <c r="F187" s="693">
        <f t="shared" si="42"/>
        <v>-60</v>
      </c>
      <c r="G187" s="693">
        <f t="shared" si="42"/>
        <v>-119.92</v>
      </c>
      <c r="H187" s="693">
        <f t="shared" si="42"/>
        <v>-195.66</v>
      </c>
      <c r="I187" s="693">
        <f t="shared" si="42"/>
        <v>-147.34</v>
      </c>
      <c r="J187" s="693">
        <f t="shared" si="42"/>
        <v>-183.39000000000001</v>
      </c>
      <c r="K187" s="693">
        <f t="shared" si="42"/>
        <v>-206.3</v>
      </c>
      <c r="L187" s="693">
        <f t="shared" si="42"/>
        <v>-60</v>
      </c>
      <c r="M187" s="693">
        <f t="shared" si="42"/>
        <v>-60</v>
      </c>
      <c r="N187" s="693">
        <f t="shared" si="42"/>
        <v>615</v>
      </c>
      <c r="O187" s="693">
        <f t="shared" si="42"/>
        <v>-597.61000000000013</v>
      </c>
      <c r="P187" s="694"/>
    </row>
    <row r="188" spans="1:17">
      <c r="B188" s="2161" t="s">
        <v>7400</v>
      </c>
      <c r="C188" s="2087"/>
      <c r="D188" s="2087"/>
      <c r="E188" s="2087"/>
      <c r="F188" s="2087"/>
      <c r="G188" s="2087"/>
      <c r="H188" s="2087"/>
      <c r="I188" s="2087"/>
      <c r="J188" s="2087"/>
      <c r="K188" s="2087"/>
      <c r="L188" s="2087"/>
      <c r="M188" s="2087"/>
      <c r="N188" s="2087"/>
      <c r="O188" s="2087"/>
    </row>
    <row r="189" spans="1:17">
      <c r="B189" s="938" t="s">
        <v>5755</v>
      </c>
      <c r="C189" s="938" t="s">
        <v>6835</v>
      </c>
      <c r="D189" s="938" t="s">
        <v>6836</v>
      </c>
      <c r="E189" s="938" t="s">
        <v>6837</v>
      </c>
      <c r="F189" s="938" t="s">
        <v>6838</v>
      </c>
      <c r="G189" s="938" t="s">
        <v>6839</v>
      </c>
      <c r="H189" s="938" t="s">
        <v>6840</v>
      </c>
      <c r="I189" s="938" t="s">
        <v>6841</v>
      </c>
      <c r="J189" s="938" t="s">
        <v>6842</v>
      </c>
      <c r="K189" s="938" t="s">
        <v>6843</v>
      </c>
      <c r="L189" s="938" t="s">
        <v>6844</v>
      </c>
      <c r="M189" s="660"/>
      <c r="N189" s="660"/>
      <c r="O189" s="660"/>
      <c r="P189" s="660"/>
    </row>
    <row r="190" spans="1:17">
      <c r="A190" s="714"/>
      <c r="B190" s="2126" t="s">
        <v>7045</v>
      </c>
      <c r="C190" s="2127"/>
      <c r="D190" s="2127"/>
      <c r="E190" s="2127"/>
      <c r="F190" s="2127"/>
      <c r="G190" s="2127"/>
      <c r="H190" s="2127"/>
      <c r="I190" s="2127"/>
      <c r="J190" s="2127"/>
      <c r="K190" s="2127"/>
      <c r="L190" s="2127"/>
      <c r="M190" s="2127"/>
      <c r="N190" s="2127"/>
      <c r="O190" s="2128"/>
      <c r="P190" s="661"/>
    </row>
    <row r="191" spans="1:17">
      <c r="A191" s="714"/>
      <c r="B191" s="662" t="s">
        <v>7385</v>
      </c>
      <c r="C191" s="663" t="s">
        <v>143</v>
      </c>
      <c r="D191" s="663" t="s">
        <v>26</v>
      </c>
      <c r="E191" s="663" t="s">
        <v>25</v>
      </c>
      <c r="F191" s="663" t="s">
        <v>24</v>
      </c>
      <c r="G191" s="663" t="s">
        <v>23</v>
      </c>
      <c r="H191" s="663" t="s">
        <v>22</v>
      </c>
      <c r="I191" s="663" t="s">
        <v>21</v>
      </c>
      <c r="J191" s="663" t="s">
        <v>20</v>
      </c>
      <c r="K191" s="663" t="s">
        <v>256</v>
      </c>
      <c r="L191" s="663" t="s">
        <v>18</v>
      </c>
      <c r="M191" s="663" t="s">
        <v>17</v>
      </c>
      <c r="N191" s="663" t="s">
        <v>86</v>
      </c>
      <c r="O191" s="664" t="s">
        <v>67</v>
      </c>
      <c r="P191" s="665"/>
    </row>
    <row r="192" spans="1:17">
      <c r="A192" s="714"/>
      <c r="B192" s="666" t="s">
        <v>4395</v>
      </c>
      <c r="C192" s="667">
        <v>0</v>
      </c>
      <c r="D192" s="667">
        <v>0</v>
      </c>
      <c r="E192" s="667">
        <v>0</v>
      </c>
      <c r="F192" s="667">
        <v>0</v>
      </c>
      <c r="G192" s="667">
        <v>0</v>
      </c>
      <c r="H192" s="667">
        <v>0</v>
      </c>
      <c r="I192" s="667">
        <v>0</v>
      </c>
      <c r="J192" s="667">
        <v>0</v>
      </c>
      <c r="K192" s="667">
        <v>0</v>
      </c>
      <c r="L192" s="667">
        <v>0</v>
      </c>
      <c r="M192" s="667">
        <v>0</v>
      </c>
      <c r="N192" s="999">
        <v>675</v>
      </c>
      <c r="O192" s="668">
        <f>SUM(C192:N192)</f>
        <v>675</v>
      </c>
      <c r="P192" s="669"/>
    </row>
    <row r="193" spans="1:16">
      <c r="A193" s="714"/>
      <c r="B193" s="666" t="s">
        <v>4397</v>
      </c>
      <c r="C193" s="671"/>
      <c r="D193" s="671"/>
      <c r="E193" s="671"/>
      <c r="F193" s="671"/>
      <c r="G193" s="671"/>
      <c r="H193" s="671"/>
      <c r="I193" s="671"/>
      <c r="J193" s="671"/>
      <c r="K193" s="671"/>
      <c r="L193" s="671"/>
      <c r="M193" s="671"/>
      <c r="N193" s="671"/>
      <c r="O193" s="668"/>
      <c r="P193" s="672"/>
    </row>
    <row r="194" spans="1:16">
      <c r="A194" s="714"/>
      <c r="B194" s="674" t="s">
        <v>5024</v>
      </c>
      <c r="C194" s="675"/>
      <c r="D194" s="675"/>
      <c r="E194" s="675"/>
      <c r="F194" s="675"/>
      <c r="G194" s="675"/>
      <c r="H194" s="675"/>
      <c r="I194" s="675"/>
      <c r="J194" s="675"/>
      <c r="K194" s="675"/>
      <c r="L194" s="675"/>
      <c r="M194" s="675"/>
      <c r="N194" s="675"/>
      <c r="O194" s="668">
        <f t="shared" ref="O194:O202" si="43">SUM(C194:N194)</f>
        <v>0</v>
      </c>
      <c r="P194" s="672"/>
    </row>
    <row r="195" spans="1:16">
      <c r="A195" s="714"/>
      <c r="B195" s="674" t="s">
        <v>4399</v>
      </c>
      <c r="C195" s="675"/>
      <c r="D195" s="675"/>
      <c r="E195" s="675"/>
      <c r="F195" s="675"/>
      <c r="G195" s="675"/>
      <c r="H195" s="675"/>
      <c r="I195" s="675"/>
      <c r="J195" s="675"/>
      <c r="K195" s="675"/>
      <c r="L195" s="675"/>
      <c r="M195" s="676">
        <v>274</v>
      </c>
      <c r="N195" s="675"/>
      <c r="O195" s="677">
        <f t="shared" si="43"/>
        <v>274</v>
      </c>
      <c r="P195" s="672"/>
    </row>
    <row r="196" spans="1:16">
      <c r="A196" s="714"/>
      <c r="B196" s="674" t="s">
        <v>7031</v>
      </c>
      <c r="C196" s="675"/>
      <c r="D196" s="675"/>
      <c r="E196" s="675"/>
      <c r="F196" s="675"/>
      <c r="G196" s="675"/>
      <c r="H196" s="675"/>
      <c r="I196" s="675"/>
      <c r="J196" s="675"/>
      <c r="K196" s="675">
        <v>79.08</v>
      </c>
      <c r="L196" s="675">
        <v>108.17</v>
      </c>
      <c r="M196" s="675">
        <v>90.54</v>
      </c>
      <c r="N196" s="675"/>
      <c r="O196" s="677">
        <f t="shared" si="43"/>
        <v>277.79000000000002</v>
      </c>
      <c r="P196" s="681"/>
    </row>
    <row r="197" spans="1:16">
      <c r="A197" s="714"/>
      <c r="B197" s="674" t="s">
        <v>6850</v>
      </c>
      <c r="C197" s="675"/>
      <c r="D197" s="675"/>
      <c r="E197" s="675"/>
      <c r="F197" s="675"/>
      <c r="G197" s="675"/>
      <c r="H197" s="675"/>
      <c r="I197" s="675"/>
      <c r="J197" s="675"/>
      <c r="K197" s="675"/>
      <c r="L197" s="675"/>
      <c r="M197" s="675">
        <v>23.08</v>
      </c>
      <c r="N197" s="675">
        <v>44.53</v>
      </c>
      <c r="O197" s="677">
        <f t="shared" si="43"/>
        <v>67.61</v>
      </c>
      <c r="P197" s="672"/>
    </row>
    <row r="198" spans="1:16">
      <c r="A198" s="714"/>
      <c r="B198" s="674" t="s">
        <v>7019</v>
      </c>
      <c r="C198" s="675"/>
      <c r="D198" s="675"/>
      <c r="E198" s="675"/>
      <c r="F198" s="675"/>
      <c r="G198" s="675"/>
      <c r="H198" s="675"/>
      <c r="I198" s="675"/>
      <c r="J198" s="675"/>
      <c r="K198" s="675"/>
      <c r="L198" s="675"/>
      <c r="M198" s="675"/>
      <c r="N198" s="675"/>
      <c r="O198" s="677">
        <f t="shared" si="43"/>
        <v>0</v>
      </c>
      <c r="P198" s="672"/>
    </row>
    <row r="199" spans="1:16">
      <c r="A199" s="714"/>
      <c r="B199" s="674" t="s">
        <v>7046</v>
      </c>
      <c r="C199" s="687"/>
      <c r="D199" s="687"/>
      <c r="E199" s="687"/>
      <c r="F199" s="687"/>
      <c r="G199" s="687"/>
      <c r="H199" s="687"/>
      <c r="I199" s="687"/>
      <c r="J199" s="687"/>
      <c r="K199" s="687"/>
      <c r="L199" s="687"/>
      <c r="M199" s="687"/>
      <c r="N199" s="687"/>
      <c r="O199" s="677">
        <f t="shared" si="43"/>
        <v>0</v>
      </c>
      <c r="P199" s="672"/>
    </row>
    <row r="200" spans="1:16">
      <c r="A200" s="714"/>
      <c r="B200" s="674" t="s">
        <v>6860</v>
      </c>
      <c r="C200" s="945"/>
      <c r="D200" s="945"/>
      <c r="E200" s="945"/>
      <c r="F200" s="945"/>
      <c r="G200" s="945"/>
      <c r="H200" s="945"/>
      <c r="I200" s="945"/>
      <c r="J200" s="945"/>
      <c r="K200" s="945"/>
      <c r="L200" s="945"/>
      <c r="M200" s="945"/>
      <c r="N200" s="945"/>
      <c r="O200" s="668">
        <f t="shared" si="43"/>
        <v>0</v>
      </c>
      <c r="P200" s="672"/>
    </row>
    <row r="201" spans="1:16">
      <c r="A201" s="714"/>
      <c r="B201" s="674" t="s">
        <v>7035</v>
      </c>
      <c r="C201" s="675"/>
      <c r="D201" s="675"/>
      <c r="E201" s="675"/>
      <c r="F201" s="675"/>
      <c r="G201" s="675"/>
      <c r="H201" s="675"/>
      <c r="I201" s="675"/>
      <c r="J201" s="675"/>
      <c r="K201" s="675"/>
      <c r="L201" s="675"/>
      <c r="M201" s="675"/>
      <c r="N201" s="675"/>
      <c r="O201" s="668">
        <f t="shared" si="43"/>
        <v>0</v>
      </c>
      <c r="P201" s="672"/>
    </row>
    <row r="202" spans="1:16">
      <c r="A202" s="714"/>
      <c r="B202" s="666" t="s">
        <v>6323</v>
      </c>
      <c r="C202" s="677">
        <f t="shared" ref="C202:N202" si="44">SUM(C200:C201)</f>
        <v>0</v>
      </c>
      <c r="D202" s="677">
        <f t="shared" si="44"/>
        <v>0</v>
      </c>
      <c r="E202" s="677">
        <f t="shared" si="44"/>
        <v>0</v>
      </c>
      <c r="F202" s="677">
        <f t="shared" si="44"/>
        <v>0</v>
      </c>
      <c r="G202" s="677">
        <f t="shared" si="44"/>
        <v>0</v>
      </c>
      <c r="H202" s="677">
        <f t="shared" si="44"/>
        <v>0</v>
      </c>
      <c r="I202" s="677">
        <f t="shared" si="44"/>
        <v>0</v>
      </c>
      <c r="J202" s="677">
        <f t="shared" si="44"/>
        <v>0</v>
      </c>
      <c r="K202" s="677">
        <f t="shared" si="44"/>
        <v>0</v>
      </c>
      <c r="L202" s="677">
        <f t="shared" si="44"/>
        <v>0</v>
      </c>
      <c r="M202" s="677">
        <f t="shared" si="44"/>
        <v>0</v>
      </c>
      <c r="N202" s="677">
        <f t="shared" si="44"/>
        <v>0</v>
      </c>
      <c r="O202" s="668">
        <f t="shared" si="43"/>
        <v>0</v>
      </c>
      <c r="P202" s="669"/>
    </row>
    <row r="203" spans="1:16">
      <c r="A203" s="714"/>
      <c r="B203" s="689" t="s">
        <v>1126</v>
      </c>
      <c r="C203" s="690">
        <f t="shared" ref="C203:N203" si="45">SUM(C194:C201)</f>
        <v>0</v>
      </c>
      <c r="D203" s="690">
        <f t="shared" si="45"/>
        <v>0</v>
      </c>
      <c r="E203" s="690">
        <f t="shared" si="45"/>
        <v>0</v>
      </c>
      <c r="F203" s="690">
        <f t="shared" si="45"/>
        <v>0</v>
      </c>
      <c r="G203" s="690">
        <f t="shared" si="45"/>
        <v>0</v>
      </c>
      <c r="H203" s="690">
        <f t="shared" si="45"/>
        <v>0</v>
      </c>
      <c r="I203" s="690">
        <f t="shared" si="45"/>
        <v>0</v>
      </c>
      <c r="J203" s="690">
        <f t="shared" si="45"/>
        <v>0</v>
      </c>
      <c r="K203" s="690">
        <f t="shared" si="45"/>
        <v>79.08</v>
      </c>
      <c r="L203" s="690">
        <f t="shared" si="45"/>
        <v>108.17</v>
      </c>
      <c r="M203" s="690">
        <f t="shared" si="45"/>
        <v>387.62</v>
      </c>
      <c r="N203" s="690">
        <f t="shared" si="45"/>
        <v>44.53</v>
      </c>
      <c r="O203" s="995">
        <f>SUM(O195:O201)</f>
        <v>619.4</v>
      </c>
      <c r="P203" s="691"/>
    </row>
    <row r="204" spans="1:16">
      <c r="A204" s="715"/>
      <c r="B204" s="692" t="s">
        <v>791</v>
      </c>
      <c r="C204" s="693">
        <f t="shared" ref="C204:O204" si="46">C192-C203</f>
        <v>0</v>
      </c>
      <c r="D204" s="693">
        <f t="shared" si="46"/>
        <v>0</v>
      </c>
      <c r="E204" s="693">
        <f t="shared" si="46"/>
        <v>0</v>
      </c>
      <c r="F204" s="693">
        <f t="shared" si="46"/>
        <v>0</v>
      </c>
      <c r="G204" s="693">
        <f t="shared" si="46"/>
        <v>0</v>
      </c>
      <c r="H204" s="693">
        <f t="shared" si="46"/>
        <v>0</v>
      </c>
      <c r="I204" s="693">
        <f t="shared" si="46"/>
        <v>0</v>
      </c>
      <c r="J204" s="693">
        <f t="shared" si="46"/>
        <v>0</v>
      </c>
      <c r="K204" s="693">
        <f t="shared" si="46"/>
        <v>-79.08</v>
      </c>
      <c r="L204" s="693">
        <f t="shared" si="46"/>
        <v>-108.17</v>
      </c>
      <c r="M204" s="693">
        <f t="shared" si="46"/>
        <v>-387.62</v>
      </c>
      <c r="N204" s="693">
        <f t="shared" si="46"/>
        <v>630.47</v>
      </c>
      <c r="O204" s="693">
        <f t="shared" si="46"/>
        <v>55.600000000000023</v>
      </c>
      <c r="P204" s="694"/>
    </row>
    <row r="206" spans="1:16">
      <c r="B206" s="938" t="s">
        <v>5755</v>
      </c>
      <c r="C206" s="938" t="s">
        <v>6835</v>
      </c>
      <c r="D206" s="938" t="s">
        <v>6836</v>
      </c>
      <c r="E206" s="938" t="s">
        <v>6837</v>
      </c>
      <c r="F206" s="938" t="s">
        <v>6838</v>
      </c>
      <c r="G206" s="938" t="s">
        <v>6839</v>
      </c>
      <c r="H206" s="938" t="s">
        <v>6840</v>
      </c>
      <c r="I206" s="938" t="s">
        <v>6841</v>
      </c>
      <c r="J206" s="938" t="s">
        <v>6842</v>
      </c>
      <c r="K206" s="938" t="s">
        <v>6843</v>
      </c>
      <c r="L206" s="938" t="s">
        <v>6844</v>
      </c>
      <c r="M206" s="660"/>
      <c r="N206" s="660"/>
      <c r="O206" s="660"/>
      <c r="P206" s="660"/>
    </row>
    <row r="207" spans="1:16">
      <c r="A207" s="714"/>
      <c r="B207" s="2126" t="s">
        <v>4423</v>
      </c>
      <c r="C207" s="2127"/>
      <c r="D207" s="2127"/>
      <c r="E207" s="2127"/>
      <c r="F207" s="2127"/>
      <c r="G207" s="2127"/>
      <c r="H207" s="2127"/>
      <c r="I207" s="2127"/>
      <c r="J207" s="2127"/>
      <c r="K207" s="2127"/>
      <c r="L207" s="2127"/>
      <c r="M207" s="2127"/>
      <c r="N207" s="2127"/>
      <c r="O207" s="2128"/>
      <c r="P207" s="661"/>
    </row>
    <row r="208" spans="1:16">
      <c r="A208" s="714"/>
      <c r="B208" s="662" t="s">
        <v>7385</v>
      </c>
      <c r="C208" s="663" t="s">
        <v>143</v>
      </c>
      <c r="D208" s="663" t="s">
        <v>26</v>
      </c>
      <c r="E208" s="663" t="s">
        <v>25</v>
      </c>
      <c r="F208" s="663" t="s">
        <v>24</v>
      </c>
      <c r="G208" s="663" t="s">
        <v>23</v>
      </c>
      <c r="H208" s="663" t="s">
        <v>22</v>
      </c>
      <c r="I208" s="663" t="s">
        <v>21</v>
      </c>
      <c r="J208" s="663" t="s">
        <v>20</v>
      </c>
      <c r="K208" s="663" t="s">
        <v>256</v>
      </c>
      <c r="L208" s="663" t="s">
        <v>18</v>
      </c>
      <c r="M208" s="663" t="s">
        <v>17</v>
      </c>
      <c r="N208" s="663" t="s">
        <v>86</v>
      </c>
      <c r="O208" s="664" t="s">
        <v>67</v>
      </c>
      <c r="P208" s="665"/>
    </row>
    <row r="209" spans="1:18">
      <c r="A209" s="714"/>
      <c r="B209" s="666" t="s">
        <v>4424</v>
      </c>
      <c r="C209" s="671"/>
      <c r="D209" s="671"/>
      <c r="E209" s="671"/>
      <c r="F209" s="671"/>
      <c r="G209" s="671"/>
      <c r="H209" s="671"/>
      <c r="I209" s="671"/>
      <c r="J209" s="671"/>
      <c r="K209" s="671"/>
      <c r="L209" s="671"/>
      <c r="M209" s="671"/>
      <c r="N209" s="671"/>
      <c r="O209" s="668"/>
      <c r="P209" s="672"/>
    </row>
    <row r="210" spans="1:18">
      <c r="A210" s="714"/>
      <c r="B210" s="674" t="s">
        <v>5056</v>
      </c>
      <c r="C210" s="685">
        <v>145</v>
      </c>
      <c r="D210" s="697"/>
      <c r="E210" s="697"/>
      <c r="F210" s="697"/>
      <c r="G210" s="697"/>
      <c r="H210" s="697"/>
      <c r="I210" s="697"/>
      <c r="J210" s="697"/>
      <c r="K210" s="697"/>
      <c r="L210" s="697"/>
      <c r="M210" s="697"/>
      <c r="N210" s="697"/>
      <c r="O210" s="668">
        <f t="shared" ref="O210:O219" si="47">SUM(C210:N210)</f>
        <v>145</v>
      </c>
      <c r="P210" s="672"/>
    </row>
    <row r="211" spans="1:18">
      <c r="A211" s="714"/>
      <c r="B211" s="674" t="s">
        <v>7401</v>
      </c>
      <c r="C211" s="685">
        <v>16.5</v>
      </c>
      <c r="D211" s="685">
        <v>16.5</v>
      </c>
      <c r="E211" s="685">
        <f>13.5+3</f>
        <v>16.5</v>
      </c>
      <c r="F211" s="685">
        <v>45</v>
      </c>
      <c r="G211" s="697">
        <v>0</v>
      </c>
      <c r="H211" s="697">
        <v>0</v>
      </c>
      <c r="I211" s="697">
        <v>0</v>
      </c>
      <c r="J211" s="697">
        <v>0</v>
      </c>
      <c r="K211" s="697">
        <v>0</v>
      </c>
      <c r="L211" s="697">
        <v>0</v>
      </c>
      <c r="M211" s="697">
        <v>0</v>
      </c>
      <c r="N211" s="697">
        <v>0</v>
      </c>
      <c r="O211" s="668">
        <f t="shared" si="47"/>
        <v>94.5</v>
      </c>
      <c r="P211" s="672"/>
    </row>
    <row r="212" spans="1:18">
      <c r="A212" s="714"/>
      <c r="B212" s="674" t="s">
        <v>4426</v>
      </c>
      <c r="C212" s="685">
        <v>80</v>
      </c>
      <c r="D212" s="697"/>
      <c r="E212" s="697"/>
      <c r="F212" s="697"/>
      <c r="G212" s="697"/>
      <c r="H212" s="697"/>
      <c r="I212" s="697"/>
      <c r="J212" s="697"/>
      <c r="K212" s="697"/>
      <c r="L212" s="697"/>
      <c r="M212" s="697"/>
      <c r="N212" s="697"/>
      <c r="O212" s="668">
        <f t="shared" si="47"/>
        <v>80</v>
      </c>
      <c r="P212" s="672"/>
    </row>
    <row r="213" spans="1:18">
      <c r="A213" s="714"/>
      <c r="B213" s="674" t="s">
        <v>2329</v>
      </c>
      <c r="C213" s="685">
        <v>135</v>
      </c>
      <c r="D213" s="697"/>
      <c r="E213" s="697"/>
      <c r="F213" s="697"/>
      <c r="G213" s="697"/>
      <c r="H213" s="697"/>
      <c r="I213" s="697"/>
      <c r="J213" s="697"/>
      <c r="K213" s="697"/>
      <c r="L213" s="697"/>
      <c r="M213" s="697"/>
      <c r="N213" s="697"/>
      <c r="O213" s="668">
        <f t="shared" si="47"/>
        <v>135</v>
      </c>
      <c r="P213" s="672"/>
    </row>
    <row r="214" spans="1:18">
      <c r="A214" s="714"/>
      <c r="B214" s="674" t="s">
        <v>7047</v>
      </c>
      <c r="C214" s="685">
        <v>165</v>
      </c>
      <c r="D214" s="697"/>
      <c r="E214" s="697"/>
      <c r="F214" s="697"/>
      <c r="G214" s="697"/>
      <c r="H214" s="697"/>
      <c r="I214" s="697"/>
      <c r="J214" s="697"/>
      <c r="K214" s="697"/>
      <c r="L214" s="697"/>
      <c r="M214" s="697"/>
      <c r="N214" s="697"/>
      <c r="O214" s="668">
        <f t="shared" si="47"/>
        <v>165</v>
      </c>
      <c r="P214" s="672"/>
    </row>
    <row r="215" spans="1:18">
      <c r="A215" s="714"/>
      <c r="B215" s="674" t="s">
        <v>6865</v>
      </c>
      <c r="C215" s="697"/>
      <c r="D215" s="697"/>
      <c r="E215" s="697"/>
      <c r="F215" s="697"/>
      <c r="G215" s="685">
        <v>280</v>
      </c>
      <c r="H215" s="697" t="s">
        <v>7048</v>
      </c>
      <c r="I215" s="697"/>
      <c r="J215" s="697"/>
      <c r="K215" s="697"/>
      <c r="L215" s="697"/>
      <c r="M215" s="697"/>
      <c r="N215" s="697"/>
      <c r="O215" s="668">
        <f t="shared" si="47"/>
        <v>280</v>
      </c>
      <c r="P215" s="672"/>
    </row>
    <row r="216" spans="1:18">
      <c r="A216" s="714"/>
      <c r="B216" s="674" t="s">
        <v>4441</v>
      </c>
      <c r="C216" s="685">
        <v>288</v>
      </c>
      <c r="D216" s="697"/>
      <c r="E216" s="702" t="s">
        <v>4430</v>
      </c>
      <c r="F216" s="697"/>
      <c r="G216" s="697"/>
      <c r="H216" s="697"/>
      <c r="I216" s="697"/>
      <c r="J216" s="697"/>
      <c r="K216" s="697"/>
      <c r="L216" s="697"/>
      <c r="M216" s="697"/>
      <c r="N216" s="771">
        <f>288+42</f>
        <v>330</v>
      </c>
      <c r="O216" s="668">
        <f t="shared" si="47"/>
        <v>618</v>
      </c>
      <c r="P216" s="672"/>
      <c r="Q216" s="2088" t="s">
        <v>4431</v>
      </c>
      <c r="R216" s="2087"/>
    </row>
    <row r="217" spans="1:18">
      <c r="A217" s="714"/>
      <c r="B217" s="674" t="s">
        <v>4310</v>
      </c>
      <c r="C217" s="697"/>
      <c r="D217" s="697"/>
      <c r="E217" s="697"/>
      <c r="F217" s="697" t="s">
        <v>6867</v>
      </c>
      <c r="G217" s="685">
        <v>133</v>
      </c>
      <c r="H217" s="697"/>
      <c r="I217" s="697"/>
      <c r="J217" s="697"/>
      <c r="K217" s="697"/>
      <c r="L217" s="697"/>
      <c r="M217" s="697"/>
      <c r="N217" s="697"/>
      <c r="O217" s="668">
        <f t="shared" si="47"/>
        <v>133</v>
      </c>
      <c r="P217" s="672"/>
    </row>
    <row r="218" spans="1:18">
      <c r="A218" s="714"/>
      <c r="B218" s="674" t="s">
        <v>4432</v>
      </c>
      <c r="C218" s="697">
        <v>0</v>
      </c>
      <c r="D218" s="697"/>
      <c r="E218" s="685">
        <v>79</v>
      </c>
      <c r="F218" s="697"/>
      <c r="G218" s="697"/>
      <c r="H218" s="697"/>
      <c r="I218" s="697"/>
      <c r="J218" s="697"/>
      <c r="K218" s="771">
        <v>54</v>
      </c>
      <c r="L218" s="697"/>
      <c r="M218" s="697"/>
      <c r="N218" s="697"/>
      <c r="O218" s="668">
        <f t="shared" si="47"/>
        <v>133</v>
      </c>
      <c r="P218" s="672"/>
    </row>
    <row r="219" spans="1:18">
      <c r="A219" s="714"/>
      <c r="B219" s="674" t="s">
        <v>7049</v>
      </c>
      <c r="C219" s="697"/>
      <c r="D219" s="697"/>
      <c r="E219" s="697"/>
      <c r="F219" s="697" t="s">
        <v>6867</v>
      </c>
      <c r="G219" s="685">
        <v>120</v>
      </c>
      <c r="H219" s="697"/>
      <c r="I219" s="697"/>
      <c r="J219" s="697"/>
      <c r="K219" s="697"/>
      <c r="L219" s="697"/>
      <c r="M219" s="697"/>
      <c r="N219" s="697"/>
      <c r="O219" s="668">
        <f t="shared" si="47"/>
        <v>120</v>
      </c>
      <c r="P219" s="672"/>
    </row>
    <row r="220" spans="1:18">
      <c r="A220" s="714"/>
      <c r="B220" s="674" t="s">
        <v>4433</v>
      </c>
      <c r="C220" s="705"/>
      <c r="D220" s="705"/>
      <c r="E220" s="705"/>
      <c r="F220" s="705"/>
      <c r="G220" s="705"/>
      <c r="H220" s="705"/>
      <c r="I220" s="705"/>
      <c r="J220" s="705"/>
      <c r="K220" s="705"/>
      <c r="L220" s="705"/>
      <c r="M220" s="705"/>
      <c r="N220" s="705">
        <f>72.06+23.24</f>
        <v>95.3</v>
      </c>
      <c r="O220" s="668"/>
      <c r="P220" s="672"/>
    </row>
    <row r="221" spans="1:18">
      <c r="A221" s="714"/>
      <c r="B221" s="674" t="s">
        <v>4434</v>
      </c>
      <c r="C221" s="708">
        <v>-20</v>
      </c>
      <c r="D221" s="708">
        <v>-20</v>
      </c>
      <c r="E221" s="708">
        <v>-20</v>
      </c>
      <c r="F221" s="708">
        <v>-20</v>
      </c>
      <c r="G221" s="708">
        <v>-20</v>
      </c>
      <c r="H221" s="708">
        <v>-20</v>
      </c>
      <c r="I221" s="708">
        <v>-20</v>
      </c>
      <c r="J221" s="708">
        <v>-20</v>
      </c>
      <c r="K221" s="708">
        <v>-20</v>
      </c>
      <c r="L221" s="708">
        <v>-20</v>
      </c>
      <c r="M221" s="708">
        <v>-20</v>
      </c>
      <c r="N221" s="708">
        <v>-20</v>
      </c>
      <c r="O221" s="668">
        <f>SUM(C221:N221)</f>
        <v>-240</v>
      </c>
      <c r="P221" s="672"/>
    </row>
    <row r="222" spans="1:18">
      <c r="A222" s="715"/>
      <c r="B222" s="677" t="s">
        <v>4435</v>
      </c>
      <c r="C222" s="677">
        <f t="shared" ref="C222:O222" si="48">SUM(C210:C221)</f>
        <v>809.5</v>
      </c>
      <c r="D222" s="677">
        <f t="shared" si="48"/>
        <v>-3.5</v>
      </c>
      <c r="E222" s="677">
        <f t="shared" si="48"/>
        <v>75.5</v>
      </c>
      <c r="F222" s="677">
        <f t="shared" si="48"/>
        <v>25</v>
      </c>
      <c r="G222" s="677">
        <f t="shared" si="48"/>
        <v>513</v>
      </c>
      <c r="H222" s="677">
        <f t="shared" si="48"/>
        <v>-20</v>
      </c>
      <c r="I222" s="677">
        <f t="shared" si="48"/>
        <v>-20</v>
      </c>
      <c r="J222" s="677">
        <f t="shared" si="48"/>
        <v>-20</v>
      </c>
      <c r="K222" s="677">
        <f t="shared" si="48"/>
        <v>34</v>
      </c>
      <c r="L222" s="677">
        <f t="shared" si="48"/>
        <v>-20</v>
      </c>
      <c r="M222" s="677">
        <f t="shared" si="48"/>
        <v>-20</v>
      </c>
      <c r="N222" s="677">
        <f t="shared" si="48"/>
        <v>405.3</v>
      </c>
      <c r="O222" s="677">
        <f t="shared" si="48"/>
        <v>1663.5</v>
      </c>
      <c r="P222" s="691"/>
    </row>
    <row r="223" spans="1:18">
      <c r="A223" s="715" t="s">
        <v>135</v>
      </c>
      <c r="B223" s="709" t="s">
        <v>135</v>
      </c>
      <c r="C223" s="709"/>
      <c r="D223" s="709"/>
      <c r="E223" s="709"/>
      <c r="F223" s="709"/>
      <c r="G223" s="709"/>
      <c r="H223" s="709"/>
      <c r="I223" s="709"/>
      <c r="J223" s="709"/>
      <c r="K223" s="709"/>
      <c r="L223" s="709"/>
      <c r="M223" s="709"/>
      <c r="N223" s="709"/>
      <c r="O223" s="709"/>
      <c r="P223" s="710"/>
    </row>
    <row r="224" spans="1:18">
      <c r="B224" s="578"/>
      <c r="C224" s="578"/>
      <c r="D224" s="578"/>
      <c r="E224" s="578"/>
      <c r="F224" s="578"/>
      <c r="G224" s="578"/>
      <c r="H224" s="578"/>
      <c r="I224" s="578"/>
      <c r="J224" s="578"/>
      <c r="K224" s="578"/>
      <c r="L224" s="578"/>
      <c r="M224" s="2129" t="s">
        <v>4436</v>
      </c>
      <c r="N224" s="2087"/>
      <c r="O224" s="711">
        <f>800/12</f>
        <v>66.666666666666671</v>
      </c>
      <c r="P224" s="712"/>
    </row>
    <row r="225" spans="1:17">
      <c r="B225" s="938" t="s">
        <v>5755</v>
      </c>
      <c r="C225" s="938" t="s">
        <v>6835</v>
      </c>
      <c r="D225" s="938" t="s">
        <v>6836</v>
      </c>
      <c r="E225" s="938" t="s">
        <v>6837</v>
      </c>
      <c r="F225" s="938" t="s">
        <v>6838</v>
      </c>
      <c r="G225" s="938" t="s">
        <v>6839</v>
      </c>
      <c r="H225" s="938" t="s">
        <v>6840</v>
      </c>
      <c r="I225" s="938" t="s">
        <v>6841</v>
      </c>
      <c r="J225" s="938" t="s">
        <v>6842</v>
      </c>
      <c r="K225" s="938" t="s">
        <v>6843</v>
      </c>
      <c r="L225" s="938" t="s">
        <v>6844</v>
      </c>
      <c r="M225" s="660"/>
      <c r="N225" s="660"/>
      <c r="O225" s="660"/>
      <c r="P225" s="660"/>
    </row>
    <row r="226" spans="1:17">
      <c r="A226" s="714"/>
      <c r="B226" s="2126" t="s">
        <v>7051</v>
      </c>
      <c r="C226" s="2127"/>
      <c r="D226" s="2127"/>
      <c r="E226" s="2127"/>
      <c r="F226" s="2127"/>
      <c r="G226" s="2127"/>
      <c r="H226" s="2127"/>
      <c r="I226" s="2127"/>
      <c r="J226" s="2127"/>
      <c r="K226" s="2127"/>
      <c r="L226" s="2127"/>
      <c r="M226" s="2127"/>
      <c r="N226" s="2127"/>
      <c r="O226" s="2128"/>
      <c r="P226" s="661"/>
    </row>
    <row r="227" spans="1:17">
      <c r="A227" s="714"/>
      <c r="B227" s="662" t="s">
        <v>7385</v>
      </c>
      <c r="C227" s="663" t="s">
        <v>143</v>
      </c>
      <c r="D227" s="663" t="s">
        <v>26</v>
      </c>
      <c r="E227" s="663" t="s">
        <v>25</v>
      </c>
      <c r="F227" s="663" t="s">
        <v>24</v>
      </c>
      <c r="G227" s="663" t="s">
        <v>23</v>
      </c>
      <c r="H227" s="663" t="s">
        <v>22</v>
      </c>
      <c r="I227" s="663" t="s">
        <v>21</v>
      </c>
      <c r="J227" s="663" t="s">
        <v>20</v>
      </c>
      <c r="K227" s="663" t="s">
        <v>256</v>
      </c>
      <c r="L227" s="663" t="s">
        <v>18</v>
      </c>
      <c r="M227" s="663" t="s">
        <v>17</v>
      </c>
      <c r="N227" s="663" t="s">
        <v>86</v>
      </c>
      <c r="O227" s="664" t="s">
        <v>67</v>
      </c>
      <c r="P227" s="665"/>
    </row>
    <row r="228" spans="1:17">
      <c r="A228" s="714"/>
      <c r="B228" s="666" t="s">
        <v>4397</v>
      </c>
      <c r="C228" s="671"/>
      <c r="D228" s="671"/>
      <c r="E228" s="671"/>
      <c r="F228" s="671"/>
      <c r="G228" s="671"/>
      <c r="H228" s="671"/>
      <c r="I228" s="671"/>
      <c r="J228" s="671"/>
      <c r="K228" s="671"/>
      <c r="L228" s="671"/>
      <c r="M228" s="671"/>
      <c r="N228" s="671"/>
      <c r="O228" s="668"/>
      <c r="P228" s="672"/>
    </row>
    <row r="229" spans="1:17">
      <c r="A229" s="714"/>
      <c r="B229" s="674" t="s">
        <v>4399</v>
      </c>
      <c r="C229" s="675"/>
      <c r="D229" s="675"/>
      <c r="E229" s="675"/>
      <c r="F229" s="675"/>
      <c r="G229" s="675"/>
      <c r="H229" s="675"/>
      <c r="I229" s="675"/>
      <c r="J229" s="675"/>
      <c r="K229" s="675"/>
      <c r="L229" s="675"/>
      <c r="M229" s="675"/>
      <c r="N229" s="675"/>
      <c r="O229" s="668">
        <f>SUM(C229:N229)</f>
        <v>0</v>
      </c>
      <c r="P229" s="672"/>
    </row>
    <row r="230" spans="1:17">
      <c r="A230" s="714"/>
      <c r="B230" s="674" t="s">
        <v>6850</v>
      </c>
      <c r="C230" s="675"/>
      <c r="D230" s="675">
        <v>445.69</v>
      </c>
      <c r="E230" s="675">
        <v>264.45999999999998</v>
      </c>
      <c r="F230" s="675">
        <v>127.84</v>
      </c>
      <c r="G230" s="675">
        <v>42.78</v>
      </c>
      <c r="H230" s="675">
        <v>100.1</v>
      </c>
      <c r="I230" s="675">
        <v>103.98</v>
      </c>
      <c r="J230" s="675">
        <v>105.95</v>
      </c>
      <c r="K230" s="675">
        <v>89.9</v>
      </c>
      <c r="L230" s="675">
        <v>92.12</v>
      </c>
      <c r="M230" s="675">
        <v>164.56</v>
      </c>
      <c r="N230" s="675">
        <v>231.02</v>
      </c>
      <c r="O230" s="668">
        <f>SUM(C230:N230)</f>
        <v>1768.4</v>
      </c>
      <c r="P230" s="672"/>
      <c r="Q230" s="12">
        <f>AVERAGE(D230:N230)</f>
        <v>160.76363636363638</v>
      </c>
    </row>
    <row r="231" spans="1:17">
      <c r="A231" s="714"/>
      <c r="B231" s="674" t="s">
        <v>5684</v>
      </c>
      <c r="C231" s="675"/>
      <c r="D231" s="675"/>
      <c r="E231" s="675"/>
      <c r="F231" s="675"/>
      <c r="G231" s="675"/>
      <c r="H231" s="675"/>
      <c r="I231" s="675"/>
      <c r="J231" s="675"/>
      <c r="K231" s="675"/>
      <c r="L231" s="675"/>
      <c r="M231" s="675"/>
      <c r="N231" s="675"/>
      <c r="O231" s="668">
        <f>SUM(C231:N231)</f>
        <v>0</v>
      </c>
      <c r="P231" s="672"/>
    </row>
    <row r="232" spans="1:17">
      <c r="A232" s="714"/>
      <c r="B232" s="674" t="s">
        <v>7052</v>
      </c>
      <c r="C232" s="675"/>
      <c r="D232" s="675"/>
      <c r="E232" s="675"/>
      <c r="F232" s="675"/>
      <c r="G232" s="675"/>
      <c r="H232" s="675"/>
      <c r="I232" s="675"/>
      <c r="J232" s="675"/>
      <c r="K232" s="675"/>
      <c r="L232" s="675"/>
      <c r="M232" s="675"/>
      <c r="N232" s="675"/>
      <c r="O232" s="668"/>
      <c r="P232" s="672"/>
    </row>
    <row r="233" spans="1:17">
      <c r="A233" s="714"/>
      <c r="B233" s="674" t="s">
        <v>7053</v>
      </c>
      <c r="C233" s="675"/>
      <c r="D233" s="675"/>
      <c r="E233" s="675"/>
      <c r="F233" s="675"/>
      <c r="G233" s="675"/>
      <c r="H233" s="675"/>
      <c r="I233" s="675"/>
      <c r="J233" s="675"/>
      <c r="K233" s="675"/>
      <c r="L233" s="675"/>
      <c r="M233" s="675"/>
      <c r="N233" s="675"/>
      <c r="O233" s="668"/>
      <c r="P233" s="672"/>
    </row>
    <row r="234" spans="1:17">
      <c r="A234" s="714"/>
      <c r="B234" s="674" t="s">
        <v>7054</v>
      </c>
      <c r="C234" s="675"/>
      <c r="D234" s="675"/>
      <c r="E234" s="675"/>
      <c r="F234" s="675"/>
      <c r="G234" s="675"/>
      <c r="H234" s="675"/>
      <c r="I234" s="675"/>
      <c r="J234" s="675"/>
      <c r="K234" s="675"/>
      <c r="L234" s="675"/>
      <c r="M234" s="675"/>
      <c r="N234" s="675"/>
      <c r="O234" s="668"/>
      <c r="P234" s="672"/>
    </row>
    <row r="235" spans="1:17">
      <c r="A235" s="714"/>
      <c r="B235" s="674" t="s">
        <v>7055</v>
      </c>
      <c r="C235" s="675"/>
      <c r="D235" s="675"/>
      <c r="E235" s="675"/>
      <c r="F235" s="675"/>
      <c r="G235" s="675"/>
      <c r="H235" s="675"/>
      <c r="I235" s="675"/>
      <c r="J235" s="675"/>
      <c r="K235" s="675"/>
      <c r="L235" s="675"/>
      <c r="M235" s="675"/>
      <c r="N235" s="675"/>
      <c r="O235" s="668"/>
      <c r="P235" s="672"/>
    </row>
    <row r="236" spans="1:17">
      <c r="A236" s="714"/>
      <c r="B236" s="674" t="s">
        <v>7056</v>
      </c>
      <c r="C236" s="675"/>
      <c r="D236" s="675"/>
      <c r="E236" s="675"/>
      <c r="F236" s="675"/>
      <c r="G236" s="675"/>
      <c r="H236" s="675"/>
      <c r="I236" s="675"/>
      <c r="J236" s="675"/>
      <c r="K236" s="675"/>
      <c r="L236" s="675"/>
      <c r="M236" s="675"/>
      <c r="N236" s="675"/>
      <c r="O236" s="668"/>
      <c r="P236" s="672"/>
    </row>
    <row r="237" spans="1:17">
      <c r="A237" s="714"/>
      <c r="B237" s="674" t="s">
        <v>5024</v>
      </c>
      <c r="C237" s="675"/>
      <c r="D237" s="675"/>
      <c r="E237" s="675"/>
      <c r="F237" s="675"/>
      <c r="G237" s="675"/>
      <c r="H237" s="675"/>
      <c r="I237" s="675"/>
      <c r="J237" s="675"/>
      <c r="K237" s="675"/>
      <c r="L237" s="675"/>
      <c r="M237" s="675"/>
      <c r="N237" s="675"/>
      <c r="O237" s="668"/>
      <c r="P237" s="672"/>
    </row>
    <row r="238" spans="1:17">
      <c r="A238" s="714"/>
      <c r="B238" s="674" t="s">
        <v>1125</v>
      </c>
      <c r="C238" s="675"/>
      <c r="D238" s="675"/>
      <c r="E238" s="675"/>
      <c r="F238" s="675"/>
      <c r="G238" s="675"/>
      <c r="H238" s="675"/>
      <c r="I238" s="675"/>
      <c r="J238" s="675"/>
      <c r="K238" s="675"/>
      <c r="L238" s="675"/>
      <c r="M238" s="675"/>
      <c r="N238" s="675"/>
      <c r="O238" s="668">
        <f>SUM(C238:N238)</f>
        <v>0</v>
      </c>
      <c r="P238" s="672"/>
    </row>
    <row r="239" spans="1:17">
      <c r="A239" s="714"/>
      <c r="B239" s="674" t="s">
        <v>7057</v>
      </c>
      <c r="C239" s="675"/>
      <c r="D239" s="675" t="s">
        <v>135</v>
      </c>
      <c r="E239" s="675"/>
      <c r="F239" s="675" t="s">
        <v>135</v>
      </c>
      <c r="G239" s="675"/>
      <c r="H239" s="675"/>
      <c r="I239" s="675"/>
      <c r="J239" s="675"/>
      <c r="K239" s="675"/>
      <c r="L239" s="675"/>
      <c r="M239" s="675"/>
      <c r="N239" s="675"/>
      <c r="O239" s="668">
        <f>SUM(C239:N239)</f>
        <v>0</v>
      </c>
      <c r="P239" s="672"/>
    </row>
    <row r="240" spans="1:17">
      <c r="A240" s="714"/>
      <c r="B240" s="689" t="s">
        <v>1126</v>
      </c>
      <c r="C240" s="690">
        <f t="shared" ref="C240:O240" si="49">SUM(C229:C239)</f>
        <v>0</v>
      </c>
      <c r="D240" s="690">
        <f t="shared" si="49"/>
        <v>445.69</v>
      </c>
      <c r="E240" s="690">
        <f t="shared" si="49"/>
        <v>264.45999999999998</v>
      </c>
      <c r="F240" s="690">
        <f t="shared" si="49"/>
        <v>127.84</v>
      </c>
      <c r="G240" s="690">
        <f t="shared" si="49"/>
        <v>42.78</v>
      </c>
      <c r="H240" s="690">
        <f t="shared" si="49"/>
        <v>100.1</v>
      </c>
      <c r="I240" s="690">
        <f t="shared" si="49"/>
        <v>103.98</v>
      </c>
      <c r="J240" s="690">
        <f t="shared" si="49"/>
        <v>105.95</v>
      </c>
      <c r="K240" s="690">
        <f t="shared" si="49"/>
        <v>89.9</v>
      </c>
      <c r="L240" s="690">
        <f t="shared" si="49"/>
        <v>92.12</v>
      </c>
      <c r="M240" s="690">
        <f t="shared" si="49"/>
        <v>164.56</v>
      </c>
      <c r="N240" s="690">
        <f t="shared" si="49"/>
        <v>231.02</v>
      </c>
      <c r="O240" s="995">
        <f t="shared" si="49"/>
        <v>1768.4</v>
      </c>
      <c r="P240" s="691"/>
    </row>
    <row r="241" spans="1:16">
      <c r="A241" s="715"/>
      <c r="B241" s="692" t="s">
        <v>791</v>
      </c>
      <c r="C241" s="693" t="e">
        <f t="shared" ref="C241:O241" si="50">""-C240</f>
        <v>#VALUE!</v>
      </c>
      <c r="D241" s="693" t="e">
        <f t="shared" si="50"/>
        <v>#VALUE!</v>
      </c>
      <c r="E241" s="693" t="e">
        <f t="shared" si="50"/>
        <v>#VALUE!</v>
      </c>
      <c r="F241" s="693" t="e">
        <f t="shared" si="50"/>
        <v>#VALUE!</v>
      </c>
      <c r="G241" s="693" t="e">
        <f t="shared" si="50"/>
        <v>#VALUE!</v>
      </c>
      <c r="H241" s="693" t="e">
        <f t="shared" si="50"/>
        <v>#VALUE!</v>
      </c>
      <c r="I241" s="693" t="e">
        <f t="shared" si="50"/>
        <v>#VALUE!</v>
      </c>
      <c r="J241" s="693" t="e">
        <f t="shared" si="50"/>
        <v>#VALUE!</v>
      </c>
      <c r="K241" s="693" t="e">
        <f t="shared" si="50"/>
        <v>#VALUE!</v>
      </c>
      <c r="L241" s="693" t="e">
        <f t="shared" si="50"/>
        <v>#VALUE!</v>
      </c>
      <c r="M241" s="693" t="e">
        <f t="shared" si="50"/>
        <v>#VALUE!</v>
      </c>
      <c r="N241" s="693" t="e">
        <f t="shared" si="50"/>
        <v>#VALUE!</v>
      </c>
      <c r="O241" s="693" t="e">
        <f t="shared" si="50"/>
        <v>#VALUE!</v>
      </c>
      <c r="P241" s="694"/>
    </row>
    <row r="242" spans="1:16">
      <c r="B242" s="2130" t="s">
        <v>5766</v>
      </c>
      <c r="C242" s="2087"/>
      <c r="D242" s="2087"/>
      <c r="E242" s="2087"/>
      <c r="F242" s="2087"/>
      <c r="G242" s="2087"/>
      <c r="H242" s="2087"/>
      <c r="I242" s="2087"/>
      <c r="J242" s="2087"/>
      <c r="K242" s="2087"/>
      <c r="L242" s="2087"/>
      <c r="M242" s="2087"/>
      <c r="N242" s="2087"/>
      <c r="P242" s="712"/>
    </row>
    <row r="243" spans="1:16">
      <c r="B243" s="2088" t="s">
        <v>6868</v>
      </c>
      <c r="C243" s="2087"/>
      <c r="D243" s="2087"/>
      <c r="E243" s="2087"/>
      <c r="F243" s="2087"/>
    </row>
    <row r="244" spans="1:16">
      <c r="B244" s="938" t="s">
        <v>5755</v>
      </c>
      <c r="C244" s="938" t="s">
        <v>6835</v>
      </c>
      <c r="D244" s="938" t="s">
        <v>6836</v>
      </c>
      <c r="E244" s="938" t="s">
        <v>6837</v>
      </c>
      <c r="F244" s="938" t="s">
        <v>6838</v>
      </c>
      <c r="G244" s="938" t="s">
        <v>6839</v>
      </c>
      <c r="H244" s="938" t="s">
        <v>6840</v>
      </c>
      <c r="I244" s="938" t="s">
        <v>6841</v>
      </c>
      <c r="J244" s="938" t="s">
        <v>6842</v>
      </c>
      <c r="K244" s="938" t="s">
        <v>6843</v>
      </c>
      <c r="L244" s="938" t="s">
        <v>6844</v>
      </c>
      <c r="M244" s="660"/>
      <c r="N244" s="660"/>
      <c r="O244" s="660"/>
      <c r="P244" s="660"/>
    </row>
    <row r="247" spans="1:16">
      <c r="A247" s="714"/>
      <c r="B247" s="2126" t="s">
        <v>7058</v>
      </c>
      <c r="C247" s="2127"/>
      <c r="D247" s="2127"/>
      <c r="E247" s="2127"/>
      <c r="F247" s="2127"/>
      <c r="G247" s="2127"/>
      <c r="H247" s="2127"/>
      <c r="I247" s="2127"/>
      <c r="J247" s="2127"/>
      <c r="K247" s="2127"/>
      <c r="L247" s="2127"/>
      <c r="M247" s="2127"/>
      <c r="N247" s="2127"/>
      <c r="O247" s="2127"/>
      <c r="P247" s="661"/>
    </row>
    <row r="248" spans="1:16">
      <c r="A248" s="714"/>
      <c r="B248" s="662" t="s">
        <v>7385</v>
      </c>
      <c r="C248" s="663" t="s">
        <v>143</v>
      </c>
      <c r="D248" s="663" t="s">
        <v>26</v>
      </c>
      <c r="E248" s="663" t="s">
        <v>25</v>
      </c>
      <c r="F248" s="663" t="s">
        <v>24</v>
      </c>
      <c r="G248" s="663" t="s">
        <v>23</v>
      </c>
      <c r="H248" s="663" t="s">
        <v>22</v>
      </c>
      <c r="I248" s="663" t="s">
        <v>21</v>
      </c>
      <c r="J248" s="663" t="s">
        <v>20</v>
      </c>
      <c r="K248" s="663" t="s">
        <v>256</v>
      </c>
      <c r="L248" s="663" t="s">
        <v>18</v>
      </c>
      <c r="M248" s="663" t="s">
        <v>17</v>
      </c>
      <c r="N248" s="663" t="s">
        <v>86</v>
      </c>
      <c r="O248" s="664" t="s">
        <v>67</v>
      </c>
      <c r="P248" s="665"/>
    </row>
    <row r="249" spans="1:16">
      <c r="A249" s="714"/>
      <c r="B249" s="666" t="s">
        <v>4397</v>
      </c>
      <c r="C249" s="671"/>
      <c r="D249" s="671"/>
      <c r="E249" s="671"/>
      <c r="F249" s="671"/>
      <c r="G249" s="671"/>
      <c r="H249" s="671"/>
      <c r="I249" s="671"/>
      <c r="J249" s="671"/>
      <c r="K249" s="671"/>
      <c r="L249" s="671"/>
      <c r="M249" s="671"/>
      <c r="N249" s="671"/>
      <c r="O249" s="668"/>
      <c r="P249" s="672"/>
    </row>
    <row r="250" spans="1:16">
      <c r="A250" s="714"/>
      <c r="B250" s="674" t="s">
        <v>4399</v>
      </c>
      <c r="C250" s="675"/>
      <c r="D250" s="675"/>
      <c r="E250" s="675"/>
      <c r="F250" s="675"/>
      <c r="G250" s="675"/>
      <c r="H250" s="675"/>
      <c r="I250" s="675"/>
      <c r="J250" s="675"/>
      <c r="K250" s="675"/>
      <c r="L250" s="675"/>
      <c r="M250" s="675"/>
      <c r="N250" s="675"/>
      <c r="O250" s="668">
        <f>SUM(C250:N250)</f>
        <v>0</v>
      </c>
      <c r="P250" s="672"/>
    </row>
    <row r="251" spans="1:16">
      <c r="A251" s="714"/>
      <c r="B251" s="674" t="s">
        <v>6850</v>
      </c>
      <c r="C251" s="675"/>
      <c r="D251" s="675"/>
      <c r="E251" s="675"/>
      <c r="F251" s="675"/>
      <c r="G251" s="675"/>
      <c r="H251" s="675"/>
      <c r="I251" s="675"/>
      <c r="J251" s="675"/>
      <c r="K251" s="675"/>
      <c r="L251" s="675"/>
      <c r="M251" s="675"/>
      <c r="N251" s="675"/>
      <c r="O251" s="668">
        <f>SUM(C251:N251)</f>
        <v>0</v>
      </c>
      <c r="P251" s="672"/>
    </row>
    <row r="252" spans="1:16">
      <c r="A252" s="714"/>
      <c r="B252" s="674" t="s">
        <v>5684</v>
      </c>
      <c r="C252" s="675"/>
      <c r="D252" s="675"/>
      <c r="E252" s="675"/>
      <c r="F252" s="675"/>
      <c r="G252" s="675"/>
      <c r="H252" s="675"/>
      <c r="I252" s="675"/>
      <c r="J252" s="675"/>
      <c r="K252" s="675"/>
      <c r="L252" s="675"/>
      <c r="M252" s="675">
        <v>1770</v>
      </c>
      <c r="N252" s="675"/>
      <c r="O252" s="668">
        <f>SUM(C252:N252)</f>
        <v>1770</v>
      </c>
      <c r="P252" s="672"/>
    </row>
    <row r="253" spans="1:16">
      <c r="A253" s="714"/>
      <c r="B253" s="674" t="s">
        <v>7052</v>
      </c>
      <c r="C253" s="675"/>
      <c r="D253" s="675"/>
      <c r="E253" s="675"/>
      <c r="F253" s="675"/>
      <c r="G253" s="675"/>
      <c r="H253" s="675"/>
      <c r="I253" s="675"/>
      <c r="J253" s="675"/>
      <c r="K253" s="675"/>
      <c r="L253" s="675"/>
      <c r="M253" s="675"/>
      <c r="N253" s="675"/>
      <c r="O253" s="668"/>
      <c r="P253" s="672"/>
    </row>
    <row r="254" spans="1:16">
      <c r="A254" s="714"/>
      <c r="B254" s="674" t="s">
        <v>7053</v>
      </c>
      <c r="C254" s="675"/>
      <c r="D254" s="675"/>
      <c r="E254" s="675"/>
      <c r="F254" s="675"/>
      <c r="G254" s="675"/>
      <c r="H254" s="675"/>
      <c r="I254" s="675"/>
      <c r="J254" s="675"/>
      <c r="K254" s="675"/>
      <c r="L254" s="675"/>
      <c r="M254" s="675"/>
      <c r="N254" s="675"/>
      <c r="O254" s="668"/>
      <c r="P254" s="672"/>
    </row>
    <row r="255" spans="1:16">
      <c r="A255" s="714"/>
      <c r="B255" s="674" t="s">
        <v>7054</v>
      </c>
      <c r="C255" s="675"/>
      <c r="D255" s="675"/>
      <c r="E255" s="675"/>
      <c r="F255" s="675"/>
      <c r="G255" s="675"/>
      <c r="H255" s="675"/>
      <c r="I255" s="675"/>
      <c r="J255" s="675"/>
      <c r="K255" s="675"/>
      <c r="L255" s="675"/>
      <c r="M255" s="675"/>
      <c r="N255" s="675"/>
      <c r="O255" s="668"/>
      <c r="P255" s="672"/>
    </row>
    <row r="256" spans="1:16">
      <c r="A256" s="714"/>
      <c r="B256" s="674" t="s">
        <v>7055</v>
      </c>
      <c r="C256" s="675"/>
      <c r="D256" s="675"/>
      <c r="E256" s="675"/>
      <c r="F256" s="675"/>
      <c r="G256" s="675"/>
      <c r="H256" s="675"/>
      <c r="I256" s="675"/>
      <c r="J256" s="675"/>
      <c r="K256" s="675"/>
      <c r="L256" s="675"/>
      <c r="M256" s="675"/>
      <c r="N256" s="675"/>
      <c r="O256" s="668"/>
      <c r="P256" s="672"/>
    </row>
    <row r="257" spans="1:16">
      <c r="A257" s="714"/>
      <c r="B257" s="674" t="s">
        <v>7056</v>
      </c>
      <c r="C257" s="675"/>
      <c r="D257" s="675"/>
      <c r="E257" s="675"/>
      <c r="F257" s="675"/>
      <c r="G257" s="675"/>
      <c r="H257" s="675"/>
      <c r="I257" s="675"/>
      <c r="J257" s="675"/>
      <c r="K257" s="675"/>
      <c r="L257" s="675"/>
      <c r="M257" s="675"/>
      <c r="N257" s="675"/>
      <c r="O257" s="668"/>
      <c r="P257" s="672"/>
    </row>
    <row r="258" spans="1:16">
      <c r="A258" s="714"/>
      <c r="B258" s="674" t="s">
        <v>5024</v>
      </c>
      <c r="C258" s="675"/>
      <c r="D258" s="675"/>
      <c r="E258" s="675"/>
      <c r="F258" s="675"/>
      <c r="G258" s="675"/>
      <c r="H258" s="675"/>
      <c r="I258" s="675"/>
      <c r="J258" s="675"/>
      <c r="K258" s="675"/>
      <c r="L258" s="675"/>
      <c r="M258" s="675"/>
      <c r="N258" s="675"/>
      <c r="O258" s="668"/>
      <c r="P258" s="672"/>
    </row>
    <row r="259" spans="1:16">
      <c r="A259" s="714"/>
      <c r="B259" s="674" t="s">
        <v>1125</v>
      </c>
      <c r="C259" s="675"/>
      <c r="D259" s="675"/>
      <c r="E259" s="675"/>
      <c r="F259" s="675"/>
      <c r="G259" s="675"/>
      <c r="H259" s="675"/>
      <c r="I259" s="675"/>
      <c r="J259" s="675"/>
      <c r="K259" s="675"/>
      <c r="L259" s="675"/>
      <c r="M259" s="675"/>
      <c r="N259" s="675"/>
      <c r="O259" s="668">
        <f>SUM(C259:N259)</f>
        <v>0</v>
      </c>
      <c r="P259" s="672"/>
    </row>
    <row r="260" spans="1:16">
      <c r="A260" s="714"/>
      <c r="B260" s="674" t="s">
        <v>7057</v>
      </c>
      <c r="C260" s="675"/>
      <c r="D260" s="675" t="s">
        <v>135</v>
      </c>
      <c r="E260" s="675"/>
      <c r="F260" s="675" t="s">
        <v>135</v>
      </c>
      <c r="G260" s="675"/>
      <c r="H260" s="675"/>
      <c r="I260" s="675"/>
      <c r="J260" s="675"/>
      <c r="K260" s="675"/>
      <c r="L260" s="675"/>
      <c r="M260" s="675"/>
      <c r="N260" s="675"/>
      <c r="O260" s="668">
        <f>SUM(C260:N260)</f>
        <v>0</v>
      </c>
      <c r="P260" s="672"/>
    </row>
    <row r="261" spans="1:16">
      <c r="A261" s="714"/>
      <c r="B261" s="689" t="s">
        <v>1126</v>
      </c>
      <c r="C261" s="690">
        <f t="shared" ref="C261:O261" si="51">SUM(C250:C260)</f>
        <v>0</v>
      </c>
      <c r="D261" s="690">
        <f t="shared" si="51"/>
        <v>0</v>
      </c>
      <c r="E261" s="690">
        <f t="shared" si="51"/>
        <v>0</v>
      </c>
      <c r="F261" s="690">
        <f t="shared" si="51"/>
        <v>0</v>
      </c>
      <c r="G261" s="690">
        <f t="shared" si="51"/>
        <v>0</v>
      </c>
      <c r="H261" s="690">
        <f t="shared" si="51"/>
        <v>0</v>
      </c>
      <c r="I261" s="690">
        <f t="shared" si="51"/>
        <v>0</v>
      </c>
      <c r="J261" s="690">
        <f t="shared" si="51"/>
        <v>0</v>
      </c>
      <c r="K261" s="690">
        <f t="shared" si="51"/>
        <v>0</v>
      </c>
      <c r="L261" s="690">
        <f t="shared" si="51"/>
        <v>0</v>
      </c>
      <c r="M261" s="690">
        <f t="shared" si="51"/>
        <v>1770</v>
      </c>
      <c r="N261" s="690">
        <f t="shared" si="51"/>
        <v>0</v>
      </c>
      <c r="O261" s="995">
        <f t="shared" si="51"/>
        <v>1770</v>
      </c>
      <c r="P261" s="691"/>
    </row>
    <row r="262" spans="1:16">
      <c r="A262" s="715"/>
      <c r="B262" s="692" t="s">
        <v>791</v>
      </c>
      <c r="C262" s="693" t="e">
        <f t="shared" ref="C262:O262" si="52">""-C261</f>
        <v>#VALUE!</v>
      </c>
      <c r="D262" s="693" t="e">
        <f t="shared" si="52"/>
        <v>#VALUE!</v>
      </c>
      <c r="E262" s="693" t="e">
        <f t="shared" si="52"/>
        <v>#VALUE!</v>
      </c>
      <c r="F262" s="693" t="e">
        <f t="shared" si="52"/>
        <v>#VALUE!</v>
      </c>
      <c r="G262" s="693" t="e">
        <f t="shared" si="52"/>
        <v>#VALUE!</v>
      </c>
      <c r="H262" s="693" t="e">
        <f t="shared" si="52"/>
        <v>#VALUE!</v>
      </c>
      <c r="I262" s="693" t="e">
        <f t="shared" si="52"/>
        <v>#VALUE!</v>
      </c>
      <c r="J262" s="693" t="e">
        <f t="shared" si="52"/>
        <v>#VALUE!</v>
      </c>
      <c r="K262" s="693" t="e">
        <f t="shared" si="52"/>
        <v>#VALUE!</v>
      </c>
      <c r="L262" s="693" t="e">
        <f t="shared" si="52"/>
        <v>#VALUE!</v>
      </c>
      <c r="M262" s="693" t="e">
        <f t="shared" si="52"/>
        <v>#VALUE!</v>
      </c>
      <c r="N262" s="693" t="e">
        <f t="shared" si="52"/>
        <v>#VALUE!</v>
      </c>
      <c r="O262" s="693" t="e">
        <f t="shared" si="52"/>
        <v>#VALUE!</v>
      </c>
      <c r="P262" s="694"/>
    </row>
    <row r="263" spans="1:16">
      <c r="B263" s="2130" t="s">
        <v>5766</v>
      </c>
      <c r="C263" s="2087"/>
      <c r="D263" s="2087"/>
      <c r="E263" s="2087"/>
      <c r="F263" s="2087"/>
      <c r="G263" s="2087"/>
      <c r="H263" s="2087"/>
      <c r="I263" s="2087"/>
      <c r="J263" s="2087"/>
      <c r="K263" s="2087"/>
      <c r="L263" s="2087"/>
      <c r="M263" s="2087"/>
      <c r="N263" s="2087"/>
      <c r="P263" s="712"/>
    </row>
    <row r="264" spans="1:16">
      <c r="B264" s="2088" t="s">
        <v>6868</v>
      </c>
      <c r="C264" s="2087"/>
      <c r="D264" s="2087"/>
      <c r="E264" s="2087"/>
      <c r="F264" s="2087"/>
    </row>
    <row r="265" spans="1:16">
      <c r="B265" s="938" t="s">
        <v>5755</v>
      </c>
      <c r="C265" s="938" t="s">
        <v>6835</v>
      </c>
      <c r="D265" s="938" t="s">
        <v>6836</v>
      </c>
      <c r="E265" s="938" t="s">
        <v>6837</v>
      </c>
      <c r="F265" s="938" t="s">
        <v>6838</v>
      </c>
      <c r="G265" s="938" t="s">
        <v>6839</v>
      </c>
      <c r="H265" s="938" t="s">
        <v>6840</v>
      </c>
      <c r="I265" s="938" t="s">
        <v>6841</v>
      </c>
      <c r="J265" s="938" t="s">
        <v>6842</v>
      </c>
      <c r="K265" s="938" t="s">
        <v>6843</v>
      </c>
      <c r="L265" s="938" t="s">
        <v>6844</v>
      </c>
      <c r="M265" s="660"/>
      <c r="N265" s="660"/>
      <c r="O265" s="660"/>
      <c r="P265" s="660"/>
    </row>
  </sheetData>
  <mergeCells count="28">
    <mergeCell ref="Q216:R216"/>
    <mergeCell ref="B264:F264"/>
    <mergeCell ref="B156:O156"/>
    <mergeCell ref="B171:O171"/>
    <mergeCell ref="B173:O173"/>
    <mergeCell ref="B188:O188"/>
    <mergeCell ref="B190:O190"/>
    <mergeCell ref="B207:O207"/>
    <mergeCell ref="B226:O226"/>
    <mergeCell ref="B242:N242"/>
    <mergeCell ref="B243:F243"/>
    <mergeCell ref="B247:O247"/>
    <mergeCell ref="B263:N263"/>
    <mergeCell ref="B136:O136"/>
    <mergeCell ref="B137:O137"/>
    <mergeCell ref="B139:O139"/>
    <mergeCell ref="B154:O154"/>
    <mergeCell ref="M224:N224"/>
    <mergeCell ref="B67:O67"/>
    <mergeCell ref="B89:O89"/>
    <mergeCell ref="B95:O95"/>
    <mergeCell ref="B113:O113"/>
    <mergeCell ref="B116:O116"/>
    <mergeCell ref="B2:O2"/>
    <mergeCell ref="C24:F24"/>
    <mergeCell ref="B26:O26"/>
    <mergeCell ref="B47:O47"/>
    <mergeCell ref="B65:O65"/>
  </mergeCells>
  <hyperlinks>
    <hyperlink ref="B1" location="Accounts17!A1:P24" display="Laundry" xr:uid="{00000000-0004-0000-2700-000000000000}"/>
    <hyperlink ref="C1" location="Accounts17!A47:P65" display="344 21st" xr:uid="{00000000-0004-0000-2700-000001000000}"/>
    <hyperlink ref="D1" location="Accounts17!A67:P93" display="357 20th" xr:uid="{00000000-0004-0000-2700-000002000000}"/>
    <hyperlink ref="E1" location="Accounts17!A95:P114" display="243 18th" xr:uid="{00000000-0004-0000-2700-000003000000}"/>
    <hyperlink ref="F1" location="Accounts17!A116:P137" display="224-8 25th" xr:uid="{00000000-0004-0000-2700-000004000000}"/>
    <hyperlink ref="G1" location="Accounts17!A139:P154" display="297 26th" xr:uid="{00000000-0004-0000-2700-000005000000}"/>
    <hyperlink ref="H1" location="Accounts17!A156:P171" display="405 Wash" xr:uid="{00000000-0004-0000-2700-000006000000}"/>
    <hyperlink ref="I1" location="Accounts17!A173:P188" display="282 23rd" xr:uid="{00000000-0004-0000-2700-000007000000}"/>
    <hyperlink ref="J1" location="Accounts17!A190:P205" display="293 28th" xr:uid="{00000000-0004-0000-2700-000008000000}"/>
    <hyperlink ref="K1" location="Accounts17!A207:P224" display="Web" xr:uid="{00000000-0004-0000-2700-000009000000}"/>
    <hyperlink ref="L1" location="Accounts17!A226:P244" display="LaurelWood" xr:uid="{00000000-0004-0000-2700-00000A000000}"/>
    <hyperlink ref="B46" location="Accounts17!A1:P24" display="Laundry" xr:uid="{00000000-0004-0000-2700-00000B000000}"/>
    <hyperlink ref="C46" location="Accounts17!A47:P65" display="344 21st" xr:uid="{00000000-0004-0000-2700-00000C000000}"/>
    <hyperlink ref="D46" location="Accounts17!A67:P93" display="357 20th" xr:uid="{00000000-0004-0000-2700-00000D000000}"/>
    <hyperlink ref="E46" location="Accounts17!A95:P114" display="243 18th" xr:uid="{00000000-0004-0000-2700-00000E000000}"/>
    <hyperlink ref="F46" location="Accounts17!A116:P137" display="224-8 25th" xr:uid="{00000000-0004-0000-2700-00000F000000}"/>
    <hyperlink ref="G46" location="Accounts17!A139:P154" display="297 26th" xr:uid="{00000000-0004-0000-2700-000010000000}"/>
    <hyperlink ref="H46" location="Accounts17!A156:P171" display="405 Wash" xr:uid="{00000000-0004-0000-2700-000011000000}"/>
    <hyperlink ref="I46" location="Accounts17!A173:P188" display="282 23rd" xr:uid="{00000000-0004-0000-2700-000012000000}"/>
    <hyperlink ref="J46" location="Accounts17!A190:P205" display="293 28th" xr:uid="{00000000-0004-0000-2700-000013000000}"/>
    <hyperlink ref="K46" location="Accounts17!A207:P224" display="Web" xr:uid="{00000000-0004-0000-2700-000014000000}"/>
    <hyperlink ref="L46" location="Accounts17!A226:P244" display="LaurelWood" xr:uid="{00000000-0004-0000-2700-000015000000}"/>
    <hyperlink ref="B66" location="Accounts17!A1:P24" display="Laundry" xr:uid="{00000000-0004-0000-2700-000016000000}"/>
    <hyperlink ref="C66" location="Accounts17!A47:P65" display="344 21st" xr:uid="{00000000-0004-0000-2700-000017000000}"/>
    <hyperlink ref="D66" location="Accounts17!A67:P93" display="357 20th" xr:uid="{00000000-0004-0000-2700-000018000000}"/>
    <hyperlink ref="E66" location="Accounts17!A95:P114" display="243 18th" xr:uid="{00000000-0004-0000-2700-000019000000}"/>
    <hyperlink ref="F66" location="Accounts17!A116:P137" display="224-8 25th" xr:uid="{00000000-0004-0000-2700-00001A000000}"/>
    <hyperlink ref="G66" location="Accounts17!A139:P154" display="297 26th" xr:uid="{00000000-0004-0000-2700-00001B000000}"/>
    <hyperlink ref="H66" location="Accounts17!A156:P171" display="405 Wash" xr:uid="{00000000-0004-0000-2700-00001C000000}"/>
    <hyperlink ref="I66" location="Accounts17!A173:P188" display="282 23rd" xr:uid="{00000000-0004-0000-2700-00001D000000}"/>
    <hyperlink ref="J66" location="Accounts17!A190:P205" display="293 28th" xr:uid="{00000000-0004-0000-2700-00001E000000}"/>
    <hyperlink ref="K66" location="Accounts17!A207:P224" display="Web" xr:uid="{00000000-0004-0000-2700-00001F000000}"/>
    <hyperlink ref="L66" location="Accounts17!A226:P244" display="LaurelWood" xr:uid="{00000000-0004-0000-2700-000020000000}"/>
    <hyperlink ref="B94" location="Accounts17!A1:P24" display="Laundry" xr:uid="{00000000-0004-0000-2700-000021000000}"/>
    <hyperlink ref="C94" location="Accounts17!A47:P65" display="344 21st" xr:uid="{00000000-0004-0000-2700-000022000000}"/>
    <hyperlink ref="D94" location="Accounts17!A67:P93" display="357 20th" xr:uid="{00000000-0004-0000-2700-000023000000}"/>
    <hyperlink ref="E94" location="Accounts17!A95:P114" display="243 18th" xr:uid="{00000000-0004-0000-2700-000024000000}"/>
    <hyperlink ref="F94" location="Accounts17!A116:P137" display="224-8 25th" xr:uid="{00000000-0004-0000-2700-000025000000}"/>
    <hyperlink ref="G94" location="Accounts17!A139:P154" display="297 26th" xr:uid="{00000000-0004-0000-2700-000026000000}"/>
    <hyperlink ref="H94" location="Accounts17!A156:P171" display="405 Wash" xr:uid="{00000000-0004-0000-2700-000027000000}"/>
    <hyperlink ref="I94" location="Accounts17!A173:P188" display="282 23rd" xr:uid="{00000000-0004-0000-2700-000028000000}"/>
    <hyperlink ref="J94" location="Accounts17!A190:P205" display="293 28th" xr:uid="{00000000-0004-0000-2700-000029000000}"/>
    <hyperlink ref="K94" location="Accounts17!A207:P224" display="Web" xr:uid="{00000000-0004-0000-2700-00002A000000}"/>
    <hyperlink ref="L94" location="Accounts17!A226:P244" display="LaurelWood" xr:uid="{00000000-0004-0000-2700-00002B000000}"/>
    <hyperlink ref="B115" location="Accounts17!A1:P24" display="Laundry" xr:uid="{00000000-0004-0000-2700-00002C000000}"/>
    <hyperlink ref="C115" location="Accounts17!A47:P65" display="344 21st" xr:uid="{00000000-0004-0000-2700-00002D000000}"/>
    <hyperlink ref="D115" location="Accounts17!A67:P93" display="357 20th" xr:uid="{00000000-0004-0000-2700-00002E000000}"/>
    <hyperlink ref="E115" location="Accounts17!A95:P114" display="243 18th" xr:uid="{00000000-0004-0000-2700-00002F000000}"/>
    <hyperlink ref="F115" location="Accounts17!A116:P137" display="224-8 25th" xr:uid="{00000000-0004-0000-2700-000030000000}"/>
    <hyperlink ref="G115" location="Accounts17!A139:P154" display="297 26th" xr:uid="{00000000-0004-0000-2700-000031000000}"/>
    <hyperlink ref="H115" location="Accounts17!A156:P171" display="405 Wash" xr:uid="{00000000-0004-0000-2700-000032000000}"/>
    <hyperlink ref="I115" location="Accounts17!A173:P188" display="282 23rd" xr:uid="{00000000-0004-0000-2700-000033000000}"/>
    <hyperlink ref="J115" location="Accounts17!A190:P205" display="293 28th" xr:uid="{00000000-0004-0000-2700-000034000000}"/>
    <hyperlink ref="K115" location="Accounts17!A207:P224" display="Web" xr:uid="{00000000-0004-0000-2700-000035000000}"/>
    <hyperlink ref="L115" location="Accounts17!A226:P244" display="LaurelWood" xr:uid="{00000000-0004-0000-2700-000036000000}"/>
    <hyperlink ref="B138" location="Accounts17!A1:P24" display="Laundry" xr:uid="{00000000-0004-0000-2700-000037000000}"/>
    <hyperlink ref="C138" location="Accounts17!A47:P65" display="344 21st" xr:uid="{00000000-0004-0000-2700-000038000000}"/>
    <hyperlink ref="D138" location="Accounts17!A67:P93" display="357 20th" xr:uid="{00000000-0004-0000-2700-000039000000}"/>
    <hyperlink ref="E138" location="Accounts17!A95:P114" display="243 18th" xr:uid="{00000000-0004-0000-2700-00003A000000}"/>
    <hyperlink ref="F138" location="Accounts17!A116:P137" display="224-8 25th" xr:uid="{00000000-0004-0000-2700-00003B000000}"/>
    <hyperlink ref="G138" location="Accounts17!A139:P154" display="297 26th" xr:uid="{00000000-0004-0000-2700-00003C000000}"/>
    <hyperlink ref="H138" location="Accounts17!A156:P171" display="405 Wash" xr:uid="{00000000-0004-0000-2700-00003D000000}"/>
    <hyperlink ref="I138" location="Accounts17!A173:P188" display="282 23rd" xr:uid="{00000000-0004-0000-2700-00003E000000}"/>
    <hyperlink ref="J138" location="Accounts17!A190:P205" display="293 28th" xr:uid="{00000000-0004-0000-2700-00003F000000}"/>
    <hyperlink ref="K138" location="Accounts17!A207:P224" display="Web" xr:uid="{00000000-0004-0000-2700-000040000000}"/>
    <hyperlink ref="L138" location="Accounts17!A226:P244" display="LaurelWood" xr:uid="{00000000-0004-0000-2700-000041000000}"/>
    <hyperlink ref="B155" location="Accounts17!A1:P24" display="Laundry" xr:uid="{00000000-0004-0000-2700-000042000000}"/>
    <hyperlink ref="C155" location="Accounts17!A47:P65" display="344 21st" xr:uid="{00000000-0004-0000-2700-000043000000}"/>
    <hyperlink ref="D155" location="Accounts17!A67:P93" display="357 20th" xr:uid="{00000000-0004-0000-2700-000044000000}"/>
    <hyperlink ref="E155" location="Accounts17!A95:P114" display="243 18th" xr:uid="{00000000-0004-0000-2700-000045000000}"/>
    <hyperlink ref="F155" location="Accounts17!A116:P137" display="224-8 25th" xr:uid="{00000000-0004-0000-2700-000046000000}"/>
    <hyperlink ref="G155" location="Accounts17!A139:P154" display="297 26th" xr:uid="{00000000-0004-0000-2700-000047000000}"/>
    <hyperlink ref="H155" location="Accounts17!A156:P171" display="405 Wash" xr:uid="{00000000-0004-0000-2700-000048000000}"/>
    <hyperlink ref="I155" location="Accounts17!A173:P188" display="282 23rd" xr:uid="{00000000-0004-0000-2700-000049000000}"/>
    <hyperlink ref="J155" location="Accounts17!A190:P205" display="293 28th" xr:uid="{00000000-0004-0000-2700-00004A000000}"/>
    <hyperlink ref="K155" location="Accounts17!A207:P224" display="Web" xr:uid="{00000000-0004-0000-2700-00004B000000}"/>
    <hyperlink ref="L155" location="Accounts17!A226:P244" display="LaurelWood" xr:uid="{00000000-0004-0000-2700-00004C000000}"/>
    <hyperlink ref="B172" location="Accounts17!A1:P24" display="Laundry" xr:uid="{00000000-0004-0000-2700-00004D000000}"/>
    <hyperlink ref="C172" location="Accounts17!A47:P65" display="344 21st" xr:uid="{00000000-0004-0000-2700-00004E000000}"/>
    <hyperlink ref="D172" location="Accounts17!A67:P93" display="357 20th" xr:uid="{00000000-0004-0000-2700-00004F000000}"/>
    <hyperlink ref="E172" location="Accounts17!A95:P114" display="243 18th" xr:uid="{00000000-0004-0000-2700-000050000000}"/>
    <hyperlink ref="F172" location="Accounts17!A116:P137" display="224-8 25th" xr:uid="{00000000-0004-0000-2700-000051000000}"/>
    <hyperlink ref="G172" location="Accounts17!A139:P154" display="297 26th" xr:uid="{00000000-0004-0000-2700-000052000000}"/>
    <hyperlink ref="H172" location="Accounts17!A156:P171" display="405 Wash" xr:uid="{00000000-0004-0000-2700-000053000000}"/>
    <hyperlink ref="I172" location="Accounts17!A173:P188" display="282 23rd" xr:uid="{00000000-0004-0000-2700-000054000000}"/>
    <hyperlink ref="J172" location="Accounts17!A190:P205" display="293 28th" xr:uid="{00000000-0004-0000-2700-000055000000}"/>
    <hyperlink ref="K172" location="Accounts17!A207:P224" display="Web" xr:uid="{00000000-0004-0000-2700-000056000000}"/>
    <hyperlink ref="L172" location="Accounts17!A226:P244" display="LaurelWood" xr:uid="{00000000-0004-0000-2700-000057000000}"/>
    <hyperlink ref="B189" location="Accounts17!A1:P24" display="Laundry" xr:uid="{00000000-0004-0000-2700-000058000000}"/>
    <hyperlink ref="C189" location="Accounts17!A47:P65" display="344 21st" xr:uid="{00000000-0004-0000-2700-000059000000}"/>
    <hyperlink ref="D189" location="Accounts17!A67:P93" display="357 20th" xr:uid="{00000000-0004-0000-2700-00005A000000}"/>
    <hyperlink ref="E189" location="Accounts17!A95:P114" display="243 18th" xr:uid="{00000000-0004-0000-2700-00005B000000}"/>
    <hyperlink ref="F189" location="Accounts17!A116:P137" display="224-8 25th" xr:uid="{00000000-0004-0000-2700-00005C000000}"/>
    <hyperlink ref="G189" location="Accounts17!A139:P154" display="297 26th" xr:uid="{00000000-0004-0000-2700-00005D000000}"/>
    <hyperlink ref="H189" location="Accounts17!A156:P171" display="405 Wash" xr:uid="{00000000-0004-0000-2700-00005E000000}"/>
    <hyperlink ref="I189" location="Accounts17!A173:P188" display="282 23rd" xr:uid="{00000000-0004-0000-2700-00005F000000}"/>
    <hyperlink ref="J189" location="Accounts17!A190:P205" display="293 28th" xr:uid="{00000000-0004-0000-2700-000060000000}"/>
    <hyperlink ref="K189" location="Accounts17!A207:P224" display="Web" xr:uid="{00000000-0004-0000-2700-000061000000}"/>
    <hyperlink ref="L189" location="Accounts17!A226:P244" display="LaurelWood" xr:uid="{00000000-0004-0000-2700-000062000000}"/>
    <hyperlink ref="B206" location="Accounts17!A1:P24" display="Laundry" xr:uid="{00000000-0004-0000-2700-000063000000}"/>
    <hyperlink ref="C206" location="Accounts17!A47:P65" display="344 21st" xr:uid="{00000000-0004-0000-2700-000064000000}"/>
    <hyperlink ref="D206" location="Accounts17!A67:P93" display="357 20th" xr:uid="{00000000-0004-0000-2700-000065000000}"/>
    <hyperlink ref="E206" location="Accounts17!A95:P114" display="243 18th" xr:uid="{00000000-0004-0000-2700-000066000000}"/>
    <hyperlink ref="F206" location="Accounts17!A116:P137" display="224-8 25th" xr:uid="{00000000-0004-0000-2700-000067000000}"/>
    <hyperlink ref="G206" location="Accounts17!A139:P154" display="297 26th" xr:uid="{00000000-0004-0000-2700-000068000000}"/>
    <hyperlink ref="H206" location="Accounts17!A156:P171" display="405 Wash" xr:uid="{00000000-0004-0000-2700-000069000000}"/>
    <hyperlink ref="I206" location="Accounts17!A173:P188" display="282 23rd" xr:uid="{00000000-0004-0000-2700-00006A000000}"/>
    <hyperlink ref="J206" location="Accounts17!A190:P205" display="293 28th" xr:uid="{00000000-0004-0000-2700-00006B000000}"/>
    <hyperlink ref="K206" location="Accounts17!A207:P224" display="Web" xr:uid="{00000000-0004-0000-2700-00006C000000}"/>
    <hyperlink ref="L206" location="Accounts17!A226:P244" display="LaurelWood" xr:uid="{00000000-0004-0000-2700-00006D000000}"/>
    <hyperlink ref="B225" location="Accounts17!A1:P24" display="Laundry" xr:uid="{00000000-0004-0000-2700-00006E000000}"/>
    <hyperlink ref="C225" location="Accounts17!A47:P65" display="344 21st" xr:uid="{00000000-0004-0000-2700-00006F000000}"/>
    <hyperlink ref="D225" location="Accounts17!A67:P93" display="357 20th" xr:uid="{00000000-0004-0000-2700-000070000000}"/>
    <hyperlink ref="E225" location="Accounts17!A95:P114" display="243 18th" xr:uid="{00000000-0004-0000-2700-000071000000}"/>
    <hyperlink ref="F225" location="Accounts17!A116:P137" display="224-8 25th" xr:uid="{00000000-0004-0000-2700-000072000000}"/>
    <hyperlink ref="G225" location="Accounts17!A139:P154" display="297 26th" xr:uid="{00000000-0004-0000-2700-000073000000}"/>
    <hyperlink ref="H225" location="Accounts17!A156:P171" display="405 Wash" xr:uid="{00000000-0004-0000-2700-000074000000}"/>
    <hyperlink ref="I225" location="Accounts17!A173:P188" display="282 23rd" xr:uid="{00000000-0004-0000-2700-000075000000}"/>
    <hyperlink ref="J225" location="Accounts17!A190:P205" display="293 28th" xr:uid="{00000000-0004-0000-2700-000076000000}"/>
    <hyperlink ref="K225" location="Accounts17!A207:P224" display="Web" xr:uid="{00000000-0004-0000-2700-000077000000}"/>
    <hyperlink ref="L225" location="Accounts17!A226:P244" display="LaurelWood" xr:uid="{00000000-0004-0000-2700-000078000000}"/>
    <hyperlink ref="B244" location="Accounts17!A1:P24" display="Laundry" xr:uid="{00000000-0004-0000-2700-000079000000}"/>
    <hyperlink ref="C244" location="Accounts17!A47:P65" display="344 21st" xr:uid="{00000000-0004-0000-2700-00007A000000}"/>
    <hyperlink ref="D244" location="Accounts17!A67:P93" display="357 20th" xr:uid="{00000000-0004-0000-2700-00007B000000}"/>
    <hyperlink ref="E244" location="Accounts17!A95:P114" display="243 18th" xr:uid="{00000000-0004-0000-2700-00007C000000}"/>
    <hyperlink ref="F244" location="Accounts17!A116:P137" display="224-8 25th" xr:uid="{00000000-0004-0000-2700-00007D000000}"/>
    <hyperlink ref="G244" location="Accounts17!A139:P154" display="297 26th" xr:uid="{00000000-0004-0000-2700-00007E000000}"/>
    <hyperlink ref="H244" location="Accounts17!A156:P171" display="405 Wash" xr:uid="{00000000-0004-0000-2700-00007F000000}"/>
    <hyperlink ref="I244" location="Accounts17!A173:P188" display="282 23rd" xr:uid="{00000000-0004-0000-2700-000080000000}"/>
    <hyperlink ref="J244" location="Accounts17!A190:P205" display="293 28th" xr:uid="{00000000-0004-0000-2700-000081000000}"/>
    <hyperlink ref="K244" location="Accounts17!A207:P224" display="Web" xr:uid="{00000000-0004-0000-2700-000082000000}"/>
    <hyperlink ref="L244" location="Accounts17!A226:P244" display="LaurelWood" xr:uid="{00000000-0004-0000-2700-000083000000}"/>
    <hyperlink ref="B265" location="Accounts17!A1:P24" display="Laundry" xr:uid="{00000000-0004-0000-2700-000084000000}"/>
    <hyperlink ref="C265" location="Accounts17!A47:P65" display="344 21st" xr:uid="{00000000-0004-0000-2700-000085000000}"/>
    <hyperlink ref="D265" location="Accounts17!A67:P93" display="357 20th" xr:uid="{00000000-0004-0000-2700-000086000000}"/>
    <hyperlink ref="E265" location="Accounts17!A95:P114" display="243 18th" xr:uid="{00000000-0004-0000-2700-000087000000}"/>
    <hyperlink ref="F265" location="Accounts17!A116:P137" display="224-8 25th" xr:uid="{00000000-0004-0000-2700-000088000000}"/>
    <hyperlink ref="G265" location="Accounts17!A139:P154" display="297 26th" xr:uid="{00000000-0004-0000-2700-000089000000}"/>
    <hyperlink ref="H265" location="Accounts17!A156:P171" display="405 Wash" xr:uid="{00000000-0004-0000-2700-00008A000000}"/>
    <hyperlink ref="I265" location="Accounts17!A173:P188" display="282 23rd" xr:uid="{00000000-0004-0000-2700-00008B000000}"/>
    <hyperlink ref="J265" location="Accounts17!A190:P205" display="293 28th" xr:uid="{00000000-0004-0000-2700-00008C000000}"/>
    <hyperlink ref="K265" location="Accounts17!A207:P224" display="Web" xr:uid="{00000000-0004-0000-2700-00008D000000}"/>
    <hyperlink ref="L265" location="Accounts17!A226:P244" display="LaurelWood" xr:uid="{00000000-0004-0000-2700-00008E000000}"/>
  </hyperlink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U95"/>
  <sheetViews>
    <sheetView topLeftCell="A68" workbookViewId="0">
      <selection activeCell="I88" sqref="I88"/>
    </sheetView>
  </sheetViews>
  <sheetFormatPr defaultColWidth="12.7109375" defaultRowHeight="12.75" customHeight="1"/>
  <cols>
    <col min="3" max="3" width="5.85546875" customWidth="1"/>
    <col min="4" max="4" width="10.42578125" customWidth="1"/>
    <col min="5" max="5" width="9.140625" customWidth="1"/>
    <col min="6" max="6" width="10.28515625" customWidth="1"/>
    <col min="7" max="7" width="9.85546875" customWidth="1"/>
    <col min="16" max="16" width="13.42578125" customWidth="1"/>
    <col min="17" max="17" width="14" customWidth="1"/>
  </cols>
  <sheetData>
    <row r="1" spans="1:17" ht="12.75" customHeight="1">
      <c r="D1" s="760" t="s">
        <v>8970</v>
      </c>
      <c r="K1" s="760" t="s">
        <v>8971</v>
      </c>
      <c r="N1" s="2294">
        <v>0.1</v>
      </c>
    </row>
    <row r="2" spans="1:17">
      <c r="B2" s="43" t="s">
        <v>872</v>
      </c>
      <c r="C2" s="43" t="s">
        <v>3282</v>
      </c>
      <c r="D2" s="43" t="s">
        <v>3283</v>
      </c>
      <c r="E2" s="6" t="s">
        <v>85</v>
      </c>
      <c r="G2" s="9" t="s">
        <v>3316</v>
      </c>
      <c r="I2" s="43" t="s">
        <v>872</v>
      </c>
      <c r="J2" s="43" t="s">
        <v>3282</v>
      </c>
      <c r="K2" s="43" t="s">
        <v>3283</v>
      </c>
      <c r="L2" s="6" t="s">
        <v>85</v>
      </c>
      <c r="M2" s="760" t="s">
        <v>8972</v>
      </c>
      <c r="N2" s="9" t="s">
        <v>8974</v>
      </c>
      <c r="P2" s="2295" t="s">
        <v>8978</v>
      </c>
      <c r="Q2" s="2299" t="s">
        <v>8980</v>
      </c>
    </row>
    <row r="3" spans="1:17">
      <c r="A3" s="2">
        <v>44927</v>
      </c>
      <c r="B3" s="18">
        <v>2023</v>
      </c>
      <c r="C3" s="18">
        <v>69</v>
      </c>
      <c r="D3" s="318">
        <v>2200000</v>
      </c>
      <c r="E3" s="6" t="s">
        <v>3289</v>
      </c>
      <c r="G3" s="16">
        <f t="shared" ref="G3:G33" si="0">D3*10/100/12</f>
        <v>18333.333333333332</v>
      </c>
      <c r="I3" s="18">
        <v>2023</v>
      </c>
      <c r="J3" s="18">
        <v>69</v>
      </c>
      <c r="K3" s="318">
        <v>2200000</v>
      </c>
      <c r="L3" s="6" t="s">
        <v>3289</v>
      </c>
      <c r="M3" s="760" t="s">
        <v>8973</v>
      </c>
      <c r="N3" s="16">
        <f t="shared" ref="N3:N33" si="1">K3*10/100/12</f>
        <v>18333.333333333332</v>
      </c>
      <c r="P3">
        <v>70</v>
      </c>
      <c r="Q3" s="2296">
        <v>1</v>
      </c>
    </row>
    <row r="4" spans="1:17">
      <c r="B4" s="18">
        <v>2024</v>
      </c>
      <c r="C4" s="18">
        <v>70</v>
      </c>
      <c r="D4" s="318">
        <f t="shared" ref="D4:D33" si="2">D3-E4</f>
        <v>2120000</v>
      </c>
      <c r="E4" s="318">
        <v>80000</v>
      </c>
      <c r="F4" s="318">
        <v>2000</v>
      </c>
      <c r="G4" s="16">
        <f t="shared" si="0"/>
        <v>17666.666666666668</v>
      </c>
      <c r="I4" s="18">
        <v>2024</v>
      </c>
      <c r="J4" s="18">
        <v>70</v>
      </c>
      <c r="K4" s="318">
        <f t="shared" ref="K4:K33" si="3">K3-L4</f>
        <v>2100000</v>
      </c>
      <c r="L4" s="318">
        <v>100000</v>
      </c>
      <c r="M4" s="318">
        <v>0</v>
      </c>
      <c r="N4" s="16">
        <f t="shared" si="1"/>
        <v>17500</v>
      </c>
      <c r="P4">
        <v>75</v>
      </c>
      <c r="Q4" s="2296">
        <v>0.9</v>
      </c>
    </row>
    <row r="5" spans="1:17">
      <c r="B5" s="9">
        <v>2025</v>
      </c>
      <c r="C5" s="9">
        <v>71</v>
      </c>
      <c r="D5" s="16">
        <f t="shared" si="2"/>
        <v>2042000</v>
      </c>
      <c r="E5" s="16">
        <f t="shared" ref="E5:E33" si="4">E4-F4</f>
        <v>78000</v>
      </c>
      <c r="F5" s="16">
        <v>2000</v>
      </c>
      <c r="G5" s="16">
        <f t="shared" si="0"/>
        <v>17016.666666666668</v>
      </c>
      <c r="I5" s="9">
        <v>2025</v>
      </c>
      <c r="J5" s="9">
        <v>71</v>
      </c>
      <c r="K5" s="16">
        <v>2400000</v>
      </c>
      <c r="L5" s="16">
        <f t="shared" ref="L5:L33" si="5">L4-M4</f>
        <v>100000</v>
      </c>
      <c r="M5" s="16">
        <f>M4</f>
        <v>0</v>
      </c>
      <c r="N5" s="16">
        <f t="shared" si="1"/>
        <v>20000</v>
      </c>
      <c r="P5">
        <v>80</v>
      </c>
      <c r="Q5" s="2296">
        <v>0.75</v>
      </c>
    </row>
    <row r="6" spans="1:17">
      <c r="B6" s="9">
        <v>2026</v>
      </c>
      <c r="C6" s="9">
        <v>72</v>
      </c>
      <c r="D6" s="16">
        <f t="shared" si="2"/>
        <v>1966000</v>
      </c>
      <c r="E6" s="16">
        <f t="shared" si="4"/>
        <v>76000</v>
      </c>
      <c r="F6" s="16">
        <v>2000</v>
      </c>
      <c r="G6" s="16">
        <f t="shared" si="0"/>
        <v>16383.333333333334</v>
      </c>
      <c r="I6" s="9">
        <v>2026</v>
      </c>
      <c r="J6" s="9">
        <v>72</v>
      </c>
      <c r="K6" s="16">
        <f t="shared" si="3"/>
        <v>2300000</v>
      </c>
      <c r="L6" s="16">
        <f t="shared" si="5"/>
        <v>100000</v>
      </c>
      <c r="M6" s="16">
        <f t="shared" ref="M6:M33" si="6">M5</f>
        <v>0</v>
      </c>
      <c r="N6" s="16">
        <f t="shared" si="1"/>
        <v>19166.666666666668</v>
      </c>
      <c r="P6">
        <v>86</v>
      </c>
      <c r="Q6" s="2296">
        <v>0.5</v>
      </c>
    </row>
    <row r="7" spans="1:17">
      <c r="B7" s="9">
        <v>2027</v>
      </c>
      <c r="C7" s="9">
        <v>73</v>
      </c>
      <c r="D7" s="16">
        <f t="shared" si="2"/>
        <v>1892000</v>
      </c>
      <c r="E7" s="16">
        <f t="shared" si="4"/>
        <v>74000</v>
      </c>
      <c r="F7" s="16">
        <v>2000</v>
      </c>
      <c r="G7" s="16">
        <f t="shared" si="0"/>
        <v>15766.666666666666</v>
      </c>
      <c r="I7" s="9">
        <v>2027</v>
      </c>
      <c r="J7" s="9">
        <v>73</v>
      </c>
      <c r="K7" s="16">
        <f t="shared" si="3"/>
        <v>2200000</v>
      </c>
      <c r="L7" s="16">
        <f t="shared" si="5"/>
        <v>100000</v>
      </c>
      <c r="M7" s="16">
        <f t="shared" si="6"/>
        <v>0</v>
      </c>
      <c r="N7" s="16">
        <f t="shared" si="1"/>
        <v>18333.333333333332</v>
      </c>
      <c r="P7">
        <v>91</v>
      </c>
      <c r="Q7" s="2296">
        <v>0.25</v>
      </c>
    </row>
    <row r="8" spans="1:17">
      <c r="B8" s="9">
        <v>2028</v>
      </c>
      <c r="C8" s="9">
        <v>74</v>
      </c>
      <c r="D8" s="16">
        <f t="shared" si="2"/>
        <v>1820000</v>
      </c>
      <c r="E8" s="16">
        <f t="shared" si="4"/>
        <v>72000</v>
      </c>
      <c r="F8" s="16">
        <v>2000</v>
      </c>
      <c r="G8" s="16">
        <f t="shared" si="0"/>
        <v>15166.666666666666</v>
      </c>
      <c r="I8" s="9">
        <v>2028</v>
      </c>
      <c r="J8" s="9">
        <v>74</v>
      </c>
      <c r="K8" s="16">
        <f t="shared" si="3"/>
        <v>2100000</v>
      </c>
      <c r="L8" s="16">
        <f t="shared" si="5"/>
        <v>100000</v>
      </c>
      <c r="M8" s="16">
        <f t="shared" si="6"/>
        <v>0</v>
      </c>
      <c r="N8" s="16">
        <f t="shared" si="1"/>
        <v>17500</v>
      </c>
      <c r="P8">
        <v>96</v>
      </c>
      <c r="Q8" s="2296">
        <v>0.1</v>
      </c>
    </row>
    <row r="9" spans="1:17">
      <c r="B9" s="9">
        <v>2029</v>
      </c>
      <c r="C9" s="9">
        <v>75</v>
      </c>
      <c r="D9" s="16">
        <f t="shared" si="2"/>
        <v>1750000</v>
      </c>
      <c r="E9" s="16">
        <f t="shared" si="4"/>
        <v>70000</v>
      </c>
      <c r="F9" s="16">
        <v>2000</v>
      </c>
      <c r="G9" s="16">
        <f t="shared" si="0"/>
        <v>14583.333333333334</v>
      </c>
      <c r="I9" s="9">
        <v>2029</v>
      </c>
      <c r="J9" s="9">
        <v>75</v>
      </c>
      <c r="K9" s="16">
        <f t="shared" si="3"/>
        <v>2000000</v>
      </c>
      <c r="L9" s="16">
        <f t="shared" si="5"/>
        <v>100000</v>
      </c>
      <c r="M9" s="16">
        <f t="shared" si="6"/>
        <v>0</v>
      </c>
      <c r="N9" s="16">
        <f t="shared" si="1"/>
        <v>16666.666666666668</v>
      </c>
    </row>
    <row r="10" spans="1:17">
      <c r="B10" s="9">
        <v>2030</v>
      </c>
      <c r="C10" s="9">
        <v>76</v>
      </c>
      <c r="D10" s="16">
        <f t="shared" si="2"/>
        <v>1682000</v>
      </c>
      <c r="E10" s="16">
        <f t="shared" si="4"/>
        <v>68000</v>
      </c>
      <c r="F10" s="16">
        <v>2000</v>
      </c>
      <c r="G10" s="16">
        <f t="shared" si="0"/>
        <v>14016.666666666666</v>
      </c>
      <c r="I10" s="9">
        <v>2030</v>
      </c>
      <c r="J10" s="9">
        <v>76</v>
      </c>
      <c r="K10" s="16">
        <f t="shared" si="3"/>
        <v>1900000</v>
      </c>
      <c r="L10" s="16">
        <f t="shared" si="5"/>
        <v>100000</v>
      </c>
      <c r="M10" s="16">
        <f t="shared" si="6"/>
        <v>0</v>
      </c>
      <c r="N10" s="16">
        <f t="shared" si="1"/>
        <v>15833.333333333334</v>
      </c>
      <c r="P10" s="760" t="s">
        <v>8979</v>
      </c>
      <c r="Q10">
        <v>90</v>
      </c>
    </row>
    <row r="11" spans="1:17">
      <c r="B11" s="9">
        <v>2031</v>
      </c>
      <c r="C11" s="9">
        <v>77</v>
      </c>
      <c r="D11" s="16">
        <f t="shared" si="2"/>
        <v>1616000</v>
      </c>
      <c r="E11" s="16">
        <f t="shared" si="4"/>
        <v>66000</v>
      </c>
      <c r="F11" s="16">
        <v>2000</v>
      </c>
      <c r="G11" s="16">
        <f t="shared" si="0"/>
        <v>13466.666666666666</v>
      </c>
      <c r="I11" s="9">
        <v>2031</v>
      </c>
      <c r="J11" s="9">
        <v>77</v>
      </c>
      <c r="K11" s="16">
        <f t="shared" si="3"/>
        <v>1800000</v>
      </c>
      <c r="L11" s="16">
        <f t="shared" si="5"/>
        <v>100000</v>
      </c>
      <c r="M11" s="16">
        <f t="shared" si="6"/>
        <v>0</v>
      </c>
      <c r="N11" s="16">
        <f t="shared" si="1"/>
        <v>15000</v>
      </c>
    </row>
    <row r="12" spans="1:17">
      <c r="B12" s="9">
        <v>2032</v>
      </c>
      <c r="C12" s="9">
        <v>78</v>
      </c>
      <c r="D12" s="16">
        <f t="shared" si="2"/>
        <v>1552000</v>
      </c>
      <c r="E12" s="16">
        <f t="shared" si="4"/>
        <v>64000</v>
      </c>
      <c r="F12" s="16">
        <v>2000</v>
      </c>
      <c r="G12" s="16">
        <f t="shared" si="0"/>
        <v>12933.333333333334</v>
      </c>
      <c r="I12" s="9">
        <v>2032</v>
      </c>
      <c r="J12" s="9">
        <v>78</v>
      </c>
      <c r="K12" s="16">
        <f t="shared" si="3"/>
        <v>1700000</v>
      </c>
      <c r="L12" s="16">
        <f t="shared" si="5"/>
        <v>100000</v>
      </c>
      <c r="M12" s="16">
        <f t="shared" si="6"/>
        <v>0</v>
      </c>
      <c r="N12" s="16">
        <f t="shared" si="1"/>
        <v>14166.666666666666</v>
      </c>
      <c r="P12" s="760" t="s">
        <v>8981</v>
      </c>
      <c r="Q12" s="760" t="s">
        <v>8982</v>
      </c>
    </row>
    <row r="13" spans="1:17">
      <c r="B13" s="9">
        <v>2033</v>
      </c>
      <c r="C13" s="9">
        <v>79</v>
      </c>
      <c r="D13" s="16">
        <f t="shared" si="2"/>
        <v>1490000</v>
      </c>
      <c r="E13" s="16">
        <f t="shared" si="4"/>
        <v>62000</v>
      </c>
      <c r="F13" s="16">
        <v>2000</v>
      </c>
      <c r="G13" s="16">
        <f t="shared" si="0"/>
        <v>12416.666666666666</v>
      </c>
      <c r="I13" s="9">
        <v>2033</v>
      </c>
      <c r="J13" s="9">
        <v>79</v>
      </c>
      <c r="K13" s="16">
        <f t="shared" si="3"/>
        <v>1600000</v>
      </c>
      <c r="L13" s="16">
        <f t="shared" si="5"/>
        <v>100000</v>
      </c>
      <c r="M13" s="16">
        <f t="shared" si="6"/>
        <v>0</v>
      </c>
      <c r="N13" s="16">
        <f t="shared" si="1"/>
        <v>13333.333333333334</v>
      </c>
      <c r="P13" s="760" t="s">
        <v>8983</v>
      </c>
    </row>
    <row r="14" spans="1:17">
      <c r="B14" s="9">
        <v>2034</v>
      </c>
      <c r="C14" s="9">
        <v>80</v>
      </c>
      <c r="D14" s="16">
        <f t="shared" si="2"/>
        <v>1430000</v>
      </c>
      <c r="E14" s="16">
        <f t="shared" si="4"/>
        <v>60000</v>
      </c>
      <c r="F14" s="16">
        <v>2000</v>
      </c>
      <c r="G14" s="16">
        <f t="shared" si="0"/>
        <v>11916.666666666666</v>
      </c>
      <c r="I14" s="9">
        <v>2034</v>
      </c>
      <c r="J14" s="9">
        <v>80</v>
      </c>
      <c r="K14" s="16">
        <f t="shared" si="3"/>
        <v>1500000</v>
      </c>
      <c r="L14" s="16">
        <f t="shared" si="5"/>
        <v>100000</v>
      </c>
      <c r="M14" s="16">
        <f t="shared" si="6"/>
        <v>0</v>
      </c>
      <c r="N14" s="16">
        <f t="shared" si="1"/>
        <v>12500</v>
      </c>
      <c r="P14" s="760" t="s">
        <v>8984</v>
      </c>
    </row>
    <row r="15" spans="1:17">
      <c r="B15" s="9">
        <v>2035</v>
      </c>
      <c r="C15" s="9">
        <v>81</v>
      </c>
      <c r="D15" s="16">
        <f t="shared" si="2"/>
        <v>1372000</v>
      </c>
      <c r="E15" s="16">
        <f t="shared" si="4"/>
        <v>58000</v>
      </c>
      <c r="F15" s="16">
        <v>2000</v>
      </c>
      <c r="G15" s="16">
        <f t="shared" si="0"/>
        <v>11433.333333333334</v>
      </c>
      <c r="I15" s="9">
        <v>2035</v>
      </c>
      <c r="J15" s="9">
        <v>81</v>
      </c>
      <c r="K15" s="16">
        <f t="shared" si="3"/>
        <v>1400000</v>
      </c>
      <c r="L15" s="16">
        <f t="shared" si="5"/>
        <v>100000</v>
      </c>
      <c r="M15" s="16">
        <f t="shared" si="6"/>
        <v>0</v>
      </c>
      <c r="N15" s="16">
        <f t="shared" si="1"/>
        <v>11666.666666666666</v>
      </c>
      <c r="P15" s="760" t="s">
        <v>8985</v>
      </c>
    </row>
    <row r="16" spans="1:17">
      <c r="B16" s="9">
        <v>2036</v>
      </c>
      <c r="C16" s="9">
        <v>82</v>
      </c>
      <c r="D16" s="16">
        <f t="shared" si="2"/>
        <v>1316000</v>
      </c>
      <c r="E16" s="16">
        <f t="shared" si="4"/>
        <v>56000</v>
      </c>
      <c r="F16" s="16">
        <v>2000</v>
      </c>
      <c r="G16" s="16">
        <f t="shared" si="0"/>
        <v>10966.666666666666</v>
      </c>
      <c r="I16" s="9">
        <v>2036</v>
      </c>
      <c r="J16" s="9">
        <v>82</v>
      </c>
      <c r="K16" s="16">
        <f t="shared" si="3"/>
        <v>1300000</v>
      </c>
      <c r="L16" s="16">
        <f t="shared" si="5"/>
        <v>100000</v>
      </c>
      <c r="M16" s="16">
        <f t="shared" si="6"/>
        <v>0</v>
      </c>
      <c r="N16" s="16">
        <f t="shared" si="1"/>
        <v>10833.333333333334</v>
      </c>
      <c r="P16" s="760" t="s">
        <v>8986</v>
      </c>
    </row>
    <row r="17" spans="2:21">
      <c r="B17" s="9">
        <v>2037</v>
      </c>
      <c r="C17" s="9">
        <v>83</v>
      </c>
      <c r="D17" s="16">
        <f t="shared" si="2"/>
        <v>1262000</v>
      </c>
      <c r="E17" s="16">
        <f t="shared" si="4"/>
        <v>54000</v>
      </c>
      <c r="F17" s="16">
        <v>2000</v>
      </c>
      <c r="G17" s="16">
        <f t="shared" si="0"/>
        <v>10516.666666666666</v>
      </c>
      <c r="I17" s="9">
        <v>2037</v>
      </c>
      <c r="J17" s="9">
        <v>83</v>
      </c>
      <c r="K17" s="16">
        <f t="shared" si="3"/>
        <v>1200000</v>
      </c>
      <c r="L17" s="16">
        <f t="shared" si="5"/>
        <v>100000</v>
      </c>
      <c r="M17" s="16">
        <f t="shared" si="6"/>
        <v>0</v>
      </c>
      <c r="N17" s="16">
        <f t="shared" si="1"/>
        <v>10000</v>
      </c>
    </row>
    <row r="18" spans="2:21">
      <c r="B18" s="9">
        <v>2038</v>
      </c>
      <c r="C18" s="9">
        <v>84</v>
      </c>
      <c r="D18" s="16">
        <f t="shared" si="2"/>
        <v>1210000</v>
      </c>
      <c r="E18" s="16">
        <f t="shared" si="4"/>
        <v>52000</v>
      </c>
      <c r="F18" s="16">
        <v>2000</v>
      </c>
      <c r="G18" s="16">
        <f t="shared" si="0"/>
        <v>10083.333333333334</v>
      </c>
      <c r="I18" s="9">
        <v>2038</v>
      </c>
      <c r="J18" s="9">
        <v>84</v>
      </c>
      <c r="K18" s="16">
        <f t="shared" si="3"/>
        <v>1100000</v>
      </c>
      <c r="L18" s="16">
        <f t="shared" si="5"/>
        <v>100000</v>
      </c>
      <c r="M18" s="16">
        <f t="shared" si="6"/>
        <v>0</v>
      </c>
      <c r="N18" s="16">
        <f t="shared" si="1"/>
        <v>9166.6666666666661</v>
      </c>
      <c r="P18" s="2301" t="s">
        <v>8988</v>
      </c>
      <c r="Q18" s="2300">
        <v>86</v>
      </c>
    </row>
    <row r="19" spans="2:21">
      <c r="B19" s="9">
        <v>2039</v>
      </c>
      <c r="C19" s="9">
        <v>85</v>
      </c>
      <c r="D19" s="16">
        <f t="shared" si="2"/>
        <v>1160000</v>
      </c>
      <c r="E19" s="16">
        <f t="shared" si="4"/>
        <v>50000</v>
      </c>
      <c r="F19" s="16">
        <v>2000</v>
      </c>
      <c r="G19" s="16">
        <f t="shared" si="0"/>
        <v>9666.6666666666661</v>
      </c>
      <c r="I19" s="9">
        <v>2039</v>
      </c>
      <c r="J19" s="9">
        <v>85</v>
      </c>
      <c r="K19" s="16">
        <f t="shared" si="3"/>
        <v>1000000</v>
      </c>
      <c r="L19" s="16">
        <f t="shared" si="5"/>
        <v>100000</v>
      </c>
      <c r="M19" s="16">
        <f t="shared" si="6"/>
        <v>0</v>
      </c>
      <c r="N19" s="16">
        <f t="shared" si="1"/>
        <v>8333.3333333333339</v>
      </c>
      <c r="P19" s="2301" t="s">
        <v>8989</v>
      </c>
      <c r="Q19" s="2300"/>
    </row>
    <row r="20" spans="2:21">
      <c r="B20" s="9">
        <v>2040</v>
      </c>
      <c r="C20" s="9">
        <v>86</v>
      </c>
      <c r="D20" s="16">
        <f t="shared" si="2"/>
        <v>1112000</v>
      </c>
      <c r="E20" s="16">
        <f t="shared" si="4"/>
        <v>48000</v>
      </c>
      <c r="F20" s="16">
        <v>2000</v>
      </c>
      <c r="G20" s="16">
        <f t="shared" si="0"/>
        <v>9266.6666666666661</v>
      </c>
      <c r="I20" s="9">
        <v>2040</v>
      </c>
      <c r="J20" s="1638">
        <v>86</v>
      </c>
      <c r="K20" s="16">
        <f t="shared" si="3"/>
        <v>900000</v>
      </c>
      <c r="L20" s="16">
        <f t="shared" si="5"/>
        <v>100000</v>
      </c>
      <c r="M20" s="16">
        <f t="shared" si="6"/>
        <v>0</v>
      </c>
      <c r="N20" s="16">
        <f t="shared" si="1"/>
        <v>7500</v>
      </c>
      <c r="P20" s="2303" t="s">
        <v>8990</v>
      </c>
    </row>
    <row r="21" spans="2:21">
      <c r="B21" s="9">
        <v>2041</v>
      </c>
      <c r="C21" s="9">
        <v>87</v>
      </c>
      <c r="D21" s="16">
        <f t="shared" si="2"/>
        <v>1066000</v>
      </c>
      <c r="E21" s="16">
        <f t="shared" si="4"/>
        <v>46000</v>
      </c>
      <c r="F21" s="16">
        <v>2000</v>
      </c>
      <c r="G21" s="16">
        <f t="shared" si="0"/>
        <v>8883.3333333333339</v>
      </c>
      <c r="I21" s="9">
        <v>2041</v>
      </c>
      <c r="J21" s="9">
        <v>87</v>
      </c>
      <c r="K21" s="16">
        <f t="shared" si="3"/>
        <v>800000</v>
      </c>
      <c r="L21" s="16">
        <f t="shared" si="5"/>
        <v>100000</v>
      </c>
      <c r="M21" s="16">
        <f t="shared" si="6"/>
        <v>0</v>
      </c>
      <c r="N21" s="16">
        <f t="shared" si="1"/>
        <v>6666.666666666667</v>
      </c>
      <c r="P21" s="2303" t="s">
        <v>8991</v>
      </c>
    </row>
    <row r="22" spans="2:21">
      <c r="B22" s="9">
        <v>2042</v>
      </c>
      <c r="C22" s="9">
        <v>88</v>
      </c>
      <c r="D22" s="16">
        <f t="shared" si="2"/>
        <v>1022000</v>
      </c>
      <c r="E22" s="16">
        <f t="shared" si="4"/>
        <v>44000</v>
      </c>
      <c r="F22" s="16">
        <v>2000</v>
      </c>
      <c r="G22" s="16">
        <f t="shared" si="0"/>
        <v>8516.6666666666661</v>
      </c>
      <c r="I22" s="9">
        <v>2042</v>
      </c>
      <c r="J22" s="9">
        <v>88</v>
      </c>
      <c r="K22" s="16">
        <f t="shared" si="3"/>
        <v>700000</v>
      </c>
      <c r="L22" s="16">
        <f t="shared" si="5"/>
        <v>100000</v>
      </c>
      <c r="M22" s="16">
        <f t="shared" si="6"/>
        <v>0</v>
      </c>
      <c r="N22" s="16">
        <f t="shared" si="1"/>
        <v>5833.333333333333</v>
      </c>
    </row>
    <row r="23" spans="2:21">
      <c r="B23" s="9">
        <v>2043</v>
      </c>
      <c r="C23" s="9">
        <v>89</v>
      </c>
      <c r="D23" s="16">
        <f t="shared" si="2"/>
        <v>980000</v>
      </c>
      <c r="E23" s="16">
        <f t="shared" si="4"/>
        <v>42000</v>
      </c>
      <c r="F23" s="16">
        <v>2000</v>
      </c>
      <c r="G23" s="16">
        <f t="shared" si="0"/>
        <v>8166.666666666667</v>
      </c>
      <c r="I23" s="9">
        <v>2043</v>
      </c>
      <c r="J23" s="9">
        <v>89</v>
      </c>
      <c r="K23" s="16">
        <f t="shared" si="3"/>
        <v>600000</v>
      </c>
      <c r="L23" s="16">
        <f t="shared" si="5"/>
        <v>100000</v>
      </c>
      <c r="M23" s="16">
        <f t="shared" si="6"/>
        <v>0</v>
      </c>
      <c r="N23" s="16">
        <f t="shared" si="1"/>
        <v>5000</v>
      </c>
    </row>
    <row r="24" spans="2:21">
      <c r="B24" s="1638">
        <v>2044</v>
      </c>
      <c r="C24" s="1638">
        <v>90</v>
      </c>
      <c r="D24" s="2297">
        <f t="shared" si="2"/>
        <v>940000</v>
      </c>
      <c r="E24" s="2297">
        <f t="shared" si="4"/>
        <v>40000</v>
      </c>
      <c r="F24" s="2297">
        <v>2000</v>
      </c>
      <c r="G24" s="2297">
        <f t="shared" si="0"/>
        <v>7833.333333333333</v>
      </c>
      <c r="H24" s="2298"/>
      <c r="I24" s="1638">
        <v>2044</v>
      </c>
      <c r="J24" s="1638">
        <v>90</v>
      </c>
      <c r="K24" s="2297">
        <f t="shared" si="3"/>
        <v>500000</v>
      </c>
      <c r="L24" s="2297">
        <f t="shared" si="5"/>
        <v>100000</v>
      </c>
      <c r="M24" s="2297">
        <f t="shared" si="6"/>
        <v>0</v>
      </c>
      <c r="N24" s="2297">
        <f t="shared" si="1"/>
        <v>4166.666666666667</v>
      </c>
      <c r="P24" s="760" t="s">
        <v>8987</v>
      </c>
    </row>
    <row r="25" spans="2:21">
      <c r="B25" s="9">
        <v>2045</v>
      </c>
      <c r="C25" s="9">
        <v>91</v>
      </c>
      <c r="D25" s="16">
        <f t="shared" si="2"/>
        <v>902000</v>
      </c>
      <c r="E25" s="16">
        <f t="shared" si="4"/>
        <v>38000</v>
      </c>
      <c r="F25" s="16">
        <v>2000</v>
      </c>
      <c r="G25" s="16">
        <f t="shared" si="0"/>
        <v>7516.666666666667</v>
      </c>
      <c r="I25" s="9">
        <v>2045</v>
      </c>
      <c r="J25" s="9">
        <v>91</v>
      </c>
      <c r="K25" s="16">
        <f t="shared" si="3"/>
        <v>400000</v>
      </c>
      <c r="L25" s="16">
        <f t="shared" si="5"/>
        <v>100000</v>
      </c>
      <c r="M25" s="16">
        <f t="shared" si="6"/>
        <v>0</v>
      </c>
      <c r="N25" s="16">
        <f t="shared" si="1"/>
        <v>3333.3333333333335</v>
      </c>
    </row>
    <row r="26" spans="2:21">
      <c r="B26" s="9">
        <v>2046</v>
      </c>
      <c r="C26" s="9">
        <v>92</v>
      </c>
      <c r="D26" s="16">
        <f t="shared" si="2"/>
        <v>866000</v>
      </c>
      <c r="E26" s="16">
        <f t="shared" si="4"/>
        <v>36000</v>
      </c>
      <c r="F26" s="16">
        <v>2000</v>
      </c>
      <c r="G26" s="16">
        <f t="shared" si="0"/>
        <v>7216.666666666667</v>
      </c>
      <c r="I26" s="9">
        <v>2046</v>
      </c>
      <c r="J26" s="9">
        <v>92</v>
      </c>
      <c r="K26" s="16">
        <f t="shared" si="3"/>
        <v>300000</v>
      </c>
      <c r="L26" s="16">
        <f t="shared" si="5"/>
        <v>100000</v>
      </c>
      <c r="M26" s="16">
        <f t="shared" si="6"/>
        <v>0</v>
      </c>
      <c r="N26" s="16">
        <f t="shared" si="1"/>
        <v>2500</v>
      </c>
      <c r="P26" s="2304">
        <v>0.04</v>
      </c>
      <c r="Q26" s="760" t="s">
        <v>8992</v>
      </c>
      <c r="S26" s="16">
        <v>700000</v>
      </c>
      <c r="T26" s="1959" t="s">
        <v>8995</v>
      </c>
      <c r="U26" s="2295" t="s">
        <v>8996</v>
      </c>
    </row>
    <row r="27" spans="2:21">
      <c r="B27" s="9">
        <v>2047</v>
      </c>
      <c r="C27" s="9">
        <v>93</v>
      </c>
      <c r="D27" s="16">
        <f t="shared" si="2"/>
        <v>832000</v>
      </c>
      <c r="E27" s="16">
        <f t="shared" si="4"/>
        <v>34000</v>
      </c>
      <c r="F27" s="16">
        <v>2000</v>
      </c>
      <c r="G27" s="16">
        <f t="shared" si="0"/>
        <v>6933.333333333333</v>
      </c>
      <c r="I27" s="9">
        <v>2047</v>
      </c>
      <c r="J27" s="9">
        <v>93</v>
      </c>
      <c r="K27" s="16">
        <f t="shared" si="3"/>
        <v>200000</v>
      </c>
      <c r="L27" s="16">
        <f t="shared" si="5"/>
        <v>100000</v>
      </c>
      <c r="M27" s="16">
        <f t="shared" si="6"/>
        <v>0</v>
      </c>
      <c r="N27" s="16">
        <f t="shared" si="1"/>
        <v>1666.6666666666667</v>
      </c>
      <c r="P27">
        <v>2400000</v>
      </c>
      <c r="Q27" s="760" t="s">
        <v>8993</v>
      </c>
    </row>
    <row r="28" spans="2:21">
      <c r="B28" s="9">
        <v>2048</v>
      </c>
      <c r="C28" s="9">
        <v>94</v>
      </c>
      <c r="D28" s="16">
        <f t="shared" si="2"/>
        <v>800000</v>
      </c>
      <c r="E28" s="16">
        <f t="shared" si="4"/>
        <v>32000</v>
      </c>
      <c r="F28" s="16">
        <v>2000</v>
      </c>
      <c r="G28" s="16">
        <f t="shared" si="0"/>
        <v>6666.666666666667</v>
      </c>
      <c r="I28" s="9">
        <v>2048</v>
      </c>
      <c r="J28" s="9">
        <v>94</v>
      </c>
      <c r="K28" s="16">
        <f t="shared" si="3"/>
        <v>100000</v>
      </c>
      <c r="L28" s="16">
        <f t="shared" si="5"/>
        <v>100000</v>
      </c>
      <c r="M28" s="16">
        <f t="shared" si="6"/>
        <v>0</v>
      </c>
      <c r="N28" s="16">
        <f t="shared" si="1"/>
        <v>833.33333333333337</v>
      </c>
      <c r="P28">
        <f>P27*P26</f>
        <v>96000</v>
      </c>
      <c r="Q28" s="760" t="s">
        <v>8994</v>
      </c>
    </row>
    <row r="29" spans="2:21">
      <c r="B29" s="9">
        <v>2049</v>
      </c>
      <c r="C29" s="9">
        <v>95</v>
      </c>
      <c r="D29" s="16">
        <f t="shared" si="2"/>
        <v>770000</v>
      </c>
      <c r="E29" s="16">
        <f t="shared" si="4"/>
        <v>30000</v>
      </c>
      <c r="F29" s="16">
        <v>2000</v>
      </c>
      <c r="G29" s="16">
        <f t="shared" si="0"/>
        <v>6416.666666666667</v>
      </c>
      <c r="I29" s="9">
        <v>2049</v>
      </c>
      <c r="J29" s="9">
        <v>95</v>
      </c>
      <c r="K29" s="16">
        <f t="shared" si="3"/>
        <v>0</v>
      </c>
      <c r="L29" s="16">
        <f t="shared" si="5"/>
        <v>100000</v>
      </c>
      <c r="M29" s="16">
        <f t="shared" si="6"/>
        <v>0</v>
      </c>
      <c r="N29" s="16">
        <f t="shared" si="1"/>
        <v>0</v>
      </c>
    </row>
    <row r="30" spans="2:21">
      <c r="B30" s="9">
        <v>2050</v>
      </c>
      <c r="C30" s="9">
        <v>96</v>
      </c>
      <c r="D30" s="16">
        <f t="shared" si="2"/>
        <v>742000</v>
      </c>
      <c r="E30" s="16">
        <f t="shared" si="4"/>
        <v>28000</v>
      </c>
      <c r="F30" s="16">
        <v>2000</v>
      </c>
      <c r="G30" s="16">
        <f t="shared" si="0"/>
        <v>6183.333333333333</v>
      </c>
      <c r="I30" s="9">
        <v>2050</v>
      </c>
      <c r="J30" s="9">
        <v>96</v>
      </c>
      <c r="K30" s="16">
        <f t="shared" si="3"/>
        <v>-100000</v>
      </c>
      <c r="L30" s="16">
        <f t="shared" si="5"/>
        <v>100000</v>
      </c>
      <c r="M30" s="16">
        <f t="shared" si="6"/>
        <v>0</v>
      </c>
      <c r="N30" s="16">
        <f t="shared" si="1"/>
        <v>-833.33333333333337</v>
      </c>
    </row>
    <row r="31" spans="2:21">
      <c r="B31" s="9">
        <v>2051</v>
      </c>
      <c r="C31" s="9">
        <v>97</v>
      </c>
      <c r="D31" s="16">
        <f t="shared" si="2"/>
        <v>716000</v>
      </c>
      <c r="E31" s="16">
        <f t="shared" si="4"/>
        <v>26000</v>
      </c>
      <c r="F31" s="16">
        <v>2000</v>
      </c>
      <c r="G31" s="16">
        <f t="shared" si="0"/>
        <v>5966.666666666667</v>
      </c>
      <c r="I31" s="9">
        <v>2051</v>
      </c>
      <c r="J31" s="9">
        <v>97</v>
      </c>
      <c r="K31" s="16">
        <f t="shared" si="3"/>
        <v>-200000</v>
      </c>
      <c r="L31" s="16">
        <f t="shared" si="5"/>
        <v>100000</v>
      </c>
      <c r="M31" s="16">
        <f t="shared" si="6"/>
        <v>0</v>
      </c>
      <c r="N31" s="16">
        <f t="shared" si="1"/>
        <v>-1666.6666666666667</v>
      </c>
    </row>
    <row r="32" spans="2:21">
      <c r="B32" s="9">
        <v>2052</v>
      </c>
      <c r="C32" s="9">
        <v>98</v>
      </c>
      <c r="D32" s="16">
        <f t="shared" si="2"/>
        <v>692000</v>
      </c>
      <c r="E32" s="16">
        <f t="shared" si="4"/>
        <v>24000</v>
      </c>
      <c r="F32" s="16">
        <v>2000</v>
      </c>
      <c r="G32" s="16">
        <f t="shared" si="0"/>
        <v>5766.666666666667</v>
      </c>
      <c r="I32" s="9">
        <v>2052</v>
      </c>
      <c r="J32" s="9">
        <v>98</v>
      </c>
      <c r="K32" s="16">
        <f t="shared" si="3"/>
        <v>-300000</v>
      </c>
      <c r="L32" s="16">
        <f t="shared" si="5"/>
        <v>100000</v>
      </c>
      <c r="M32" s="16">
        <f t="shared" si="6"/>
        <v>0</v>
      </c>
      <c r="N32" s="16">
        <f t="shared" si="1"/>
        <v>-2500</v>
      </c>
    </row>
    <row r="33" spans="1:14">
      <c r="B33" s="9">
        <v>2053</v>
      </c>
      <c r="C33" s="9">
        <v>99</v>
      </c>
      <c r="D33" s="16">
        <f t="shared" si="2"/>
        <v>670000</v>
      </c>
      <c r="E33" s="16">
        <f t="shared" si="4"/>
        <v>22000</v>
      </c>
      <c r="F33" s="16">
        <v>2000</v>
      </c>
      <c r="G33" s="16">
        <f t="shared" si="0"/>
        <v>5583.333333333333</v>
      </c>
      <c r="I33" s="9">
        <v>2053</v>
      </c>
      <c r="J33" s="9">
        <v>99</v>
      </c>
      <c r="K33" s="16">
        <f t="shared" si="3"/>
        <v>-400000</v>
      </c>
      <c r="L33" s="16">
        <f t="shared" si="5"/>
        <v>100000</v>
      </c>
      <c r="M33" s="16">
        <f t="shared" si="6"/>
        <v>0</v>
      </c>
      <c r="N33" s="16">
        <f t="shared" si="1"/>
        <v>-3333.3333333333335</v>
      </c>
    </row>
    <row r="36" spans="1:14" ht="12.75" customHeight="1">
      <c r="A36" s="760" t="s">
        <v>8977</v>
      </c>
    </row>
    <row r="73" spans="1:6" ht="12.75" customHeight="1">
      <c r="A73" s="2307" t="s">
        <v>8999</v>
      </c>
      <c r="B73" s="2009"/>
      <c r="C73" s="2009"/>
      <c r="D73" s="2009"/>
      <c r="E73" s="2009"/>
      <c r="F73" s="2009"/>
    </row>
    <row r="74" spans="1:6" ht="12.75" customHeight="1">
      <c r="A74" s="2009" t="s">
        <v>3282</v>
      </c>
      <c r="B74" s="2009" t="s">
        <v>9001</v>
      </c>
      <c r="C74" s="2009"/>
      <c r="D74" s="2009" t="s">
        <v>9000</v>
      </c>
      <c r="E74" s="2308" t="s">
        <v>61</v>
      </c>
      <c r="F74" s="2308" t="s">
        <v>6382</v>
      </c>
    </row>
    <row r="75" spans="1:6" ht="12.75" customHeight="1">
      <c r="A75">
        <v>90</v>
      </c>
      <c r="B75" s="16">
        <v>50000</v>
      </c>
      <c r="C75" s="16"/>
      <c r="D75" s="16">
        <v>20000</v>
      </c>
      <c r="E75" s="16">
        <f>B75+D75</f>
        <v>70000</v>
      </c>
      <c r="F75" s="16">
        <f>E75</f>
        <v>70000</v>
      </c>
    </row>
    <row r="76" spans="1:6" ht="12.75" customHeight="1">
      <c r="A76">
        <v>89</v>
      </c>
      <c r="B76" s="16">
        <v>50000</v>
      </c>
      <c r="C76" s="16"/>
      <c r="D76" s="16">
        <v>20000</v>
      </c>
      <c r="E76" s="16">
        <f t="shared" ref="E76:E95" si="7">B76+D76</f>
        <v>70000</v>
      </c>
      <c r="F76" s="16">
        <f>F75+E76</f>
        <v>140000</v>
      </c>
    </row>
    <row r="77" spans="1:6" ht="12.75" customHeight="1">
      <c r="A77">
        <v>88</v>
      </c>
      <c r="B77" s="16">
        <v>50000</v>
      </c>
      <c r="C77" s="16"/>
      <c r="D77" s="16">
        <v>20000</v>
      </c>
      <c r="E77" s="16">
        <f t="shared" si="7"/>
        <v>70000</v>
      </c>
      <c r="F77" s="16">
        <f t="shared" ref="F77:F95" si="8">F76+E77</f>
        <v>210000</v>
      </c>
    </row>
    <row r="78" spans="1:6" ht="12.75" customHeight="1">
      <c r="A78">
        <v>87</v>
      </c>
      <c r="B78" s="16">
        <v>50000</v>
      </c>
      <c r="C78" s="16"/>
      <c r="D78" s="16">
        <v>25000</v>
      </c>
      <c r="E78" s="16">
        <f t="shared" si="7"/>
        <v>75000</v>
      </c>
      <c r="F78" s="16">
        <f t="shared" si="8"/>
        <v>285000</v>
      </c>
    </row>
    <row r="79" spans="1:6" ht="12.75" customHeight="1">
      <c r="A79">
        <v>86</v>
      </c>
      <c r="B79" s="16">
        <v>50000</v>
      </c>
      <c r="C79" s="16"/>
      <c r="D79" s="16">
        <v>25000</v>
      </c>
      <c r="E79" s="16">
        <f t="shared" si="7"/>
        <v>75000</v>
      </c>
      <c r="F79" s="16">
        <f t="shared" si="8"/>
        <v>360000</v>
      </c>
    </row>
    <row r="80" spans="1:6" ht="12.75" customHeight="1">
      <c r="A80">
        <v>85</v>
      </c>
      <c r="B80" s="16">
        <v>50000</v>
      </c>
      <c r="C80" s="16"/>
      <c r="D80" s="16">
        <v>30000</v>
      </c>
      <c r="E80" s="16">
        <f t="shared" si="7"/>
        <v>80000</v>
      </c>
      <c r="F80" s="16">
        <f t="shared" si="8"/>
        <v>440000</v>
      </c>
    </row>
    <row r="81" spans="1:6" ht="12.75" customHeight="1">
      <c r="A81">
        <v>84</v>
      </c>
      <c r="B81" s="16">
        <v>50000</v>
      </c>
      <c r="C81" s="16"/>
      <c r="D81" s="16">
        <v>30000</v>
      </c>
      <c r="E81" s="16">
        <f t="shared" si="7"/>
        <v>80000</v>
      </c>
      <c r="F81" s="16">
        <f t="shared" si="8"/>
        <v>520000</v>
      </c>
    </row>
    <row r="82" spans="1:6" ht="12.75" customHeight="1">
      <c r="A82">
        <v>83</v>
      </c>
      <c r="B82" s="16">
        <v>50000</v>
      </c>
      <c r="C82" s="16"/>
      <c r="D82" s="16">
        <v>35000</v>
      </c>
      <c r="E82" s="16">
        <f t="shared" si="7"/>
        <v>85000</v>
      </c>
      <c r="F82" s="16">
        <f t="shared" si="8"/>
        <v>605000</v>
      </c>
    </row>
    <row r="83" spans="1:6" ht="12.75" customHeight="1">
      <c r="A83">
        <v>82</v>
      </c>
      <c r="B83" s="16">
        <v>50000</v>
      </c>
      <c r="C83" s="16"/>
      <c r="D83" s="16">
        <v>40000</v>
      </c>
      <c r="E83" s="16">
        <f t="shared" si="7"/>
        <v>90000</v>
      </c>
      <c r="F83" s="16">
        <f t="shared" si="8"/>
        <v>695000</v>
      </c>
    </row>
    <row r="84" spans="1:6" ht="12.75" customHeight="1">
      <c r="A84">
        <v>81</v>
      </c>
      <c r="B84" s="16">
        <v>50000</v>
      </c>
      <c r="C84" s="16"/>
      <c r="D84" s="16">
        <v>45000</v>
      </c>
      <c r="E84" s="16">
        <f t="shared" si="7"/>
        <v>95000</v>
      </c>
      <c r="F84" s="16">
        <f t="shared" si="8"/>
        <v>790000</v>
      </c>
    </row>
    <row r="85" spans="1:6" ht="12.75" customHeight="1">
      <c r="A85">
        <v>80</v>
      </c>
      <c r="B85" s="16">
        <v>50000</v>
      </c>
      <c r="C85" s="16"/>
      <c r="D85" s="16">
        <v>50000</v>
      </c>
      <c r="E85" s="16">
        <f t="shared" si="7"/>
        <v>100000</v>
      </c>
      <c r="F85" s="16">
        <f t="shared" si="8"/>
        <v>890000</v>
      </c>
    </row>
    <row r="86" spans="1:6" ht="12.75" customHeight="1">
      <c r="A86">
        <v>79</v>
      </c>
      <c r="B86" s="16">
        <v>50000</v>
      </c>
      <c r="C86" s="16"/>
      <c r="D86" s="16">
        <v>55000</v>
      </c>
      <c r="E86" s="16">
        <f t="shared" si="7"/>
        <v>105000</v>
      </c>
      <c r="F86" s="16">
        <f t="shared" si="8"/>
        <v>995000</v>
      </c>
    </row>
    <row r="87" spans="1:6" ht="12.75" customHeight="1">
      <c r="A87">
        <v>78</v>
      </c>
      <c r="B87" s="16">
        <v>50000</v>
      </c>
      <c r="C87" s="16"/>
      <c r="D87" s="16">
        <v>60000</v>
      </c>
      <c r="E87" s="16">
        <f t="shared" si="7"/>
        <v>110000</v>
      </c>
      <c r="F87" s="16">
        <f t="shared" si="8"/>
        <v>1105000</v>
      </c>
    </row>
    <row r="88" spans="1:6" ht="12.75" customHeight="1">
      <c r="A88">
        <v>77</v>
      </c>
      <c r="B88" s="16">
        <v>50000</v>
      </c>
      <c r="C88" s="16"/>
      <c r="D88" s="16">
        <v>65000</v>
      </c>
      <c r="E88" s="16">
        <f t="shared" si="7"/>
        <v>115000</v>
      </c>
      <c r="F88" s="16">
        <f t="shared" si="8"/>
        <v>1220000</v>
      </c>
    </row>
    <row r="89" spans="1:6" ht="12.75" customHeight="1">
      <c r="A89">
        <v>76</v>
      </c>
      <c r="B89" s="16">
        <v>50000</v>
      </c>
      <c r="C89" s="16"/>
      <c r="D89" s="16">
        <v>70000</v>
      </c>
      <c r="E89" s="16">
        <f t="shared" si="7"/>
        <v>120000</v>
      </c>
      <c r="F89" s="16">
        <f t="shared" si="8"/>
        <v>1340000</v>
      </c>
    </row>
    <row r="90" spans="1:6" ht="12.75" customHeight="1">
      <c r="A90">
        <v>75</v>
      </c>
      <c r="B90" s="16">
        <v>50000</v>
      </c>
      <c r="C90" s="16"/>
      <c r="D90" s="16">
        <v>75000</v>
      </c>
      <c r="E90" s="16">
        <f t="shared" si="7"/>
        <v>125000</v>
      </c>
      <c r="F90" s="16">
        <f t="shared" si="8"/>
        <v>1465000</v>
      </c>
    </row>
    <row r="91" spans="1:6" ht="12.75" customHeight="1">
      <c r="A91">
        <v>74</v>
      </c>
      <c r="B91" s="16">
        <v>50000</v>
      </c>
      <c r="C91" s="16"/>
      <c r="D91" s="16">
        <v>80000</v>
      </c>
      <c r="E91" s="16">
        <f t="shared" si="7"/>
        <v>130000</v>
      </c>
      <c r="F91" s="16">
        <f t="shared" si="8"/>
        <v>1595000</v>
      </c>
    </row>
    <row r="92" spans="1:6" ht="12.75" customHeight="1">
      <c r="A92">
        <v>73</v>
      </c>
      <c r="B92" s="16">
        <v>50000</v>
      </c>
      <c r="C92" s="16"/>
      <c r="D92" s="16">
        <v>85000</v>
      </c>
      <c r="E92" s="16">
        <f t="shared" si="7"/>
        <v>135000</v>
      </c>
      <c r="F92" s="16">
        <f t="shared" si="8"/>
        <v>1730000</v>
      </c>
    </row>
    <row r="93" spans="1:6" ht="12.75" customHeight="1">
      <c r="A93">
        <v>72</v>
      </c>
      <c r="B93" s="16">
        <v>50000</v>
      </c>
      <c r="C93" s="16"/>
      <c r="D93" s="16">
        <v>90000</v>
      </c>
      <c r="E93" s="16">
        <f t="shared" si="7"/>
        <v>140000</v>
      </c>
      <c r="F93" s="16">
        <f t="shared" si="8"/>
        <v>1870000</v>
      </c>
    </row>
    <row r="94" spans="1:6" ht="12.75" customHeight="1">
      <c r="A94">
        <v>71</v>
      </c>
      <c r="B94" s="16">
        <v>50000</v>
      </c>
      <c r="C94" s="16"/>
      <c r="D94" s="16">
        <v>95000</v>
      </c>
      <c r="E94" s="16">
        <f t="shared" si="7"/>
        <v>145000</v>
      </c>
      <c r="F94" s="16">
        <f t="shared" si="8"/>
        <v>2015000</v>
      </c>
    </row>
    <row r="95" spans="1:6" ht="12.75" customHeight="1">
      <c r="A95">
        <v>70</v>
      </c>
      <c r="B95" s="16">
        <v>50000</v>
      </c>
      <c r="C95" s="16"/>
      <c r="D95" s="16">
        <v>100000</v>
      </c>
      <c r="E95" s="16">
        <f t="shared" si="7"/>
        <v>150000</v>
      </c>
      <c r="F95" s="16">
        <f t="shared" si="8"/>
        <v>2165000</v>
      </c>
    </row>
  </sheetData>
  <hyperlinks>
    <hyperlink ref="P20" r:id="rId1" xr:uid="{0F0A07D4-B5D3-4228-B2E4-CBA6401BE8DD}"/>
    <hyperlink ref="P21" r:id="rId2" xr:uid="{1CBB4B1C-52CF-4FCE-865C-73189B4C8A49}"/>
  </hyperlinks>
  <pageMargins left="0.7" right="0.7" top="0.75" bottom="0.75" header="0.3" footer="0.3"/>
  <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outlinePr summaryBelow="0" summaryRight="0"/>
    <pageSetUpPr fitToPage="1"/>
  </sheetPr>
  <dimension ref="A1:R109"/>
  <sheetViews>
    <sheetView workbookViewId="0"/>
  </sheetViews>
  <sheetFormatPr defaultColWidth="12.7109375" defaultRowHeight="12.75" customHeight="1"/>
  <cols>
    <col min="1" max="1" width="17.7109375" customWidth="1"/>
    <col min="2" max="3" width="11.28515625" customWidth="1"/>
    <col min="4" max="4" width="12.7109375" customWidth="1"/>
    <col min="5" max="6" width="10.7109375" customWidth="1"/>
    <col min="7" max="7" width="10.85546875" customWidth="1"/>
    <col min="8" max="8" width="10.7109375" customWidth="1"/>
    <col min="9" max="9" width="9.140625" customWidth="1"/>
    <col min="10" max="10" width="8.7109375" customWidth="1"/>
    <col min="11" max="11" width="7.140625" customWidth="1"/>
    <col min="12" max="12" width="8.28515625" customWidth="1"/>
    <col min="13" max="13" width="2" customWidth="1"/>
    <col min="14" max="14" width="17.28515625" customWidth="1"/>
    <col min="15" max="15" width="7.7109375" customWidth="1"/>
    <col min="16" max="16" width="6.140625" customWidth="1"/>
    <col min="17" max="17" width="5.28515625" customWidth="1"/>
    <col min="18" max="18" width="5.7109375" customWidth="1"/>
  </cols>
  <sheetData>
    <row r="1" spans="1:17">
      <c r="A1" s="1249" t="s">
        <v>7260</v>
      </c>
      <c r="B1" s="1250">
        <v>2017</v>
      </c>
      <c r="C1" s="1251" t="s">
        <v>7402</v>
      </c>
      <c r="D1" s="133"/>
      <c r="E1" s="133"/>
      <c r="F1" s="133"/>
      <c r="G1" s="133"/>
      <c r="I1" s="133"/>
      <c r="J1" s="133"/>
      <c r="K1" s="133"/>
      <c r="L1" s="133"/>
      <c r="N1" s="1252" t="s">
        <v>4794</v>
      </c>
      <c r="O1" s="1253">
        <v>2016</v>
      </c>
      <c r="P1" s="1253">
        <v>2015</v>
      </c>
      <c r="Q1" s="1253">
        <v>2014</v>
      </c>
    </row>
    <row r="2" spans="1:17">
      <c r="A2" s="1254" t="s">
        <v>7261</v>
      </c>
      <c r="B2" s="1322" t="s">
        <v>7262</v>
      </c>
      <c r="C2" s="1322" t="s">
        <v>7262</v>
      </c>
      <c r="D2" s="1322" t="s">
        <v>7262</v>
      </c>
      <c r="E2" s="1322" t="s">
        <v>7262</v>
      </c>
      <c r="F2" s="1323" t="s">
        <v>7262</v>
      </c>
      <c r="G2" s="1322" t="s">
        <v>7262</v>
      </c>
      <c r="H2" s="1324" t="s">
        <v>7262</v>
      </c>
      <c r="I2" s="1257"/>
      <c r="J2" s="1258"/>
      <c r="K2" s="2269"/>
      <c r="L2" s="2095"/>
      <c r="M2" s="41"/>
      <c r="N2" s="41" t="s">
        <v>7263</v>
      </c>
      <c r="P2" s="9">
        <f>2508+7</f>
        <v>2515</v>
      </c>
      <c r="Q2" s="16">
        <v>2306</v>
      </c>
    </row>
    <row r="3" spans="1:17">
      <c r="A3" s="1260"/>
      <c r="B3" s="1265">
        <v>2012</v>
      </c>
      <c r="C3" s="1265">
        <v>2012</v>
      </c>
      <c r="D3" s="1325">
        <v>41474</v>
      </c>
      <c r="E3" s="1325">
        <v>41604</v>
      </c>
      <c r="F3" s="1325">
        <v>42156</v>
      </c>
      <c r="G3" s="1325">
        <v>42298</v>
      </c>
      <c r="H3" s="1326">
        <v>42566</v>
      </c>
      <c r="I3" s="2270" t="s">
        <v>7264</v>
      </c>
      <c r="J3" s="2137"/>
      <c r="K3" s="2271"/>
      <c r="L3" s="2137"/>
      <c r="M3" s="41"/>
      <c r="N3" s="41" t="s">
        <v>7265</v>
      </c>
      <c r="O3" s="9">
        <v>0</v>
      </c>
      <c r="P3" s="9">
        <v>0</v>
      </c>
      <c r="Q3" s="16">
        <v>6360</v>
      </c>
    </row>
    <row r="4" spans="1:17">
      <c r="A4" s="1260"/>
      <c r="B4" s="1327" t="s">
        <v>7268</v>
      </c>
      <c r="C4" s="1327" t="s">
        <v>5752</v>
      </c>
      <c r="D4" s="1327" t="s">
        <v>5747</v>
      </c>
      <c r="E4" s="1327" t="s">
        <v>7269</v>
      </c>
      <c r="F4" s="1328" t="s">
        <v>7270</v>
      </c>
      <c r="G4" s="1328" t="s">
        <v>5748</v>
      </c>
      <c r="H4" s="1329" t="s">
        <v>7271</v>
      </c>
      <c r="I4" s="1265" t="s">
        <v>3534</v>
      </c>
      <c r="J4" s="1266" t="s">
        <v>7272</v>
      </c>
      <c r="K4" s="1260"/>
      <c r="L4" s="1267"/>
      <c r="M4" s="41"/>
      <c r="N4" s="41" t="s">
        <v>7273</v>
      </c>
      <c r="O4" s="9">
        <v>27</v>
      </c>
      <c r="Q4" s="16">
        <v>27</v>
      </c>
    </row>
    <row r="5" spans="1:17">
      <c r="A5" s="41" t="s">
        <v>7274</v>
      </c>
      <c r="B5" s="1251">
        <f>800*12</f>
        <v>9600</v>
      </c>
      <c r="C5" s="1251">
        <f>900*12</f>
        <v>10800</v>
      </c>
      <c r="D5" s="1251">
        <v>5175</v>
      </c>
      <c r="E5" s="1251">
        <v>33285</v>
      </c>
      <c r="F5" s="1251">
        <v>31996</v>
      </c>
      <c r="G5" s="1251">
        <f>700*12</f>
        <v>8400</v>
      </c>
      <c r="H5" s="1251">
        <f>575*12</f>
        <v>6900</v>
      </c>
      <c r="I5" s="41" t="s">
        <v>38</v>
      </c>
      <c r="J5" s="1251">
        <f>588+353</f>
        <v>941</v>
      </c>
      <c r="K5" s="41"/>
      <c r="L5" s="1270"/>
      <c r="M5" s="41"/>
      <c r="N5" s="41" t="s">
        <v>7275</v>
      </c>
      <c r="P5" s="9">
        <v>0</v>
      </c>
      <c r="Q5" s="16">
        <v>0</v>
      </c>
    </row>
    <row r="6" spans="1:17">
      <c r="A6" s="1271" t="s">
        <v>270</v>
      </c>
      <c r="B6" s="1330"/>
      <c r="C6" s="1330"/>
      <c r="D6" s="1330"/>
      <c r="E6" s="1330"/>
      <c r="F6" s="1330"/>
      <c r="G6" s="1330"/>
      <c r="H6" s="1330"/>
      <c r="I6" s="41" t="s">
        <v>7276</v>
      </c>
      <c r="J6" s="1251">
        <v>1500</v>
      </c>
      <c r="K6" s="41"/>
      <c r="L6" s="1270"/>
      <c r="M6" s="41"/>
      <c r="N6" s="41" t="s">
        <v>7277</v>
      </c>
      <c r="Q6" s="16">
        <v>1099</v>
      </c>
    </row>
    <row r="7" spans="1:17">
      <c r="A7" s="41" t="s">
        <v>3313</v>
      </c>
      <c r="B7" s="1330"/>
      <c r="C7" s="1330"/>
      <c r="D7" s="1330"/>
      <c r="E7" s="1330"/>
      <c r="F7" s="1330"/>
      <c r="G7" s="1330"/>
      <c r="H7" s="1330"/>
      <c r="I7" s="1271" t="s">
        <v>270</v>
      </c>
      <c r="J7" s="1270"/>
      <c r="K7" s="41"/>
      <c r="L7" s="1270"/>
      <c r="M7" s="41"/>
      <c r="N7" s="41" t="s">
        <v>7278</v>
      </c>
      <c r="Q7" s="16">
        <v>1099</v>
      </c>
    </row>
    <row r="8" spans="1:17">
      <c r="A8" s="41" t="s">
        <v>7279</v>
      </c>
      <c r="B8" s="1251" t="s">
        <v>7283</v>
      </c>
      <c r="C8" s="1251" t="s">
        <v>7403</v>
      </c>
      <c r="D8" s="1251" t="s">
        <v>7404</v>
      </c>
      <c r="E8" s="1251" t="s">
        <v>7284</v>
      </c>
      <c r="F8" s="1251" t="s">
        <v>7284</v>
      </c>
      <c r="G8" s="1251" t="s">
        <v>7285</v>
      </c>
      <c r="H8" s="1251" t="s">
        <v>7286</v>
      </c>
      <c r="I8" s="41" t="s">
        <v>7287</v>
      </c>
      <c r="J8" s="1251">
        <v>129</v>
      </c>
      <c r="K8" s="41"/>
      <c r="L8" s="1270"/>
      <c r="M8" s="41"/>
      <c r="N8" s="41" t="s">
        <v>7288</v>
      </c>
      <c r="Q8" s="16">
        <v>6900</v>
      </c>
    </row>
    <row r="9" spans="1:17">
      <c r="A9" s="41" t="s">
        <v>7289</v>
      </c>
      <c r="B9" s="1251">
        <v>0</v>
      </c>
      <c r="C9" s="1251">
        <v>298</v>
      </c>
      <c r="D9" s="1251">
        <v>0</v>
      </c>
      <c r="E9" s="1251">
        <v>411</v>
      </c>
      <c r="F9" s="1251">
        <v>411</v>
      </c>
      <c r="G9" s="1251">
        <v>0</v>
      </c>
      <c r="H9" s="1251">
        <v>217</v>
      </c>
      <c r="I9" s="41"/>
      <c r="J9" s="1251"/>
      <c r="K9" s="41"/>
      <c r="L9" s="1270"/>
      <c r="M9" s="41"/>
      <c r="N9" s="41" t="s">
        <v>3314</v>
      </c>
      <c r="P9" s="9">
        <v>0</v>
      </c>
      <c r="Q9" s="16">
        <v>13</v>
      </c>
    </row>
    <row r="10" spans="1:17">
      <c r="A10" s="41" t="s">
        <v>4822</v>
      </c>
      <c r="B10" s="1251">
        <v>457</v>
      </c>
      <c r="C10" s="1251">
        <v>632</v>
      </c>
      <c r="D10" s="1251">
        <v>501</v>
      </c>
      <c r="E10" s="1251">
        <v>1463</v>
      </c>
      <c r="F10" s="1251">
        <v>1961.13</v>
      </c>
      <c r="G10" s="1251">
        <v>455</v>
      </c>
      <c r="H10" s="1331">
        <v>411</v>
      </c>
      <c r="I10" s="9" t="s">
        <v>7290</v>
      </c>
      <c r="J10" s="1251">
        <f>72*47*2</f>
        <v>6768</v>
      </c>
      <c r="K10" s="41"/>
      <c r="L10" s="1270"/>
      <c r="M10" s="41"/>
      <c r="N10" s="41" t="s">
        <v>7291</v>
      </c>
      <c r="O10" s="9"/>
      <c r="P10" s="9"/>
    </row>
    <row r="11" spans="1:17">
      <c r="A11" s="41" t="s">
        <v>7292</v>
      </c>
      <c r="B11" s="1251">
        <v>0</v>
      </c>
      <c r="C11" s="1251">
        <v>879</v>
      </c>
      <c r="D11" s="1251">
        <v>0</v>
      </c>
      <c r="E11" s="1251">
        <v>2214</v>
      </c>
      <c r="F11" s="1251">
        <v>868</v>
      </c>
      <c r="G11" s="1251">
        <v>0</v>
      </c>
      <c r="H11" s="1251">
        <v>0</v>
      </c>
      <c r="I11" s="41" t="s">
        <v>7293</v>
      </c>
      <c r="J11" s="1251">
        <v>30</v>
      </c>
      <c r="K11" s="41"/>
      <c r="L11" s="1270"/>
      <c r="M11" s="41"/>
      <c r="N11" s="41"/>
      <c r="O11" s="9"/>
      <c r="Q11" s="16"/>
    </row>
    <row r="12" spans="1:17">
      <c r="A12" s="41" t="s">
        <v>7294</v>
      </c>
      <c r="B12" s="1251">
        <v>0</v>
      </c>
      <c r="C12" s="1251">
        <v>0</v>
      </c>
      <c r="D12" s="1251">
        <v>0</v>
      </c>
      <c r="E12" s="1251">
        <v>0</v>
      </c>
      <c r="F12" s="1251">
        <v>0</v>
      </c>
      <c r="G12" s="1251">
        <v>0</v>
      </c>
      <c r="H12" s="1251">
        <v>0</v>
      </c>
      <c r="I12" s="41" t="s">
        <v>7295</v>
      </c>
      <c r="J12" s="1251">
        <v>281</v>
      </c>
      <c r="K12" s="41"/>
      <c r="L12" s="1270"/>
      <c r="M12" s="41"/>
      <c r="N12" s="41"/>
      <c r="P12" s="9"/>
      <c r="Q12" s="16"/>
    </row>
    <row r="13" spans="1:17">
      <c r="A13" s="41" t="s">
        <v>5024</v>
      </c>
      <c r="B13" s="1300">
        <v>0</v>
      </c>
      <c r="C13" s="1300">
        <v>0</v>
      </c>
      <c r="D13" s="1300">
        <v>0</v>
      </c>
      <c r="E13" s="1300"/>
      <c r="F13" s="1300"/>
      <c r="G13" s="1300">
        <v>0</v>
      </c>
      <c r="H13" s="1300">
        <v>0</v>
      </c>
      <c r="I13" s="245" t="s">
        <v>7296</v>
      </c>
      <c r="J13" s="1251">
        <f>82+15</f>
        <v>97</v>
      </c>
      <c r="K13" s="41"/>
      <c r="L13" s="1270"/>
      <c r="M13" s="41"/>
      <c r="N13" s="41"/>
      <c r="P13" s="9"/>
      <c r="Q13" s="16"/>
    </row>
    <row r="14" spans="1:17">
      <c r="A14" s="41" t="s">
        <v>6860</v>
      </c>
      <c r="B14" s="1251">
        <v>0</v>
      </c>
      <c r="C14" s="1251">
        <v>0</v>
      </c>
      <c r="D14" s="1251">
        <v>0</v>
      </c>
      <c r="E14" s="1251">
        <v>0</v>
      </c>
      <c r="F14" s="1251">
        <v>0</v>
      </c>
      <c r="G14" s="1251">
        <v>0</v>
      </c>
      <c r="H14" s="1251">
        <v>0</v>
      </c>
      <c r="I14" s="41"/>
      <c r="J14" s="1270"/>
      <c r="K14" s="41"/>
      <c r="L14" s="1270"/>
      <c r="M14" s="449"/>
      <c r="N14" s="133"/>
      <c r="O14" s="133"/>
      <c r="P14" s="133"/>
      <c r="Q14" s="133"/>
    </row>
    <row r="15" spans="1:17">
      <c r="A15" s="41" t="s">
        <v>7035</v>
      </c>
      <c r="B15" s="1251">
        <v>232</v>
      </c>
      <c r="C15" s="1251">
        <v>1415</v>
      </c>
      <c r="D15" s="1251">
        <v>46</v>
      </c>
      <c r="E15" s="1251">
        <v>2148</v>
      </c>
      <c r="F15" s="1251">
        <v>1887</v>
      </c>
      <c r="G15" s="1251">
        <v>69</v>
      </c>
      <c r="H15" s="1251">
        <v>1812</v>
      </c>
      <c r="I15" s="41"/>
      <c r="J15" s="1270"/>
      <c r="K15" s="41"/>
      <c r="L15" s="1270"/>
      <c r="M15" s="41"/>
      <c r="N15" s="1252" t="s">
        <v>7297</v>
      </c>
      <c r="O15" s="1275"/>
      <c r="P15" s="1275"/>
      <c r="Q15" s="1276"/>
    </row>
    <row r="16" spans="1:17">
      <c r="A16" s="41" t="s">
        <v>7298</v>
      </c>
      <c r="B16" s="1251">
        <v>0</v>
      </c>
      <c r="C16" s="1251">
        <v>301</v>
      </c>
      <c r="D16" s="1251">
        <v>0</v>
      </c>
      <c r="E16" s="1251">
        <v>81</v>
      </c>
      <c r="F16" s="1251">
        <v>78</v>
      </c>
      <c r="G16" s="1251">
        <v>0</v>
      </c>
      <c r="H16" s="1251">
        <v>111</v>
      </c>
      <c r="I16" s="41"/>
      <c r="J16" s="1270"/>
      <c r="K16" s="41"/>
      <c r="L16" s="1270"/>
      <c r="M16" s="41"/>
      <c r="N16" s="41" t="s">
        <v>7299</v>
      </c>
      <c r="O16" s="9">
        <v>120</v>
      </c>
      <c r="Q16" s="42">
        <v>120</v>
      </c>
    </row>
    <row r="17" spans="1:18">
      <c r="A17" s="41" t="s">
        <v>4399</v>
      </c>
      <c r="B17" s="1251">
        <f>395.48*2</f>
        <v>790.96</v>
      </c>
      <c r="C17" s="1251">
        <f>634.64*2</f>
        <v>1269.28</v>
      </c>
      <c r="D17" s="1251">
        <f>235.97*2</f>
        <v>471.94</v>
      </c>
      <c r="E17" s="1251">
        <f>1288.98*2</f>
        <v>2577.96</v>
      </c>
      <c r="F17" s="1251">
        <f>1288.98*2</f>
        <v>2577.96</v>
      </c>
      <c r="G17" s="1251">
        <f>247.82*2</f>
        <v>495.64</v>
      </c>
      <c r="H17" s="1251">
        <f>365.76*2</f>
        <v>731.52</v>
      </c>
      <c r="I17" s="41"/>
      <c r="J17" s="1270"/>
      <c r="K17" s="41"/>
      <c r="L17" s="1270"/>
      <c r="M17" s="41"/>
      <c r="N17" s="41" t="s">
        <v>7300</v>
      </c>
      <c r="O17" s="9">
        <v>145</v>
      </c>
      <c r="Q17" s="42">
        <v>200</v>
      </c>
    </row>
    <row r="18" spans="1:18">
      <c r="A18" s="41" t="s">
        <v>7301</v>
      </c>
      <c r="B18" s="1251">
        <v>0</v>
      </c>
      <c r="C18" s="1251">
        <f>342*12</f>
        <v>4104</v>
      </c>
      <c r="D18" s="1251">
        <v>0</v>
      </c>
      <c r="E18" s="1251">
        <f>712.9*6</f>
        <v>4277.3999999999996</v>
      </c>
      <c r="F18" s="1251">
        <f>712.9*6</f>
        <v>4277.3999999999996</v>
      </c>
      <c r="G18" s="1251">
        <v>0</v>
      </c>
      <c r="H18" s="1251">
        <v>2839</v>
      </c>
      <c r="I18" s="41"/>
      <c r="J18" s="1270"/>
      <c r="K18" s="41"/>
      <c r="L18" s="1270"/>
      <c r="M18" s="41"/>
      <c r="N18" s="41" t="s">
        <v>7302</v>
      </c>
      <c r="O18" s="9">
        <v>200</v>
      </c>
      <c r="P18" s="9"/>
      <c r="Q18" s="42">
        <v>200</v>
      </c>
    </row>
    <row r="19" spans="1:18">
      <c r="A19" s="41" t="s">
        <v>7303</v>
      </c>
      <c r="B19" s="1251" t="s">
        <v>135</v>
      </c>
      <c r="C19" s="1251" t="s">
        <v>135</v>
      </c>
      <c r="D19" s="1251">
        <v>306.99</v>
      </c>
      <c r="E19" s="1251">
        <v>6173.36</v>
      </c>
      <c r="F19" s="1251">
        <v>5000</v>
      </c>
      <c r="G19" s="1251">
        <v>342</v>
      </c>
      <c r="H19" s="1251">
        <v>533</v>
      </c>
      <c r="I19" s="41"/>
      <c r="J19" s="1270"/>
      <c r="K19" s="41"/>
      <c r="L19" s="1270"/>
      <c r="M19" s="41"/>
      <c r="N19" s="41" t="s">
        <v>7305</v>
      </c>
      <c r="O19" s="9">
        <v>8988</v>
      </c>
      <c r="Q19" s="42">
        <f>749*12</f>
        <v>8988</v>
      </c>
    </row>
    <row r="20" spans="1:18">
      <c r="A20" s="41" t="s">
        <v>7306</v>
      </c>
      <c r="B20" s="761">
        <v>45000</v>
      </c>
      <c r="C20" s="761">
        <v>45000</v>
      </c>
      <c r="D20" s="761">
        <v>33000</v>
      </c>
      <c r="E20" s="1332">
        <v>122000</v>
      </c>
      <c r="F20" s="761">
        <v>50000</v>
      </c>
      <c r="G20" s="761">
        <v>25000</v>
      </c>
      <c r="H20" s="1333">
        <v>120000</v>
      </c>
      <c r="I20" s="41"/>
      <c r="J20" s="1270"/>
      <c r="K20" s="41"/>
      <c r="L20" s="1270"/>
      <c r="M20" s="41"/>
      <c r="N20" s="41" t="s">
        <v>7308</v>
      </c>
      <c r="O20" s="9">
        <v>576</v>
      </c>
      <c r="Q20" s="42">
        <v>660</v>
      </c>
    </row>
    <row r="21" spans="1:18">
      <c r="A21" s="1280" t="s">
        <v>7309</v>
      </c>
      <c r="B21" s="1334">
        <v>15000</v>
      </c>
      <c r="C21" s="1334">
        <v>15000</v>
      </c>
      <c r="D21" s="1334">
        <v>15000</v>
      </c>
      <c r="E21" s="1334">
        <v>40000</v>
      </c>
      <c r="F21" s="1335">
        <v>40000</v>
      </c>
      <c r="G21" s="1335">
        <v>15000</v>
      </c>
      <c r="H21" s="1336">
        <v>55000</v>
      </c>
      <c r="I21" s="41"/>
      <c r="J21" s="1270"/>
      <c r="K21" s="41"/>
      <c r="L21" s="1270"/>
      <c r="M21" s="41"/>
      <c r="N21" s="41" t="s">
        <v>7311</v>
      </c>
      <c r="O21" s="9">
        <v>0</v>
      </c>
      <c r="P21" s="9"/>
      <c r="Q21" s="44">
        <v>158</v>
      </c>
    </row>
    <row r="22" spans="1:18">
      <c r="A22" s="9" t="s">
        <v>7312</v>
      </c>
      <c r="B22" s="793">
        <v>43055</v>
      </c>
      <c r="C22" s="1337"/>
      <c r="D22" s="1337"/>
      <c r="E22" s="793">
        <v>43039</v>
      </c>
      <c r="F22" s="793">
        <v>43040</v>
      </c>
      <c r="G22" s="793">
        <v>43074</v>
      </c>
      <c r="H22" s="1338">
        <v>43055</v>
      </c>
      <c r="I22" s="9"/>
      <c r="J22" s="1251"/>
      <c r="K22" s="41"/>
      <c r="L22" s="1270"/>
      <c r="M22" s="41"/>
      <c r="N22" s="41" t="s">
        <v>7313</v>
      </c>
      <c r="O22" s="9">
        <v>0</v>
      </c>
      <c r="Q22" s="44">
        <v>0</v>
      </c>
    </row>
    <row r="23" spans="1:18">
      <c r="A23" s="9" t="s">
        <v>7314</v>
      </c>
      <c r="B23" s="12">
        <v>120000</v>
      </c>
      <c r="C23" s="1339"/>
      <c r="D23" s="1339"/>
      <c r="E23" s="12">
        <f>675000/2</f>
        <v>337500</v>
      </c>
      <c r="F23" s="12">
        <f>675000/2</f>
        <v>337500</v>
      </c>
      <c r="G23" s="12">
        <v>95000</v>
      </c>
      <c r="H23" s="1340">
        <v>150000</v>
      </c>
      <c r="K23" s="41"/>
      <c r="L23" s="1270"/>
      <c r="M23" s="41"/>
      <c r="N23" s="41" t="s">
        <v>7315</v>
      </c>
      <c r="O23" s="9">
        <v>100</v>
      </c>
      <c r="P23" s="9"/>
      <c r="Q23" s="42">
        <v>300</v>
      </c>
    </row>
    <row r="24" spans="1:18">
      <c r="A24" s="1341" t="s">
        <v>7405</v>
      </c>
      <c r="B24" s="1286">
        <v>121315.26</v>
      </c>
      <c r="C24" s="1286"/>
      <c r="D24" s="1286"/>
      <c r="E24" s="1286">
        <f>583750/2</f>
        <v>291875</v>
      </c>
      <c r="F24" s="1286">
        <f>583750/2</f>
        <v>291875</v>
      </c>
      <c r="G24" s="1286">
        <v>90000</v>
      </c>
      <c r="H24" s="1289">
        <v>120000</v>
      </c>
      <c r="I24" s="1341"/>
      <c r="K24" s="41"/>
      <c r="L24" s="1270"/>
      <c r="M24" s="41"/>
      <c r="N24" s="77" t="s">
        <v>7318</v>
      </c>
      <c r="P24" s="133"/>
      <c r="Q24" s="135">
        <v>825</v>
      </c>
    </row>
    <row r="25" spans="1:18">
      <c r="A25" s="2272" t="s">
        <v>7319</v>
      </c>
      <c r="B25" s="2087"/>
      <c r="C25" s="1286"/>
      <c r="D25" s="1286"/>
      <c r="E25" s="1286">
        <f>E23*7/100</f>
        <v>23625</v>
      </c>
      <c r="F25" s="1286">
        <f>F23*7/100</f>
        <v>23625</v>
      </c>
      <c r="G25" s="1286">
        <v>2000</v>
      </c>
      <c r="H25" s="1289">
        <v>2000</v>
      </c>
      <c r="I25" s="1341" t="s">
        <v>7406</v>
      </c>
      <c r="K25" s="41"/>
      <c r="L25" s="1270"/>
      <c r="M25" s="41"/>
      <c r="N25" s="38"/>
      <c r="O25" s="38"/>
      <c r="P25" s="38"/>
      <c r="Q25" s="38"/>
    </row>
    <row r="26" spans="1:18">
      <c r="A26" s="2272" t="s">
        <v>7407</v>
      </c>
      <c r="B26" s="2087"/>
      <c r="C26" s="2087"/>
      <c r="D26" s="2087"/>
      <c r="E26" s="1286">
        <f>E23-E24-E25</f>
        <v>22000</v>
      </c>
      <c r="F26" s="1286">
        <f>F23-F24-F25</f>
        <v>22000</v>
      </c>
      <c r="G26" s="1286">
        <f>G23-G24-G25</f>
        <v>3000</v>
      </c>
      <c r="H26" s="1289">
        <f>H23-H24-H25</f>
        <v>28000</v>
      </c>
      <c r="I26" s="1286">
        <f>B26+E26+F26+G26+H26</f>
        <v>75000</v>
      </c>
      <c r="K26" s="41"/>
      <c r="L26" s="1270"/>
      <c r="M26" s="41"/>
      <c r="N26" s="1290"/>
      <c r="O26" s="25"/>
      <c r="P26" s="14"/>
      <c r="Q26" s="14"/>
    </row>
    <row r="27" spans="1:18">
      <c r="A27" s="9"/>
      <c r="B27" s="9"/>
      <c r="C27" s="9"/>
      <c r="D27" s="9"/>
      <c r="E27" s="9"/>
      <c r="F27" s="9"/>
      <c r="G27" s="9"/>
      <c r="H27" s="44"/>
      <c r="K27" s="41"/>
      <c r="L27" s="1270"/>
      <c r="M27" s="41"/>
      <c r="N27" s="1290"/>
      <c r="O27" s="25"/>
      <c r="P27" s="14"/>
      <c r="Q27" s="14"/>
    </row>
    <row r="28" spans="1:18">
      <c r="A28" s="9"/>
      <c r="B28" s="9"/>
      <c r="C28" s="9"/>
      <c r="D28" s="9"/>
      <c r="E28" s="9"/>
      <c r="F28" s="9"/>
      <c r="G28" s="9"/>
      <c r="H28" s="44"/>
      <c r="K28" s="41"/>
      <c r="L28" s="1270"/>
      <c r="M28" s="41"/>
      <c r="N28" s="1290"/>
      <c r="O28" s="25"/>
      <c r="P28" s="14"/>
      <c r="Q28" s="14"/>
    </row>
    <row r="29" spans="1:18">
      <c r="A29" s="9"/>
      <c r="B29" s="9"/>
      <c r="C29" s="9"/>
      <c r="D29" s="9"/>
      <c r="E29" s="9"/>
      <c r="F29" s="9"/>
      <c r="G29" s="9"/>
      <c r="H29" s="44"/>
      <c r="K29" s="41"/>
      <c r="L29" s="1270"/>
      <c r="M29" s="41"/>
      <c r="N29" s="1290"/>
      <c r="O29" s="25"/>
      <c r="P29" s="14"/>
      <c r="Q29" s="14"/>
    </row>
    <row r="30" spans="1:18">
      <c r="A30" s="41"/>
      <c r="B30" s="1270"/>
      <c r="C30" s="1270"/>
      <c r="D30" s="1270"/>
      <c r="E30" s="1270"/>
      <c r="F30" s="1270"/>
      <c r="G30" s="1270"/>
      <c r="H30" s="1291"/>
      <c r="K30" s="41"/>
      <c r="L30" s="1270"/>
      <c r="M30" s="449"/>
      <c r="N30" s="1292" t="s">
        <v>7325</v>
      </c>
      <c r="O30" s="1293"/>
      <c r="P30" s="1294"/>
      <c r="Q30" s="1295"/>
      <c r="R30" s="41"/>
    </row>
    <row r="31" spans="1:18">
      <c r="A31" s="41"/>
      <c r="B31" s="1296" t="s">
        <v>7326</v>
      </c>
      <c r="C31" s="1270"/>
      <c r="D31" s="1270"/>
      <c r="E31" s="1270"/>
      <c r="F31" s="1270"/>
      <c r="G31" s="1270"/>
      <c r="H31" s="1296"/>
      <c r="I31" s="245"/>
      <c r="J31" s="44"/>
      <c r="K31" s="41"/>
      <c r="L31" s="1270"/>
      <c r="M31" s="449"/>
      <c r="N31" s="41"/>
      <c r="Q31" s="16">
        <v>0</v>
      </c>
      <c r="R31" s="41"/>
    </row>
    <row r="32" spans="1:18">
      <c r="A32" s="47" t="s">
        <v>7327</v>
      </c>
      <c r="B32" s="1296" t="s">
        <v>7328</v>
      </c>
      <c r="C32" s="1296" t="s">
        <v>7329</v>
      </c>
      <c r="D32" s="1296" t="s">
        <v>7330</v>
      </c>
      <c r="E32" s="1296" t="s">
        <v>7331</v>
      </c>
      <c r="F32" s="1296" t="s">
        <v>7332</v>
      </c>
      <c r="G32" s="1296" t="s">
        <v>7408</v>
      </c>
      <c r="H32" s="1296"/>
      <c r="I32" s="245"/>
      <c r="J32" s="44"/>
      <c r="K32" s="41"/>
      <c r="L32" s="1270"/>
      <c r="M32" s="449"/>
      <c r="N32" s="41" t="s">
        <v>7335</v>
      </c>
      <c r="P32" s="9">
        <v>200</v>
      </c>
      <c r="Q32" s="16">
        <v>200</v>
      </c>
      <c r="R32" s="41"/>
    </row>
    <row r="33" spans="1:18">
      <c r="A33" s="41" t="s">
        <v>7268</v>
      </c>
      <c r="B33" s="1251">
        <v>45000</v>
      </c>
      <c r="C33" s="1251">
        <v>8000</v>
      </c>
      <c r="D33" s="1251">
        <v>120000</v>
      </c>
      <c r="E33" s="1251">
        <v>121315</v>
      </c>
      <c r="F33" s="1251">
        <v>2000</v>
      </c>
      <c r="G33" s="1251">
        <f t="shared" ref="G33:G43" si="0">D33-E33-F33</f>
        <v>-3315</v>
      </c>
      <c r="H33" s="1251"/>
      <c r="I33" s="245"/>
      <c r="J33" s="44"/>
      <c r="K33" s="41"/>
      <c r="L33" s="1270"/>
      <c r="M33" s="449"/>
      <c r="N33" s="41" t="s">
        <v>7336</v>
      </c>
      <c r="Q33" s="16">
        <v>1200</v>
      </c>
      <c r="R33" s="41"/>
    </row>
    <row r="34" spans="1:18">
      <c r="A34" s="41" t="s">
        <v>7337</v>
      </c>
      <c r="B34" s="1251">
        <v>25000</v>
      </c>
      <c r="C34" s="1251">
        <v>18000</v>
      </c>
      <c r="D34" s="1251">
        <v>95000</v>
      </c>
      <c r="E34" s="1251">
        <v>90000</v>
      </c>
      <c r="F34" s="1251">
        <v>2000</v>
      </c>
      <c r="G34" s="1251">
        <f t="shared" si="0"/>
        <v>3000</v>
      </c>
      <c r="H34" s="1251"/>
      <c r="I34" s="245"/>
      <c r="J34" s="44"/>
      <c r="K34" s="9"/>
      <c r="L34" s="1270"/>
      <c r="M34" s="449"/>
      <c r="N34" s="41" t="s">
        <v>7338</v>
      </c>
      <c r="Q34" s="16">
        <v>500</v>
      </c>
      <c r="R34" s="41"/>
    </row>
    <row r="35" spans="1:18">
      <c r="A35" s="41" t="s">
        <v>7269</v>
      </c>
      <c r="B35" s="1299">
        <v>110000</v>
      </c>
      <c r="C35" s="1251">
        <v>15000</v>
      </c>
      <c r="D35" s="1300">
        <v>337500</v>
      </c>
      <c r="E35" s="1251">
        <f>583750/2</f>
        <v>291875</v>
      </c>
      <c r="F35" s="1251">
        <v>22250</v>
      </c>
      <c r="G35" s="1251">
        <f t="shared" si="0"/>
        <v>23375</v>
      </c>
      <c r="H35" s="1251"/>
      <c r="I35" s="245"/>
      <c r="J35" s="44"/>
      <c r="K35" s="9"/>
      <c r="L35" s="1270"/>
      <c r="M35" s="449"/>
      <c r="N35" s="41" t="s">
        <v>7339</v>
      </c>
      <c r="Q35" s="16">
        <v>150</v>
      </c>
      <c r="R35" s="41"/>
    </row>
    <row r="36" spans="1:18">
      <c r="A36" s="41" t="s">
        <v>7270</v>
      </c>
      <c r="B36" s="1251">
        <v>50000</v>
      </c>
      <c r="C36" s="1251">
        <v>40000</v>
      </c>
      <c r="D36" s="1300">
        <v>337500</v>
      </c>
      <c r="E36" s="1251">
        <f>583750/2</f>
        <v>291875</v>
      </c>
      <c r="F36" s="1251">
        <v>22250</v>
      </c>
      <c r="G36" s="1251">
        <f t="shared" si="0"/>
        <v>23375</v>
      </c>
      <c r="H36" s="1251"/>
      <c r="I36" s="245"/>
      <c r="J36" s="44"/>
      <c r="K36" s="41"/>
      <c r="L36" s="1270"/>
      <c r="M36" s="449"/>
      <c r="N36" s="9" t="s">
        <v>7340</v>
      </c>
      <c r="P36" s="9">
        <v>50</v>
      </c>
      <c r="R36" s="41"/>
    </row>
    <row r="37" spans="1:18">
      <c r="A37" s="41" t="s">
        <v>7341</v>
      </c>
      <c r="B37" s="1251">
        <v>48000</v>
      </c>
      <c r="C37" s="1251">
        <v>15000</v>
      </c>
      <c r="D37" s="1251">
        <v>125000</v>
      </c>
      <c r="E37" s="1251">
        <v>110000</v>
      </c>
      <c r="F37" s="1251">
        <v>9000</v>
      </c>
      <c r="G37" s="1251">
        <f t="shared" si="0"/>
        <v>6000</v>
      </c>
      <c r="H37" s="1251"/>
      <c r="I37" s="245"/>
      <c r="J37" s="44"/>
      <c r="K37" s="41"/>
      <c r="L37" s="1270"/>
      <c r="M37" s="449"/>
      <c r="R37" s="41"/>
    </row>
    <row r="38" spans="1:18">
      <c r="A38" s="41" t="s">
        <v>7342</v>
      </c>
      <c r="B38" s="1251">
        <v>120000</v>
      </c>
      <c r="C38" s="1251">
        <v>12000</v>
      </c>
      <c r="D38" s="1251">
        <v>150000</v>
      </c>
      <c r="E38" s="1251">
        <v>120000</v>
      </c>
      <c r="F38" s="1251">
        <v>2000</v>
      </c>
      <c r="G38" s="1251">
        <f t="shared" si="0"/>
        <v>28000</v>
      </c>
      <c r="H38" s="1251"/>
      <c r="I38" s="245"/>
      <c r="J38" s="44"/>
      <c r="K38" s="41"/>
      <c r="L38" s="1270"/>
      <c r="M38" s="449"/>
      <c r="R38" s="41"/>
    </row>
    <row r="39" spans="1:18">
      <c r="A39" s="1271"/>
      <c r="B39" s="1301"/>
      <c r="C39" s="1301"/>
      <c r="D39" s="1301"/>
      <c r="E39" s="1301"/>
      <c r="F39" s="1301"/>
      <c r="G39" s="1251">
        <f t="shared" si="0"/>
        <v>0</v>
      </c>
      <c r="H39" s="1301"/>
      <c r="I39" s="1302"/>
      <c r="J39" s="44"/>
      <c r="K39" s="41"/>
      <c r="L39" s="1303"/>
      <c r="M39" s="449"/>
      <c r="N39" s="41" t="s">
        <v>7343</v>
      </c>
      <c r="Q39" s="16"/>
      <c r="R39" s="41"/>
    </row>
    <row r="40" spans="1:18">
      <c r="A40" s="1304" t="s">
        <v>5752</v>
      </c>
      <c r="B40" s="1301">
        <v>45000</v>
      </c>
      <c r="C40" s="1301">
        <v>8000</v>
      </c>
      <c r="D40" s="1301"/>
      <c r="E40" s="1301"/>
      <c r="F40" s="1301"/>
      <c r="G40" s="1251">
        <f t="shared" si="0"/>
        <v>0</v>
      </c>
      <c r="H40" s="1301"/>
      <c r="I40" s="1302"/>
      <c r="J40" s="44"/>
      <c r="K40" s="41"/>
      <c r="L40" s="1303"/>
      <c r="M40" s="41"/>
      <c r="N40" s="41" t="s">
        <v>7344</v>
      </c>
      <c r="Q40" s="16">
        <v>180</v>
      </c>
    </row>
    <row r="41" spans="1:18">
      <c r="A41" s="41" t="s">
        <v>7345</v>
      </c>
      <c r="B41" s="1251">
        <v>32000</v>
      </c>
      <c r="C41" s="1251">
        <v>3000</v>
      </c>
      <c r="D41" s="1251"/>
      <c r="E41" s="1251"/>
      <c r="F41" s="1251"/>
      <c r="G41" s="1251">
        <f t="shared" si="0"/>
        <v>0</v>
      </c>
      <c r="H41" s="1251"/>
      <c r="I41" s="41"/>
      <c r="J41" s="44"/>
      <c r="K41" s="41"/>
      <c r="L41" s="42"/>
      <c r="M41" s="449"/>
      <c r="N41" s="1271" t="s">
        <v>67</v>
      </c>
      <c r="Q41" s="711">
        <f>SUM(Q31:Q37)</f>
        <v>2050</v>
      </c>
      <c r="R41" s="41"/>
    </row>
    <row r="42" spans="1:18">
      <c r="A42" s="9" t="s">
        <v>7266</v>
      </c>
      <c r="B42" s="760">
        <v>20000</v>
      </c>
      <c r="C42" s="760">
        <v>55000</v>
      </c>
      <c r="D42" s="760"/>
      <c r="E42" s="760"/>
      <c r="F42" s="760"/>
      <c r="G42" s="1251">
        <f t="shared" si="0"/>
        <v>0</v>
      </c>
      <c r="H42" s="760"/>
      <c r="I42" s="41"/>
      <c r="J42" s="44"/>
      <c r="K42" s="41"/>
      <c r="L42" s="42"/>
      <c r="M42" s="449"/>
      <c r="N42" s="41"/>
      <c r="Q42" s="16">
        <v>600</v>
      </c>
      <c r="R42" s="41"/>
    </row>
    <row r="43" spans="1:18">
      <c r="A43" s="9" t="s">
        <v>7346</v>
      </c>
      <c r="B43" s="760"/>
      <c r="C43" s="760">
        <v>35000</v>
      </c>
      <c r="D43" s="760"/>
      <c r="E43" s="760"/>
      <c r="F43" s="760"/>
      <c r="G43" s="1251">
        <f t="shared" si="0"/>
        <v>0</v>
      </c>
      <c r="H43" s="760"/>
      <c r="I43" s="41"/>
      <c r="J43" s="44"/>
      <c r="K43" s="41"/>
      <c r="L43" s="1270">
        <v>1350</v>
      </c>
      <c r="M43" s="449"/>
      <c r="N43" s="77" t="s">
        <v>7347</v>
      </c>
      <c r="P43" s="133">
        <f>20*12</f>
        <v>240</v>
      </c>
      <c r="Q43" s="134">
        <v>165</v>
      </c>
      <c r="R43" s="41"/>
    </row>
    <row r="44" spans="1:18">
      <c r="G44" s="16">
        <f>SUM(G33:G42)</f>
        <v>80435</v>
      </c>
      <c r="I44" s="41"/>
      <c r="J44" s="44"/>
      <c r="K44" s="41"/>
      <c r="L44" s="1270">
        <v>20000</v>
      </c>
      <c r="M44" s="449"/>
      <c r="N44" s="1305"/>
      <c r="O44" s="1305"/>
      <c r="P44" s="38"/>
      <c r="Q44" s="38"/>
      <c r="R44" s="41"/>
    </row>
    <row r="45" spans="1:18">
      <c r="F45" s="133"/>
      <c r="I45" s="77"/>
      <c r="J45" s="884"/>
      <c r="K45" s="77"/>
      <c r="L45" s="884">
        <v>0</v>
      </c>
      <c r="M45" s="449"/>
      <c r="N45" s="1252" t="s">
        <v>7348</v>
      </c>
      <c r="O45" s="1306" t="s">
        <v>3258</v>
      </c>
      <c r="P45" s="41"/>
      <c r="R45" s="41"/>
    </row>
    <row r="46" spans="1:18">
      <c r="A46" s="38"/>
      <c r="B46" s="38"/>
      <c r="C46" s="38"/>
      <c r="D46" s="38"/>
      <c r="E46" s="38"/>
      <c r="G46" s="38"/>
      <c r="H46" s="38"/>
      <c r="I46" s="38"/>
      <c r="J46" s="38"/>
      <c r="K46" s="38"/>
      <c r="L46" s="38"/>
      <c r="M46" s="44"/>
      <c r="N46" s="41" t="s">
        <v>7349</v>
      </c>
      <c r="O46" s="44"/>
      <c r="P46" s="41"/>
      <c r="R46" s="41"/>
    </row>
    <row r="47" spans="1:18">
      <c r="A47" s="133"/>
      <c r="B47" s="133"/>
      <c r="C47" s="133"/>
      <c r="E47" s="133"/>
      <c r="F47" s="133"/>
      <c r="G47" s="133"/>
      <c r="H47" s="133"/>
      <c r="I47" s="133"/>
      <c r="J47" s="133"/>
      <c r="M47" s="44"/>
      <c r="N47" s="41" t="s">
        <v>7278</v>
      </c>
      <c r="O47" s="44"/>
      <c r="P47" s="41"/>
      <c r="R47" s="41"/>
    </row>
    <row r="48" spans="1:18">
      <c r="A48" s="1252" t="s">
        <v>7350</v>
      </c>
      <c r="B48" s="1253">
        <v>2015</v>
      </c>
      <c r="C48" s="1306">
        <v>2014</v>
      </c>
      <c r="D48" s="449"/>
      <c r="E48" s="1252" t="s">
        <v>7351</v>
      </c>
      <c r="F48" s="1308" t="s">
        <v>7352</v>
      </c>
      <c r="G48" s="1308" t="s">
        <v>7353</v>
      </c>
      <c r="H48" s="1308"/>
      <c r="I48" s="1308" t="s">
        <v>3281</v>
      </c>
      <c r="J48" s="1276"/>
      <c r="K48" s="41"/>
      <c r="M48" s="44"/>
      <c r="N48" s="41" t="s">
        <v>7354</v>
      </c>
      <c r="O48" s="44"/>
      <c r="P48" s="41"/>
      <c r="R48" s="41"/>
    </row>
    <row r="49" spans="1:18">
      <c r="A49" s="41" t="s">
        <v>66</v>
      </c>
      <c r="C49" s="44">
        <v>115</v>
      </c>
      <c r="D49" s="449"/>
      <c r="E49" s="41"/>
      <c r="F49" s="16"/>
      <c r="G49" s="16"/>
      <c r="H49" s="16"/>
      <c r="I49" s="443"/>
      <c r="J49" s="44"/>
      <c r="K49" s="41"/>
      <c r="M49" s="44"/>
      <c r="N49" s="41"/>
      <c r="O49" s="44"/>
      <c r="P49" s="41"/>
      <c r="R49" s="41"/>
    </row>
    <row r="50" spans="1:18">
      <c r="A50" s="41" t="s">
        <v>725</v>
      </c>
      <c r="C50" s="1309">
        <v>57</v>
      </c>
      <c r="D50" s="449"/>
      <c r="E50" s="41"/>
      <c r="F50" s="16"/>
      <c r="G50" s="16"/>
      <c r="H50" s="16"/>
      <c r="I50" s="443"/>
      <c r="J50" s="44"/>
      <c r="K50" s="41"/>
      <c r="M50" s="44"/>
      <c r="N50" s="41"/>
      <c r="O50" s="44"/>
      <c r="P50" s="41"/>
      <c r="R50" s="41"/>
    </row>
    <row r="51" spans="1:18">
      <c r="A51" s="41" t="s">
        <v>725</v>
      </c>
      <c r="C51" s="1309">
        <v>20</v>
      </c>
      <c r="D51" s="449"/>
      <c r="E51" s="41"/>
      <c r="F51" s="16"/>
      <c r="G51" s="16"/>
      <c r="H51" s="16"/>
      <c r="I51" s="443"/>
      <c r="J51" s="44"/>
      <c r="K51" s="41"/>
      <c r="M51" s="44"/>
      <c r="N51" s="41"/>
      <c r="O51" s="44"/>
      <c r="P51" s="41"/>
      <c r="R51" s="41"/>
    </row>
    <row r="52" spans="1:18">
      <c r="A52" s="41" t="s">
        <v>725</v>
      </c>
      <c r="C52" s="1309">
        <v>145</v>
      </c>
      <c r="D52" s="449"/>
      <c r="E52" s="41" t="s">
        <v>135</v>
      </c>
      <c r="F52" s="16" t="s">
        <v>135</v>
      </c>
      <c r="G52" s="16" t="s">
        <v>135</v>
      </c>
      <c r="H52" s="16"/>
      <c r="I52" s="9" t="s">
        <v>135</v>
      </c>
      <c r="J52" s="44" t="s">
        <v>135</v>
      </c>
      <c r="K52" s="41"/>
      <c r="N52" s="41"/>
      <c r="O52" s="44"/>
      <c r="P52" s="41"/>
    </row>
    <row r="53" spans="1:18">
      <c r="A53" s="41" t="s">
        <v>7355</v>
      </c>
      <c r="C53" s="1309">
        <v>501</v>
      </c>
      <c r="D53" s="449"/>
      <c r="E53" s="41" t="s">
        <v>135</v>
      </c>
      <c r="F53" s="16" t="s">
        <v>135</v>
      </c>
      <c r="G53" s="16" t="s">
        <v>135</v>
      </c>
      <c r="H53" s="16"/>
      <c r="I53" s="9" t="s">
        <v>135</v>
      </c>
      <c r="J53" s="44" t="s">
        <v>135</v>
      </c>
      <c r="K53" s="41"/>
      <c r="M53" s="44"/>
      <c r="N53" s="41"/>
      <c r="O53" s="44"/>
      <c r="P53" s="41"/>
    </row>
    <row r="54" spans="1:18">
      <c r="A54" s="1280" t="s">
        <v>67</v>
      </c>
      <c r="B54" s="133"/>
      <c r="C54" s="1310">
        <f>SUM(C50:C53)</f>
        <v>723</v>
      </c>
      <c r="D54" s="449"/>
      <c r="E54" s="77" t="s">
        <v>67</v>
      </c>
      <c r="F54" s="1311">
        <f>SUM(F49:F53)</f>
        <v>0</v>
      </c>
      <c r="G54" s="1311">
        <f>SUM(G49:G53)</f>
        <v>0</v>
      </c>
      <c r="H54" s="1311"/>
      <c r="I54" s="133"/>
      <c r="J54" s="884"/>
      <c r="K54" s="41"/>
      <c r="M54" s="44"/>
      <c r="N54" s="77" t="s">
        <v>7356</v>
      </c>
      <c r="O54" s="1312"/>
      <c r="P54" s="41"/>
    </row>
    <row r="55" spans="1:18">
      <c r="A55" s="1229"/>
      <c r="B55" s="1313"/>
      <c r="C55" s="1229"/>
      <c r="D55" s="133"/>
      <c r="E55" s="38"/>
      <c r="F55" s="38"/>
      <c r="G55" s="38"/>
      <c r="H55" s="38"/>
      <c r="I55" s="38"/>
      <c r="J55" s="38"/>
    </row>
    <row r="56" spans="1:18">
      <c r="A56" s="2273" t="s">
        <v>7357</v>
      </c>
      <c r="B56" s="2094"/>
      <c r="C56" s="2094"/>
      <c r="D56" s="2095"/>
      <c r="E56" s="1271"/>
      <c r="I56" s="2148"/>
      <c r="J56" s="2087"/>
    </row>
    <row r="57" spans="1:18">
      <c r="A57" s="41" t="s">
        <v>1127</v>
      </c>
      <c r="B57" s="16" t="s">
        <v>5687</v>
      </c>
      <c r="C57" s="9" t="s">
        <v>3281</v>
      </c>
      <c r="D57" s="44" t="s">
        <v>7358</v>
      </c>
      <c r="E57" s="41"/>
      <c r="I57" s="16"/>
      <c r="J57" s="9"/>
    </row>
    <row r="58" spans="1:18">
      <c r="A58" s="41" t="s">
        <v>7359</v>
      </c>
      <c r="B58" s="16">
        <v>6000</v>
      </c>
      <c r="C58" s="9" t="s">
        <v>7360</v>
      </c>
      <c r="D58" s="44" t="s">
        <v>7361</v>
      </c>
      <c r="E58" s="41"/>
      <c r="I58" s="16"/>
      <c r="J58" s="9"/>
    </row>
    <row r="59" spans="1:18">
      <c r="A59" s="41" t="s">
        <v>7362</v>
      </c>
      <c r="B59" s="16">
        <v>3600</v>
      </c>
      <c r="C59" s="9" t="s">
        <v>7363</v>
      </c>
      <c r="D59" s="44" t="s">
        <v>7361</v>
      </c>
      <c r="E59" s="1271"/>
      <c r="I59" s="897"/>
      <c r="J59" s="9"/>
    </row>
    <row r="60" spans="1:18">
      <c r="A60" s="41" t="s">
        <v>7364</v>
      </c>
      <c r="B60" s="16">
        <v>1000</v>
      </c>
      <c r="C60" s="9" t="s">
        <v>7365</v>
      </c>
      <c r="D60" s="44" t="s">
        <v>7361</v>
      </c>
      <c r="E60" s="41"/>
    </row>
    <row r="61" spans="1:18">
      <c r="A61" s="41" t="s">
        <v>7366</v>
      </c>
      <c r="B61" s="16">
        <v>1100</v>
      </c>
      <c r="C61" s="9" t="s">
        <v>7367</v>
      </c>
      <c r="D61" s="44" t="s">
        <v>7361</v>
      </c>
      <c r="E61" s="41"/>
    </row>
    <row r="62" spans="1:18">
      <c r="A62" s="41"/>
      <c r="B62" s="16"/>
      <c r="C62" s="443"/>
      <c r="D62" s="44"/>
      <c r="E62" s="41"/>
    </row>
    <row r="63" spans="1:18">
      <c r="A63" s="1280" t="s">
        <v>67</v>
      </c>
      <c r="B63" s="1311">
        <f>SUM(B57:B62)</f>
        <v>11700</v>
      </c>
      <c r="C63" s="133"/>
      <c r="D63" s="884"/>
      <c r="E63" s="41"/>
    </row>
    <row r="64" spans="1:18">
      <c r="A64" s="38"/>
      <c r="B64" s="38"/>
      <c r="C64" s="38"/>
      <c r="D64" s="38"/>
    </row>
    <row r="69" spans="1:10">
      <c r="B69" s="9"/>
      <c r="C69" s="16"/>
    </row>
    <row r="70" spans="1:10">
      <c r="A70" s="1314" t="s">
        <v>3364</v>
      </c>
      <c r="B70" s="2274" t="s">
        <v>7368</v>
      </c>
      <c r="C70" s="2094"/>
      <c r="D70" s="1315" t="s">
        <v>1112</v>
      </c>
      <c r="F70" s="2147" t="s">
        <v>7369</v>
      </c>
      <c r="G70" s="2094"/>
      <c r="H70" s="2094"/>
      <c r="I70" s="2095"/>
    </row>
    <row r="71" spans="1:10">
      <c r="A71" s="1316">
        <v>42412</v>
      </c>
      <c r="B71" s="2088" t="s">
        <v>7370</v>
      </c>
      <c r="C71" s="2087"/>
      <c r="D71" s="19">
        <v>104</v>
      </c>
      <c r="F71" s="41" t="s">
        <v>38</v>
      </c>
      <c r="G71" s="9"/>
      <c r="H71" s="9"/>
      <c r="I71" s="44">
        <f>525+576</f>
        <v>1101</v>
      </c>
    </row>
    <row r="72" spans="1:10">
      <c r="A72" s="1316"/>
      <c r="B72" s="2088"/>
      <c r="C72" s="2087"/>
      <c r="D72" s="19"/>
      <c r="F72" s="41" t="s">
        <v>7371</v>
      </c>
      <c r="I72" s="44">
        <v>80</v>
      </c>
    </row>
    <row r="73" spans="1:10">
      <c r="A73" s="646"/>
      <c r="B73" s="2088"/>
      <c r="C73" s="2087"/>
      <c r="D73" s="19"/>
      <c r="E73" s="9"/>
      <c r="F73" s="41" t="s">
        <v>7372</v>
      </c>
      <c r="G73" s="9"/>
      <c r="H73" s="9"/>
      <c r="I73" s="44">
        <v>15</v>
      </c>
    </row>
    <row r="74" spans="1:10">
      <c r="A74" s="1316"/>
      <c r="B74" s="2088"/>
      <c r="C74" s="2087"/>
      <c r="D74" s="19"/>
      <c r="F74" s="41" t="s">
        <v>7373</v>
      </c>
      <c r="G74" s="9">
        <f>70*2*20</f>
        <v>2800</v>
      </c>
      <c r="H74" s="9"/>
      <c r="I74" s="44">
        <f>G74*0.58</f>
        <v>1624</v>
      </c>
    </row>
    <row r="75" spans="1:10">
      <c r="A75" s="1316"/>
      <c r="B75" s="2088"/>
      <c r="C75" s="2087"/>
      <c r="D75" s="19"/>
      <c r="F75" s="47" t="s">
        <v>4795</v>
      </c>
      <c r="G75" s="9"/>
      <c r="H75" s="9"/>
      <c r="I75" s="44"/>
    </row>
    <row r="76" spans="1:10">
      <c r="A76" s="1316"/>
      <c r="B76" s="2088"/>
      <c r="C76" s="2087"/>
      <c r="D76" s="19"/>
      <c r="F76" s="41" t="s">
        <v>7374</v>
      </c>
      <c r="G76" s="9" t="s">
        <v>135</v>
      </c>
      <c r="H76" s="9"/>
      <c r="I76" s="44">
        <v>225</v>
      </c>
    </row>
    <row r="77" spans="1:10">
      <c r="A77" s="1316"/>
      <c r="B77" s="2088"/>
      <c r="C77" s="2087"/>
      <c r="D77" s="19"/>
      <c r="F77" s="41" t="s">
        <v>55</v>
      </c>
      <c r="I77" s="44">
        <v>40</v>
      </c>
    </row>
    <row r="78" spans="1:10">
      <c r="A78" s="1316"/>
      <c r="B78" s="2088"/>
      <c r="C78" s="2087"/>
      <c r="D78" s="19"/>
      <c r="E78" s="9"/>
      <c r="F78" s="41" t="s">
        <v>7375</v>
      </c>
      <c r="I78" s="44">
        <v>600</v>
      </c>
    </row>
    <row r="79" spans="1:10">
      <c r="A79" s="1316"/>
      <c r="B79" s="2088"/>
      <c r="C79" s="2087"/>
      <c r="D79" s="19"/>
      <c r="E79" s="9"/>
      <c r="F79" s="41" t="s">
        <v>7376</v>
      </c>
      <c r="I79" s="44">
        <v>42</v>
      </c>
      <c r="J79" s="9"/>
    </row>
    <row r="80" spans="1:10">
      <c r="A80" s="1316"/>
      <c r="B80" s="2088"/>
      <c r="C80" s="2087"/>
      <c r="D80" s="19"/>
      <c r="F80" s="41"/>
      <c r="I80" s="44"/>
      <c r="J80" s="9"/>
    </row>
    <row r="81" spans="1:10">
      <c r="A81" s="1316"/>
      <c r="B81" s="2088"/>
      <c r="C81" s="2087"/>
      <c r="D81" s="19"/>
      <c r="F81" s="41"/>
      <c r="G81" s="9"/>
      <c r="H81" s="9"/>
      <c r="I81" s="44"/>
      <c r="J81" s="9"/>
    </row>
    <row r="82" spans="1:10">
      <c r="A82" s="1316"/>
      <c r="B82" s="2088"/>
      <c r="C82" s="2087"/>
      <c r="D82" s="19"/>
      <c r="E82" s="9"/>
      <c r="F82" s="41"/>
      <c r="I82" s="44"/>
      <c r="J82" s="9"/>
    </row>
    <row r="83" spans="1:10">
      <c r="A83" s="1316"/>
      <c r="B83" s="2088"/>
      <c r="C83" s="2087"/>
      <c r="D83" s="19"/>
      <c r="F83" s="1317"/>
      <c r="G83" s="443"/>
      <c r="H83" s="443"/>
      <c r="I83" s="44"/>
      <c r="J83" s="9"/>
    </row>
    <row r="84" spans="1:10">
      <c r="A84" s="1316"/>
      <c r="B84" s="2088"/>
      <c r="C84" s="2087"/>
      <c r="D84" s="19"/>
      <c r="F84" s="1317"/>
      <c r="G84" s="443"/>
      <c r="H84" s="443"/>
      <c r="I84" s="44"/>
      <c r="J84" s="9"/>
    </row>
    <row r="85" spans="1:10">
      <c r="A85" s="1316"/>
      <c r="B85" s="2088"/>
      <c r="C85" s="2087"/>
      <c r="D85" s="19"/>
      <c r="F85" s="1317"/>
      <c r="G85" s="443"/>
      <c r="H85" s="443"/>
      <c r="I85" s="44"/>
      <c r="J85" s="9"/>
    </row>
    <row r="86" spans="1:10">
      <c r="A86" s="1316"/>
      <c r="B86" s="2088"/>
      <c r="C86" s="2087"/>
      <c r="D86" s="19"/>
      <c r="F86" s="1317"/>
      <c r="G86" s="443"/>
      <c r="H86" s="443"/>
      <c r="I86" s="44"/>
      <c r="J86" s="9"/>
    </row>
    <row r="87" spans="1:10">
      <c r="A87" s="1316"/>
      <c r="B87" s="2088"/>
      <c r="C87" s="2087"/>
      <c r="D87" s="19"/>
      <c r="F87" s="41"/>
      <c r="I87" s="44"/>
      <c r="J87" s="9"/>
    </row>
    <row r="88" spans="1:10">
      <c r="A88" s="1316"/>
      <c r="B88" s="2088"/>
      <c r="C88" s="2087"/>
      <c r="D88" s="19"/>
      <c r="F88" s="881" t="s">
        <v>7377</v>
      </c>
      <c r="G88" s="150"/>
      <c r="H88" s="150"/>
      <c r="I88" s="1318">
        <f>I71-SUM(I72:I87)</f>
        <v>-1525</v>
      </c>
      <c r="J88" s="9"/>
    </row>
    <row r="89" spans="1:10">
      <c r="A89" s="1316"/>
      <c r="B89" s="2088"/>
      <c r="C89" s="2087"/>
      <c r="D89" s="19"/>
      <c r="F89" s="443"/>
      <c r="G89" s="443"/>
      <c r="H89" s="443"/>
      <c r="J89" s="9"/>
    </row>
    <row r="90" spans="1:10">
      <c r="A90" s="646"/>
      <c r="B90" s="2088"/>
      <c r="C90" s="2087"/>
      <c r="D90" s="19"/>
      <c r="F90" s="443"/>
      <c r="G90" s="443"/>
      <c r="H90" s="443"/>
      <c r="J90" s="9"/>
    </row>
    <row r="91" spans="1:10">
      <c r="A91" s="1316"/>
      <c r="B91" s="2088"/>
      <c r="C91" s="2087"/>
      <c r="D91" s="19"/>
      <c r="F91" s="443"/>
      <c r="G91" s="443"/>
      <c r="H91" s="443"/>
      <c r="J91" s="9"/>
    </row>
    <row r="92" spans="1:10">
      <c r="A92" s="1316"/>
      <c r="B92" s="2088"/>
      <c r="C92" s="2087"/>
      <c r="D92" s="19"/>
      <c r="F92" s="443"/>
      <c r="G92" s="443"/>
      <c r="H92" s="443"/>
      <c r="J92" s="9"/>
    </row>
    <row r="93" spans="1:10">
      <c r="A93" s="1316"/>
      <c r="B93" s="2088"/>
      <c r="C93" s="2087"/>
      <c r="D93" s="19"/>
      <c r="F93" s="443"/>
      <c r="G93" s="443"/>
      <c r="H93" s="443"/>
    </row>
    <row r="94" spans="1:10">
      <c r="A94" s="1316"/>
      <c r="B94" s="2088"/>
      <c r="C94" s="2087"/>
      <c r="D94" s="19"/>
      <c r="F94" s="443"/>
      <c r="G94" s="443"/>
      <c r="H94" s="443"/>
    </row>
    <row r="95" spans="1:10">
      <c r="A95" s="1316"/>
      <c r="B95" s="2088"/>
      <c r="C95" s="2087"/>
      <c r="D95" s="19"/>
      <c r="F95" s="443"/>
      <c r="G95" s="443"/>
      <c r="H95" s="443"/>
    </row>
    <row r="96" spans="1:10">
      <c r="A96" s="1316"/>
      <c r="B96" s="2088"/>
      <c r="C96" s="2087"/>
      <c r="D96" s="19"/>
      <c r="F96" s="443"/>
      <c r="G96" s="443"/>
      <c r="H96" s="443"/>
    </row>
    <row r="97" spans="1:5">
      <c r="A97" s="1316"/>
      <c r="B97" s="2088"/>
      <c r="C97" s="2087"/>
      <c r="D97" s="19"/>
    </row>
    <row r="98" spans="1:5">
      <c r="A98" s="1316"/>
      <c r="B98" s="2088"/>
      <c r="C98" s="2087"/>
      <c r="D98" s="19"/>
    </row>
    <row r="99" spans="1:5">
      <c r="A99" s="1316"/>
      <c r="B99" s="2088"/>
      <c r="C99" s="2087"/>
      <c r="D99" s="19"/>
    </row>
    <row r="100" spans="1:5">
      <c r="A100" s="1316"/>
      <c r="B100" s="2088"/>
      <c r="C100" s="2087"/>
      <c r="D100" s="19"/>
    </row>
    <row r="101" spans="1:5">
      <c r="A101" s="1316"/>
      <c r="B101" s="2088"/>
      <c r="C101" s="2087"/>
      <c r="D101" s="19"/>
    </row>
    <row r="102" spans="1:5">
      <c r="A102" s="1316"/>
      <c r="B102" s="2088"/>
      <c r="C102" s="2087"/>
      <c r="D102" s="19"/>
    </row>
    <row r="103" spans="1:5">
      <c r="A103" s="1316"/>
      <c r="B103" s="2088"/>
      <c r="C103" s="2087"/>
      <c r="D103" s="19"/>
    </row>
    <row r="104" spans="1:5">
      <c r="D104" s="44"/>
    </row>
    <row r="105" spans="1:5">
      <c r="A105" s="1319"/>
      <c r="B105" s="2088"/>
      <c r="C105" s="2087"/>
      <c r="D105" s="19"/>
    </row>
    <row r="106" spans="1:5">
      <c r="A106" s="1319"/>
      <c r="B106" s="2088"/>
      <c r="C106" s="2087"/>
      <c r="D106" s="19"/>
    </row>
    <row r="107" spans="1:5">
      <c r="A107" s="1319"/>
      <c r="B107" s="2088"/>
      <c r="C107" s="2087"/>
      <c r="D107" s="19"/>
    </row>
    <row r="108" spans="1:5">
      <c r="A108" s="1320" t="s">
        <v>7378</v>
      </c>
      <c r="B108" s="2275"/>
      <c r="C108" s="2144"/>
      <c r="D108" s="1321">
        <f>SUM(D71:D107)</f>
        <v>104</v>
      </c>
      <c r="E108" s="333"/>
    </row>
    <row r="109" spans="1:5">
      <c r="A109" s="9"/>
      <c r="B109" s="9"/>
    </row>
  </sheetData>
  <mergeCells count="46">
    <mergeCell ref="B105:C105"/>
    <mergeCell ref="B106:C106"/>
    <mergeCell ref="B107:C107"/>
    <mergeCell ref="B108:C108"/>
    <mergeCell ref="B97:C97"/>
    <mergeCell ref="B98:C98"/>
    <mergeCell ref="B99:C99"/>
    <mergeCell ref="B100:C100"/>
    <mergeCell ref="B101:C101"/>
    <mergeCell ref="B102:C102"/>
    <mergeCell ref="B103:C103"/>
    <mergeCell ref="B92:C92"/>
    <mergeCell ref="B93:C93"/>
    <mergeCell ref="B94:C94"/>
    <mergeCell ref="B95:C95"/>
    <mergeCell ref="B96:C96"/>
    <mergeCell ref="B87:C87"/>
    <mergeCell ref="B88:C88"/>
    <mergeCell ref="B89:C89"/>
    <mergeCell ref="B90:C90"/>
    <mergeCell ref="B91:C91"/>
    <mergeCell ref="B82:C82"/>
    <mergeCell ref="B83:C83"/>
    <mergeCell ref="B84:C84"/>
    <mergeCell ref="B85:C85"/>
    <mergeCell ref="B86:C86"/>
    <mergeCell ref="B77:C77"/>
    <mergeCell ref="B78:C78"/>
    <mergeCell ref="B79:C79"/>
    <mergeCell ref="B80:C80"/>
    <mergeCell ref="B81:C81"/>
    <mergeCell ref="B72:C72"/>
    <mergeCell ref="B73:C73"/>
    <mergeCell ref="B74:C74"/>
    <mergeCell ref="B75:C75"/>
    <mergeCell ref="B76:C76"/>
    <mergeCell ref="A56:D56"/>
    <mergeCell ref="I56:J56"/>
    <mergeCell ref="B70:C70"/>
    <mergeCell ref="F70:I70"/>
    <mergeCell ref="B71:C71"/>
    <mergeCell ref="K2:L2"/>
    <mergeCell ref="I3:J3"/>
    <mergeCell ref="K3:L3"/>
    <mergeCell ref="A25:B25"/>
    <mergeCell ref="A26:D26"/>
  </mergeCells>
  <printOptions horizontalCentered="1" gridLines="1"/>
  <pageMargins left="0.7" right="0.7" top="0.75" bottom="0.75" header="0" footer="0"/>
  <pageSetup fitToHeight="0" pageOrder="overThenDown" orientation="landscape" cellComments="atEnd"/>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outlinePr summaryBelow="0" summaryRight="0"/>
  </sheetPr>
  <dimension ref="A1:Z218"/>
  <sheetViews>
    <sheetView workbookViewId="0"/>
  </sheetViews>
  <sheetFormatPr defaultColWidth="12.7109375" defaultRowHeight="12.75" customHeight="1"/>
  <cols>
    <col min="1" max="1" width="2.28515625" customWidth="1"/>
    <col min="2" max="2" width="19" customWidth="1"/>
    <col min="3" max="14" width="9.85546875" customWidth="1"/>
    <col min="15" max="15" width="9.28515625" customWidth="1"/>
    <col min="16" max="16" width="2.42578125" customWidth="1"/>
    <col min="17" max="17" width="9" customWidth="1"/>
  </cols>
  <sheetData>
    <row r="1" spans="1:17">
      <c r="B1" s="660"/>
      <c r="C1" s="660"/>
      <c r="D1" s="660"/>
      <c r="E1" s="660"/>
      <c r="F1" s="660"/>
      <c r="G1" s="660"/>
      <c r="H1" s="660"/>
      <c r="I1" s="660"/>
      <c r="J1" s="660"/>
      <c r="K1" s="660"/>
      <c r="L1" s="660"/>
      <c r="M1" s="660"/>
      <c r="N1" s="660"/>
      <c r="O1" s="660"/>
      <c r="P1" s="660"/>
    </row>
    <row r="2" spans="1:17">
      <c r="A2" s="714"/>
      <c r="B2" s="2126" t="s">
        <v>6845</v>
      </c>
      <c r="C2" s="2127"/>
      <c r="D2" s="2127"/>
      <c r="E2" s="2127"/>
      <c r="F2" s="2127"/>
      <c r="G2" s="2127"/>
      <c r="H2" s="2127"/>
      <c r="I2" s="2127"/>
      <c r="J2" s="2127"/>
      <c r="K2" s="2127"/>
      <c r="L2" s="2127"/>
      <c r="M2" s="2127"/>
      <c r="N2" s="2127"/>
      <c r="O2" s="2128"/>
      <c r="P2" s="661"/>
    </row>
    <row r="3" spans="1:17">
      <c r="A3" s="714"/>
      <c r="B3" s="662" t="s">
        <v>7409</v>
      </c>
      <c r="C3" s="663" t="s">
        <v>143</v>
      </c>
      <c r="D3" s="663" t="s">
        <v>26</v>
      </c>
      <c r="E3" s="663" t="s">
        <v>25</v>
      </c>
      <c r="F3" s="663" t="s">
        <v>24</v>
      </c>
      <c r="G3" s="663" t="s">
        <v>23</v>
      </c>
      <c r="H3" s="663" t="s">
        <v>22</v>
      </c>
      <c r="I3" s="663" t="s">
        <v>21</v>
      </c>
      <c r="J3" s="663" t="s">
        <v>20</v>
      </c>
      <c r="K3" s="663" t="s">
        <v>256</v>
      </c>
      <c r="L3" s="663" t="s">
        <v>18</v>
      </c>
      <c r="M3" s="663" t="s">
        <v>17</v>
      </c>
      <c r="N3" s="663" t="s">
        <v>86</v>
      </c>
      <c r="O3" s="664" t="s">
        <v>67</v>
      </c>
      <c r="P3" s="665"/>
    </row>
    <row r="4" spans="1:17">
      <c r="A4" s="714"/>
      <c r="B4" s="666" t="s">
        <v>6847</v>
      </c>
      <c r="C4" s="667"/>
      <c r="D4" s="667"/>
      <c r="E4" s="667"/>
      <c r="F4" s="667"/>
      <c r="G4" s="667"/>
      <c r="H4" s="667"/>
      <c r="I4" s="667"/>
      <c r="J4" s="667"/>
      <c r="K4" s="667"/>
      <c r="L4" s="667"/>
      <c r="M4" s="667"/>
      <c r="N4" s="667"/>
      <c r="O4" s="668">
        <f>SUM(C4:N4)</f>
        <v>0</v>
      </c>
      <c r="P4" s="669"/>
    </row>
    <row r="5" spans="1:17">
      <c r="A5" s="714"/>
      <c r="B5" s="1342" t="s">
        <v>6389</v>
      </c>
      <c r="C5" s="1343" t="s">
        <v>135</v>
      </c>
      <c r="D5" s="1343" t="s">
        <v>135</v>
      </c>
      <c r="E5" s="1343" t="s">
        <v>135</v>
      </c>
      <c r="F5" s="1343" t="s">
        <v>135</v>
      </c>
      <c r="G5" s="1343" t="s">
        <v>135</v>
      </c>
      <c r="H5" s="1343" t="s">
        <v>135</v>
      </c>
      <c r="I5" s="1343" t="s">
        <v>135</v>
      </c>
      <c r="J5" s="1343" t="s">
        <v>135</v>
      </c>
      <c r="K5" s="1343"/>
      <c r="L5" s="1343"/>
      <c r="M5" s="1343"/>
      <c r="N5" s="1343"/>
      <c r="O5" s="1344">
        <f>SUM(C5:N5)</f>
        <v>0</v>
      </c>
      <c r="P5" s="672"/>
    </row>
    <row r="6" spans="1:17">
      <c r="A6" s="714"/>
      <c r="B6" s="666" t="s">
        <v>4397</v>
      </c>
      <c r="C6" s="671"/>
      <c r="D6" s="671"/>
      <c r="E6" s="671"/>
      <c r="F6" s="671"/>
      <c r="G6" s="671"/>
      <c r="H6" s="671"/>
      <c r="I6" s="671"/>
      <c r="J6" s="671"/>
      <c r="K6" s="671"/>
      <c r="L6" s="671"/>
      <c r="M6" s="671"/>
      <c r="N6" s="671"/>
      <c r="O6" s="668"/>
      <c r="P6" s="672"/>
      <c r="Q6" s="9" t="s">
        <v>4392</v>
      </c>
    </row>
    <row r="7" spans="1:17">
      <c r="A7" s="714"/>
      <c r="B7" s="674" t="s">
        <v>1121</v>
      </c>
      <c r="C7" s="675">
        <v>800</v>
      </c>
      <c r="D7" s="675">
        <v>800</v>
      </c>
      <c r="E7" s="675">
        <v>800</v>
      </c>
      <c r="F7" s="675">
        <v>800</v>
      </c>
      <c r="G7" s="675">
        <v>800</v>
      </c>
      <c r="H7" s="675">
        <v>800</v>
      </c>
      <c r="I7" s="675">
        <v>800</v>
      </c>
      <c r="J7" s="675">
        <v>800</v>
      </c>
      <c r="K7" s="675">
        <v>800</v>
      </c>
      <c r="L7" s="675">
        <v>800</v>
      </c>
      <c r="M7" s="675">
        <v>800</v>
      </c>
      <c r="N7" s="675">
        <v>800</v>
      </c>
      <c r="O7" s="677">
        <f t="shared" ref="O7:O15" si="0">SUM(C7:N7)</f>
        <v>9600</v>
      </c>
      <c r="P7" s="672"/>
    </row>
    <row r="8" spans="1:17">
      <c r="A8" s="714"/>
      <c r="B8" s="674" t="s">
        <v>6848</v>
      </c>
      <c r="C8" s="675"/>
      <c r="D8" s="675"/>
      <c r="E8" s="675"/>
      <c r="F8" s="675"/>
      <c r="G8" s="675"/>
      <c r="H8" s="675"/>
      <c r="I8" s="675"/>
      <c r="J8" s="675"/>
      <c r="K8" s="675"/>
      <c r="L8" s="675"/>
      <c r="M8" s="676"/>
      <c r="N8" s="675"/>
      <c r="O8" s="677">
        <f t="shared" si="0"/>
        <v>0</v>
      </c>
      <c r="P8" s="672"/>
    </row>
    <row r="9" spans="1:17">
      <c r="A9" s="714"/>
      <c r="B9" s="674" t="s">
        <v>6849</v>
      </c>
      <c r="C9" s="675">
        <v>1031.51</v>
      </c>
      <c r="D9" s="675">
        <v>1095.58</v>
      </c>
      <c r="E9" s="675">
        <v>1138.03</v>
      </c>
      <c r="F9" s="675">
        <v>1304.18</v>
      </c>
      <c r="G9" s="675">
        <v>1488.79</v>
      </c>
      <c r="H9" s="675">
        <v>1258.02</v>
      </c>
      <c r="I9" s="675">
        <v>1276.49</v>
      </c>
      <c r="J9" s="675">
        <v>1304.18</v>
      </c>
      <c r="K9" s="675">
        <v>1230.33</v>
      </c>
      <c r="L9" s="675">
        <v>1405.72</v>
      </c>
      <c r="M9" s="675">
        <v>1387.25</v>
      </c>
      <c r="N9" s="675">
        <v>1571.87</v>
      </c>
      <c r="O9" s="677">
        <f t="shared" si="0"/>
        <v>15491.95</v>
      </c>
      <c r="P9" s="681"/>
      <c r="Q9" s="16">
        <f>O9/9</f>
        <v>1721.3277777777778</v>
      </c>
    </row>
    <row r="10" spans="1:17">
      <c r="A10" s="714"/>
      <c r="B10" s="674" t="s">
        <v>6850</v>
      </c>
      <c r="C10" s="675">
        <v>165.36</v>
      </c>
      <c r="D10" s="675">
        <v>168.96</v>
      </c>
      <c r="E10" s="675">
        <v>199.61</v>
      </c>
      <c r="F10" s="675">
        <v>185.18</v>
      </c>
      <c r="G10" s="675">
        <v>140.13</v>
      </c>
      <c r="H10" s="675">
        <v>194.19</v>
      </c>
      <c r="I10" s="675">
        <v>183.99</v>
      </c>
      <c r="J10" s="675">
        <v>190.58</v>
      </c>
      <c r="K10" s="675">
        <v>188.79</v>
      </c>
      <c r="L10" s="675">
        <v>192.39</v>
      </c>
      <c r="M10" s="675">
        <v>188.79</v>
      </c>
      <c r="N10" s="675">
        <v>232.03</v>
      </c>
      <c r="O10" s="677">
        <f t="shared" si="0"/>
        <v>2230</v>
      </c>
      <c r="P10" s="672"/>
      <c r="Q10" s="16">
        <f>O10/9</f>
        <v>247.77777777777777</v>
      </c>
    </row>
    <row r="11" spans="1:17">
      <c r="A11" s="714"/>
      <c r="B11" s="939" t="s">
        <v>6851</v>
      </c>
      <c r="C11" s="940">
        <v>371.19</v>
      </c>
      <c r="D11" s="940">
        <v>761.72</v>
      </c>
      <c r="E11" s="940">
        <v>703.49</v>
      </c>
      <c r="F11" s="940">
        <v>888.32</v>
      </c>
      <c r="G11" s="940">
        <v>716.99</v>
      </c>
      <c r="H11" s="940">
        <v>644.41999999999996</v>
      </c>
      <c r="I11" s="940">
        <v>653.69000000000005</v>
      </c>
      <c r="J11" s="940">
        <v>587.87</v>
      </c>
      <c r="K11" s="940">
        <v>612.35</v>
      </c>
      <c r="L11" s="940">
        <v>593.82000000000005</v>
      </c>
      <c r="M11" s="940">
        <v>527.01</v>
      </c>
      <c r="N11" s="940">
        <v>649.49</v>
      </c>
      <c r="O11" s="941">
        <f t="shared" si="0"/>
        <v>7710.36</v>
      </c>
      <c r="P11" s="672"/>
      <c r="Q11" s="16">
        <f>O11/10</f>
        <v>771.03599999999994</v>
      </c>
    </row>
    <row r="12" spans="1:17">
      <c r="A12" s="714"/>
      <c r="B12" s="942" t="s">
        <v>6852</v>
      </c>
      <c r="C12" s="680"/>
      <c r="D12" s="680"/>
      <c r="E12" s="680"/>
      <c r="F12" s="680"/>
      <c r="G12" s="680"/>
      <c r="H12" s="680"/>
      <c r="I12" s="680"/>
      <c r="J12" s="680"/>
      <c r="K12" s="680"/>
      <c r="L12" s="680"/>
      <c r="M12" s="680"/>
      <c r="N12" s="680"/>
      <c r="O12" s="943">
        <f t="shared" si="0"/>
        <v>0</v>
      </c>
      <c r="P12" s="672"/>
    </row>
    <row r="13" spans="1:17">
      <c r="A13" s="714"/>
      <c r="B13" s="674" t="s">
        <v>6855</v>
      </c>
      <c r="C13" s="675"/>
      <c r="D13" s="675"/>
      <c r="E13" s="675"/>
      <c r="F13" s="675"/>
      <c r="G13" s="675"/>
      <c r="H13" s="675"/>
      <c r="I13" s="675"/>
      <c r="J13" s="675"/>
      <c r="K13" s="675"/>
      <c r="L13" s="675"/>
      <c r="M13" s="675"/>
      <c r="N13" s="675"/>
      <c r="O13" s="677">
        <f t="shared" si="0"/>
        <v>0</v>
      </c>
      <c r="P13" s="672"/>
    </row>
    <row r="14" spans="1:17">
      <c r="A14" s="714"/>
      <c r="B14" s="674" t="s">
        <v>6856</v>
      </c>
      <c r="C14" s="675"/>
      <c r="D14" s="675"/>
      <c r="E14" s="675"/>
      <c r="F14" s="675"/>
      <c r="G14" s="675"/>
      <c r="H14" s="675"/>
      <c r="I14" s="675"/>
      <c r="J14" s="675"/>
      <c r="K14" s="675"/>
      <c r="L14" s="675"/>
      <c r="M14" s="675"/>
      <c r="N14" s="675"/>
      <c r="O14" s="677">
        <f t="shared" si="0"/>
        <v>0</v>
      </c>
      <c r="P14" s="672"/>
    </row>
    <row r="15" spans="1:17">
      <c r="A15" s="714"/>
      <c r="B15" s="674" t="s">
        <v>6857</v>
      </c>
      <c r="C15" s="687"/>
      <c r="D15" s="687"/>
      <c r="E15" s="687"/>
      <c r="F15" s="687"/>
      <c r="G15" s="687"/>
      <c r="H15" s="687"/>
      <c r="I15" s="687"/>
      <c r="J15" s="687"/>
      <c r="K15" s="944">
        <v>1181</v>
      </c>
      <c r="L15" s="687"/>
      <c r="M15" s="687"/>
      <c r="N15" s="687"/>
      <c r="O15" s="677">
        <f t="shared" si="0"/>
        <v>1181</v>
      </c>
      <c r="P15" s="672"/>
    </row>
    <row r="16" spans="1:17">
      <c r="A16" s="714"/>
      <c r="B16" s="674" t="s">
        <v>6858</v>
      </c>
      <c r="C16" s="675"/>
      <c r="D16" s="675"/>
      <c r="E16" s="675"/>
      <c r="F16" s="675"/>
      <c r="G16" s="675"/>
      <c r="H16" s="675"/>
      <c r="I16" s="675"/>
      <c r="J16" s="675"/>
      <c r="K16" s="675"/>
      <c r="L16" s="675"/>
      <c r="M16" s="675"/>
      <c r="N16" s="675"/>
      <c r="O16" s="668"/>
      <c r="P16" s="672"/>
    </row>
    <row r="17" spans="1:17">
      <c r="A17" s="714"/>
      <c r="B17" s="674" t="s">
        <v>6859</v>
      </c>
      <c r="C17" s="945"/>
      <c r="D17" s="945"/>
      <c r="E17" s="945"/>
      <c r="F17" s="945"/>
      <c r="G17" s="945"/>
      <c r="H17" s="945"/>
      <c r="I17" s="945"/>
      <c r="J17" s="945"/>
      <c r="K17" s="945"/>
      <c r="L17" s="945"/>
      <c r="M17" s="945"/>
      <c r="N17" s="945"/>
      <c r="O17" s="668">
        <f>SUM(C17:N17)</f>
        <v>0</v>
      </c>
      <c r="P17" s="672"/>
    </row>
    <row r="18" spans="1:17">
      <c r="A18" s="714"/>
      <c r="B18" s="666" t="s">
        <v>6323</v>
      </c>
      <c r="C18" s="677">
        <f t="shared" ref="C18:N18" si="1">SUM(C17)</f>
        <v>0</v>
      </c>
      <c r="D18" s="677">
        <f t="shared" si="1"/>
        <v>0</v>
      </c>
      <c r="E18" s="677">
        <f t="shared" si="1"/>
        <v>0</v>
      </c>
      <c r="F18" s="677">
        <f t="shared" si="1"/>
        <v>0</v>
      </c>
      <c r="G18" s="677">
        <f t="shared" si="1"/>
        <v>0</v>
      </c>
      <c r="H18" s="677">
        <f t="shared" si="1"/>
        <v>0</v>
      </c>
      <c r="I18" s="677">
        <f t="shared" si="1"/>
        <v>0</v>
      </c>
      <c r="J18" s="677">
        <f t="shared" si="1"/>
        <v>0</v>
      </c>
      <c r="K18" s="677">
        <f t="shared" si="1"/>
        <v>0</v>
      </c>
      <c r="L18" s="677">
        <f t="shared" si="1"/>
        <v>0</v>
      </c>
      <c r="M18" s="677">
        <f t="shared" si="1"/>
        <v>0</v>
      </c>
      <c r="N18" s="677">
        <f t="shared" si="1"/>
        <v>0</v>
      </c>
      <c r="O18" s="668">
        <f>SUM(C18:N18)</f>
        <v>0</v>
      </c>
      <c r="P18" s="669"/>
    </row>
    <row r="19" spans="1:17">
      <c r="A19" s="714"/>
      <c r="B19" s="689" t="s">
        <v>1126</v>
      </c>
      <c r="C19" s="690">
        <f t="shared" ref="C19:O19" si="2">SUM(C7:C17)</f>
        <v>2368.06</v>
      </c>
      <c r="D19" s="690">
        <f t="shared" si="2"/>
        <v>2826.26</v>
      </c>
      <c r="E19" s="690">
        <f t="shared" si="2"/>
        <v>2841.13</v>
      </c>
      <c r="F19" s="690">
        <f t="shared" si="2"/>
        <v>3177.6800000000003</v>
      </c>
      <c r="G19" s="690">
        <f t="shared" si="2"/>
        <v>3145.91</v>
      </c>
      <c r="H19" s="690">
        <f t="shared" si="2"/>
        <v>2896.63</v>
      </c>
      <c r="I19" s="690">
        <f t="shared" si="2"/>
        <v>2914.1699999999996</v>
      </c>
      <c r="J19" s="690">
        <f t="shared" si="2"/>
        <v>2882.63</v>
      </c>
      <c r="K19" s="690">
        <f t="shared" si="2"/>
        <v>4012.47</v>
      </c>
      <c r="L19" s="690">
        <f t="shared" si="2"/>
        <v>2991.9300000000003</v>
      </c>
      <c r="M19" s="690">
        <f t="shared" si="2"/>
        <v>2903.05</v>
      </c>
      <c r="N19" s="690">
        <f t="shared" si="2"/>
        <v>3253.3900000000003</v>
      </c>
      <c r="O19" s="690">
        <f t="shared" si="2"/>
        <v>36213.31</v>
      </c>
      <c r="P19" s="691"/>
    </row>
    <row r="20" spans="1:17">
      <c r="A20" s="715"/>
      <c r="B20" s="692" t="s">
        <v>791</v>
      </c>
      <c r="C20" s="946">
        <f t="shared" ref="C20:O20" si="3">C4-C19</f>
        <v>-2368.06</v>
      </c>
      <c r="D20" s="946">
        <f t="shared" si="3"/>
        <v>-2826.26</v>
      </c>
      <c r="E20" s="946">
        <f t="shared" si="3"/>
        <v>-2841.13</v>
      </c>
      <c r="F20" s="946">
        <f t="shared" si="3"/>
        <v>-3177.6800000000003</v>
      </c>
      <c r="G20" s="946">
        <f t="shared" si="3"/>
        <v>-3145.91</v>
      </c>
      <c r="H20" s="946">
        <f t="shared" si="3"/>
        <v>-2896.63</v>
      </c>
      <c r="I20" s="946">
        <f t="shared" si="3"/>
        <v>-2914.1699999999996</v>
      </c>
      <c r="J20" s="946">
        <f t="shared" si="3"/>
        <v>-2882.63</v>
      </c>
      <c r="K20" s="946">
        <f t="shared" si="3"/>
        <v>-4012.47</v>
      </c>
      <c r="L20" s="693">
        <f t="shared" si="3"/>
        <v>-2991.9300000000003</v>
      </c>
      <c r="M20" s="693">
        <f t="shared" si="3"/>
        <v>-2903.05</v>
      </c>
      <c r="N20" s="693">
        <f t="shared" si="3"/>
        <v>-3253.3900000000003</v>
      </c>
      <c r="O20" s="693">
        <f t="shared" si="3"/>
        <v>-36213.31</v>
      </c>
      <c r="P20" s="694"/>
    </row>
    <row r="21" spans="1:17">
      <c r="A21" s="947"/>
      <c r="B21" s="674" t="s">
        <v>6860</v>
      </c>
      <c r="C21" s="948"/>
      <c r="D21" s="948"/>
      <c r="E21" s="948"/>
      <c r="F21" s="948"/>
      <c r="G21" s="948"/>
      <c r="H21" s="948"/>
      <c r="I21" s="948"/>
      <c r="J21" s="948"/>
      <c r="K21" s="948">
        <f>20000+800+500+800</f>
        <v>22100</v>
      </c>
      <c r="L21" s="949">
        <v>0</v>
      </c>
      <c r="M21" s="950">
        <v>0</v>
      </c>
      <c r="N21" s="951">
        <v>0</v>
      </c>
      <c r="O21" s="952">
        <f>SUM(C21:N21)</f>
        <v>22100</v>
      </c>
      <c r="P21" s="953"/>
    </row>
    <row r="22" spans="1:17">
      <c r="A22" s="692"/>
      <c r="B22" s="709" t="s">
        <v>6861</v>
      </c>
      <c r="C22" s="954">
        <f t="shared" ref="C22:O22" si="4">C20-C21</f>
        <v>-2368.06</v>
      </c>
      <c r="D22" s="954">
        <f t="shared" si="4"/>
        <v>-2826.26</v>
      </c>
      <c r="E22" s="954">
        <f t="shared" si="4"/>
        <v>-2841.13</v>
      </c>
      <c r="F22" s="955">
        <f t="shared" si="4"/>
        <v>-3177.6800000000003</v>
      </c>
      <c r="G22" s="954">
        <f t="shared" si="4"/>
        <v>-3145.91</v>
      </c>
      <c r="H22" s="955">
        <f t="shared" si="4"/>
        <v>-2896.63</v>
      </c>
      <c r="I22" s="955">
        <f t="shared" si="4"/>
        <v>-2914.1699999999996</v>
      </c>
      <c r="J22" s="955">
        <f t="shared" si="4"/>
        <v>-2882.63</v>
      </c>
      <c r="K22" s="955">
        <f t="shared" si="4"/>
        <v>-26112.47</v>
      </c>
      <c r="L22" s="956">
        <f t="shared" si="4"/>
        <v>-2991.9300000000003</v>
      </c>
      <c r="M22" s="956">
        <f t="shared" si="4"/>
        <v>-2903.05</v>
      </c>
      <c r="N22" s="956">
        <f t="shared" si="4"/>
        <v>-3253.3900000000003</v>
      </c>
      <c r="O22" s="956">
        <f t="shared" si="4"/>
        <v>-58313.31</v>
      </c>
      <c r="P22" s="709"/>
    </row>
    <row r="23" spans="1:17">
      <c r="A23" s="660"/>
      <c r="B23" s="660" t="s">
        <v>4822</v>
      </c>
      <c r="C23" s="2151" t="s">
        <v>6862</v>
      </c>
      <c r="D23" s="2152"/>
      <c r="E23" s="2152"/>
      <c r="F23" s="2152"/>
      <c r="G23" s="660"/>
      <c r="H23" s="660"/>
      <c r="I23" s="660"/>
      <c r="J23" s="660"/>
      <c r="K23" s="660"/>
      <c r="L23" s="660"/>
      <c r="M23" s="660"/>
      <c r="N23" s="660"/>
      <c r="O23" s="660"/>
      <c r="P23" s="660"/>
    </row>
    <row r="24" spans="1:17">
      <c r="A24" s="712"/>
      <c r="B24" s="1345"/>
      <c r="C24" s="1345"/>
      <c r="D24" s="1345"/>
      <c r="E24" s="1345"/>
      <c r="F24" s="1345"/>
      <c r="G24" s="1345"/>
      <c r="H24" s="1345"/>
      <c r="I24" s="1345"/>
      <c r="J24" s="1345"/>
      <c r="K24" s="1345"/>
      <c r="L24" s="1345"/>
      <c r="M24" s="1345"/>
      <c r="N24" s="1345"/>
      <c r="O24" s="1345"/>
      <c r="P24" s="1345"/>
    </row>
    <row r="25" spans="1:17">
      <c r="A25" s="714"/>
      <c r="B25" s="2126" t="s">
        <v>7386</v>
      </c>
      <c r="C25" s="2127"/>
      <c r="D25" s="2127"/>
      <c r="E25" s="2127"/>
      <c r="F25" s="2127"/>
      <c r="G25" s="2127"/>
      <c r="H25" s="2127"/>
      <c r="I25" s="2127"/>
      <c r="J25" s="2127"/>
      <c r="K25" s="2127"/>
      <c r="L25" s="2127"/>
      <c r="M25" s="2127"/>
      <c r="N25" s="2127"/>
      <c r="O25" s="2128"/>
      <c r="P25" s="661"/>
      <c r="Q25" s="9" t="s">
        <v>7410</v>
      </c>
    </row>
    <row r="26" spans="1:17">
      <c r="A26" s="714"/>
      <c r="B26" s="662" t="s">
        <v>7409</v>
      </c>
      <c r="C26" s="663" t="s">
        <v>143</v>
      </c>
      <c r="D26" s="663" t="s">
        <v>26</v>
      </c>
      <c r="E26" s="663" t="s">
        <v>25</v>
      </c>
      <c r="F26" s="663" t="s">
        <v>24</v>
      </c>
      <c r="G26" s="663" t="s">
        <v>23</v>
      </c>
      <c r="H26" s="663" t="s">
        <v>22</v>
      </c>
      <c r="I26" s="663" t="s">
        <v>21</v>
      </c>
      <c r="J26" s="663" t="s">
        <v>20</v>
      </c>
      <c r="K26" s="663" t="s">
        <v>256</v>
      </c>
      <c r="L26" s="663" t="s">
        <v>18</v>
      </c>
      <c r="M26" s="663" t="s">
        <v>17</v>
      </c>
      <c r="N26" s="663" t="s">
        <v>86</v>
      </c>
      <c r="O26" s="664" t="s">
        <v>67</v>
      </c>
      <c r="P26" s="665"/>
    </row>
    <row r="27" spans="1:17">
      <c r="A27" s="714"/>
      <c r="B27" s="666" t="s">
        <v>4395</v>
      </c>
      <c r="C27" s="667">
        <v>820</v>
      </c>
      <c r="D27" s="667">
        <v>820</v>
      </c>
      <c r="E27" s="667">
        <v>820</v>
      </c>
      <c r="F27" s="667">
        <v>820</v>
      </c>
      <c r="G27" s="667">
        <v>820</v>
      </c>
      <c r="H27" s="667">
        <v>820</v>
      </c>
      <c r="I27" s="667">
        <v>820</v>
      </c>
      <c r="J27" s="667">
        <v>820</v>
      </c>
      <c r="K27" s="667">
        <v>820</v>
      </c>
      <c r="L27" s="667">
        <v>820</v>
      </c>
      <c r="M27" s="667">
        <v>820</v>
      </c>
      <c r="N27" s="667">
        <v>820</v>
      </c>
      <c r="O27" s="668">
        <f>SUM(C27:N27)</f>
        <v>9840</v>
      </c>
      <c r="P27" s="669"/>
      <c r="Q27" s="16">
        <f>800*12</f>
        <v>9600</v>
      </c>
    </row>
    <row r="28" spans="1:17">
      <c r="A28" s="714"/>
      <c r="B28" s="1342" t="s">
        <v>6389</v>
      </c>
      <c r="C28" s="1343" t="s">
        <v>135</v>
      </c>
      <c r="D28" s="1343" t="s">
        <v>135</v>
      </c>
      <c r="E28" s="1343" t="s">
        <v>135</v>
      </c>
      <c r="F28" s="1343" t="s">
        <v>135</v>
      </c>
      <c r="G28" s="1343" t="s">
        <v>135</v>
      </c>
      <c r="H28" s="1343" t="s">
        <v>135</v>
      </c>
      <c r="I28" s="1343" t="s">
        <v>135</v>
      </c>
      <c r="J28" s="1343" t="s">
        <v>135</v>
      </c>
      <c r="K28" s="1343"/>
      <c r="L28" s="1343"/>
      <c r="M28" s="1343"/>
      <c r="N28" s="1343"/>
      <c r="O28" s="1344">
        <f>SUM(C28:N28)</f>
        <v>0</v>
      </c>
      <c r="P28" s="672"/>
      <c r="Q28" s="16"/>
    </row>
    <row r="29" spans="1:17">
      <c r="A29" s="714"/>
      <c r="B29" s="666" t="s">
        <v>4397</v>
      </c>
      <c r="C29" s="671"/>
      <c r="D29" s="671"/>
      <c r="E29" s="671"/>
      <c r="F29" s="671"/>
      <c r="G29" s="671"/>
      <c r="H29" s="671"/>
      <c r="I29" s="671"/>
      <c r="J29" s="671"/>
      <c r="K29" s="671"/>
      <c r="L29" s="671"/>
      <c r="M29" s="671"/>
      <c r="N29" s="671"/>
      <c r="O29" s="668"/>
      <c r="P29" s="672"/>
      <c r="Q29" s="16"/>
    </row>
    <row r="30" spans="1:17">
      <c r="A30" s="714"/>
      <c r="B30" s="674" t="s">
        <v>3313</v>
      </c>
      <c r="C30" s="675">
        <f>1+4</f>
        <v>5</v>
      </c>
      <c r="D30" s="675">
        <v>1</v>
      </c>
      <c r="E30" s="675">
        <v>1</v>
      </c>
      <c r="F30" s="675">
        <v>1</v>
      </c>
      <c r="G30" s="675">
        <v>1</v>
      </c>
      <c r="H30" s="675">
        <v>1</v>
      </c>
      <c r="I30" s="675">
        <v>1</v>
      </c>
      <c r="J30" s="675">
        <v>1</v>
      </c>
      <c r="K30" s="675">
        <v>1</v>
      </c>
      <c r="L30" s="675">
        <v>1</v>
      </c>
      <c r="M30" s="675">
        <v>1</v>
      </c>
      <c r="N30" s="675">
        <v>1</v>
      </c>
      <c r="O30" s="677">
        <f t="shared" ref="O30:O44" si="5">SUM(C30:N30)</f>
        <v>16</v>
      </c>
      <c r="P30" s="672"/>
      <c r="Q30" s="16">
        <v>16</v>
      </c>
    </row>
    <row r="31" spans="1:17">
      <c r="A31" s="714"/>
      <c r="B31" s="674" t="s">
        <v>7279</v>
      </c>
      <c r="C31" s="675"/>
      <c r="D31" s="675"/>
      <c r="E31" s="675"/>
      <c r="F31" s="675"/>
      <c r="G31" s="675"/>
      <c r="H31" s="675"/>
      <c r="I31" s="675"/>
      <c r="J31" s="675"/>
      <c r="K31" s="675"/>
      <c r="L31" s="675"/>
      <c r="M31" s="675"/>
      <c r="N31" s="675"/>
      <c r="O31" s="677">
        <f t="shared" si="5"/>
        <v>0</v>
      </c>
      <c r="P31" s="672"/>
      <c r="Q31" s="16" t="s">
        <v>7411</v>
      </c>
    </row>
    <row r="32" spans="1:17">
      <c r="A32" s="714"/>
      <c r="B32" s="674" t="s">
        <v>7289</v>
      </c>
      <c r="C32" s="675"/>
      <c r="D32" s="675"/>
      <c r="E32" s="675"/>
      <c r="F32" s="675"/>
      <c r="G32" s="675"/>
      <c r="H32" s="675"/>
      <c r="I32" s="675"/>
      <c r="J32" s="675"/>
      <c r="K32" s="675"/>
      <c r="L32" s="675"/>
      <c r="M32" s="675"/>
      <c r="N32" s="675"/>
      <c r="O32" s="677">
        <f t="shared" si="5"/>
        <v>0</v>
      </c>
      <c r="P32" s="672"/>
      <c r="Q32" s="16">
        <v>60</v>
      </c>
    </row>
    <row r="33" spans="1:17">
      <c r="A33" s="714"/>
      <c r="B33" s="674" t="s">
        <v>7387</v>
      </c>
      <c r="C33" s="687"/>
      <c r="D33" s="687"/>
      <c r="E33" s="687"/>
      <c r="F33" s="687"/>
      <c r="G33" s="687"/>
      <c r="H33" s="687"/>
      <c r="I33" s="687"/>
      <c r="J33" s="687"/>
      <c r="K33" s="687"/>
      <c r="L33" s="687"/>
      <c r="M33" s="688">
        <v>457</v>
      </c>
      <c r="N33" s="687"/>
      <c r="O33" s="677">
        <f t="shared" si="5"/>
        <v>457</v>
      </c>
      <c r="P33" s="672"/>
      <c r="Q33" s="16">
        <v>457</v>
      </c>
    </row>
    <row r="34" spans="1:17">
      <c r="A34" s="714"/>
      <c r="B34" s="674" t="s">
        <v>7292</v>
      </c>
      <c r="C34" s="675"/>
      <c r="D34" s="675"/>
      <c r="E34" s="675"/>
      <c r="F34" s="675"/>
      <c r="G34" s="675"/>
      <c r="H34" s="675"/>
      <c r="I34" s="675"/>
      <c r="J34" s="675"/>
      <c r="K34" s="675"/>
      <c r="L34" s="675"/>
      <c r="M34" s="675"/>
      <c r="N34" s="675"/>
      <c r="O34" s="677">
        <f t="shared" si="5"/>
        <v>0</v>
      </c>
      <c r="P34" s="672"/>
      <c r="Q34" s="16">
        <v>0</v>
      </c>
    </row>
    <row r="35" spans="1:17">
      <c r="A35" s="714"/>
      <c r="B35" s="674" t="s">
        <v>7294</v>
      </c>
      <c r="C35" s="675"/>
      <c r="D35" s="675"/>
      <c r="E35" s="675"/>
      <c r="F35" s="675"/>
      <c r="G35" s="675"/>
      <c r="H35" s="675"/>
      <c r="I35" s="675"/>
      <c r="J35" s="675"/>
      <c r="K35" s="675"/>
      <c r="L35" s="675"/>
      <c r="M35" s="675"/>
      <c r="N35" s="675"/>
      <c r="O35" s="677">
        <f t="shared" si="5"/>
        <v>0</v>
      </c>
      <c r="P35" s="672"/>
      <c r="Q35" s="16">
        <v>0</v>
      </c>
    </row>
    <row r="36" spans="1:17">
      <c r="A36" s="714"/>
      <c r="B36" s="674" t="s">
        <v>5024</v>
      </c>
      <c r="C36" s="675"/>
      <c r="D36" s="675"/>
      <c r="E36" s="675"/>
      <c r="F36" s="675"/>
      <c r="G36" s="675"/>
      <c r="H36" s="675"/>
      <c r="I36" s="675"/>
      <c r="J36" s="675"/>
      <c r="K36" s="675"/>
      <c r="L36" s="675"/>
      <c r="M36" s="675"/>
      <c r="N36" s="675"/>
      <c r="O36" s="677">
        <f t="shared" si="5"/>
        <v>0</v>
      </c>
      <c r="P36" s="672"/>
      <c r="Q36" s="16">
        <v>0</v>
      </c>
    </row>
    <row r="37" spans="1:17">
      <c r="A37" s="714"/>
      <c r="B37" s="674" t="s">
        <v>6860</v>
      </c>
      <c r="C37" s="945"/>
      <c r="D37" s="945"/>
      <c r="E37" s="945"/>
      <c r="F37" s="945"/>
      <c r="G37" s="945"/>
      <c r="H37" s="945"/>
      <c r="I37" s="945"/>
      <c r="J37" s="945"/>
      <c r="K37" s="945"/>
      <c r="L37" s="945"/>
      <c r="M37" s="945"/>
      <c r="N37" s="945"/>
      <c r="O37" s="677">
        <f t="shared" si="5"/>
        <v>0</v>
      </c>
      <c r="P37" s="672"/>
      <c r="Q37" s="16">
        <v>0</v>
      </c>
    </row>
    <row r="38" spans="1:17">
      <c r="A38" s="714"/>
      <c r="B38" s="674" t="s">
        <v>7035</v>
      </c>
      <c r="C38" s="675"/>
      <c r="D38" s="675"/>
      <c r="E38" s="675"/>
      <c r="F38" s="675"/>
      <c r="G38" s="675"/>
      <c r="H38" s="675"/>
      <c r="I38" s="675">
        <v>450</v>
      </c>
      <c r="J38" s="675"/>
      <c r="K38" s="675"/>
      <c r="L38" s="675"/>
      <c r="M38" s="675"/>
      <c r="N38" s="675"/>
      <c r="O38" s="677">
        <f t="shared" si="5"/>
        <v>450</v>
      </c>
      <c r="P38" s="672"/>
      <c r="Q38" s="16">
        <v>1459</v>
      </c>
    </row>
    <row r="39" spans="1:17">
      <c r="A39" s="714"/>
      <c r="B39" s="674" t="s">
        <v>7298</v>
      </c>
      <c r="C39" s="675"/>
      <c r="D39" s="675"/>
      <c r="E39" s="675"/>
      <c r="F39" s="675"/>
      <c r="G39" s="675"/>
      <c r="H39" s="675"/>
      <c r="I39" s="675"/>
      <c r="J39" s="675"/>
      <c r="K39" s="675"/>
      <c r="L39" s="675"/>
      <c r="M39" s="675"/>
      <c r="N39" s="675"/>
      <c r="O39" s="677">
        <f t="shared" si="5"/>
        <v>0</v>
      </c>
      <c r="P39" s="672"/>
      <c r="Q39" s="16">
        <v>0</v>
      </c>
    </row>
    <row r="40" spans="1:17">
      <c r="A40" s="714"/>
      <c r="B40" s="674" t="s">
        <v>4399</v>
      </c>
      <c r="C40" s="675"/>
      <c r="D40" s="675"/>
      <c r="E40" s="675"/>
      <c r="F40" s="676">
        <v>378.4</v>
      </c>
      <c r="G40" s="675"/>
      <c r="H40" s="675"/>
      <c r="I40" s="675"/>
      <c r="J40" s="675"/>
      <c r="K40" s="675"/>
      <c r="L40" s="675"/>
      <c r="M40" s="676">
        <v>378.4</v>
      </c>
      <c r="N40" s="675"/>
      <c r="O40" s="677">
        <f t="shared" si="5"/>
        <v>756.8</v>
      </c>
      <c r="P40" s="672"/>
      <c r="Q40" s="16">
        <f>378.4*2</f>
        <v>756.8</v>
      </c>
    </row>
    <row r="41" spans="1:17">
      <c r="A41" s="714"/>
      <c r="B41" s="1346" t="s">
        <v>7301</v>
      </c>
      <c r="C41" s="686">
        <f t="shared" ref="C41:N41" si="6">C42+C43</f>
        <v>0</v>
      </c>
      <c r="D41" s="686">
        <f t="shared" si="6"/>
        <v>0</v>
      </c>
      <c r="E41" s="686">
        <f t="shared" si="6"/>
        <v>0</v>
      </c>
      <c r="F41" s="686">
        <f t="shared" si="6"/>
        <v>0</v>
      </c>
      <c r="G41" s="686">
        <f t="shared" si="6"/>
        <v>0</v>
      </c>
      <c r="H41" s="686">
        <f t="shared" si="6"/>
        <v>0</v>
      </c>
      <c r="I41" s="686">
        <f t="shared" si="6"/>
        <v>0</v>
      </c>
      <c r="J41" s="686">
        <f t="shared" si="6"/>
        <v>0</v>
      </c>
      <c r="K41" s="686">
        <f t="shared" si="6"/>
        <v>0</v>
      </c>
      <c r="L41" s="686">
        <f t="shared" si="6"/>
        <v>0</v>
      </c>
      <c r="M41" s="686">
        <f t="shared" si="6"/>
        <v>0</v>
      </c>
      <c r="N41" s="686">
        <f t="shared" si="6"/>
        <v>0</v>
      </c>
      <c r="O41" s="677">
        <f t="shared" si="5"/>
        <v>0</v>
      </c>
      <c r="P41" s="681"/>
      <c r="Q41" s="16">
        <v>0</v>
      </c>
    </row>
    <row r="42" spans="1:17">
      <c r="A42" s="714"/>
      <c r="B42" s="674" t="s">
        <v>7412</v>
      </c>
      <c r="C42" s="675"/>
      <c r="D42" s="675"/>
      <c r="E42" s="675"/>
      <c r="F42" s="675"/>
      <c r="G42" s="675"/>
      <c r="H42" s="675"/>
      <c r="I42" s="675"/>
      <c r="J42" s="675"/>
      <c r="K42" s="675"/>
      <c r="L42" s="675"/>
      <c r="M42" s="675"/>
      <c r="N42" s="675"/>
      <c r="O42" s="677">
        <f t="shared" si="5"/>
        <v>0</v>
      </c>
      <c r="P42" s="681"/>
      <c r="Q42" s="16"/>
    </row>
    <row r="43" spans="1:17">
      <c r="A43" s="714"/>
      <c r="B43" s="674" t="s">
        <v>7042</v>
      </c>
      <c r="C43" s="675"/>
      <c r="D43" s="675"/>
      <c r="E43" s="675"/>
      <c r="F43" s="675"/>
      <c r="G43" s="675"/>
      <c r="H43" s="675"/>
      <c r="I43" s="675"/>
      <c r="J43" s="675"/>
      <c r="K43" s="675"/>
      <c r="L43" s="675"/>
      <c r="M43" s="675"/>
      <c r="N43" s="675"/>
      <c r="O43" s="677">
        <f t="shared" si="5"/>
        <v>0</v>
      </c>
      <c r="P43" s="672"/>
      <c r="Q43" s="16"/>
    </row>
    <row r="44" spans="1:17">
      <c r="A44" s="714"/>
      <c r="B44" s="666" t="s">
        <v>6323</v>
      </c>
      <c r="C44" s="677">
        <f t="shared" ref="C44:N44" si="7">C37+C38</f>
        <v>0</v>
      </c>
      <c r="D44" s="677">
        <f t="shared" si="7"/>
        <v>0</v>
      </c>
      <c r="E44" s="677">
        <f t="shared" si="7"/>
        <v>0</v>
      </c>
      <c r="F44" s="677">
        <f t="shared" si="7"/>
        <v>0</v>
      </c>
      <c r="G44" s="677">
        <f t="shared" si="7"/>
        <v>0</v>
      </c>
      <c r="H44" s="677">
        <f t="shared" si="7"/>
        <v>0</v>
      </c>
      <c r="I44" s="677">
        <f t="shared" si="7"/>
        <v>450</v>
      </c>
      <c r="J44" s="677">
        <f t="shared" si="7"/>
        <v>0</v>
      </c>
      <c r="K44" s="677">
        <f t="shared" si="7"/>
        <v>0</v>
      </c>
      <c r="L44" s="677">
        <f t="shared" si="7"/>
        <v>0</v>
      </c>
      <c r="M44" s="677">
        <f t="shared" si="7"/>
        <v>0</v>
      </c>
      <c r="N44" s="677">
        <f t="shared" si="7"/>
        <v>0</v>
      </c>
      <c r="O44" s="668">
        <f t="shared" si="5"/>
        <v>450</v>
      </c>
      <c r="P44" s="669"/>
      <c r="Q44" s="16"/>
    </row>
    <row r="45" spans="1:17">
      <c r="A45" s="714"/>
      <c r="B45" s="689" t="s">
        <v>1126</v>
      </c>
      <c r="C45" s="690">
        <f t="shared" ref="C45:N45" si="8">SUM(C30:C41)</f>
        <v>5</v>
      </c>
      <c r="D45" s="690">
        <f t="shared" si="8"/>
        <v>1</v>
      </c>
      <c r="E45" s="690">
        <f t="shared" si="8"/>
        <v>1</v>
      </c>
      <c r="F45" s="690">
        <f t="shared" si="8"/>
        <v>379.4</v>
      </c>
      <c r="G45" s="690">
        <f t="shared" si="8"/>
        <v>1</v>
      </c>
      <c r="H45" s="690">
        <f t="shared" si="8"/>
        <v>1</v>
      </c>
      <c r="I45" s="690">
        <f t="shared" si="8"/>
        <v>451</v>
      </c>
      <c r="J45" s="690">
        <f t="shared" si="8"/>
        <v>1</v>
      </c>
      <c r="K45" s="690">
        <f t="shared" si="8"/>
        <v>1</v>
      </c>
      <c r="L45" s="690">
        <f t="shared" si="8"/>
        <v>1</v>
      </c>
      <c r="M45" s="690">
        <f t="shared" si="8"/>
        <v>836.4</v>
      </c>
      <c r="N45" s="690">
        <f t="shared" si="8"/>
        <v>1</v>
      </c>
      <c r="O45" s="690">
        <f>SUM(O36:O43)</f>
        <v>1206.8</v>
      </c>
      <c r="P45" s="691"/>
      <c r="Q45" s="16">
        <f>SUM(Q30:Q41)</f>
        <v>2748.8</v>
      </c>
    </row>
    <row r="46" spans="1:17">
      <c r="A46" s="715"/>
      <c r="B46" s="692" t="s">
        <v>791</v>
      </c>
      <c r="C46" s="693">
        <f t="shared" ref="C46:O46" si="9">C27-C45</f>
        <v>815</v>
      </c>
      <c r="D46" s="693">
        <f t="shared" si="9"/>
        <v>819</v>
      </c>
      <c r="E46" s="693">
        <f t="shared" si="9"/>
        <v>819</v>
      </c>
      <c r="F46" s="693">
        <f t="shared" si="9"/>
        <v>440.6</v>
      </c>
      <c r="G46" s="693">
        <f t="shared" si="9"/>
        <v>819</v>
      </c>
      <c r="H46" s="693">
        <f t="shared" si="9"/>
        <v>819</v>
      </c>
      <c r="I46" s="693">
        <f t="shared" si="9"/>
        <v>369</v>
      </c>
      <c r="J46" s="693">
        <f t="shared" si="9"/>
        <v>819</v>
      </c>
      <c r="K46" s="693">
        <f t="shared" si="9"/>
        <v>819</v>
      </c>
      <c r="L46" s="693">
        <f t="shared" si="9"/>
        <v>819</v>
      </c>
      <c r="M46" s="693">
        <f t="shared" si="9"/>
        <v>-16.399999999999977</v>
      </c>
      <c r="N46" s="693">
        <f t="shared" si="9"/>
        <v>819</v>
      </c>
      <c r="O46" s="693">
        <f t="shared" si="9"/>
        <v>8633.2000000000007</v>
      </c>
      <c r="P46" s="694"/>
      <c r="Q46" s="16">
        <f>Q27-Q45</f>
        <v>6851.2</v>
      </c>
    </row>
    <row r="47" spans="1:17">
      <c r="A47" s="947"/>
      <c r="B47" s="950" t="s">
        <v>7036</v>
      </c>
      <c r="C47" s="950">
        <v>0</v>
      </c>
      <c r="D47" s="950">
        <v>0</v>
      </c>
      <c r="E47" s="950">
        <v>0</v>
      </c>
      <c r="F47" s="950">
        <v>0</v>
      </c>
      <c r="G47" s="950">
        <v>0</v>
      </c>
      <c r="H47" s="950">
        <v>0</v>
      </c>
      <c r="I47" s="950">
        <v>0</v>
      </c>
      <c r="J47" s="950">
        <v>0</v>
      </c>
      <c r="K47" s="950">
        <v>0</v>
      </c>
      <c r="L47" s="950">
        <v>0</v>
      </c>
      <c r="M47" s="950">
        <v>0</v>
      </c>
      <c r="N47" s="951">
        <v>0</v>
      </c>
      <c r="O47" s="952">
        <f>SUM(C47:N47)</f>
        <v>0</v>
      </c>
      <c r="P47" s="953"/>
      <c r="Q47" s="9"/>
    </row>
    <row r="48" spans="1:17">
      <c r="A48" s="692"/>
      <c r="B48" s="692" t="s">
        <v>6861</v>
      </c>
      <c r="C48" s="996">
        <f t="shared" ref="C48:O48" si="10">C46-C47</f>
        <v>815</v>
      </c>
      <c r="D48" s="996">
        <f t="shared" si="10"/>
        <v>819</v>
      </c>
      <c r="E48" s="996">
        <f t="shared" si="10"/>
        <v>819</v>
      </c>
      <c r="F48" s="956">
        <f t="shared" si="10"/>
        <v>440.6</v>
      </c>
      <c r="G48" s="996">
        <f t="shared" si="10"/>
        <v>819</v>
      </c>
      <c r="H48" s="956">
        <f t="shared" si="10"/>
        <v>819</v>
      </c>
      <c r="I48" s="956">
        <f t="shared" si="10"/>
        <v>369</v>
      </c>
      <c r="J48" s="956">
        <f t="shared" si="10"/>
        <v>819</v>
      </c>
      <c r="K48" s="956">
        <f t="shared" si="10"/>
        <v>819</v>
      </c>
      <c r="L48" s="956">
        <f t="shared" si="10"/>
        <v>819</v>
      </c>
      <c r="M48" s="956">
        <f t="shared" si="10"/>
        <v>-16.399999999999977</v>
      </c>
      <c r="N48" s="956">
        <f t="shared" si="10"/>
        <v>819</v>
      </c>
      <c r="O48" s="956">
        <f t="shared" si="10"/>
        <v>8633.2000000000007</v>
      </c>
      <c r="P48" s="709"/>
    </row>
    <row r="49" spans="1:17">
      <c r="B49" s="2130" t="s">
        <v>7388</v>
      </c>
      <c r="C49" s="2087"/>
      <c r="D49" s="2087"/>
      <c r="E49" s="2087"/>
      <c r="F49" s="2087"/>
      <c r="G49" s="2087"/>
      <c r="H49" s="2087"/>
      <c r="I49" s="2087"/>
      <c r="J49" s="2087"/>
      <c r="K49" s="2087"/>
      <c r="L49" s="2087"/>
      <c r="M49" s="2087"/>
      <c r="N49" s="2087"/>
      <c r="O49" s="2087"/>
      <c r="Q49" s="9"/>
    </row>
    <row r="50" spans="1:17">
      <c r="B50" s="660"/>
      <c r="C50" s="660"/>
      <c r="D50" s="660"/>
      <c r="E50" s="660"/>
      <c r="F50" s="660"/>
      <c r="G50" s="660"/>
      <c r="H50" s="660"/>
      <c r="I50" s="660"/>
      <c r="J50" s="660"/>
      <c r="K50" s="660"/>
      <c r="L50" s="660"/>
      <c r="M50" s="660"/>
      <c r="N50" s="660"/>
      <c r="O50" s="660"/>
      <c r="P50" s="660"/>
      <c r="Q50" s="9"/>
    </row>
    <row r="51" spans="1:17">
      <c r="A51" s="714"/>
      <c r="B51" s="2126" t="s">
        <v>7026</v>
      </c>
      <c r="C51" s="2127"/>
      <c r="D51" s="2127"/>
      <c r="E51" s="2127"/>
      <c r="F51" s="2127"/>
      <c r="G51" s="2127"/>
      <c r="H51" s="2127"/>
      <c r="I51" s="2127"/>
      <c r="J51" s="2127"/>
      <c r="K51" s="2127"/>
      <c r="L51" s="2127"/>
      <c r="M51" s="2127"/>
      <c r="N51" s="2127"/>
      <c r="O51" s="2128"/>
      <c r="P51" s="661"/>
    </row>
    <row r="52" spans="1:17">
      <c r="A52" s="714"/>
      <c r="B52" s="662" t="s">
        <v>7409</v>
      </c>
      <c r="C52" s="663" t="s">
        <v>143</v>
      </c>
      <c r="D52" s="663" t="s">
        <v>26</v>
      </c>
      <c r="E52" s="663" t="s">
        <v>25</v>
      </c>
      <c r="F52" s="663" t="s">
        <v>24</v>
      </c>
      <c r="G52" s="663" t="s">
        <v>23</v>
      </c>
      <c r="H52" s="663" t="s">
        <v>22</v>
      </c>
      <c r="I52" s="663" t="s">
        <v>21</v>
      </c>
      <c r="J52" s="663" t="s">
        <v>20</v>
      </c>
      <c r="K52" s="663" t="s">
        <v>256</v>
      </c>
      <c r="L52" s="663" t="s">
        <v>18</v>
      </c>
      <c r="M52" s="663" t="s">
        <v>17</v>
      </c>
      <c r="N52" s="663" t="s">
        <v>86</v>
      </c>
      <c r="O52" s="664" t="s">
        <v>67</v>
      </c>
      <c r="P52" s="665"/>
    </row>
    <row r="53" spans="1:17">
      <c r="A53" s="994"/>
      <c r="B53" s="666" t="s">
        <v>7027</v>
      </c>
      <c r="C53" s="12">
        <v>900</v>
      </c>
      <c r="D53" s="12">
        <v>900</v>
      </c>
      <c r="E53" s="12">
        <v>900</v>
      </c>
      <c r="F53" s="12">
        <v>900</v>
      </c>
      <c r="G53" s="12">
        <v>0</v>
      </c>
      <c r="H53" s="12">
        <v>900</v>
      </c>
      <c r="I53" s="12">
        <v>900</v>
      </c>
      <c r="J53" s="12">
        <v>900</v>
      </c>
      <c r="K53" s="12">
        <v>900</v>
      </c>
      <c r="L53" s="12">
        <v>900</v>
      </c>
      <c r="M53" s="12">
        <v>900</v>
      </c>
      <c r="N53" s="12">
        <v>900</v>
      </c>
      <c r="O53" s="668">
        <f>SUM(C53:N53)</f>
        <v>9900</v>
      </c>
      <c r="P53" s="669"/>
      <c r="Q53" s="16">
        <f>900*7</f>
        <v>6300</v>
      </c>
    </row>
    <row r="54" spans="1:17">
      <c r="A54" s="714"/>
      <c r="B54" s="666" t="s">
        <v>7029</v>
      </c>
      <c r="C54" s="12">
        <v>700</v>
      </c>
      <c r="D54" s="12">
        <v>700</v>
      </c>
      <c r="E54" s="12">
        <v>700</v>
      </c>
      <c r="F54" s="12">
        <v>700</v>
      </c>
      <c r="G54" s="12">
        <v>700</v>
      </c>
      <c r="H54" s="12">
        <v>700</v>
      </c>
      <c r="I54" s="12">
        <v>700</v>
      </c>
      <c r="J54" s="12">
        <v>0</v>
      </c>
      <c r="K54" s="12">
        <v>700</v>
      </c>
      <c r="L54" s="12">
        <v>700</v>
      </c>
      <c r="M54" s="12">
        <v>700</v>
      </c>
      <c r="N54" s="12">
        <v>700</v>
      </c>
      <c r="O54" s="668">
        <f>SUM(C54:N54)</f>
        <v>7700</v>
      </c>
      <c r="P54" s="672"/>
      <c r="Q54" s="16">
        <f>700*6</f>
        <v>4200</v>
      </c>
    </row>
    <row r="55" spans="1:17">
      <c r="A55" s="714"/>
      <c r="B55" s="666" t="s">
        <v>6847</v>
      </c>
      <c r="C55" s="667">
        <f t="shared" ref="C55:O55" si="11">SUM(C53:C54)</f>
        <v>1600</v>
      </c>
      <c r="D55" s="667">
        <f t="shared" si="11"/>
        <v>1600</v>
      </c>
      <c r="E55" s="667">
        <f t="shared" si="11"/>
        <v>1600</v>
      </c>
      <c r="F55" s="667">
        <f t="shared" si="11"/>
        <v>1600</v>
      </c>
      <c r="G55" s="667">
        <f t="shared" si="11"/>
        <v>700</v>
      </c>
      <c r="H55" s="667">
        <f t="shared" si="11"/>
        <v>1600</v>
      </c>
      <c r="I55" s="667">
        <f t="shared" si="11"/>
        <v>1600</v>
      </c>
      <c r="J55" s="667">
        <f t="shared" si="11"/>
        <v>900</v>
      </c>
      <c r="K55" s="667">
        <f t="shared" si="11"/>
        <v>1600</v>
      </c>
      <c r="L55" s="667">
        <f t="shared" si="11"/>
        <v>1600</v>
      </c>
      <c r="M55" s="667">
        <f t="shared" si="11"/>
        <v>1600</v>
      </c>
      <c r="N55" s="667">
        <f t="shared" si="11"/>
        <v>1600</v>
      </c>
      <c r="O55" s="668">
        <f t="shared" si="11"/>
        <v>17600</v>
      </c>
      <c r="P55" s="672"/>
      <c r="Q55" s="34">
        <f>Q53+Q54</f>
        <v>10500</v>
      </c>
    </row>
    <row r="56" spans="1:17">
      <c r="A56" s="714"/>
      <c r="B56" s="666" t="s">
        <v>4397</v>
      </c>
      <c r="C56" s="671"/>
      <c r="D56" s="671"/>
      <c r="E56" s="671"/>
      <c r="F56" s="671"/>
      <c r="G56" s="671"/>
      <c r="H56" s="671"/>
      <c r="I56" s="671"/>
      <c r="J56" s="671"/>
      <c r="K56" s="671"/>
      <c r="L56" s="671"/>
      <c r="M56" s="671"/>
      <c r="N56" s="671"/>
      <c r="O56" s="668"/>
      <c r="P56" s="672"/>
      <c r="Q56" s="16"/>
    </row>
    <row r="57" spans="1:17">
      <c r="A57" s="714"/>
      <c r="B57" s="674" t="s">
        <v>3313</v>
      </c>
      <c r="C57" s="675">
        <f>1+4</f>
        <v>5</v>
      </c>
      <c r="D57" s="675">
        <v>1</v>
      </c>
      <c r="E57" s="675">
        <v>1</v>
      </c>
      <c r="F57" s="675">
        <v>1</v>
      </c>
      <c r="G57" s="675">
        <v>1</v>
      </c>
      <c r="H57" s="675">
        <v>1</v>
      </c>
      <c r="I57" s="675">
        <v>1</v>
      </c>
      <c r="J57" s="675">
        <v>1</v>
      </c>
      <c r="K57" s="675">
        <v>1</v>
      </c>
      <c r="L57" s="675">
        <v>1</v>
      </c>
      <c r="M57" s="675">
        <v>1</v>
      </c>
      <c r="N57" s="675">
        <v>1</v>
      </c>
      <c r="O57" s="677">
        <f t="shared" ref="O57:O74" si="12">SUM(C57:N57)</f>
        <v>16</v>
      </c>
      <c r="P57" s="672"/>
      <c r="Q57" s="16">
        <v>16</v>
      </c>
    </row>
    <row r="58" spans="1:17">
      <c r="A58" s="714"/>
      <c r="B58" s="674" t="s">
        <v>7279</v>
      </c>
      <c r="C58" s="675"/>
      <c r="D58" s="675"/>
      <c r="E58" s="675"/>
      <c r="F58" s="675"/>
      <c r="G58" s="675"/>
      <c r="H58" s="675"/>
      <c r="I58" s="675"/>
      <c r="J58" s="675"/>
      <c r="K58" s="675"/>
      <c r="L58" s="675"/>
      <c r="M58" s="675"/>
      <c r="N58" s="675"/>
      <c r="O58" s="677">
        <f t="shared" si="12"/>
        <v>0</v>
      </c>
      <c r="P58" s="672"/>
      <c r="Q58" s="16" t="s">
        <v>7413</v>
      </c>
    </row>
    <row r="59" spans="1:17">
      <c r="A59" s="714"/>
      <c r="B59" s="674" t="s">
        <v>7289</v>
      </c>
      <c r="C59" s="675"/>
      <c r="D59" s="675"/>
      <c r="E59" s="675"/>
      <c r="F59" s="675"/>
      <c r="G59" s="675"/>
      <c r="H59" s="675"/>
      <c r="I59" s="675"/>
      <c r="J59" s="675"/>
      <c r="K59" s="675"/>
      <c r="L59" s="675"/>
      <c r="M59" s="675"/>
      <c r="N59" s="675"/>
      <c r="O59" s="677">
        <f t="shared" si="12"/>
        <v>0</v>
      </c>
      <c r="P59" s="672"/>
      <c r="Q59" s="16">
        <v>120</v>
      </c>
    </row>
    <row r="60" spans="1:17">
      <c r="A60" s="714"/>
      <c r="B60" s="674" t="s">
        <v>7034</v>
      </c>
      <c r="C60" s="675"/>
      <c r="D60" s="675"/>
      <c r="E60" s="675"/>
      <c r="F60" s="675"/>
      <c r="G60" s="675"/>
      <c r="H60" s="675"/>
      <c r="I60" s="675"/>
      <c r="J60" s="675"/>
      <c r="K60" s="676">
        <v>632</v>
      </c>
      <c r="L60" s="675"/>
      <c r="M60" s="675"/>
      <c r="N60" s="675"/>
      <c r="O60" s="677">
        <f t="shared" si="12"/>
        <v>632</v>
      </c>
      <c r="P60" s="672"/>
      <c r="Q60" s="16">
        <v>632</v>
      </c>
    </row>
    <row r="61" spans="1:17">
      <c r="A61" s="714"/>
      <c r="B61" s="674" t="s">
        <v>7292</v>
      </c>
      <c r="C61" s="675"/>
      <c r="D61" s="675"/>
      <c r="E61" s="675"/>
      <c r="F61" s="675"/>
      <c r="G61" s="675">
        <v>900</v>
      </c>
      <c r="H61" s="675"/>
      <c r="I61" s="675"/>
      <c r="J61" s="675">
        <v>900</v>
      </c>
      <c r="K61" s="675"/>
      <c r="L61" s="675"/>
      <c r="M61" s="675"/>
      <c r="N61" s="675"/>
      <c r="O61" s="677">
        <f t="shared" si="12"/>
        <v>1800</v>
      </c>
      <c r="P61" s="672"/>
      <c r="Q61" s="16">
        <v>1800</v>
      </c>
    </row>
    <row r="62" spans="1:17">
      <c r="A62" s="714"/>
      <c r="B62" s="674" t="s">
        <v>7294</v>
      </c>
      <c r="C62" s="675"/>
      <c r="D62" s="675"/>
      <c r="E62" s="675"/>
      <c r="F62" s="675">
        <f>F55*8/100</f>
        <v>128</v>
      </c>
      <c r="G62" s="675">
        <f>G55*8/100</f>
        <v>56</v>
      </c>
      <c r="H62" s="675">
        <f>H55*8/100</f>
        <v>128</v>
      </c>
      <c r="I62" s="675">
        <f>I55*8/100</f>
        <v>128</v>
      </c>
      <c r="J62" s="675">
        <f>J55*8/100</f>
        <v>72</v>
      </c>
      <c r="K62" s="675"/>
      <c r="L62" s="675"/>
      <c r="M62" s="675"/>
      <c r="N62" s="675"/>
      <c r="O62" s="677">
        <f t="shared" si="12"/>
        <v>512</v>
      </c>
      <c r="P62" s="672"/>
      <c r="Q62" s="16">
        <v>512</v>
      </c>
    </row>
    <row r="63" spans="1:17">
      <c r="A63" s="714"/>
      <c r="B63" s="674" t="s">
        <v>5024</v>
      </c>
      <c r="C63" s="675"/>
      <c r="D63" s="675"/>
      <c r="E63" s="675"/>
      <c r="F63" s="675"/>
      <c r="G63" s="675"/>
      <c r="H63" s="675"/>
      <c r="I63" s="675"/>
      <c r="J63" s="675"/>
      <c r="K63" s="675"/>
      <c r="L63" s="675"/>
      <c r="M63" s="675"/>
      <c r="N63" s="675"/>
      <c r="O63" s="677">
        <f t="shared" si="12"/>
        <v>0</v>
      </c>
      <c r="P63" s="672"/>
      <c r="Q63" s="16">
        <v>0</v>
      </c>
    </row>
    <row r="64" spans="1:17">
      <c r="A64" s="714"/>
      <c r="B64" s="674" t="s">
        <v>6860</v>
      </c>
      <c r="C64" s="675"/>
      <c r="D64" s="675"/>
      <c r="E64" s="675"/>
      <c r="F64" s="675"/>
      <c r="G64" s="675">
        <v>1028</v>
      </c>
      <c r="H64" s="675"/>
      <c r="I64" s="675"/>
      <c r="J64" s="675">
        <v>1007</v>
      </c>
      <c r="K64" s="675"/>
      <c r="L64" s="675"/>
      <c r="M64" s="675"/>
      <c r="N64" s="675"/>
      <c r="O64" s="677">
        <f t="shared" si="12"/>
        <v>2035</v>
      </c>
      <c r="P64" s="672"/>
      <c r="Q64" s="16">
        <v>2035</v>
      </c>
    </row>
    <row r="65" spans="1:17">
      <c r="A65" s="714"/>
      <c r="B65" s="674" t="s">
        <v>7035</v>
      </c>
      <c r="C65" s="675"/>
      <c r="D65" s="675"/>
      <c r="E65" s="675"/>
      <c r="F65" s="675"/>
      <c r="G65" s="675">
        <v>1382</v>
      </c>
      <c r="H65" s="675"/>
      <c r="I65" s="675"/>
      <c r="J65" s="675">
        <v>1220</v>
      </c>
      <c r="K65" s="675"/>
      <c r="L65" s="675"/>
      <c r="M65" s="675"/>
      <c r="N65" s="675"/>
      <c r="O65" s="677">
        <f t="shared" si="12"/>
        <v>2602</v>
      </c>
      <c r="P65" s="672"/>
      <c r="Q65" s="16">
        <v>2602</v>
      </c>
    </row>
    <row r="66" spans="1:17">
      <c r="A66" s="714"/>
      <c r="B66" s="674" t="s">
        <v>7298</v>
      </c>
      <c r="C66" s="675"/>
      <c r="D66" s="675"/>
      <c r="E66" s="675"/>
      <c r="F66" s="675"/>
      <c r="G66" s="675">
        <v>45</v>
      </c>
      <c r="H66" s="675"/>
      <c r="I66" s="675"/>
      <c r="J66" s="675">
        <v>58</v>
      </c>
      <c r="K66" s="675"/>
      <c r="L66" s="675"/>
      <c r="M66" s="675"/>
      <c r="N66" s="675"/>
      <c r="O66" s="677">
        <f t="shared" si="12"/>
        <v>103</v>
      </c>
      <c r="P66" s="672"/>
      <c r="Q66" s="16">
        <v>103</v>
      </c>
    </row>
    <row r="67" spans="1:17">
      <c r="A67" s="714"/>
      <c r="B67" s="674" t="s">
        <v>4399</v>
      </c>
      <c r="C67" s="675"/>
      <c r="D67" s="675"/>
      <c r="E67" s="675"/>
      <c r="F67" s="676">
        <v>605.4</v>
      </c>
      <c r="G67" s="675"/>
      <c r="H67" s="675"/>
      <c r="I67" s="675"/>
      <c r="J67" s="675"/>
      <c r="K67" s="675"/>
      <c r="L67" s="675"/>
      <c r="M67" s="676">
        <v>605.4</v>
      </c>
      <c r="N67" s="675"/>
      <c r="O67" s="677">
        <f t="shared" si="12"/>
        <v>1210.8</v>
      </c>
      <c r="P67" s="672"/>
      <c r="Q67" s="16">
        <v>1210</v>
      </c>
    </row>
    <row r="68" spans="1:17">
      <c r="A68" s="714"/>
      <c r="B68" s="1346" t="s">
        <v>7301</v>
      </c>
      <c r="C68" s="686">
        <f t="shared" ref="C68:N68" si="13">C69+C70</f>
        <v>545.87</v>
      </c>
      <c r="D68" s="686">
        <f t="shared" si="13"/>
        <v>573.6</v>
      </c>
      <c r="E68" s="686">
        <f t="shared" si="13"/>
        <v>374.88</v>
      </c>
      <c r="F68" s="686">
        <f t="shared" si="13"/>
        <v>363.54</v>
      </c>
      <c r="G68" s="686">
        <f t="shared" si="13"/>
        <v>363.54</v>
      </c>
      <c r="H68" s="686">
        <f t="shared" si="13"/>
        <v>363.54</v>
      </c>
      <c r="I68" s="686">
        <f t="shared" si="13"/>
        <v>363.54</v>
      </c>
      <c r="J68" s="686">
        <f t="shared" si="13"/>
        <v>292.68</v>
      </c>
      <c r="K68" s="686">
        <f t="shared" si="13"/>
        <v>311.53000000000003</v>
      </c>
      <c r="L68" s="686">
        <f t="shared" si="13"/>
        <v>312.11</v>
      </c>
      <c r="M68" s="686">
        <f t="shared" si="13"/>
        <v>342.82</v>
      </c>
      <c r="N68" s="686">
        <f t="shared" si="13"/>
        <v>379.45000000000005</v>
      </c>
      <c r="O68" s="677">
        <f t="shared" si="12"/>
        <v>4587.0999999999995</v>
      </c>
      <c r="P68" s="681"/>
      <c r="Q68" s="16">
        <v>4587</v>
      </c>
    </row>
    <row r="69" spans="1:17">
      <c r="A69" s="714"/>
      <c r="B69" s="674" t="s">
        <v>7412</v>
      </c>
      <c r="C69" s="675">
        <v>257.95</v>
      </c>
      <c r="D69" s="675">
        <v>245.86</v>
      </c>
      <c r="E69" s="675">
        <v>234.2</v>
      </c>
      <c r="F69" s="675">
        <v>222.86</v>
      </c>
      <c r="G69" s="1347">
        <v>222.86</v>
      </c>
      <c r="H69" s="1347">
        <v>222.86</v>
      </c>
      <c r="I69" s="1347">
        <v>222.86</v>
      </c>
      <c r="J69" s="1347">
        <v>222.86</v>
      </c>
      <c r="K69" s="675">
        <v>227.74</v>
      </c>
      <c r="L69" s="675">
        <v>230.5</v>
      </c>
      <c r="M69" s="675">
        <v>233.26</v>
      </c>
      <c r="N69" s="675">
        <v>238.77</v>
      </c>
      <c r="O69" s="677">
        <f t="shared" si="12"/>
        <v>2782.5800000000004</v>
      </c>
      <c r="P69" s="681"/>
      <c r="Q69" s="16"/>
    </row>
    <row r="70" spans="1:17">
      <c r="A70" s="714"/>
      <c r="B70" s="674" t="s">
        <v>7042</v>
      </c>
      <c r="C70" s="675">
        <v>287.92</v>
      </c>
      <c r="D70" s="675">
        <v>327.74</v>
      </c>
      <c r="E70" s="1347">
        <v>140.68</v>
      </c>
      <c r="F70" s="1347">
        <v>140.68</v>
      </c>
      <c r="G70" s="1347">
        <v>140.68</v>
      </c>
      <c r="H70" s="1347">
        <v>140.68</v>
      </c>
      <c r="I70" s="1347">
        <v>140.68</v>
      </c>
      <c r="J70" s="675">
        <v>69.819999999999993</v>
      </c>
      <c r="K70" s="675">
        <v>83.79</v>
      </c>
      <c r="L70" s="675">
        <v>81.61</v>
      </c>
      <c r="M70" s="675">
        <v>109.56</v>
      </c>
      <c r="N70" s="675">
        <v>140.68</v>
      </c>
      <c r="O70" s="677">
        <f t="shared" si="12"/>
        <v>1804.5200000000002</v>
      </c>
      <c r="P70" s="672"/>
      <c r="Q70" s="16"/>
    </row>
    <row r="71" spans="1:17">
      <c r="A71" s="714"/>
      <c r="B71" s="666" t="s">
        <v>6323</v>
      </c>
      <c r="C71" s="677">
        <f t="shared" ref="C71:N71" si="14">SUM(C64:C65)</f>
        <v>0</v>
      </c>
      <c r="D71" s="677">
        <f t="shared" si="14"/>
        <v>0</v>
      </c>
      <c r="E71" s="677">
        <f t="shared" si="14"/>
        <v>0</v>
      </c>
      <c r="F71" s="677">
        <f t="shared" si="14"/>
        <v>0</v>
      </c>
      <c r="G71" s="677">
        <f t="shared" si="14"/>
        <v>2410</v>
      </c>
      <c r="H71" s="677">
        <f t="shared" si="14"/>
        <v>0</v>
      </c>
      <c r="I71" s="677">
        <f t="shared" si="14"/>
        <v>0</v>
      </c>
      <c r="J71" s="677">
        <f t="shared" si="14"/>
        <v>2227</v>
      </c>
      <c r="K71" s="677">
        <f t="shared" si="14"/>
        <v>0</v>
      </c>
      <c r="L71" s="677">
        <f t="shared" si="14"/>
        <v>0</v>
      </c>
      <c r="M71" s="677">
        <f t="shared" si="14"/>
        <v>0</v>
      </c>
      <c r="N71" s="677">
        <f t="shared" si="14"/>
        <v>0</v>
      </c>
      <c r="O71" s="677">
        <f t="shared" si="12"/>
        <v>4637</v>
      </c>
      <c r="P71" s="669"/>
    </row>
    <row r="72" spans="1:17">
      <c r="A72" s="714"/>
      <c r="B72" s="689" t="s">
        <v>1126</v>
      </c>
      <c r="C72" s="690">
        <f t="shared" ref="C72:N72" si="15">SUM(C57:C70)</f>
        <v>1096.74</v>
      </c>
      <c r="D72" s="690">
        <f t="shared" si="15"/>
        <v>1148.2</v>
      </c>
      <c r="E72" s="690">
        <f t="shared" si="15"/>
        <v>750.76</v>
      </c>
      <c r="F72" s="690">
        <f t="shared" si="15"/>
        <v>1461.4800000000002</v>
      </c>
      <c r="G72" s="690">
        <f t="shared" si="15"/>
        <v>4139.08</v>
      </c>
      <c r="H72" s="690">
        <f t="shared" si="15"/>
        <v>856.08000000000015</v>
      </c>
      <c r="I72" s="690">
        <f t="shared" si="15"/>
        <v>856.08000000000015</v>
      </c>
      <c r="J72" s="690">
        <f t="shared" si="15"/>
        <v>3843.36</v>
      </c>
      <c r="K72" s="690">
        <f t="shared" si="15"/>
        <v>1256.06</v>
      </c>
      <c r="L72" s="690">
        <f t="shared" si="15"/>
        <v>625.22</v>
      </c>
      <c r="M72" s="690">
        <f t="shared" si="15"/>
        <v>1292.04</v>
      </c>
      <c r="N72" s="690">
        <f t="shared" si="15"/>
        <v>759.90000000000009</v>
      </c>
      <c r="O72" s="690">
        <f t="shared" si="12"/>
        <v>18085</v>
      </c>
      <c r="P72" s="691"/>
      <c r="Q72" s="16">
        <f>SUM(Q57:Q68)</f>
        <v>13617</v>
      </c>
    </row>
    <row r="73" spans="1:17">
      <c r="A73" s="715"/>
      <c r="B73" s="692" t="s">
        <v>791</v>
      </c>
      <c r="C73" s="693">
        <f t="shared" ref="C73:N73" si="16">C55-C72</f>
        <v>503.26</v>
      </c>
      <c r="D73" s="693">
        <f t="shared" si="16"/>
        <v>451.79999999999995</v>
      </c>
      <c r="E73" s="693">
        <f t="shared" si="16"/>
        <v>849.24</v>
      </c>
      <c r="F73" s="693">
        <f t="shared" si="16"/>
        <v>138.51999999999975</v>
      </c>
      <c r="G73" s="693">
        <f t="shared" si="16"/>
        <v>-3439.08</v>
      </c>
      <c r="H73" s="693">
        <f t="shared" si="16"/>
        <v>743.91999999999985</v>
      </c>
      <c r="I73" s="693">
        <f t="shared" si="16"/>
        <v>743.91999999999985</v>
      </c>
      <c r="J73" s="693">
        <f t="shared" si="16"/>
        <v>-2943.36</v>
      </c>
      <c r="K73" s="693">
        <f t="shared" si="16"/>
        <v>343.94000000000005</v>
      </c>
      <c r="L73" s="693">
        <f t="shared" si="16"/>
        <v>974.78</v>
      </c>
      <c r="M73" s="693">
        <f t="shared" si="16"/>
        <v>307.96000000000004</v>
      </c>
      <c r="N73" s="693">
        <f t="shared" si="16"/>
        <v>840.09999999999991</v>
      </c>
      <c r="O73" s="693">
        <f t="shared" si="12"/>
        <v>-485.00000000000068</v>
      </c>
      <c r="P73" s="694"/>
      <c r="Q73" s="16">
        <f>Q55-Q72</f>
        <v>-3117</v>
      </c>
    </row>
    <row r="74" spans="1:17">
      <c r="A74" s="947"/>
      <c r="B74" s="950" t="s">
        <v>7036</v>
      </c>
      <c r="C74" s="950">
        <v>0</v>
      </c>
      <c r="D74" s="950">
        <v>0</v>
      </c>
      <c r="E74" s="950">
        <v>0</v>
      </c>
      <c r="F74" s="950">
        <v>0</v>
      </c>
      <c r="G74" s="950">
        <v>0</v>
      </c>
      <c r="H74" s="950">
        <v>0</v>
      </c>
      <c r="I74" s="950">
        <v>0</v>
      </c>
      <c r="J74" s="950">
        <v>0</v>
      </c>
      <c r="K74" s="950">
        <v>0</v>
      </c>
      <c r="L74" s="950">
        <v>0</v>
      </c>
      <c r="M74" s="950">
        <v>0</v>
      </c>
      <c r="N74" s="951">
        <v>0</v>
      </c>
      <c r="O74" s="952">
        <f t="shared" si="12"/>
        <v>0</v>
      </c>
      <c r="P74" s="953"/>
    </row>
    <row r="75" spans="1:17">
      <c r="A75" s="692"/>
      <c r="B75" s="692" t="s">
        <v>6861</v>
      </c>
      <c r="C75" s="996">
        <f t="shared" ref="C75:O75" si="17">C73-C74</f>
        <v>503.26</v>
      </c>
      <c r="D75" s="996">
        <f t="shared" si="17"/>
        <v>451.79999999999995</v>
      </c>
      <c r="E75" s="996">
        <f t="shared" si="17"/>
        <v>849.24</v>
      </c>
      <c r="F75" s="996">
        <f t="shared" si="17"/>
        <v>138.51999999999975</v>
      </c>
      <c r="G75" s="996">
        <f t="shared" si="17"/>
        <v>-3439.08</v>
      </c>
      <c r="H75" s="996">
        <f t="shared" si="17"/>
        <v>743.91999999999985</v>
      </c>
      <c r="I75" s="996">
        <f t="shared" si="17"/>
        <v>743.91999999999985</v>
      </c>
      <c r="J75" s="996">
        <f t="shared" si="17"/>
        <v>-2943.36</v>
      </c>
      <c r="K75" s="996">
        <f t="shared" si="17"/>
        <v>343.94000000000005</v>
      </c>
      <c r="L75" s="996">
        <f t="shared" si="17"/>
        <v>974.78</v>
      </c>
      <c r="M75" s="996">
        <f t="shared" si="17"/>
        <v>307.96000000000004</v>
      </c>
      <c r="N75" s="996">
        <f t="shared" si="17"/>
        <v>840.09999999999991</v>
      </c>
      <c r="O75" s="956">
        <f t="shared" si="17"/>
        <v>-485.00000000000068</v>
      </c>
      <c r="P75" s="709"/>
    </row>
    <row r="76" spans="1:17">
      <c r="B76" s="2130" t="s">
        <v>7037</v>
      </c>
      <c r="C76" s="2087"/>
      <c r="D76" s="2087"/>
      <c r="E76" s="2087"/>
      <c r="F76" s="2087"/>
      <c r="G76" s="2087"/>
      <c r="H76" s="2087"/>
      <c r="I76" s="2087"/>
      <c r="J76" s="2087"/>
      <c r="K76" s="2087"/>
      <c r="L76" s="2087"/>
      <c r="M76" s="2087"/>
      <c r="N76" s="2087"/>
      <c r="O76" s="2087"/>
    </row>
    <row r="77" spans="1:17">
      <c r="B77" s="9" t="s">
        <v>7038</v>
      </c>
      <c r="C77" s="9">
        <f t="shared" ref="C77:N77" si="18">C69</f>
        <v>257.95</v>
      </c>
      <c r="D77" s="9">
        <f t="shared" si="18"/>
        <v>245.86</v>
      </c>
      <c r="E77" s="9">
        <f t="shared" si="18"/>
        <v>234.2</v>
      </c>
      <c r="F77" s="9">
        <f t="shared" si="18"/>
        <v>222.86</v>
      </c>
      <c r="G77" s="9">
        <f t="shared" si="18"/>
        <v>222.86</v>
      </c>
      <c r="H77" s="9">
        <f t="shared" si="18"/>
        <v>222.86</v>
      </c>
      <c r="I77" s="9">
        <f t="shared" si="18"/>
        <v>222.86</v>
      </c>
      <c r="J77" s="9">
        <f t="shared" si="18"/>
        <v>222.86</v>
      </c>
      <c r="K77" s="9">
        <f t="shared" si="18"/>
        <v>227.74</v>
      </c>
      <c r="L77" s="9">
        <f t="shared" si="18"/>
        <v>230.5</v>
      </c>
      <c r="M77" s="9">
        <f t="shared" si="18"/>
        <v>233.26</v>
      </c>
      <c r="N77" s="9">
        <f t="shared" si="18"/>
        <v>238.77</v>
      </c>
      <c r="O77" s="9" t="e">
        <f>#REF!</f>
        <v>#REF!</v>
      </c>
    </row>
    <row r="78" spans="1:17">
      <c r="B78" s="9" t="s">
        <v>7039</v>
      </c>
      <c r="C78" s="9">
        <f t="shared" ref="C78:H78" si="19">C70</f>
        <v>287.92</v>
      </c>
      <c r="D78" s="9">
        <f t="shared" si="19"/>
        <v>327.74</v>
      </c>
      <c r="E78" s="9">
        <f t="shared" si="19"/>
        <v>140.68</v>
      </c>
      <c r="F78" s="9">
        <f t="shared" si="19"/>
        <v>140.68</v>
      </c>
      <c r="G78" s="9">
        <f t="shared" si="19"/>
        <v>140.68</v>
      </c>
      <c r="H78" s="9">
        <f t="shared" si="19"/>
        <v>140.68</v>
      </c>
      <c r="I78" s="9">
        <v>129.81</v>
      </c>
      <c r="J78" s="9">
        <f>I70:J70</f>
        <v>69.819999999999993</v>
      </c>
      <c r="K78" s="9">
        <f>J70:K70</f>
        <v>83.79</v>
      </c>
      <c r="L78" s="9">
        <f>K70:L70</f>
        <v>81.61</v>
      </c>
      <c r="M78" s="9">
        <f>L70</f>
        <v>81.61</v>
      </c>
      <c r="N78" s="9">
        <f>N70</f>
        <v>140.68</v>
      </c>
      <c r="O78" s="9" t="e">
        <f>#REF!</f>
        <v>#REF!</v>
      </c>
    </row>
    <row r="79" spans="1:17">
      <c r="B79" s="9" t="s">
        <v>7040</v>
      </c>
      <c r="C79" s="9" t="e">
        <f>#REF!+#REF!</f>
        <v>#REF!</v>
      </c>
      <c r="D79" s="9" t="e">
        <f>#REF!+#REF!</f>
        <v>#REF!</v>
      </c>
      <c r="E79" s="9" t="e">
        <f>#REF!+#REF!</f>
        <v>#REF!</v>
      </c>
      <c r="F79" s="9" t="e">
        <f>#REF!+#REF!</f>
        <v>#REF!</v>
      </c>
      <c r="G79" s="9">
        <v>270</v>
      </c>
      <c r="H79" s="9">
        <v>270</v>
      </c>
      <c r="I79" s="9" t="e">
        <f t="shared" ref="I79:O79" si="20">#REF!+#REF!</f>
        <v>#REF!</v>
      </c>
      <c r="J79" s="9" t="e">
        <f t="shared" si="20"/>
        <v>#REF!</v>
      </c>
      <c r="K79" s="9" t="e">
        <f t="shared" si="20"/>
        <v>#REF!</v>
      </c>
      <c r="L79" s="9" t="e">
        <f t="shared" si="20"/>
        <v>#REF!</v>
      </c>
      <c r="M79" s="9" t="e">
        <f t="shared" si="20"/>
        <v>#REF!</v>
      </c>
      <c r="N79" s="9" t="e">
        <f t="shared" si="20"/>
        <v>#REF!</v>
      </c>
      <c r="O79" s="9" t="e">
        <f t="shared" si="20"/>
        <v>#REF!</v>
      </c>
    </row>
    <row r="80" spans="1:17">
      <c r="A80" s="578"/>
      <c r="B80" s="997" t="s">
        <v>59</v>
      </c>
      <c r="C80" s="997" t="e">
        <f t="shared" ref="C80:O80" si="21">C79-C78-C77</f>
        <v>#REF!</v>
      </c>
      <c r="D80" s="997" t="e">
        <f t="shared" si="21"/>
        <v>#REF!</v>
      </c>
      <c r="E80" s="997" t="e">
        <f t="shared" si="21"/>
        <v>#REF!</v>
      </c>
      <c r="F80" s="997" t="e">
        <f t="shared" si="21"/>
        <v>#REF!</v>
      </c>
      <c r="G80" s="998">
        <f t="shared" si="21"/>
        <v>-93.54000000000002</v>
      </c>
      <c r="H80" s="997">
        <f t="shared" si="21"/>
        <v>-93.54000000000002</v>
      </c>
      <c r="I80" s="997" t="e">
        <f t="shared" si="21"/>
        <v>#REF!</v>
      </c>
      <c r="J80" s="997" t="e">
        <f t="shared" si="21"/>
        <v>#REF!</v>
      </c>
      <c r="K80" s="997" t="e">
        <f t="shared" si="21"/>
        <v>#REF!</v>
      </c>
      <c r="L80" s="997" t="e">
        <f t="shared" si="21"/>
        <v>#REF!</v>
      </c>
      <c r="M80" s="997" t="e">
        <f t="shared" si="21"/>
        <v>#REF!</v>
      </c>
      <c r="N80" s="997" t="e">
        <f t="shared" si="21"/>
        <v>#REF!</v>
      </c>
      <c r="O80" s="997" t="e">
        <f t="shared" si="21"/>
        <v>#REF!</v>
      </c>
      <c r="P80" s="997"/>
    </row>
    <row r="81" spans="1:26">
      <c r="A81" s="714"/>
      <c r="B81" s="2126" t="s">
        <v>7041</v>
      </c>
      <c r="C81" s="2127"/>
      <c r="D81" s="2127"/>
      <c r="E81" s="2127"/>
      <c r="F81" s="2127"/>
      <c r="G81" s="2127"/>
      <c r="H81" s="2127"/>
      <c r="I81" s="2127"/>
      <c r="J81" s="2127"/>
      <c r="K81" s="2127"/>
      <c r="L81" s="2127"/>
      <c r="M81" s="2127"/>
      <c r="N81" s="2127"/>
      <c r="O81" s="2128"/>
      <c r="P81" s="661"/>
    </row>
    <row r="82" spans="1:26">
      <c r="A82" s="714"/>
      <c r="B82" s="662" t="s">
        <v>7409</v>
      </c>
      <c r="C82" s="663" t="s">
        <v>143</v>
      </c>
      <c r="D82" s="663" t="s">
        <v>26</v>
      </c>
      <c r="E82" s="663" t="s">
        <v>25</v>
      </c>
      <c r="F82" s="663" t="s">
        <v>24</v>
      </c>
      <c r="G82" s="663" t="s">
        <v>23</v>
      </c>
      <c r="H82" s="663" t="s">
        <v>22</v>
      </c>
      <c r="I82" s="663" t="s">
        <v>21</v>
      </c>
      <c r="J82" s="663" t="s">
        <v>20</v>
      </c>
      <c r="K82" s="663" t="s">
        <v>256</v>
      </c>
      <c r="L82" s="663" t="s">
        <v>18</v>
      </c>
      <c r="M82" s="663" t="s">
        <v>17</v>
      </c>
      <c r="N82" s="663" t="s">
        <v>86</v>
      </c>
      <c r="O82" s="664" t="s">
        <v>67</v>
      </c>
      <c r="P82" s="665"/>
    </row>
    <row r="83" spans="1:26">
      <c r="A83" s="714"/>
      <c r="B83" s="666" t="s">
        <v>4395</v>
      </c>
      <c r="C83" s="667">
        <v>575</v>
      </c>
      <c r="D83" s="999">
        <v>575</v>
      </c>
      <c r="E83" s="999">
        <v>575</v>
      </c>
      <c r="F83" s="999">
        <v>600</v>
      </c>
      <c r="G83" s="999">
        <v>600</v>
      </c>
      <c r="H83" s="999">
        <v>600</v>
      </c>
      <c r="I83" s="999">
        <v>600</v>
      </c>
      <c r="J83" s="999">
        <v>600</v>
      </c>
      <c r="K83" s="999">
        <v>600</v>
      </c>
      <c r="L83" s="999">
        <v>600</v>
      </c>
      <c r="M83" s="999">
        <v>600</v>
      </c>
      <c r="N83" s="999">
        <v>600</v>
      </c>
      <c r="O83" s="668">
        <f>SUM(C83:N83)</f>
        <v>7125</v>
      </c>
      <c r="P83" s="669"/>
    </row>
    <row r="84" spans="1:26">
      <c r="A84" s="714"/>
      <c r="B84" s="1342" t="s">
        <v>6389</v>
      </c>
      <c r="C84" s="1343" t="s">
        <v>135</v>
      </c>
      <c r="D84" s="1343" t="s">
        <v>135</v>
      </c>
      <c r="E84" s="1343" t="s">
        <v>135</v>
      </c>
      <c r="F84" s="1343" t="s">
        <v>135</v>
      </c>
      <c r="G84" s="1343" t="s">
        <v>135</v>
      </c>
      <c r="H84" s="1343" t="s">
        <v>135</v>
      </c>
      <c r="I84" s="1343" t="s">
        <v>135</v>
      </c>
      <c r="J84" s="1343" t="s">
        <v>135</v>
      </c>
      <c r="K84" s="1343"/>
      <c r="L84" s="1343"/>
      <c r="M84" s="1343"/>
      <c r="N84" s="1343"/>
      <c r="O84" s="1344">
        <f>SUM(C84:N84)</f>
        <v>0</v>
      </c>
      <c r="P84" s="672"/>
    </row>
    <row r="85" spans="1:26">
      <c r="A85" s="714"/>
      <c r="B85" s="666" t="s">
        <v>4397</v>
      </c>
      <c r="C85" s="671"/>
      <c r="D85" s="671"/>
      <c r="E85" s="671"/>
      <c r="F85" s="671"/>
      <c r="G85" s="671"/>
      <c r="H85" s="671"/>
      <c r="I85" s="671"/>
      <c r="J85" s="671"/>
      <c r="K85" s="671"/>
      <c r="L85" s="671"/>
      <c r="M85" s="671"/>
      <c r="N85" s="671"/>
      <c r="O85" s="668"/>
      <c r="P85" s="672"/>
    </row>
    <row r="86" spans="1:26">
      <c r="A86" s="1348"/>
      <c r="B86" s="1349" t="s">
        <v>3313</v>
      </c>
      <c r="C86" s="1350">
        <f>1+4</f>
        <v>5</v>
      </c>
      <c r="D86" s="1350">
        <v>1</v>
      </c>
      <c r="E86" s="1350">
        <v>1</v>
      </c>
      <c r="F86" s="1350">
        <v>1</v>
      </c>
      <c r="G86" s="1350">
        <v>1</v>
      </c>
      <c r="H86" s="1350">
        <v>1</v>
      </c>
      <c r="I86" s="1350">
        <v>1</v>
      </c>
      <c r="J86" s="1350">
        <v>1</v>
      </c>
      <c r="K86" s="1350">
        <v>1</v>
      </c>
      <c r="L86" s="1350">
        <v>1</v>
      </c>
      <c r="M86" s="1350">
        <v>1</v>
      </c>
      <c r="N86" s="1350">
        <v>1</v>
      </c>
      <c r="O86" s="1351">
        <f t="shared" ref="O86:O99" si="22">SUM(C86:N86)</f>
        <v>16</v>
      </c>
      <c r="P86" s="1352"/>
      <c r="Q86" s="68">
        <v>16</v>
      </c>
      <c r="R86" s="93"/>
      <c r="S86" s="93"/>
      <c r="T86" s="93"/>
      <c r="U86" s="93"/>
      <c r="V86" s="93"/>
      <c r="W86" s="93"/>
      <c r="X86" s="93"/>
      <c r="Y86" s="93"/>
      <c r="Z86" s="93"/>
    </row>
    <row r="87" spans="1:26">
      <c r="A87" s="1348"/>
      <c r="B87" s="1349" t="s">
        <v>7279</v>
      </c>
      <c r="C87" s="1353"/>
      <c r="D87" s="1353"/>
      <c r="E87" s="1353"/>
      <c r="F87" s="1353"/>
      <c r="G87" s="1353"/>
      <c r="H87" s="1353"/>
      <c r="I87" s="1353"/>
      <c r="J87" s="1353"/>
      <c r="K87" s="1353"/>
      <c r="L87" s="1353"/>
      <c r="M87" s="1353"/>
      <c r="N87" s="1353"/>
      <c r="O87" s="1351">
        <f t="shared" si="22"/>
        <v>0</v>
      </c>
      <c r="P87" s="1352"/>
      <c r="Q87" s="153" t="s">
        <v>7411</v>
      </c>
      <c r="R87" s="93"/>
      <c r="S87" s="93"/>
      <c r="T87" s="93"/>
      <c r="U87" s="93"/>
      <c r="V87" s="93"/>
      <c r="W87" s="93"/>
      <c r="X87" s="93"/>
      <c r="Y87" s="93"/>
      <c r="Z87" s="93"/>
    </row>
    <row r="88" spans="1:26">
      <c r="A88" s="1348"/>
      <c r="B88" s="1349" t="s">
        <v>7289</v>
      </c>
      <c r="C88" s="1353"/>
      <c r="D88" s="1353"/>
      <c r="E88" s="1353"/>
      <c r="F88" s="1353"/>
      <c r="G88" s="1353"/>
      <c r="H88" s="1353"/>
      <c r="I88" s="1353"/>
      <c r="J88" s="1353"/>
      <c r="K88" s="1353"/>
      <c r="L88" s="1353"/>
      <c r="M88" s="1353"/>
      <c r="N88" s="1353"/>
      <c r="O88" s="1351">
        <f t="shared" si="22"/>
        <v>0</v>
      </c>
      <c r="P88" s="1352"/>
      <c r="Q88" s="68">
        <v>60</v>
      </c>
      <c r="R88" s="93"/>
      <c r="S88" s="93"/>
      <c r="T88" s="93"/>
      <c r="U88" s="93"/>
      <c r="V88" s="93"/>
      <c r="W88" s="93"/>
      <c r="X88" s="93"/>
      <c r="Y88" s="93"/>
      <c r="Z88" s="93"/>
    </row>
    <row r="89" spans="1:26">
      <c r="A89" s="1348"/>
      <c r="B89" s="674" t="s">
        <v>7043</v>
      </c>
      <c r="C89" s="687"/>
      <c r="D89" s="687"/>
      <c r="E89" s="687"/>
      <c r="F89" s="687"/>
      <c r="G89" s="687"/>
      <c r="H89" s="687"/>
      <c r="I89" s="688">
        <v>500.86</v>
      </c>
      <c r="J89" s="687"/>
      <c r="K89" s="687"/>
      <c r="L89" s="687"/>
      <c r="M89" s="687"/>
      <c r="N89" s="687"/>
      <c r="O89" s="1351">
        <f t="shared" si="22"/>
        <v>500.86</v>
      </c>
      <c r="P89" s="1352"/>
      <c r="Q89" s="68">
        <v>501</v>
      </c>
      <c r="R89" s="93"/>
      <c r="S89" s="93"/>
      <c r="T89" s="93"/>
      <c r="U89" s="93"/>
      <c r="V89" s="93"/>
      <c r="W89" s="93"/>
      <c r="X89" s="93"/>
      <c r="Y89" s="93"/>
      <c r="Z89" s="93"/>
    </row>
    <row r="90" spans="1:26">
      <c r="A90" s="1348"/>
      <c r="B90" s="1349" t="s">
        <v>7292</v>
      </c>
      <c r="C90" s="1353"/>
      <c r="D90" s="1353"/>
      <c r="E90" s="1353"/>
      <c r="F90" s="1353"/>
      <c r="G90" s="1350"/>
      <c r="H90" s="1353"/>
      <c r="I90" s="1353"/>
      <c r="J90" s="1353"/>
      <c r="K90" s="1353"/>
      <c r="L90" s="1353"/>
      <c r="M90" s="1353"/>
      <c r="N90" s="1353"/>
      <c r="O90" s="1351">
        <f t="shared" si="22"/>
        <v>0</v>
      </c>
      <c r="P90" s="1352"/>
      <c r="Q90" s="68">
        <v>0</v>
      </c>
      <c r="R90" s="93"/>
      <c r="S90" s="93"/>
      <c r="T90" s="93"/>
      <c r="U90" s="93"/>
      <c r="V90" s="93"/>
      <c r="W90" s="93"/>
      <c r="X90" s="93"/>
      <c r="Y90" s="93"/>
      <c r="Z90" s="93"/>
    </row>
    <row r="91" spans="1:26">
      <c r="A91" s="1348"/>
      <c r="B91" s="1349" t="s">
        <v>7294</v>
      </c>
      <c r="C91" s="1353"/>
      <c r="D91" s="1353"/>
      <c r="E91" s="1353"/>
      <c r="F91" s="1350"/>
      <c r="G91" s="1350"/>
      <c r="H91" s="1350"/>
      <c r="I91" s="1350"/>
      <c r="J91" s="1350"/>
      <c r="K91" s="1353"/>
      <c r="L91" s="1353"/>
      <c r="M91" s="1353"/>
      <c r="N91" s="1353"/>
      <c r="O91" s="1351">
        <f t="shared" si="22"/>
        <v>0</v>
      </c>
      <c r="P91" s="1352"/>
      <c r="Q91" s="68">
        <v>0</v>
      </c>
      <c r="R91" s="93"/>
      <c r="S91" s="93"/>
      <c r="T91" s="93"/>
      <c r="U91" s="93"/>
      <c r="V91" s="93"/>
      <c r="W91" s="93"/>
      <c r="X91" s="93"/>
      <c r="Y91" s="93"/>
      <c r="Z91" s="93"/>
    </row>
    <row r="92" spans="1:26">
      <c r="A92" s="1348"/>
      <c r="B92" s="1349" t="s">
        <v>5024</v>
      </c>
      <c r="C92" s="1353"/>
      <c r="D92" s="1353"/>
      <c r="E92" s="1353"/>
      <c r="F92" s="1353"/>
      <c r="G92" s="1353"/>
      <c r="H92" s="1353"/>
      <c r="I92" s="1353"/>
      <c r="J92" s="1353"/>
      <c r="K92" s="1353"/>
      <c r="L92" s="1353"/>
      <c r="M92" s="1353"/>
      <c r="N92" s="1353"/>
      <c r="O92" s="1351">
        <f t="shared" si="22"/>
        <v>0</v>
      </c>
      <c r="P92" s="1352"/>
      <c r="Q92" s="68">
        <v>0</v>
      </c>
      <c r="R92" s="93"/>
      <c r="S92" s="93"/>
      <c r="T92" s="93"/>
      <c r="U92" s="93"/>
      <c r="V92" s="93"/>
      <c r="W92" s="93"/>
      <c r="X92" s="93"/>
      <c r="Y92" s="93"/>
      <c r="Z92" s="93"/>
    </row>
    <row r="93" spans="1:26">
      <c r="A93" s="1348"/>
      <c r="B93" s="1349" t="s">
        <v>6860</v>
      </c>
      <c r="C93" s="1353"/>
      <c r="D93" s="1353"/>
      <c r="E93" s="1353"/>
      <c r="F93" s="1353"/>
      <c r="G93" s="1350"/>
      <c r="H93" s="1353"/>
      <c r="I93" s="1353"/>
      <c r="J93" s="1350"/>
      <c r="K93" s="1353"/>
      <c r="L93" s="1353"/>
      <c r="M93" s="1353"/>
      <c r="N93" s="1353"/>
      <c r="O93" s="1351">
        <f t="shared" si="22"/>
        <v>0</v>
      </c>
      <c r="P93" s="1352"/>
      <c r="Q93" s="68">
        <v>0</v>
      </c>
      <c r="R93" s="93"/>
      <c r="S93" s="93"/>
      <c r="T93" s="93"/>
      <c r="U93" s="93"/>
      <c r="V93" s="93"/>
      <c r="W93" s="93"/>
      <c r="X93" s="93"/>
      <c r="Y93" s="93"/>
      <c r="Z93" s="93"/>
    </row>
    <row r="94" spans="1:26">
      <c r="A94" s="1348"/>
      <c r="B94" s="1349" t="s">
        <v>7035</v>
      </c>
      <c r="C94" s="1353"/>
      <c r="D94" s="1353"/>
      <c r="E94" s="1353"/>
      <c r="F94" s="1353"/>
      <c r="G94" s="1350"/>
      <c r="H94" s="1353"/>
      <c r="I94" s="1353"/>
      <c r="J94" s="1350"/>
      <c r="K94" s="1353"/>
      <c r="L94" s="1353"/>
      <c r="M94" s="1353"/>
      <c r="N94" s="1353"/>
      <c r="O94" s="1351">
        <f t="shared" si="22"/>
        <v>0</v>
      </c>
      <c r="P94" s="1352"/>
      <c r="Q94" s="68">
        <v>511</v>
      </c>
      <c r="R94" s="93"/>
      <c r="S94" s="93"/>
      <c r="T94" s="93"/>
      <c r="U94" s="93"/>
      <c r="V94" s="93"/>
      <c r="W94" s="93"/>
      <c r="X94" s="93"/>
      <c r="Y94" s="93"/>
      <c r="Z94" s="93"/>
    </row>
    <row r="95" spans="1:26">
      <c r="A95" s="1348"/>
      <c r="B95" s="1349" t="s">
        <v>7298</v>
      </c>
      <c r="C95" s="1353"/>
      <c r="D95" s="1353"/>
      <c r="E95" s="1353"/>
      <c r="F95" s="1353"/>
      <c r="G95" s="1350"/>
      <c r="H95" s="1353"/>
      <c r="I95" s="1353"/>
      <c r="J95" s="1350"/>
      <c r="K95" s="1353"/>
      <c r="L95" s="1353"/>
      <c r="M95" s="1353"/>
      <c r="N95" s="1353"/>
      <c r="O95" s="1351">
        <f t="shared" si="22"/>
        <v>0</v>
      </c>
      <c r="P95" s="1352"/>
      <c r="Q95" s="68">
        <v>0</v>
      </c>
      <c r="R95" s="93"/>
      <c r="S95" s="93"/>
      <c r="T95" s="93"/>
      <c r="U95" s="93"/>
      <c r="V95" s="93"/>
      <c r="W95" s="93"/>
      <c r="X95" s="93"/>
      <c r="Y95" s="93"/>
      <c r="Z95" s="93"/>
    </row>
    <row r="96" spans="1:26">
      <c r="A96" s="1348"/>
      <c r="B96" s="1349" t="s">
        <v>4399</v>
      </c>
      <c r="C96" s="1353"/>
      <c r="D96" s="1353"/>
      <c r="E96" s="1353"/>
      <c r="F96" s="1001">
        <v>226.77</v>
      </c>
      <c r="G96" s="675"/>
      <c r="H96" s="675"/>
      <c r="I96" s="675"/>
      <c r="J96" s="675"/>
      <c r="K96" s="675"/>
      <c r="L96" s="675"/>
      <c r="M96" s="1001">
        <v>226.77</v>
      </c>
      <c r="N96" s="1353"/>
      <c r="O96" s="1351">
        <f t="shared" si="22"/>
        <v>453.54</v>
      </c>
      <c r="P96" s="1352"/>
      <c r="Q96" s="68">
        <v>454</v>
      </c>
      <c r="R96" s="93"/>
      <c r="S96" s="93"/>
      <c r="T96" s="93"/>
      <c r="U96" s="93"/>
      <c r="V96" s="93"/>
      <c r="W96" s="93"/>
      <c r="X96" s="93"/>
      <c r="Y96" s="93"/>
      <c r="Z96" s="93"/>
    </row>
    <row r="97" spans="1:26">
      <c r="A97" s="1348"/>
      <c r="B97" s="1354" t="s">
        <v>7301</v>
      </c>
      <c r="C97" s="1355">
        <f t="shared" ref="C97:N97" si="23">C98+C99</f>
        <v>0</v>
      </c>
      <c r="D97" s="1355">
        <f t="shared" si="23"/>
        <v>0</v>
      </c>
      <c r="E97" s="1355">
        <f t="shared" si="23"/>
        <v>0</v>
      </c>
      <c r="F97" s="1355">
        <f t="shared" si="23"/>
        <v>0</v>
      </c>
      <c r="G97" s="1355">
        <f t="shared" si="23"/>
        <v>0</v>
      </c>
      <c r="H97" s="1355">
        <f t="shared" si="23"/>
        <v>0</v>
      </c>
      <c r="I97" s="1355">
        <f t="shared" si="23"/>
        <v>0</v>
      </c>
      <c r="J97" s="1355">
        <f t="shared" si="23"/>
        <v>0</v>
      </c>
      <c r="K97" s="1355">
        <f t="shared" si="23"/>
        <v>0</v>
      </c>
      <c r="L97" s="1355">
        <f t="shared" si="23"/>
        <v>0</v>
      </c>
      <c r="M97" s="1355">
        <f t="shared" si="23"/>
        <v>0</v>
      </c>
      <c r="N97" s="1355">
        <f t="shared" si="23"/>
        <v>0</v>
      </c>
      <c r="O97" s="1351">
        <f t="shared" si="22"/>
        <v>0</v>
      </c>
      <c r="P97" s="1356"/>
      <c r="Q97" s="68">
        <v>0</v>
      </c>
      <c r="R97" s="93"/>
      <c r="S97" s="93"/>
      <c r="T97" s="93"/>
      <c r="U97" s="93"/>
      <c r="V97" s="93"/>
      <c r="W97" s="93"/>
      <c r="X97" s="93"/>
      <c r="Y97" s="93"/>
      <c r="Z97" s="93"/>
    </row>
    <row r="98" spans="1:26">
      <c r="A98" s="1348"/>
      <c r="B98" s="1349" t="s">
        <v>7412</v>
      </c>
      <c r="C98" s="1350"/>
      <c r="D98" s="1350"/>
      <c r="E98" s="1350"/>
      <c r="F98" s="1350"/>
      <c r="G98" s="1357"/>
      <c r="H98" s="1357"/>
      <c r="I98" s="1357"/>
      <c r="J98" s="1357"/>
      <c r="K98" s="1350"/>
      <c r="L98" s="1350"/>
      <c r="M98" s="1350"/>
      <c r="N98" s="1350"/>
      <c r="O98" s="1351">
        <f t="shared" si="22"/>
        <v>0</v>
      </c>
      <c r="P98" s="1356"/>
      <c r="Q98" s="153"/>
      <c r="R98" s="93"/>
      <c r="S98" s="93"/>
      <c r="T98" s="93"/>
      <c r="U98" s="93"/>
      <c r="V98" s="93"/>
      <c r="W98" s="93"/>
      <c r="X98" s="93"/>
      <c r="Y98" s="93"/>
      <c r="Z98" s="93"/>
    </row>
    <row r="99" spans="1:26">
      <c r="A99" s="1348"/>
      <c r="B99" s="1349" t="s">
        <v>7042</v>
      </c>
      <c r="C99" s="1350"/>
      <c r="D99" s="1350"/>
      <c r="E99" s="1357"/>
      <c r="F99" s="1357"/>
      <c r="G99" s="1357"/>
      <c r="H99" s="1357"/>
      <c r="I99" s="1357"/>
      <c r="J99" s="1350"/>
      <c r="K99" s="1350"/>
      <c r="L99" s="1350"/>
      <c r="M99" s="1350"/>
      <c r="N99" s="1350"/>
      <c r="O99" s="1351">
        <f t="shared" si="22"/>
        <v>0</v>
      </c>
      <c r="P99" s="1352"/>
      <c r="Q99" s="153"/>
      <c r="R99" s="93"/>
      <c r="S99" s="93"/>
      <c r="T99" s="93"/>
      <c r="U99" s="93"/>
      <c r="V99" s="93"/>
      <c r="W99" s="93"/>
      <c r="X99" s="93"/>
      <c r="Y99" s="93"/>
      <c r="Z99" s="93"/>
    </row>
    <row r="100" spans="1:26">
      <c r="A100" s="714"/>
      <c r="B100" s="689" t="s">
        <v>1126</v>
      </c>
      <c r="C100" s="690">
        <f t="shared" ref="C100:O100" si="24">SUM(C86:C97)</f>
        <v>5</v>
      </c>
      <c r="D100" s="690">
        <f t="shared" si="24"/>
        <v>1</v>
      </c>
      <c r="E100" s="690">
        <f t="shared" si="24"/>
        <v>1</v>
      </c>
      <c r="F100" s="690">
        <f t="shared" si="24"/>
        <v>227.77</v>
      </c>
      <c r="G100" s="690">
        <f t="shared" si="24"/>
        <v>1</v>
      </c>
      <c r="H100" s="690">
        <f t="shared" si="24"/>
        <v>1</v>
      </c>
      <c r="I100" s="690">
        <f t="shared" si="24"/>
        <v>501.86</v>
      </c>
      <c r="J100" s="690">
        <f t="shared" si="24"/>
        <v>1</v>
      </c>
      <c r="K100" s="690">
        <f t="shared" si="24"/>
        <v>1</v>
      </c>
      <c r="L100" s="690">
        <f t="shared" si="24"/>
        <v>1</v>
      </c>
      <c r="M100" s="690">
        <f t="shared" si="24"/>
        <v>227.77</v>
      </c>
      <c r="N100" s="690">
        <f t="shared" si="24"/>
        <v>1</v>
      </c>
      <c r="O100" s="690">
        <f t="shared" si="24"/>
        <v>970.40000000000009</v>
      </c>
      <c r="P100" s="691"/>
      <c r="Q100" s="16">
        <f>SUM(Q86:Q97)</f>
        <v>1542</v>
      </c>
    </row>
    <row r="101" spans="1:26">
      <c r="A101" s="715"/>
      <c r="B101" s="692" t="s">
        <v>791</v>
      </c>
      <c r="C101" s="693">
        <f t="shared" ref="C101:O101" si="25">C83-C100</f>
        <v>570</v>
      </c>
      <c r="D101" s="693">
        <f t="shared" si="25"/>
        <v>574</v>
      </c>
      <c r="E101" s="693">
        <f t="shared" si="25"/>
        <v>574</v>
      </c>
      <c r="F101" s="693">
        <f t="shared" si="25"/>
        <v>372.23</v>
      </c>
      <c r="G101" s="693">
        <f t="shared" si="25"/>
        <v>599</v>
      </c>
      <c r="H101" s="693">
        <f t="shared" si="25"/>
        <v>599</v>
      </c>
      <c r="I101" s="693">
        <f t="shared" si="25"/>
        <v>98.139999999999986</v>
      </c>
      <c r="J101" s="693">
        <f t="shared" si="25"/>
        <v>599</v>
      </c>
      <c r="K101" s="693">
        <f t="shared" si="25"/>
        <v>599</v>
      </c>
      <c r="L101" s="693">
        <f t="shared" si="25"/>
        <v>599</v>
      </c>
      <c r="M101" s="693">
        <f t="shared" si="25"/>
        <v>372.23</v>
      </c>
      <c r="N101" s="693">
        <f t="shared" si="25"/>
        <v>599</v>
      </c>
      <c r="O101" s="693">
        <f t="shared" si="25"/>
        <v>6154.6</v>
      </c>
      <c r="P101" s="694"/>
      <c r="Q101" s="16">
        <f>O83-Q100</f>
        <v>5583</v>
      </c>
    </row>
    <row r="102" spans="1:26">
      <c r="A102" s="947"/>
      <c r="B102" s="950" t="s">
        <v>7036</v>
      </c>
      <c r="C102" s="950">
        <v>0</v>
      </c>
      <c r="D102" s="950">
        <v>0</v>
      </c>
      <c r="E102" s="950">
        <v>0</v>
      </c>
      <c r="F102" s="950">
        <v>0</v>
      </c>
      <c r="G102" s="950">
        <v>0</v>
      </c>
      <c r="H102" s="950">
        <v>0</v>
      </c>
      <c r="I102" s="950">
        <v>0</v>
      </c>
      <c r="J102" s="950">
        <v>0</v>
      </c>
      <c r="K102" s="950">
        <v>0</v>
      </c>
      <c r="L102" s="950">
        <v>0</v>
      </c>
      <c r="M102" s="950">
        <v>0</v>
      </c>
      <c r="N102" s="951">
        <v>0</v>
      </c>
      <c r="O102" s="952">
        <f>SUM(C102:N102)</f>
        <v>0</v>
      </c>
      <c r="P102" s="953"/>
    </row>
    <row r="103" spans="1:26">
      <c r="A103" s="692"/>
      <c r="B103" s="692" t="s">
        <v>6861</v>
      </c>
      <c r="C103" s="996">
        <f t="shared" ref="C103:O103" si="26">C101-C102</f>
        <v>570</v>
      </c>
      <c r="D103" s="996">
        <f t="shared" si="26"/>
        <v>574</v>
      </c>
      <c r="E103" s="996">
        <f t="shared" si="26"/>
        <v>574</v>
      </c>
      <c r="F103" s="956">
        <f t="shared" si="26"/>
        <v>372.23</v>
      </c>
      <c r="G103" s="996">
        <f t="shared" si="26"/>
        <v>599</v>
      </c>
      <c r="H103" s="956">
        <f t="shared" si="26"/>
        <v>599</v>
      </c>
      <c r="I103" s="956">
        <f t="shared" si="26"/>
        <v>98.139999999999986</v>
      </c>
      <c r="J103" s="956">
        <f t="shared" si="26"/>
        <v>599</v>
      </c>
      <c r="K103" s="956">
        <f t="shared" si="26"/>
        <v>599</v>
      </c>
      <c r="L103" s="956">
        <f t="shared" si="26"/>
        <v>599</v>
      </c>
      <c r="M103" s="956">
        <f t="shared" si="26"/>
        <v>372.23</v>
      </c>
      <c r="N103" s="956">
        <f t="shared" si="26"/>
        <v>599</v>
      </c>
      <c r="O103" s="956">
        <f t="shared" si="26"/>
        <v>6154.6</v>
      </c>
      <c r="P103" s="709"/>
    </row>
    <row r="104" spans="1:26">
      <c r="B104" s="2161" t="s">
        <v>7044</v>
      </c>
      <c r="C104" s="2087"/>
      <c r="D104" s="2087"/>
      <c r="E104" s="2087"/>
      <c r="F104" s="2087"/>
      <c r="G104" s="2087"/>
      <c r="H104" s="2087"/>
      <c r="I104" s="2087"/>
      <c r="J104" s="2087"/>
      <c r="K104" s="2087"/>
      <c r="L104" s="2087"/>
      <c r="M104" s="2087"/>
      <c r="N104" s="2087"/>
      <c r="O104" s="2087"/>
    </row>
    <row r="105" spans="1:26">
      <c r="B105" s="623"/>
      <c r="C105" s="623"/>
      <c r="D105" s="623"/>
      <c r="E105" s="623"/>
      <c r="F105" s="623"/>
      <c r="G105" s="623"/>
      <c r="H105" s="623"/>
      <c r="I105" s="623"/>
      <c r="J105" s="623"/>
      <c r="K105" s="623"/>
      <c r="L105" s="623"/>
      <c r="M105" s="623"/>
      <c r="N105" s="623"/>
      <c r="O105" s="623"/>
    </row>
    <row r="106" spans="1:26">
      <c r="B106" s="997"/>
      <c r="C106" s="997"/>
      <c r="D106" s="997"/>
      <c r="E106" s="997"/>
      <c r="F106" s="997"/>
      <c r="G106" s="997"/>
      <c r="H106" s="997"/>
      <c r="I106" s="997"/>
      <c r="J106" s="997"/>
      <c r="K106" s="997"/>
      <c r="L106" s="997"/>
      <c r="M106" s="997"/>
      <c r="N106" s="997"/>
      <c r="O106" s="997"/>
      <c r="P106" s="660"/>
    </row>
    <row r="107" spans="1:26">
      <c r="A107" s="714"/>
      <c r="B107" s="2126" t="s">
        <v>7389</v>
      </c>
      <c r="C107" s="2127"/>
      <c r="D107" s="2127"/>
      <c r="E107" s="2127"/>
      <c r="F107" s="2127"/>
      <c r="G107" s="2127"/>
      <c r="H107" s="2127"/>
      <c r="I107" s="2127"/>
      <c r="J107" s="2127"/>
      <c r="K107" s="2127"/>
      <c r="L107" s="2127"/>
      <c r="M107" s="2127"/>
      <c r="N107" s="2127"/>
      <c r="O107" s="2128"/>
      <c r="P107" s="661"/>
    </row>
    <row r="108" spans="1:26">
      <c r="A108" s="714"/>
      <c r="B108" s="662" t="s">
        <v>7409</v>
      </c>
      <c r="C108" s="663" t="s">
        <v>143</v>
      </c>
      <c r="D108" s="663" t="s">
        <v>26</v>
      </c>
      <c r="E108" s="663" t="s">
        <v>25</v>
      </c>
      <c r="F108" s="663" t="s">
        <v>24</v>
      </c>
      <c r="G108" s="663" t="s">
        <v>23</v>
      </c>
      <c r="H108" s="663" t="s">
        <v>22</v>
      </c>
      <c r="I108" s="663" t="s">
        <v>21</v>
      </c>
      <c r="J108" s="663" t="s">
        <v>20</v>
      </c>
      <c r="K108" s="663" t="s">
        <v>256</v>
      </c>
      <c r="L108" s="663" t="s">
        <v>18</v>
      </c>
      <c r="M108" s="663" t="s">
        <v>17</v>
      </c>
      <c r="N108" s="663" t="s">
        <v>86</v>
      </c>
      <c r="O108" s="664" t="s">
        <v>67</v>
      </c>
      <c r="P108" s="665"/>
    </row>
    <row r="109" spans="1:26">
      <c r="A109" s="714"/>
      <c r="B109" s="666" t="s">
        <v>6847</v>
      </c>
      <c r="C109" s="667">
        <f>800*8</f>
        <v>6400</v>
      </c>
      <c r="D109" s="667">
        <f>800*8</f>
        <v>6400</v>
      </c>
      <c r="E109" s="667">
        <f>800*5</f>
        <v>4000</v>
      </c>
      <c r="F109" s="667">
        <f>800*5</f>
        <v>4000</v>
      </c>
      <c r="G109" s="667">
        <f>800*5</f>
        <v>4000</v>
      </c>
      <c r="H109" s="667">
        <f>800*5</f>
        <v>4000</v>
      </c>
      <c r="I109" s="667">
        <f>800*6</f>
        <v>4800</v>
      </c>
      <c r="J109" s="667">
        <f>800*8</f>
        <v>6400</v>
      </c>
      <c r="K109" s="667">
        <f>800*8</f>
        <v>6400</v>
      </c>
      <c r="L109" s="667">
        <f>800*8</f>
        <v>6400</v>
      </c>
      <c r="M109" s="667">
        <f>800*8</f>
        <v>6400</v>
      </c>
      <c r="N109" s="667">
        <f>800*8</f>
        <v>6400</v>
      </c>
      <c r="O109" s="668">
        <f>SUM(C109:N109)</f>
        <v>65600</v>
      </c>
      <c r="P109" s="669"/>
    </row>
    <row r="110" spans="1:26">
      <c r="A110" s="714"/>
      <c r="B110" s="1342" t="s">
        <v>6389</v>
      </c>
      <c r="C110" s="1343" t="s">
        <v>135</v>
      </c>
      <c r="D110" s="1343" t="s">
        <v>135</v>
      </c>
      <c r="E110" s="1343" t="s">
        <v>135</v>
      </c>
      <c r="F110" s="1343" t="s">
        <v>135</v>
      </c>
      <c r="G110" s="1343" t="s">
        <v>135</v>
      </c>
      <c r="H110" s="1343" t="s">
        <v>135</v>
      </c>
      <c r="I110" s="1343" t="s">
        <v>135</v>
      </c>
      <c r="J110" s="1343" t="s">
        <v>135</v>
      </c>
      <c r="K110" s="1343"/>
      <c r="L110" s="1343"/>
      <c r="M110" s="1343"/>
      <c r="N110" s="1343"/>
      <c r="O110" s="1344">
        <f>SUM(C110:N110)</f>
        <v>0</v>
      </c>
      <c r="P110" s="672"/>
    </row>
    <row r="111" spans="1:26">
      <c r="A111" s="714"/>
      <c r="B111" s="666" t="s">
        <v>4397</v>
      </c>
      <c r="C111" s="671"/>
      <c r="D111" s="671"/>
      <c r="E111" s="671"/>
      <c r="F111" s="671"/>
      <c r="G111" s="671"/>
      <c r="H111" s="671"/>
      <c r="I111" s="671"/>
      <c r="J111" s="671"/>
      <c r="K111" s="671"/>
      <c r="L111" s="671"/>
      <c r="M111" s="671"/>
      <c r="N111" s="671"/>
      <c r="O111" s="668"/>
      <c r="P111" s="672"/>
    </row>
    <row r="112" spans="1:26">
      <c r="A112" s="714"/>
      <c r="B112" s="1349" t="s">
        <v>3313</v>
      </c>
      <c r="C112" s="1350">
        <f>1+4</f>
        <v>5</v>
      </c>
      <c r="D112" s="1350">
        <v>1</v>
      </c>
      <c r="E112" s="1350">
        <v>1</v>
      </c>
      <c r="F112" s="1350">
        <v>1</v>
      </c>
      <c r="G112" s="1350">
        <v>1</v>
      </c>
      <c r="H112" s="1350">
        <v>1</v>
      </c>
      <c r="I112" s="1350">
        <v>1</v>
      </c>
      <c r="J112" s="1350">
        <v>1</v>
      </c>
      <c r="K112" s="1350">
        <v>1</v>
      </c>
      <c r="L112" s="1350">
        <v>1</v>
      </c>
      <c r="M112" s="1350">
        <v>1</v>
      </c>
      <c r="N112" s="1350">
        <v>1</v>
      </c>
      <c r="O112" s="668">
        <f t="shared" ref="O112:O127" si="27">SUM(C112:N112)</f>
        <v>16</v>
      </c>
      <c r="P112" s="672"/>
      <c r="Q112" s="68">
        <v>16</v>
      </c>
    </row>
    <row r="113" spans="1:17">
      <c r="A113" s="714"/>
      <c r="B113" s="1349" t="s">
        <v>7279</v>
      </c>
      <c r="C113" s="1353"/>
      <c r="D113" s="1353"/>
      <c r="E113" s="1353"/>
      <c r="F113" s="1353"/>
      <c r="G113" s="1353"/>
      <c r="H113" s="1353"/>
      <c r="I113" s="1353"/>
      <c r="J113" s="1353"/>
      <c r="K113" s="1353"/>
      <c r="L113" s="1353"/>
      <c r="M113" s="1353"/>
      <c r="N113" s="1353"/>
      <c r="O113" s="668">
        <f t="shared" si="27"/>
        <v>0</v>
      </c>
      <c r="P113" s="672"/>
      <c r="Q113" s="153" t="s">
        <v>7414</v>
      </c>
    </row>
    <row r="114" spans="1:17">
      <c r="A114" s="714"/>
      <c r="B114" s="1349" t="s">
        <v>7289</v>
      </c>
      <c r="C114" s="1353"/>
      <c r="D114" s="1353"/>
      <c r="E114" s="1353"/>
      <c r="F114" s="1353">
        <v>150</v>
      </c>
      <c r="G114" s="1353">
        <v>150</v>
      </c>
      <c r="H114" s="1353">
        <v>150</v>
      </c>
      <c r="I114" s="1353">
        <v>150</v>
      </c>
      <c r="J114" s="1353">
        <v>150</v>
      </c>
      <c r="K114" s="1353"/>
      <c r="L114" s="1353"/>
      <c r="M114" s="1353"/>
      <c r="N114" s="1353"/>
      <c r="O114" s="668">
        <f t="shared" si="27"/>
        <v>750</v>
      </c>
      <c r="P114" s="672"/>
      <c r="Q114" s="68">
        <f>180+750</f>
        <v>930</v>
      </c>
    </row>
    <row r="115" spans="1:17">
      <c r="A115" s="714"/>
      <c r="B115" s="674" t="s">
        <v>7043</v>
      </c>
      <c r="C115" s="687"/>
      <c r="D115" s="687"/>
      <c r="E115" s="687"/>
      <c r="F115" s="687"/>
      <c r="G115" s="687"/>
      <c r="H115" s="688">
        <v>1462.67</v>
      </c>
      <c r="I115" s="687"/>
      <c r="J115" s="687"/>
      <c r="K115" s="687"/>
      <c r="L115" s="687"/>
      <c r="M115" s="31">
        <v>1462.67</v>
      </c>
      <c r="N115" s="687"/>
      <c r="O115" s="668">
        <f t="shared" si="27"/>
        <v>2925.34</v>
      </c>
      <c r="P115" s="672"/>
      <c r="Q115" s="68">
        <v>2925</v>
      </c>
    </row>
    <row r="116" spans="1:17">
      <c r="A116" s="714"/>
      <c r="B116" s="1349" t="s">
        <v>7292</v>
      </c>
      <c r="C116" s="1353"/>
      <c r="D116" s="1353"/>
      <c r="E116" s="1353">
        <v>900</v>
      </c>
      <c r="F116" s="1353">
        <v>900</v>
      </c>
      <c r="G116" s="1350"/>
      <c r="H116" s="1353">
        <v>900</v>
      </c>
      <c r="I116" s="1353"/>
      <c r="J116" s="1353"/>
      <c r="K116" s="1353"/>
      <c r="L116" s="1353"/>
      <c r="M116" s="1353"/>
      <c r="N116" s="1353"/>
      <c r="O116" s="668">
        <f t="shared" si="27"/>
        <v>2700</v>
      </c>
      <c r="P116" s="672"/>
      <c r="Q116" s="68">
        <v>2700</v>
      </c>
    </row>
    <row r="117" spans="1:17">
      <c r="A117" s="714"/>
      <c r="B117" s="1349" t="s">
        <v>7294</v>
      </c>
      <c r="C117" s="1353"/>
      <c r="D117" s="1353"/>
      <c r="E117" s="1353">
        <f t="shared" ref="E117:J117" si="28">E109*8/100</f>
        <v>320</v>
      </c>
      <c r="F117" s="1353">
        <f t="shared" si="28"/>
        <v>320</v>
      </c>
      <c r="G117" s="1353">
        <f t="shared" si="28"/>
        <v>320</v>
      </c>
      <c r="H117" s="1353">
        <f t="shared" si="28"/>
        <v>320</v>
      </c>
      <c r="I117" s="1353">
        <f t="shared" si="28"/>
        <v>384</v>
      </c>
      <c r="J117" s="1353">
        <f t="shared" si="28"/>
        <v>512</v>
      </c>
      <c r="K117" s="1353"/>
      <c r="L117" s="1353"/>
      <c r="M117" s="1353"/>
      <c r="N117" s="1353"/>
      <c r="O117" s="668">
        <f t="shared" si="27"/>
        <v>2176</v>
      </c>
      <c r="P117" s="672"/>
      <c r="Q117" s="68">
        <v>2176</v>
      </c>
    </row>
    <row r="118" spans="1:17">
      <c r="A118" s="714"/>
      <c r="B118" s="1349" t="s">
        <v>5024</v>
      </c>
      <c r="C118" s="1353"/>
      <c r="D118" s="1353"/>
      <c r="E118" s="1353"/>
      <c r="F118" s="1353"/>
      <c r="G118" s="1353"/>
      <c r="H118" s="1353"/>
      <c r="I118" s="1353"/>
      <c r="J118" s="1353"/>
      <c r="K118" s="1353"/>
      <c r="L118" s="1353"/>
      <c r="M118" s="1353"/>
      <c r="N118" s="1353"/>
      <c r="O118" s="668">
        <f t="shared" si="27"/>
        <v>0</v>
      </c>
      <c r="P118" s="672"/>
      <c r="Q118" s="1358">
        <v>0</v>
      </c>
    </row>
    <row r="119" spans="1:17">
      <c r="A119" s="714"/>
      <c r="B119" s="1349" t="s">
        <v>6860</v>
      </c>
      <c r="C119" s="1353"/>
      <c r="D119" s="1353"/>
      <c r="E119" s="1353"/>
      <c r="F119" s="1353">
        <v>1245</v>
      </c>
      <c r="G119" s="1350">
        <v>781</v>
      </c>
      <c r="H119" s="1353">
        <v>445</v>
      </c>
      <c r="I119" s="1353"/>
      <c r="J119" s="1350"/>
      <c r="K119" s="1353"/>
      <c r="L119" s="1353"/>
      <c r="M119" s="1353"/>
      <c r="N119" s="1353"/>
      <c r="O119" s="668">
        <f t="shared" si="27"/>
        <v>2471</v>
      </c>
      <c r="P119" s="672"/>
      <c r="Q119" s="68">
        <v>2471</v>
      </c>
    </row>
    <row r="120" spans="1:17">
      <c r="A120" s="714"/>
      <c r="B120" s="1349" t="s">
        <v>7035</v>
      </c>
      <c r="C120" s="1353"/>
      <c r="D120" s="1353"/>
      <c r="E120" s="1353"/>
      <c r="F120" s="1353">
        <v>565</v>
      </c>
      <c r="G120" s="1350">
        <v>1147</v>
      </c>
      <c r="H120" s="1353">
        <v>894</v>
      </c>
      <c r="I120" s="1353">
        <v>549</v>
      </c>
      <c r="J120" s="1350">
        <v>753</v>
      </c>
      <c r="K120" s="1353"/>
      <c r="L120" s="1353"/>
      <c r="M120" s="1353"/>
      <c r="N120" s="1353"/>
      <c r="O120" s="668">
        <f t="shared" si="27"/>
        <v>3908</v>
      </c>
      <c r="P120" s="672"/>
      <c r="Q120" s="68">
        <v>3908</v>
      </c>
    </row>
    <row r="121" spans="1:17">
      <c r="A121" s="714"/>
      <c r="B121" s="1349" t="s">
        <v>7298</v>
      </c>
      <c r="C121" s="1353"/>
      <c r="D121" s="1353"/>
      <c r="E121" s="1353"/>
      <c r="F121" s="1353"/>
      <c r="G121" s="1350"/>
      <c r="H121" s="1353"/>
      <c r="I121" s="1353"/>
      <c r="J121" s="1350"/>
      <c r="K121" s="1353"/>
      <c r="L121" s="1353"/>
      <c r="M121" s="1353"/>
      <c r="N121" s="1353"/>
      <c r="O121" s="668">
        <f t="shared" si="27"/>
        <v>0</v>
      </c>
      <c r="P121" s="672"/>
      <c r="Q121" s="68">
        <v>81</v>
      </c>
    </row>
    <row r="122" spans="1:17">
      <c r="A122" s="714"/>
      <c r="B122" s="1349" t="s">
        <v>4399</v>
      </c>
      <c r="C122" s="1353"/>
      <c r="D122" s="1353"/>
      <c r="E122" s="1353"/>
      <c r="F122" s="1001">
        <f>1261.04*2</f>
        <v>2522.08</v>
      </c>
      <c r="G122" s="675"/>
      <c r="H122" s="675"/>
      <c r="I122" s="675"/>
      <c r="J122" s="675"/>
      <c r="K122" s="675"/>
      <c r="L122" s="675"/>
      <c r="M122" s="1001">
        <f>1261.04*2</f>
        <v>2522.08</v>
      </c>
      <c r="N122" s="1353"/>
      <c r="O122" s="668">
        <f t="shared" si="27"/>
        <v>5044.16</v>
      </c>
      <c r="P122" s="672"/>
      <c r="Q122" s="68">
        <v>5044</v>
      </c>
    </row>
    <row r="123" spans="1:17">
      <c r="A123" s="714"/>
      <c r="B123" s="1354" t="s">
        <v>7301</v>
      </c>
      <c r="C123" s="1355">
        <f t="shared" ref="C123:N123" si="29">C124+C125</f>
        <v>949.86</v>
      </c>
      <c r="D123" s="1355">
        <f t="shared" si="29"/>
        <v>753.7</v>
      </c>
      <c r="E123" s="1355">
        <f t="shared" si="29"/>
        <v>800.69</v>
      </c>
      <c r="F123" s="1355">
        <f t="shared" si="29"/>
        <v>800.69</v>
      </c>
      <c r="G123" s="1355">
        <f t="shared" si="29"/>
        <v>800.69</v>
      </c>
      <c r="H123" s="1355">
        <f t="shared" si="29"/>
        <v>800.69</v>
      </c>
      <c r="I123" s="1355">
        <f t="shared" si="29"/>
        <v>800.69</v>
      </c>
      <c r="J123" s="1355">
        <f t="shared" si="29"/>
        <v>800.69</v>
      </c>
      <c r="K123" s="1355">
        <f t="shared" si="29"/>
        <v>800.69</v>
      </c>
      <c r="L123" s="1355">
        <f t="shared" si="29"/>
        <v>731.49</v>
      </c>
      <c r="M123" s="1355">
        <f t="shared" si="29"/>
        <v>665.5</v>
      </c>
      <c r="N123" s="1355">
        <f t="shared" si="29"/>
        <v>795.96</v>
      </c>
      <c r="O123" s="668">
        <f t="shared" si="27"/>
        <v>9501.34</v>
      </c>
      <c r="P123" s="672"/>
      <c r="Q123" s="68">
        <v>9501</v>
      </c>
    </row>
    <row r="124" spans="1:17">
      <c r="A124" s="714"/>
      <c r="B124" s="1349" t="s">
        <v>7412</v>
      </c>
      <c r="C124" s="675">
        <v>949.86</v>
      </c>
      <c r="D124" s="675">
        <v>753.7</v>
      </c>
      <c r="E124" s="1347">
        <v>767.47</v>
      </c>
      <c r="F124" s="1347">
        <v>767.47</v>
      </c>
      <c r="G124" s="1347">
        <v>767.47</v>
      </c>
      <c r="H124" s="1347">
        <v>767.47</v>
      </c>
      <c r="I124" s="1347">
        <v>767.47</v>
      </c>
      <c r="J124" s="1347">
        <v>767.47</v>
      </c>
      <c r="K124" s="675">
        <v>767.47</v>
      </c>
      <c r="L124" s="675">
        <v>649.88</v>
      </c>
      <c r="M124" s="675">
        <v>649.88</v>
      </c>
      <c r="N124" s="675">
        <v>767.47</v>
      </c>
      <c r="O124" s="668">
        <f t="shared" si="27"/>
        <v>9143.08</v>
      </c>
      <c r="P124" s="672"/>
      <c r="Q124" s="153"/>
    </row>
    <row r="125" spans="1:17">
      <c r="A125" s="714"/>
      <c r="B125" s="1349" t="s">
        <v>7042</v>
      </c>
      <c r="C125" s="675"/>
      <c r="D125" s="675"/>
      <c r="E125" s="1347">
        <v>33.22</v>
      </c>
      <c r="F125" s="1347">
        <v>33.22</v>
      </c>
      <c r="G125" s="1347">
        <v>33.22</v>
      </c>
      <c r="H125" s="1347">
        <v>33.22</v>
      </c>
      <c r="I125" s="1347">
        <v>33.22</v>
      </c>
      <c r="J125" s="1347">
        <v>33.22</v>
      </c>
      <c r="K125" s="675">
        <v>33.22</v>
      </c>
      <c r="L125" s="675">
        <v>81.61</v>
      </c>
      <c r="M125" s="675">
        <v>15.62</v>
      </c>
      <c r="N125" s="675">
        <v>28.49</v>
      </c>
      <c r="O125" s="668">
        <f t="shared" si="27"/>
        <v>358.26</v>
      </c>
      <c r="P125" s="672"/>
      <c r="Q125" s="153"/>
    </row>
    <row r="126" spans="1:17">
      <c r="A126" s="714"/>
      <c r="B126" s="689" t="s">
        <v>1126</v>
      </c>
      <c r="C126" s="690">
        <f t="shared" ref="C126:N126" si="30">SUM(C112:C123)</f>
        <v>954.86</v>
      </c>
      <c r="D126" s="690">
        <f t="shared" si="30"/>
        <v>754.7</v>
      </c>
      <c r="E126" s="690">
        <f t="shared" si="30"/>
        <v>2021.69</v>
      </c>
      <c r="F126" s="690">
        <f t="shared" si="30"/>
        <v>6503.77</v>
      </c>
      <c r="G126" s="690">
        <f t="shared" si="30"/>
        <v>3199.69</v>
      </c>
      <c r="H126" s="690">
        <f t="shared" si="30"/>
        <v>4973.3600000000006</v>
      </c>
      <c r="I126" s="690">
        <f t="shared" si="30"/>
        <v>1884.69</v>
      </c>
      <c r="J126" s="690">
        <f t="shared" si="30"/>
        <v>2216.69</v>
      </c>
      <c r="K126" s="690">
        <f t="shared" si="30"/>
        <v>801.69</v>
      </c>
      <c r="L126" s="690">
        <f t="shared" si="30"/>
        <v>732.49</v>
      </c>
      <c r="M126" s="690">
        <f t="shared" si="30"/>
        <v>4651.25</v>
      </c>
      <c r="N126" s="690">
        <f t="shared" si="30"/>
        <v>796.96</v>
      </c>
      <c r="O126" s="690">
        <f t="shared" si="27"/>
        <v>29491.839999999997</v>
      </c>
      <c r="P126" s="691"/>
      <c r="Q126" s="68">
        <f>SUM(Q112:Q123)</f>
        <v>29752</v>
      </c>
    </row>
    <row r="127" spans="1:17">
      <c r="A127" s="715"/>
      <c r="B127" s="692" t="s">
        <v>791</v>
      </c>
      <c r="C127" s="693">
        <f t="shared" ref="C127:N127" si="31">C109-C126</f>
        <v>5445.14</v>
      </c>
      <c r="D127" s="693">
        <f t="shared" si="31"/>
        <v>5645.3</v>
      </c>
      <c r="E127" s="693">
        <f t="shared" si="31"/>
        <v>1978.31</v>
      </c>
      <c r="F127" s="693">
        <f t="shared" si="31"/>
        <v>-2503.7700000000004</v>
      </c>
      <c r="G127" s="693">
        <f t="shared" si="31"/>
        <v>800.31</v>
      </c>
      <c r="H127" s="693">
        <f t="shared" si="31"/>
        <v>-973.36000000000058</v>
      </c>
      <c r="I127" s="693">
        <f t="shared" si="31"/>
        <v>2915.31</v>
      </c>
      <c r="J127" s="693">
        <f t="shared" si="31"/>
        <v>4183.3099999999995</v>
      </c>
      <c r="K127" s="693">
        <f t="shared" si="31"/>
        <v>5598.3099999999995</v>
      </c>
      <c r="L127" s="693">
        <f t="shared" si="31"/>
        <v>5667.51</v>
      </c>
      <c r="M127" s="693">
        <f t="shared" si="31"/>
        <v>1748.75</v>
      </c>
      <c r="N127" s="693">
        <f t="shared" si="31"/>
        <v>5603.04</v>
      </c>
      <c r="O127" s="693">
        <f t="shared" si="27"/>
        <v>36108.159999999996</v>
      </c>
      <c r="P127" s="694"/>
      <c r="Q127" s="68">
        <f>O109-Q126</f>
        <v>35848</v>
      </c>
    </row>
    <row r="128" spans="1:17">
      <c r="A128" s="947"/>
      <c r="B128" s="950" t="s">
        <v>7036</v>
      </c>
      <c r="C128" s="950">
        <v>0</v>
      </c>
      <c r="D128" s="950">
        <v>0</v>
      </c>
      <c r="E128" s="950">
        <v>0</v>
      </c>
      <c r="F128" s="950">
        <v>0</v>
      </c>
      <c r="G128" s="950">
        <v>0</v>
      </c>
      <c r="H128" s="950">
        <v>0</v>
      </c>
      <c r="I128" s="950">
        <v>0</v>
      </c>
      <c r="J128" s="950">
        <v>0</v>
      </c>
      <c r="K128" s="950">
        <v>0</v>
      </c>
      <c r="L128" s="950">
        <v>0</v>
      </c>
      <c r="M128" s="950">
        <v>0</v>
      </c>
      <c r="N128" s="951">
        <v>0</v>
      </c>
      <c r="O128" s="952">
        <f>SUM(C128:N128)</f>
        <v>0</v>
      </c>
      <c r="P128" s="953"/>
    </row>
    <row r="129" spans="1:17">
      <c r="A129" s="692"/>
      <c r="B129" s="692" t="s">
        <v>6861</v>
      </c>
      <c r="C129" s="996">
        <f t="shared" ref="C129:O129" si="32">C127-C128</f>
        <v>5445.14</v>
      </c>
      <c r="D129" s="996">
        <f t="shared" si="32"/>
        <v>5645.3</v>
      </c>
      <c r="E129" s="996">
        <f t="shared" si="32"/>
        <v>1978.31</v>
      </c>
      <c r="F129" s="956">
        <f t="shared" si="32"/>
        <v>-2503.7700000000004</v>
      </c>
      <c r="G129" s="996">
        <f t="shared" si="32"/>
        <v>800.31</v>
      </c>
      <c r="H129" s="956">
        <f t="shared" si="32"/>
        <v>-973.36000000000058</v>
      </c>
      <c r="I129" s="956">
        <f t="shared" si="32"/>
        <v>2915.31</v>
      </c>
      <c r="J129" s="956">
        <f t="shared" si="32"/>
        <v>4183.3099999999995</v>
      </c>
      <c r="K129" s="956">
        <f t="shared" si="32"/>
        <v>5598.3099999999995</v>
      </c>
      <c r="L129" s="956">
        <f t="shared" si="32"/>
        <v>5667.51</v>
      </c>
      <c r="M129" s="956">
        <f t="shared" si="32"/>
        <v>1748.75</v>
      </c>
      <c r="N129" s="956">
        <f t="shared" si="32"/>
        <v>5603.04</v>
      </c>
      <c r="O129" s="996">
        <f t="shared" si="32"/>
        <v>36108.159999999996</v>
      </c>
      <c r="P129" s="709"/>
    </row>
    <row r="130" spans="1:17">
      <c r="B130" s="2161" t="s">
        <v>7393</v>
      </c>
      <c r="C130" s="2087"/>
      <c r="D130" s="2087"/>
      <c r="E130" s="2087"/>
      <c r="F130" s="2087"/>
      <c r="G130" s="2087"/>
      <c r="H130" s="2087"/>
      <c r="I130" s="2087"/>
      <c r="J130" s="2087"/>
      <c r="K130" s="2087"/>
      <c r="L130" s="2087"/>
      <c r="M130" s="2087"/>
      <c r="N130" s="2087"/>
      <c r="O130" s="2087"/>
    </row>
    <row r="131" spans="1:17">
      <c r="B131" s="2161" t="s">
        <v>7394</v>
      </c>
      <c r="C131" s="2087"/>
      <c r="D131" s="2087"/>
      <c r="E131" s="2087"/>
      <c r="F131" s="2087"/>
      <c r="G131" s="2087"/>
      <c r="H131" s="2087"/>
      <c r="I131" s="2087"/>
      <c r="J131" s="2087"/>
      <c r="K131" s="2087"/>
      <c r="L131" s="2087"/>
      <c r="M131" s="2087"/>
      <c r="N131" s="2087"/>
      <c r="O131" s="2087"/>
    </row>
    <row r="132" spans="1:17">
      <c r="B132" s="578"/>
      <c r="C132" s="578"/>
      <c r="D132" s="578"/>
      <c r="E132" s="578"/>
      <c r="F132" s="578"/>
      <c r="G132" s="578"/>
      <c r="H132" s="578"/>
      <c r="I132" s="578"/>
      <c r="J132" s="578"/>
      <c r="K132" s="578"/>
      <c r="L132" s="578"/>
      <c r="M132" s="578"/>
      <c r="N132" s="578"/>
      <c r="O132" s="578"/>
    </row>
    <row r="133" spans="1:17">
      <c r="A133" s="714"/>
      <c r="B133" s="2126" t="s">
        <v>7395</v>
      </c>
      <c r="C133" s="2127"/>
      <c r="D133" s="2127"/>
      <c r="E133" s="2127"/>
      <c r="F133" s="2127"/>
      <c r="G133" s="2127"/>
      <c r="H133" s="2127"/>
      <c r="I133" s="2127"/>
      <c r="J133" s="2127"/>
      <c r="K133" s="2127"/>
      <c r="L133" s="2127"/>
      <c r="M133" s="2127"/>
      <c r="N133" s="2127"/>
      <c r="O133" s="2128"/>
      <c r="P133" s="661"/>
    </row>
    <row r="134" spans="1:17">
      <c r="A134" s="714"/>
      <c r="B134" s="662" t="s">
        <v>7409</v>
      </c>
      <c r="C134" s="663" t="s">
        <v>143</v>
      </c>
      <c r="D134" s="663" t="s">
        <v>26</v>
      </c>
      <c r="E134" s="663" t="s">
        <v>25</v>
      </c>
      <c r="F134" s="663" t="s">
        <v>24</v>
      </c>
      <c r="G134" s="663" t="s">
        <v>23</v>
      </c>
      <c r="H134" s="663" t="s">
        <v>22</v>
      </c>
      <c r="I134" s="663" t="s">
        <v>21</v>
      </c>
      <c r="J134" s="663" t="s">
        <v>20</v>
      </c>
      <c r="K134" s="663" t="s">
        <v>256</v>
      </c>
      <c r="L134" s="663" t="s">
        <v>18</v>
      </c>
      <c r="M134" s="663" t="s">
        <v>17</v>
      </c>
      <c r="N134" s="663" t="s">
        <v>86</v>
      </c>
      <c r="O134" s="664" t="s">
        <v>67</v>
      </c>
      <c r="P134" s="665"/>
    </row>
    <row r="135" spans="1:17">
      <c r="A135" s="714"/>
      <c r="B135" s="666" t="s">
        <v>4395</v>
      </c>
      <c r="C135" s="999">
        <v>700</v>
      </c>
      <c r="D135" s="999">
        <v>700</v>
      </c>
      <c r="E135" s="999">
        <v>700</v>
      </c>
      <c r="F135" s="999">
        <v>700</v>
      </c>
      <c r="G135" s="999">
        <v>700</v>
      </c>
      <c r="H135" s="999">
        <v>700</v>
      </c>
      <c r="I135" s="999">
        <v>700</v>
      </c>
      <c r="J135" s="999">
        <v>700</v>
      </c>
      <c r="K135" s="999">
        <v>700</v>
      </c>
      <c r="L135" s="999">
        <v>700</v>
      </c>
      <c r="M135" s="999">
        <v>700</v>
      </c>
      <c r="N135" s="999">
        <v>700</v>
      </c>
      <c r="O135" s="668">
        <f>SUM(C135:N135)</f>
        <v>8400</v>
      </c>
      <c r="P135" s="669"/>
    </row>
    <row r="136" spans="1:17">
      <c r="A136" s="714"/>
      <c r="B136" s="1342" t="s">
        <v>6389</v>
      </c>
      <c r="C136" s="1343" t="s">
        <v>135</v>
      </c>
      <c r="D136" s="1343" t="s">
        <v>135</v>
      </c>
      <c r="E136" s="1343" t="s">
        <v>135</v>
      </c>
      <c r="F136" s="1343" t="s">
        <v>135</v>
      </c>
      <c r="G136" s="1343" t="s">
        <v>135</v>
      </c>
      <c r="H136" s="1343" t="s">
        <v>135</v>
      </c>
      <c r="I136" s="1343" t="s">
        <v>135</v>
      </c>
      <c r="J136" s="1343" t="s">
        <v>135</v>
      </c>
      <c r="K136" s="1343"/>
      <c r="L136" s="1343"/>
      <c r="M136" s="1343"/>
      <c r="N136" s="1343"/>
      <c r="O136" s="1344">
        <f>SUM(C136:N136)</f>
        <v>0</v>
      </c>
      <c r="P136" s="672"/>
    </row>
    <row r="137" spans="1:17">
      <c r="A137" s="714"/>
      <c r="B137" s="666" t="s">
        <v>4397</v>
      </c>
      <c r="C137" s="671"/>
      <c r="D137" s="671"/>
      <c r="E137" s="671"/>
      <c r="F137" s="671"/>
      <c r="G137" s="671"/>
      <c r="H137" s="671"/>
      <c r="I137" s="671"/>
      <c r="J137" s="671"/>
      <c r="K137" s="671"/>
      <c r="L137" s="671"/>
      <c r="M137" s="671"/>
      <c r="N137" s="671"/>
      <c r="O137" s="668"/>
      <c r="P137" s="672"/>
    </row>
    <row r="138" spans="1:17">
      <c r="A138" s="714"/>
      <c r="B138" s="1349" t="s">
        <v>3313</v>
      </c>
      <c r="C138" s="1350">
        <f>1+4</f>
        <v>5</v>
      </c>
      <c r="D138" s="1350">
        <v>1</v>
      </c>
      <c r="E138" s="1350">
        <v>1</v>
      </c>
      <c r="F138" s="1350">
        <v>1</v>
      </c>
      <c r="G138" s="1350">
        <v>1</v>
      </c>
      <c r="H138" s="1350">
        <v>1</v>
      </c>
      <c r="I138" s="1350">
        <v>1</v>
      </c>
      <c r="J138" s="1350">
        <v>1</v>
      </c>
      <c r="K138" s="1350">
        <v>1</v>
      </c>
      <c r="L138" s="1350">
        <v>1</v>
      </c>
      <c r="M138" s="1350">
        <v>1</v>
      </c>
      <c r="N138" s="1350">
        <v>1</v>
      </c>
      <c r="O138" s="1351">
        <f t="shared" ref="O138:O151" si="33">SUM(C138:N138)</f>
        <v>16</v>
      </c>
      <c r="P138" s="672"/>
      <c r="Q138" s="68">
        <v>16</v>
      </c>
    </row>
    <row r="139" spans="1:17">
      <c r="A139" s="714"/>
      <c r="B139" s="1349" t="s">
        <v>7279</v>
      </c>
      <c r="C139" s="1353"/>
      <c r="D139" s="1353"/>
      <c r="E139" s="1353"/>
      <c r="F139" s="1353"/>
      <c r="G139" s="1353"/>
      <c r="H139" s="1353"/>
      <c r="I139" s="1353"/>
      <c r="J139" s="1353"/>
      <c r="K139" s="1353"/>
      <c r="L139" s="1353"/>
      <c r="M139" s="1353"/>
      <c r="N139" s="1353"/>
      <c r="O139" s="1351">
        <f t="shared" si="33"/>
        <v>0</v>
      </c>
      <c r="P139" s="672"/>
      <c r="Q139" s="153" t="s">
        <v>7415</v>
      </c>
    </row>
    <row r="140" spans="1:17">
      <c r="A140" s="714"/>
      <c r="B140" s="1349" t="s">
        <v>7289</v>
      </c>
      <c r="C140" s="1353"/>
      <c r="D140" s="1353"/>
      <c r="E140" s="1353"/>
      <c r="F140" s="1353"/>
      <c r="G140" s="1353"/>
      <c r="H140" s="1353"/>
      <c r="I140" s="1353"/>
      <c r="J140" s="1353"/>
      <c r="K140" s="1353"/>
      <c r="L140" s="1353"/>
      <c r="M140" s="1353"/>
      <c r="N140" s="1353"/>
      <c r="O140" s="1351">
        <f t="shared" si="33"/>
        <v>0</v>
      </c>
      <c r="P140" s="672"/>
      <c r="Q140" s="68">
        <v>60</v>
      </c>
    </row>
    <row r="141" spans="1:17">
      <c r="A141" s="714"/>
      <c r="B141" s="674" t="s">
        <v>7043</v>
      </c>
      <c r="C141" s="687"/>
      <c r="D141" s="687"/>
      <c r="E141" s="687"/>
      <c r="F141" s="687"/>
      <c r="G141" s="687"/>
      <c r="H141" s="687"/>
      <c r="I141" s="687"/>
      <c r="J141" s="687"/>
      <c r="K141" s="687"/>
      <c r="L141" s="688">
        <v>454.86</v>
      </c>
      <c r="M141" s="687"/>
      <c r="N141" s="687"/>
      <c r="O141" s="1351">
        <f t="shared" si="33"/>
        <v>454.86</v>
      </c>
      <c r="P141" s="672"/>
      <c r="Q141" s="68">
        <v>455</v>
      </c>
    </row>
    <row r="142" spans="1:17">
      <c r="A142" s="714"/>
      <c r="B142" s="1349" t="s">
        <v>7292</v>
      </c>
      <c r="C142" s="1353"/>
      <c r="D142" s="1353"/>
      <c r="E142" s="1353"/>
      <c r="F142" s="1353"/>
      <c r="G142" s="1350"/>
      <c r="H142" s="1353"/>
      <c r="I142" s="1353"/>
      <c r="J142" s="1353"/>
      <c r="K142" s="1353"/>
      <c r="L142" s="1353"/>
      <c r="M142" s="1353"/>
      <c r="N142" s="1353"/>
      <c r="O142" s="1351">
        <f t="shared" si="33"/>
        <v>0</v>
      </c>
      <c r="P142" s="672"/>
      <c r="Q142" s="68">
        <v>0</v>
      </c>
    </row>
    <row r="143" spans="1:17">
      <c r="A143" s="714"/>
      <c r="B143" s="1349" t="s">
        <v>7294</v>
      </c>
      <c r="C143" s="1353"/>
      <c r="D143" s="1353"/>
      <c r="E143" s="1353"/>
      <c r="F143" s="1350"/>
      <c r="G143" s="1350"/>
      <c r="H143" s="1350"/>
      <c r="I143" s="1350"/>
      <c r="J143" s="1350"/>
      <c r="K143" s="1353"/>
      <c r="L143" s="1353"/>
      <c r="M143" s="1353"/>
      <c r="N143" s="1353"/>
      <c r="O143" s="1351">
        <f t="shared" si="33"/>
        <v>0</v>
      </c>
      <c r="P143" s="672"/>
      <c r="Q143" s="68">
        <v>0</v>
      </c>
    </row>
    <row r="144" spans="1:17">
      <c r="A144" s="714"/>
      <c r="B144" s="1349" t="s">
        <v>5024</v>
      </c>
      <c r="C144" s="1353"/>
      <c r="D144" s="1353"/>
      <c r="E144" s="1353"/>
      <c r="F144" s="1353"/>
      <c r="G144" s="1353"/>
      <c r="H144" s="1353"/>
      <c r="I144" s="1353"/>
      <c r="J144" s="1353"/>
      <c r="K144" s="1353"/>
      <c r="L144" s="1353"/>
      <c r="M144" s="1353"/>
      <c r="N144" s="1353"/>
      <c r="O144" s="1351">
        <f t="shared" si="33"/>
        <v>0</v>
      </c>
      <c r="P144" s="672"/>
      <c r="Q144" s="68">
        <v>0</v>
      </c>
    </row>
    <row r="145" spans="1:17">
      <c r="A145" s="714"/>
      <c r="B145" s="1349" t="s">
        <v>6860</v>
      </c>
      <c r="C145" s="1353">
        <v>1256</v>
      </c>
      <c r="D145" s="1353">
        <v>896</v>
      </c>
      <c r="E145" s="1353">
        <v>812</v>
      </c>
      <c r="F145" s="1353">
        <v>763</v>
      </c>
      <c r="G145" s="1350">
        <v>562</v>
      </c>
      <c r="H145" s="1353">
        <v>41</v>
      </c>
      <c r="I145" s="1353"/>
      <c r="J145" s="1350"/>
      <c r="K145" s="1353"/>
      <c r="L145" s="1353"/>
      <c r="M145" s="1353"/>
      <c r="N145" s="1353"/>
      <c r="O145" s="1351">
        <f t="shared" si="33"/>
        <v>4330</v>
      </c>
      <c r="P145" s="672"/>
      <c r="Q145" s="68">
        <v>4330</v>
      </c>
    </row>
    <row r="146" spans="1:17">
      <c r="A146" s="714"/>
      <c r="B146" s="1349" t="s">
        <v>7035</v>
      </c>
      <c r="C146" s="1353">
        <v>1233</v>
      </c>
      <c r="D146" s="1353">
        <v>818</v>
      </c>
      <c r="E146" s="1353">
        <v>1819</v>
      </c>
      <c r="F146" s="1353">
        <v>2281</v>
      </c>
      <c r="G146" s="1350">
        <v>883</v>
      </c>
      <c r="H146" s="1353">
        <v>569</v>
      </c>
      <c r="I146" s="1353"/>
      <c r="J146" s="1350"/>
      <c r="K146" s="1353"/>
      <c r="L146" s="1353"/>
      <c r="M146" s="1353"/>
      <c r="N146" s="1353"/>
      <c r="O146" s="1351">
        <f t="shared" si="33"/>
        <v>7603</v>
      </c>
      <c r="P146" s="672"/>
      <c r="Q146" s="68">
        <v>7603</v>
      </c>
    </row>
    <row r="147" spans="1:17">
      <c r="A147" s="714"/>
      <c r="B147" s="1349" t="s">
        <v>7298</v>
      </c>
      <c r="C147" s="1353"/>
      <c r="D147" s="1353"/>
      <c r="E147" s="1353"/>
      <c r="F147" s="1353"/>
      <c r="G147" s="1350"/>
      <c r="H147" s="1353"/>
      <c r="I147" s="1353"/>
      <c r="J147" s="1350"/>
      <c r="K147" s="1353"/>
      <c r="L147" s="1353"/>
      <c r="M147" s="1353"/>
      <c r="N147" s="1353"/>
      <c r="O147" s="1351">
        <f t="shared" si="33"/>
        <v>0</v>
      </c>
      <c r="P147" s="672"/>
      <c r="Q147" s="68">
        <v>194</v>
      </c>
    </row>
    <row r="148" spans="1:17">
      <c r="A148" s="714"/>
      <c r="B148" s="1349" t="s">
        <v>4399</v>
      </c>
      <c r="C148" s="675"/>
      <c r="D148" s="675"/>
      <c r="E148" s="675"/>
      <c r="F148" s="1001">
        <v>229.99</v>
      </c>
      <c r="G148" s="675"/>
      <c r="H148" s="675"/>
      <c r="I148" s="675"/>
      <c r="J148" s="675"/>
      <c r="K148" s="675"/>
      <c r="L148" s="675"/>
      <c r="M148" s="1001">
        <v>229.99</v>
      </c>
      <c r="N148" s="675"/>
      <c r="O148" s="1351">
        <f t="shared" si="33"/>
        <v>459.98</v>
      </c>
      <c r="P148" s="672"/>
      <c r="Q148" s="68">
        <v>460</v>
      </c>
    </row>
    <row r="149" spans="1:17">
      <c r="A149" s="714"/>
      <c r="B149" s="1354" t="s">
        <v>7301</v>
      </c>
      <c r="C149" s="1355">
        <f t="shared" ref="C149:N149" si="34">C150+C151</f>
        <v>208.01</v>
      </c>
      <c r="D149" s="1355">
        <f t="shared" si="34"/>
        <v>77.53</v>
      </c>
      <c r="E149" s="1355">
        <f t="shared" si="34"/>
        <v>139.29000000000002</v>
      </c>
      <c r="F149" s="1355">
        <f t="shared" si="34"/>
        <v>126.96</v>
      </c>
      <c r="G149" s="1355">
        <f t="shared" si="34"/>
        <v>83.759999999999991</v>
      </c>
      <c r="H149" s="1355">
        <f t="shared" si="34"/>
        <v>74.290000000000006</v>
      </c>
      <c r="I149" s="1355">
        <f t="shared" si="34"/>
        <v>0</v>
      </c>
      <c r="J149" s="1355">
        <f t="shared" si="34"/>
        <v>0</v>
      </c>
      <c r="K149" s="1355">
        <f t="shared" si="34"/>
        <v>0</v>
      </c>
      <c r="L149" s="1355">
        <f t="shared" si="34"/>
        <v>0</v>
      </c>
      <c r="M149" s="1355">
        <f t="shared" si="34"/>
        <v>0</v>
      </c>
      <c r="N149" s="1355">
        <f t="shared" si="34"/>
        <v>0</v>
      </c>
      <c r="O149" s="1351">
        <f t="shared" si="33"/>
        <v>709.83999999999992</v>
      </c>
      <c r="P149" s="672"/>
      <c r="Q149" s="68">
        <v>710</v>
      </c>
    </row>
    <row r="150" spans="1:17">
      <c r="A150" s="714"/>
      <c r="B150" s="1349" t="s">
        <v>7412</v>
      </c>
      <c r="C150" s="675">
        <v>98.89</v>
      </c>
      <c r="D150" s="675">
        <v>77.53</v>
      </c>
      <c r="E150" s="675">
        <v>79.09</v>
      </c>
      <c r="F150" s="675">
        <v>79.55</v>
      </c>
      <c r="G150" s="675">
        <v>79.55</v>
      </c>
      <c r="H150" s="675">
        <v>74.290000000000006</v>
      </c>
      <c r="I150" s="1357"/>
      <c r="J150" s="1357"/>
      <c r="K150" s="1350"/>
      <c r="L150" s="1350"/>
      <c r="M150" s="1350"/>
      <c r="N150" s="1350"/>
      <c r="O150" s="1351">
        <f t="shared" si="33"/>
        <v>488.90000000000003</v>
      </c>
      <c r="P150" s="672"/>
      <c r="Q150" s="153"/>
    </row>
    <row r="151" spans="1:17">
      <c r="A151" s="714"/>
      <c r="B151" s="1349" t="s">
        <v>7042</v>
      </c>
      <c r="C151" s="675">
        <v>109.12</v>
      </c>
      <c r="D151" s="675"/>
      <c r="E151" s="675">
        <v>60.2</v>
      </c>
      <c r="F151" s="675">
        <v>47.41</v>
      </c>
      <c r="G151" s="675">
        <v>4.21</v>
      </c>
      <c r="H151" s="675"/>
      <c r="I151" s="1357"/>
      <c r="J151" s="1350"/>
      <c r="K151" s="1350"/>
      <c r="L151" s="1350"/>
      <c r="M151" s="1350"/>
      <c r="N151" s="1350"/>
      <c r="O151" s="1351">
        <f t="shared" si="33"/>
        <v>220.94</v>
      </c>
      <c r="P151" s="672"/>
      <c r="Q151" s="153"/>
    </row>
    <row r="152" spans="1:17">
      <c r="A152" s="714"/>
      <c r="B152" s="689" t="s">
        <v>1126</v>
      </c>
      <c r="C152" s="690">
        <f t="shared" ref="C152:O152" si="35">SUM(C138:C149)</f>
        <v>2702.01</v>
      </c>
      <c r="D152" s="690">
        <f t="shared" si="35"/>
        <v>1792.53</v>
      </c>
      <c r="E152" s="690">
        <f t="shared" si="35"/>
        <v>2771.29</v>
      </c>
      <c r="F152" s="690">
        <f t="shared" si="35"/>
        <v>3401.95</v>
      </c>
      <c r="G152" s="690">
        <f t="shared" si="35"/>
        <v>1529.76</v>
      </c>
      <c r="H152" s="690">
        <f t="shared" si="35"/>
        <v>685.29</v>
      </c>
      <c r="I152" s="690">
        <f t="shared" si="35"/>
        <v>1</v>
      </c>
      <c r="J152" s="690">
        <f t="shared" si="35"/>
        <v>1</v>
      </c>
      <c r="K152" s="690">
        <f t="shared" si="35"/>
        <v>1</v>
      </c>
      <c r="L152" s="690">
        <f t="shared" si="35"/>
        <v>455.86</v>
      </c>
      <c r="M152" s="690">
        <f t="shared" si="35"/>
        <v>230.99</v>
      </c>
      <c r="N152" s="690">
        <f t="shared" si="35"/>
        <v>1</v>
      </c>
      <c r="O152" s="690">
        <f t="shared" si="35"/>
        <v>13573.68</v>
      </c>
      <c r="P152" s="672"/>
      <c r="Q152" s="16">
        <f>SUM(Q138:Q149)</f>
        <v>13828</v>
      </c>
    </row>
    <row r="153" spans="1:17">
      <c r="A153" s="714"/>
      <c r="B153" s="692" t="s">
        <v>791</v>
      </c>
      <c r="C153" s="693">
        <f t="shared" ref="C153:O153" si="36">C135-C152</f>
        <v>-2002.0100000000002</v>
      </c>
      <c r="D153" s="693">
        <f t="shared" si="36"/>
        <v>-1092.53</v>
      </c>
      <c r="E153" s="693">
        <f t="shared" si="36"/>
        <v>-2071.29</v>
      </c>
      <c r="F153" s="693">
        <f t="shared" si="36"/>
        <v>-2701.95</v>
      </c>
      <c r="G153" s="693">
        <f t="shared" si="36"/>
        <v>-829.76</v>
      </c>
      <c r="H153" s="693">
        <f t="shared" si="36"/>
        <v>14.710000000000036</v>
      </c>
      <c r="I153" s="693">
        <f t="shared" si="36"/>
        <v>699</v>
      </c>
      <c r="J153" s="693">
        <f t="shared" si="36"/>
        <v>699</v>
      </c>
      <c r="K153" s="693">
        <f t="shared" si="36"/>
        <v>699</v>
      </c>
      <c r="L153" s="693">
        <f t="shared" si="36"/>
        <v>244.14</v>
      </c>
      <c r="M153" s="693">
        <f t="shared" si="36"/>
        <v>469.01</v>
      </c>
      <c r="N153" s="693">
        <f t="shared" si="36"/>
        <v>699</v>
      </c>
      <c r="O153" s="693">
        <f t="shared" si="36"/>
        <v>-5173.68</v>
      </c>
      <c r="P153" s="672"/>
      <c r="Q153" s="16">
        <f>O135-Q152</f>
        <v>-5428</v>
      </c>
    </row>
    <row r="154" spans="1:17">
      <c r="B154" s="2161" t="s">
        <v>7396</v>
      </c>
      <c r="C154" s="2087"/>
      <c r="D154" s="2087"/>
      <c r="E154" s="2087"/>
      <c r="F154" s="2087"/>
      <c r="G154" s="2087"/>
      <c r="H154" s="2087"/>
      <c r="I154" s="2087"/>
      <c r="J154" s="2087"/>
      <c r="K154" s="2087"/>
      <c r="L154" s="2087"/>
      <c r="M154" s="2087"/>
      <c r="N154" s="2087"/>
      <c r="O154" s="2087"/>
    </row>
    <row r="156" spans="1:17">
      <c r="A156" s="714"/>
      <c r="B156" s="2126" t="s">
        <v>7397</v>
      </c>
      <c r="C156" s="2127"/>
      <c r="D156" s="2127"/>
      <c r="E156" s="2127"/>
      <c r="F156" s="2127"/>
      <c r="G156" s="2127"/>
      <c r="H156" s="2127"/>
      <c r="I156" s="2127"/>
      <c r="J156" s="2127"/>
      <c r="K156" s="2127"/>
      <c r="L156" s="2127"/>
      <c r="M156" s="2127"/>
      <c r="N156" s="2127"/>
      <c r="O156" s="2128"/>
      <c r="P156" s="661"/>
    </row>
    <row r="157" spans="1:17">
      <c r="A157" s="714"/>
      <c r="B157" s="662" t="s">
        <v>7409</v>
      </c>
      <c r="C157" s="663" t="s">
        <v>143</v>
      </c>
      <c r="D157" s="663" t="s">
        <v>26</v>
      </c>
      <c r="E157" s="663" t="s">
        <v>25</v>
      </c>
      <c r="F157" s="663" t="s">
        <v>24</v>
      </c>
      <c r="G157" s="663" t="s">
        <v>23</v>
      </c>
      <c r="H157" s="663" t="s">
        <v>22</v>
      </c>
      <c r="I157" s="663" t="s">
        <v>21</v>
      </c>
      <c r="J157" s="663" t="s">
        <v>20</v>
      </c>
      <c r="K157" s="663" t="s">
        <v>256</v>
      </c>
      <c r="L157" s="663" t="s">
        <v>18</v>
      </c>
      <c r="M157" s="663" t="s">
        <v>17</v>
      </c>
      <c r="N157" s="663" t="s">
        <v>86</v>
      </c>
      <c r="O157" s="664" t="s">
        <v>67</v>
      </c>
      <c r="P157" s="665"/>
    </row>
    <row r="158" spans="1:17">
      <c r="A158" s="714"/>
      <c r="B158" s="666" t="s">
        <v>4395</v>
      </c>
      <c r="C158" s="667">
        <v>0</v>
      </c>
      <c r="D158" s="667">
        <v>0</v>
      </c>
      <c r="E158" s="667">
        <v>0</v>
      </c>
      <c r="F158" s="667">
        <v>0</v>
      </c>
      <c r="G158" s="667">
        <v>0</v>
      </c>
      <c r="H158" s="667">
        <v>0</v>
      </c>
      <c r="I158" s="667">
        <v>1000</v>
      </c>
      <c r="J158" s="667">
        <v>1000</v>
      </c>
      <c r="K158" s="667">
        <v>1000</v>
      </c>
      <c r="L158" s="667">
        <v>1000</v>
      </c>
      <c r="M158" s="667">
        <v>1000</v>
      </c>
      <c r="N158" s="667">
        <v>1000</v>
      </c>
      <c r="O158" s="668">
        <f>SUM(C158:N158)</f>
        <v>6000</v>
      </c>
      <c r="P158" s="669"/>
    </row>
    <row r="159" spans="1:17">
      <c r="A159" s="714"/>
      <c r="B159" s="1342" t="s">
        <v>6389</v>
      </c>
      <c r="C159" s="1343" t="s">
        <v>135</v>
      </c>
      <c r="D159" s="1343" t="s">
        <v>135</v>
      </c>
      <c r="E159" s="1343" t="s">
        <v>135</v>
      </c>
      <c r="F159" s="1343" t="s">
        <v>135</v>
      </c>
      <c r="G159" s="1343" t="s">
        <v>135</v>
      </c>
      <c r="H159" s="1343" t="s">
        <v>135</v>
      </c>
      <c r="I159" s="1343" t="s">
        <v>135</v>
      </c>
      <c r="J159" s="1343" t="s">
        <v>135</v>
      </c>
      <c r="K159" s="1343"/>
      <c r="L159" s="1343"/>
      <c r="M159" s="1343"/>
      <c r="N159" s="1343"/>
      <c r="O159" s="1344">
        <f>SUM(C159:N159)</f>
        <v>0</v>
      </c>
      <c r="P159" s="672"/>
    </row>
    <row r="160" spans="1:17">
      <c r="A160" s="714"/>
      <c r="B160" s="666" t="s">
        <v>4397</v>
      </c>
      <c r="C160" s="671"/>
      <c r="D160" s="671"/>
      <c r="E160" s="671"/>
      <c r="F160" s="671"/>
      <c r="G160" s="671"/>
      <c r="H160" s="671"/>
      <c r="I160" s="671"/>
      <c r="J160" s="671"/>
      <c r="K160" s="671"/>
      <c r="L160" s="671"/>
      <c r="M160" s="671"/>
      <c r="N160" s="671"/>
      <c r="O160" s="668"/>
      <c r="P160" s="672"/>
    </row>
    <row r="161" spans="1:17">
      <c r="A161" s="714"/>
      <c r="B161" s="1349" t="s">
        <v>3313</v>
      </c>
      <c r="C161" s="1350"/>
      <c r="D161" s="1350"/>
      <c r="E161" s="1350"/>
      <c r="F161" s="1350"/>
      <c r="G161" s="1350"/>
      <c r="H161" s="1350"/>
      <c r="I161" s="1350">
        <v>1</v>
      </c>
      <c r="J161" s="1350">
        <v>1</v>
      </c>
      <c r="K161" s="1350">
        <v>1</v>
      </c>
      <c r="L161" s="1350">
        <v>1</v>
      </c>
      <c r="M161" s="1350">
        <v>1</v>
      </c>
      <c r="N161" s="1350">
        <v>1</v>
      </c>
      <c r="O161" s="1351">
        <f t="shared" ref="O161:O174" si="37">SUM(C161:N161)</f>
        <v>6</v>
      </c>
      <c r="P161" s="672"/>
      <c r="Q161" s="68">
        <v>16</v>
      </c>
    </row>
    <row r="162" spans="1:17">
      <c r="A162" s="714"/>
      <c r="B162" s="1349" t="s">
        <v>7279</v>
      </c>
      <c r="C162" s="1353"/>
      <c r="D162" s="1353"/>
      <c r="E162" s="1353"/>
      <c r="F162" s="1353"/>
      <c r="G162" s="1353"/>
      <c r="H162" s="1353"/>
      <c r="I162" s="1353"/>
      <c r="J162" s="1353"/>
      <c r="K162" s="1353"/>
      <c r="L162" s="1353"/>
      <c r="M162" s="1353"/>
      <c r="N162" s="1353"/>
      <c r="O162" s="1351">
        <f t="shared" si="37"/>
        <v>0</v>
      </c>
      <c r="P162" s="672"/>
      <c r="Q162" s="153" t="s">
        <v>7416</v>
      </c>
    </row>
    <row r="163" spans="1:17">
      <c r="A163" s="714"/>
      <c r="B163" s="1349" t="s">
        <v>7289</v>
      </c>
      <c r="C163" s="1353"/>
      <c r="D163" s="1353"/>
      <c r="E163" s="1353"/>
      <c r="F163" s="1353"/>
      <c r="G163" s="1353"/>
      <c r="H163" s="1353"/>
      <c r="I163" s="1353"/>
      <c r="J163" s="1353"/>
      <c r="K163" s="1353"/>
      <c r="L163" s="1353"/>
      <c r="M163" s="1353"/>
      <c r="N163" s="1353"/>
      <c r="O163" s="1351">
        <f t="shared" si="37"/>
        <v>0</v>
      </c>
      <c r="P163" s="672"/>
      <c r="Q163" s="68">
        <v>60</v>
      </c>
    </row>
    <row r="164" spans="1:17">
      <c r="A164" s="714"/>
      <c r="B164" s="674" t="s">
        <v>7043</v>
      </c>
      <c r="C164" s="687"/>
      <c r="D164" s="687"/>
      <c r="E164" s="687"/>
      <c r="F164" s="687"/>
      <c r="G164" s="687"/>
      <c r="H164" s="687"/>
      <c r="I164" s="688">
        <v>411</v>
      </c>
      <c r="J164" s="687"/>
      <c r="K164" s="687"/>
      <c r="L164" s="687"/>
      <c r="M164" s="687"/>
      <c r="N164" s="687"/>
      <c r="O164" s="1351">
        <f t="shared" si="37"/>
        <v>411</v>
      </c>
      <c r="P164" s="672"/>
      <c r="Q164" s="68">
        <v>411</v>
      </c>
    </row>
    <row r="165" spans="1:17">
      <c r="A165" s="714"/>
      <c r="B165" s="1349" t="s">
        <v>7292</v>
      </c>
      <c r="C165" s="1353"/>
      <c r="D165" s="1353"/>
      <c r="E165" s="1353"/>
      <c r="F165" s="1353"/>
      <c r="G165" s="1350"/>
      <c r="H165" s="1353"/>
      <c r="I165" s="1353"/>
      <c r="J165" s="1353"/>
      <c r="K165" s="1353"/>
      <c r="L165" s="1353"/>
      <c r="M165" s="1353"/>
      <c r="N165" s="1353"/>
      <c r="O165" s="1351">
        <f t="shared" si="37"/>
        <v>0</v>
      </c>
      <c r="P165" s="672"/>
      <c r="Q165" s="68">
        <v>0</v>
      </c>
    </row>
    <row r="166" spans="1:17">
      <c r="A166" s="714"/>
      <c r="B166" s="1349" t="s">
        <v>7294</v>
      </c>
      <c r="C166" s="1353"/>
      <c r="D166" s="1353"/>
      <c r="E166" s="1353"/>
      <c r="F166" s="1350"/>
      <c r="G166" s="1350"/>
      <c r="H166" s="1350"/>
      <c r="I166" s="1350"/>
      <c r="J166" s="1350"/>
      <c r="K166" s="1353"/>
      <c r="L166" s="1353"/>
      <c r="M166" s="1353"/>
      <c r="N166" s="1353"/>
      <c r="O166" s="1351">
        <f t="shared" si="37"/>
        <v>0</v>
      </c>
      <c r="P166" s="672"/>
      <c r="Q166" s="68">
        <v>0</v>
      </c>
    </row>
    <row r="167" spans="1:17">
      <c r="A167" s="714"/>
      <c r="B167" s="1349" t="s">
        <v>5024</v>
      </c>
      <c r="C167" s="1353"/>
      <c r="D167" s="1353"/>
      <c r="E167" s="1353"/>
      <c r="F167" s="1353"/>
      <c r="G167" s="1353"/>
      <c r="H167" s="1353"/>
      <c r="I167" s="1353"/>
      <c r="J167" s="1353"/>
      <c r="K167" s="1353"/>
      <c r="L167" s="1353"/>
      <c r="M167" s="1353"/>
      <c r="N167" s="1353"/>
      <c r="O167" s="1351">
        <f t="shared" si="37"/>
        <v>0</v>
      </c>
      <c r="P167" s="672"/>
      <c r="Q167" s="68">
        <v>0</v>
      </c>
    </row>
    <row r="168" spans="1:17">
      <c r="A168" s="714"/>
      <c r="B168" s="1349" t="s">
        <v>6860</v>
      </c>
      <c r="C168" s="1353"/>
      <c r="D168" s="1353"/>
      <c r="E168" s="1353"/>
      <c r="F168" s="1353"/>
      <c r="G168" s="1350"/>
      <c r="H168" s="1353"/>
      <c r="I168" s="1353"/>
      <c r="J168" s="1350"/>
      <c r="K168" s="1353"/>
      <c r="L168" s="1353"/>
      <c r="M168" s="1353"/>
      <c r="N168" s="1353"/>
      <c r="O168" s="1351">
        <f t="shared" si="37"/>
        <v>0</v>
      </c>
      <c r="P168" s="672"/>
      <c r="Q168" s="68">
        <v>0</v>
      </c>
    </row>
    <row r="169" spans="1:17">
      <c r="A169" s="714"/>
      <c r="B169" s="1349" t="s">
        <v>7035</v>
      </c>
      <c r="C169" s="1353"/>
      <c r="D169" s="1353"/>
      <c r="E169" s="1353"/>
      <c r="F169" s="1353"/>
      <c r="G169" s="1350"/>
      <c r="H169" s="1353"/>
      <c r="I169" s="1353">
        <v>552</v>
      </c>
      <c r="J169" s="1350">
        <v>236</v>
      </c>
      <c r="K169" s="1353">
        <v>843</v>
      </c>
      <c r="L169" s="1353">
        <v>566</v>
      </c>
      <c r="M169" s="1353">
        <v>123</v>
      </c>
      <c r="N169" s="1353">
        <v>0</v>
      </c>
      <c r="O169" s="1351">
        <f t="shared" si="37"/>
        <v>2320</v>
      </c>
      <c r="P169" s="672"/>
      <c r="Q169" s="68">
        <v>2320</v>
      </c>
    </row>
    <row r="170" spans="1:17">
      <c r="A170" s="714"/>
      <c r="B170" s="1349" t="s">
        <v>7298</v>
      </c>
      <c r="C170" s="1353"/>
      <c r="D170" s="1353"/>
      <c r="E170" s="1353"/>
      <c r="F170" s="1353"/>
      <c r="G170" s="1350"/>
      <c r="H170" s="1353"/>
      <c r="I170" s="1353"/>
      <c r="J170" s="1350"/>
      <c r="K170" s="1353"/>
      <c r="L170" s="1353"/>
      <c r="M170" s="1353"/>
      <c r="N170" s="1353"/>
      <c r="O170" s="1351">
        <f t="shared" si="37"/>
        <v>0</v>
      </c>
      <c r="P170" s="672"/>
      <c r="Q170" s="68">
        <v>25</v>
      </c>
    </row>
    <row r="171" spans="1:17">
      <c r="A171" s="714"/>
      <c r="B171" s="1349" t="s">
        <v>4399</v>
      </c>
      <c r="C171" s="675"/>
      <c r="D171" s="675"/>
      <c r="E171" s="675"/>
      <c r="F171" s="1001" t="s">
        <v>135</v>
      </c>
      <c r="G171" s="675"/>
      <c r="H171" s="675"/>
      <c r="I171" s="675"/>
      <c r="J171" s="675"/>
      <c r="K171" s="675"/>
      <c r="L171" s="675"/>
      <c r="M171" s="9">
        <v>365.75</v>
      </c>
      <c r="N171" s="675"/>
      <c r="O171" s="1351">
        <f t="shared" si="37"/>
        <v>365.75</v>
      </c>
      <c r="P171" s="672"/>
      <c r="Q171" s="68">
        <v>366</v>
      </c>
    </row>
    <row r="172" spans="1:17">
      <c r="A172" s="714"/>
      <c r="B172" s="1354" t="s">
        <v>7301</v>
      </c>
      <c r="C172" s="1355">
        <f t="shared" ref="C172:N172" si="38">C173+C174</f>
        <v>0</v>
      </c>
      <c r="D172" s="1355">
        <f t="shared" si="38"/>
        <v>0</v>
      </c>
      <c r="E172" s="1355">
        <f t="shared" si="38"/>
        <v>0</v>
      </c>
      <c r="F172" s="1355">
        <f t="shared" si="38"/>
        <v>0</v>
      </c>
      <c r="G172" s="1355">
        <f t="shared" si="38"/>
        <v>0</v>
      </c>
      <c r="H172" s="1355">
        <f t="shared" si="38"/>
        <v>0</v>
      </c>
      <c r="I172" s="1355">
        <f t="shared" si="38"/>
        <v>20</v>
      </c>
      <c r="J172" s="1355">
        <f t="shared" si="38"/>
        <v>0</v>
      </c>
      <c r="K172" s="1355">
        <f t="shared" si="38"/>
        <v>326.63</v>
      </c>
      <c r="L172" s="1355">
        <f t="shared" si="38"/>
        <v>0</v>
      </c>
      <c r="M172" s="1355">
        <f t="shared" si="38"/>
        <v>326.63</v>
      </c>
      <c r="N172" s="1355">
        <f t="shared" si="38"/>
        <v>20</v>
      </c>
      <c r="O172" s="1351">
        <f t="shared" si="37"/>
        <v>693.26</v>
      </c>
      <c r="P172" s="672"/>
      <c r="Q172" s="68">
        <v>693.26</v>
      </c>
    </row>
    <row r="173" spans="1:17">
      <c r="A173" s="714"/>
      <c r="B173" s="1349" t="s">
        <v>7412</v>
      </c>
      <c r="C173" s="675"/>
      <c r="D173" s="675"/>
      <c r="E173" s="675"/>
      <c r="F173" s="675"/>
      <c r="G173" s="675"/>
      <c r="H173" s="675"/>
      <c r="I173" s="675">
        <v>20</v>
      </c>
      <c r="J173" s="675"/>
      <c r="K173" s="675">
        <v>326.63</v>
      </c>
      <c r="L173" s="675"/>
      <c r="M173" s="675">
        <v>326.63</v>
      </c>
      <c r="N173" s="675"/>
      <c r="O173" s="1351">
        <f t="shared" si="37"/>
        <v>673.26</v>
      </c>
      <c r="P173" s="672"/>
      <c r="Q173" s="153"/>
    </row>
    <row r="174" spans="1:17">
      <c r="A174" s="714"/>
      <c r="B174" s="1349" t="s">
        <v>7042</v>
      </c>
      <c r="C174" s="675"/>
      <c r="D174" s="675"/>
      <c r="E174" s="675"/>
      <c r="F174" s="675"/>
      <c r="G174" s="675"/>
      <c r="H174" s="675"/>
      <c r="I174" s="675"/>
      <c r="J174" s="675"/>
      <c r="K174" s="675"/>
      <c r="L174" s="675"/>
      <c r="M174" s="675"/>
      <c r="N174" s="675">
        <v>20</v>
      </c>
      <c r="O174" s="1351">
        <f t="shared" si="37"/>
        <v>20</v>
      </c>
      <c r="P174" s="672"/>
      <c r="Q174" s="153"/>
    </row>
    <row r="175" spans="1:17">
      <c r="A175" s="714"/>
      <c r="B175" s="689" t="s">
        <v>1126</v>
      </c>
      <c r="C175" s="690">
        <f t="shared" ref="C175:O175" si="39">SUM(C161:C172)</f>
        <v>0</v>
      </c>
      <c r="D175" s="690">
        <f t="shared" si="39"/>
        <v>0</v>
      </c>
      <c r="E175" s="690">
        <f t="shared" si="39"/>
        <v>0</v>
      </c>
      <c r="F175" s="690">
        <f t="shared" si="39"/>
        <v>0</v>
      </c>
      <c r="G175" s="690">
        <f t="shared" si="39"/>
        <v>0</v>
      </c>
      <c r="H175" s="690">
        <f t="shared" si="39"/>
        <v>0</v>
      </c>
      <c r="I175" s="690">
        <f t="shared" si="39"/>
        <v>984</v>
      </c>
      <c r="J175" s="690">
        <f t="shared" si="39"/>
        <v>237</v>
      </c>
      <c r="K175" s="690">
        <f t="shared" si="39"/>
        <v>1170.6300000000001</v>
      </c>
      <c r="L175" s="690">
        <f t="shared" si="39"/>
        <v>567</v>
      </c>
      <c r="M175" s="690">
        <f t="shared" si="39"/>
        <v>816.38</v>
      </c>
      <c r="N175" s="690">
        <f t="shared" si="39"/>
        <v>21</v>
      </c>
      <c r="O175" s="690">
        <f t="shared" si="39"/>
        <v>3796.01</v>
      </c>
      <c r="P175" s="672"/>
      <c r="Q175" s="16">
        <f>SUM(Q161:Q172)</f>
        <v>3891.26</v>
      </c>
    </row>
    <row r="176" spans="1:17">
      <c r="A176" s="714"/>
      <c r="B176" s="692" t="s">
        <v>791</v>
      </c>
      <c r="C176" s="693">
        <f t="shared" ref="C176:O176" si="40">C158-C175</f>
        <v>0</v>
      </c>
      <c r="D176" s="693">
        <f t="shared" si="40"/>
        <v>0</v>
      </c>
      <c r="E176" s="693">
        <f t="shared" si="40"/>
        <v>0</v>
      </c>
      <c r="F176" s="693">
        <f t="shared" si="40"/>
        <v>0</v>
      </c>
      <c r="G176" s="693">
        <f t="shared" si="40"/>
        <v>0</v>
      </c>
      <c r="H176" s="693">
        <f t="shared" si="40"/>
        <v>0</v>
      </c>
      <c r="I176" s="693">
        <f t="shared" si="40"/>
        <v>16</v>
      </c>
      <c r="J176" s="693">
        <f t="shared" si="40"/>
        <v>763</v>
      </c>
      <c r="K176" s="693">
        <f t="shared" si="40"/>
        <v>-170.63000000000011</v>
      </c>
      <c r="L176" s="693">
        <f t="shared" si="40"/>
        <v>433</v>
      </c>
      <c r="M176" s="693">
        <f t="shared" si="40"/>
        <v>183.62</v>
      </c>
      <c r="N176" s="693">
        <f t="shared" si="40"/>
        <v>979</v>
      </c>
      <c r="O176" s="693">
        <f t="shared" si="40"/>
        <v>2203.9899999999998</v>
      </c>
      <c r="P176" s="672"/>
      <c r="Q176" s="16">
        <f>O158-Q175</f>
        <v>2108.7399999999998</v>
      </c>
    </row>
    <row r="177" spans="1:16">
      <c r="B177" s="2161" t="s">
        <v>7398</v>
      </c>
      <c r="C177" s="2087"/>
      <c r="D177" s="2087"/>
      <c r="E177" s="2087"/>
      <c r="F177" s="2087"/>
      <c r="G177" s="2087"/>
      <c r="H177" s="2087"/>
      <c r="I177" s="2087"/>
      <c r="J177" s="2087"/>
      <c r="K177" s="2087"/>
      <c r="L177" s="2087"/>
      <c r="M177" s="2087"/>
      <c r="N177" s="2087"/>
      <c r="O177" s="2087"/>
    </row>
    <row r="178" spans="1:16">
      <c r="C178" s="1359" t="s">
        <v>7417</v>
      </c>
    </row>
    <row r="179" spans="1:16">
      <c r="A179" s="714"/>
      <c r="B179" s="2126" t="s">
        <v>4423</v>
      </c>
      <c r="C179" s="2127"/>
      <c r="D179" s="2127"/>
      <c r="E179" s="2127"/>
      <c r="F179" s="2127"/>
      <c r="G179" s="2127"/>
      <c r="H179" s="2127"/>
      <c r="I179" s="2127"/>
      <c r="J179" s="2127"/>
      <c r="K179" s="2127"/>
      <c r="L179" s="2127"/>
      <c r="M179" s="2127"/>
      <c r="N179" s="2127"/>
      <c r="O179" s="2128"/>
      <c r="P179" s="661"/>
    </row>
    <row r="180" spans="1:16">
      <c r="A180" s="714"/>
      <c r="B180" s="662">
        <v>2016</v>
      </c>
      <c r="C180" s="663" t="s">
        <v>143</v>
      </c>
      <c r="D180" s="663" t="s">
        <v>26</v>
      </c>
      <c r="E180" s="663" t="s">
        <v>25</v>
      </c>
      <c r="F180" s="663" t="s">
        <v>24</v>
      </c>
      <c r="G180" s="663" t="s">
        <v>23</v>
      </c>
      <c r="H180" s="663" t="s">
        <v>22</v>
      </c>
      <c r="I180" s="663" t="s">
        <v>21</v>
      </c>
      <c r="J180" s="663" t="s">
        <v>20</v>
      </c>
      <c r="K180" s="663" t="s">
        <v>256</v>
      </c>
      <c r="L180" s="663" t="s">
        <v>18</v>
      </c>
      <c r="M180" s="663" t="s">
        <v>17</v>
      </c>
      <c r="N180" s="663" t="s">
        <v>86</v>
      </c>
      <c r="O180" s="664" t="s">
        <v>67</v>
      </c>
      <c r="P180" s="665"/>
    </row>
    <row r="181" spans="1:16">
      <c r="A181" s="714"/>
      <c r="B181" s="666" t="s">
        <v>4424</v>
      </c>
      <c r="C181" s="671"/>
      <c r="D181" s="671"/>
      <c r="E181" s="671"/>
      <c r="F181" s="671"/>
      <c r="G181" s="671"/>
      <c r="H181" s="671"/>
      <c r="I181" s="671"/>
      <c r="J181" s="671"/>
      <c r="K181" s="671"/>
      <c r="L181" s="671"/>
      <c r="M181" s="671"/>
      <c r="N181" s="671"/>
      <c r="O181" s="668"/>
      <c r="P181" s="672"/>
    </row>
    <row r="182" spans="1:16">
      <c r="A182" s="714"/>
      <c r="B182" s="674" t="s">
        <v>5056</v>
      </c>
      <c r="C182" s="676">
        <v>120</v>
      </c>
      <c r="D182" s="705"/>
      <c r="E182" s="705"/>
      <c r="F182" s="705"/>
      <c r="G182" s="705"/>
      <c r="H182" s="705"/>
      <c r="I182" s="705"/>
      <c r="J182" s="705"/>
      <c r="K182" s="705"/>
      <c r="L182" s="705"/>
      <c r="M182" s="705"/>
      <c r="N182" s="705"/>
      <c r="O182" s="668">
        <f t="shared" ref="O182:O191" si="41">SUM(C182:N182)</f>
        <v>120</v>
      </c>
      <c r="P182" s="672"/>
    </row>
    <row r="183" spans="1:16">
      <c r="A183" s="714"/>
      <c r="B183" s="674" t="s">
        <v>7401</v>
      </c>
      <c r="C183" s="685">
        <v>16.5</v>
      </c>
      <c r="D183" s="685">
        <v>16.5</v>
      </c>
      <c r="E183" s="685">
        <f>13.5+3</f>
        <v>16.5</v>
      </c>
      <c r="F183" s="685">
        <v>13.5</v>
      </c>
      <c r="G183" s="685">
        <v>16.5</v>
      </c>
      <c r="H183" s="685">
        <v>16.5</v>
      </c>
      <c r="I183" s="685">
        <v>16.5</v>
      </c>
      <c r="J183" s="685">
        <v>16.5</v>
      </c>
      <c r="K183" s="685">
        <v>16.5</v>
      </c>
      <c r="L183" s="685">
        <v>16.5</v>
      </c>
      <c r="M183" s="685">
        <v>16.5</v>
      </c>
      <c r="N183" s="685">
        <v>16.5</v>
      </c>
      <c r="O183" s="668">
        <f t="shared" si="41"/>
        <v>195</v>
      </c>
      <c r="P183" s="672"/>
    </row>
    <row r="184" spans="1:16">
      <c r="A184" s="714"/>
      <c r="B184" s="674" t="s">
        <v>4426</v>
      </c>
      <c r="C184" s="676">
        <v>70</v>
      </c>
      <c r="D184" s="705"/>
      <c r="E184" s="705"/>
      <c r="F184" s="705"/>
      <c r="G184" s="705"/>
      <c r="H184" s="705"/>
      <c r="I184" s="705"/>
      <c r="J184" s="705"/>
      <c r="K184" s="705"/>
      <c r="L184" s="705"/>
      <c r="M184" s="705"/>
      <c r="N184" s="705"/>
      <c r="O184" s="668">
        <f t="shared" si="41"/>
        <v>70</v>
      </c>
      <c r="P184" s="672"/>
    </row>
    <row r="185" spans="1:16">
      <c r="A185" s="714"/>
      <c r="B185" s="674" t="s">
        <v>2329</v>
      </c>
      <c r="C185" s="676">
        <v>120</v>
      </c>
      <c r="D185" s="705"/>
      <c r="E185" s="705"/>
      <c r="F185" s="705"/>
      <c r="G185" s="705"/>
      <c r="H185" s="705"/>
      <c r="I185" s="705"/>
      <c r="J185" s="705"/>
      <c r="K185" s="705"/>
      <c r="L185" s="705"/>
      <c r="M185" s="705"/>
      <c r="N185" s="705"/>
      <c r="O185" s="668">
        <f t="shared" si="41"/>
        <v>120</v>
      </c>
      <c r="P185" s="672"/>
    </row>
    <row r="186" spans="1:16">
      <c r="A186" s="714"/>
      <c r="B186" s="674" t="s">
        <v>7047</v>
      </c>
      <c r="C186" s="676">
        <v>150</v>
      </c>
      <c r="D186" s="705"/>
      <c r="E186" s="705"/>
      <c r="F186" s="705"/>
      <c r="G186" s="705"/>
      <c r="H186" s="705"/>
      <c r="I186" s="705"/>
      <c r="J186" s="705"/>
      <c r="K186" s="705"/>
      <c r="L186" s="705"/>
      <c r="M186" s="705"/>
      <c r="N186" s="705"/>
      <c r="O186" s="668">
        <f t="shared" si="41"/>
        <v>150</v>
      </c>
      <c r="P186" s="672"/>
    </row>
    <row r="187" spans="1:16">
      <c r="A187" s="714"/>
      <c r="B187" s="674" t="s">
        <v>6865</v>
      </c>
      <c r="C187" s="705"/>
      <c r="D187" s="705"/>
      <c r="E187" s="705"/>
      <c r="F187" s="705"/>
      <c r="G187" s="676">
        <v>280</v>
      </c>
      <c r="H187" s="675" t="s">
        <v>7048</v>
      </c>
      <c r="I187" s="705"/>
      <c r="J187" s="705"/>
      <c r="K187" s="705"/>
      <c r="L187" s="705"/>
      <c r="M187" s="705"/>
      <c r="N187" s="705"/>
      <c r="O187" s="668">
        <f t="shared" si="41"/>
        <v>280</v>
      </c>
      <c r="P187" s="672"/>
    </row>
    <row r="188" spans="1:16">
      <c r="A188" s="714"/>
      <c r="B188" s="674" t="s">
        <v>4441</v>
      </c>
      <c r="C188" s="676">
        <v>42</v>
      </c>
      <c r="D188" s="705"/>
      <c r="E188" s="675" t="s">
        <v>4430</v>
      </c>
      <c r="F188" s="705"/>
      <c r="G188" s="772"/>
      <c r="H188" s="705"/>
      <c r="I188" s="705"/>
      <c r="J188" s="705"/>
      <c r="K188" s="705"/>
      <c r="L188" s="705"/>
      <c r="M188" s="705"/>
      <c r="N188" s="708">
        <f>288+42</f>
        <v>330</v>
      </c>
      <c r="O188" s="668">
        <f t="shared" si="41"/>
        <v>372</v>
      </c>
      <c r="P188" s="672"/>
    </row>
    <row r="189" spans="1:16">
      <c r="A189" s="714"/>
      <c r="B189" s="674" t="s">
        <v>4310</v>
      </c>
      <c r="C189" s="705"/>
      <c r="D189" s="705"/>
      <c r="E189" s="705"/>
      <c r="F189" s="675" t="s">
        <v>6867</v>
      </c>
      <c r="G189" s="676">
        <v>100</v>
      </c>
      <c r="H189" s="705"/>
      <c r="I189" s="705"/>
      <c r="J189" s="705"/>
      <c r="K189" s="705"/>
      <c r="L189" s="705"/>
      <c r="M189" s="705"/>
      <c r="N189" s="705"/>
      <c r="O189" s="668">
        <f t="shared" si="41"/>
        <v>100</v>
      </c>
      <c r="P189" s="672"/>
    </row>
    <row r="190" spans="1:16">
      <c r="A190" s="714"/>
      <c r="B190" s="674" t="s">
        <v>7418</v>
      </c>
      <c r="C190" s="676">
        <v>120</v>
      </c>
      <c r="D190" s="705"/>
      <c r="E190" s="705"/>
      <c r="F190" s="675"/>
      <c r="G190" s="772"/>
      <c r="H190" s="705"/>
      <c r="I190" s="705"/>
      <c r="J190" s="705"/>
      <c r="K190" s="705"/>
      <c r="L190" s="705"/>
      <c r="M190" s="705"/>
      <c r="N190" s="705"/>
      <c r="O190" s="668">
        <f t="shared" si="41"/>
        <v>120</v>
      </c>
      <c r="P190" s="672"/>
    </row>
    <row r="191" spans="1:16">
      <c r="A191" s="714"/>
      <c r="B191" s="674" t="s">
        <v>7049</v>
      </c>
      <c r="C191" s="705"/>
      <c r="D191" s="705"/>
      <c r="E191" s="705"/>
      <c r="F191" s="675" t="s">
        <v>6867</v>
      </c>
      <c r="G191" s="676">
        <v>120</v>
      </c>
      <c r="H191" s="705"/>
      <c r="I191" s="705"/>
      <c r="J191" s="705"/>
      <c r="K191" s="705"/>
      <c r="L191" s="705"/>
      <c r="M191" s="705"/>
      <c r="N191" s="705"/>
      <c r="O191" s="668">
        <f t="shared" si="41"/>
        <v>120</v>
      </c>
      <c r="P191" s="672"/>
    </row>
    <row r="192" spans="1:16">
      <c r="A192" s="714"/>
      <c r="B192" s="674" t="s">
        <v>4433</v>
      </c>
      <c r="C192" s="705"/>
      <c r="D192" s="705"/>
      <c r="E192" s="705"/>
      <c r="F192" s="705"/>
      <c r="G192" s="705"/>
      <c r="H192" s="705"/>
      <c r="I192" s="705"/>
      <c r="J192" s="705"/>
      <c r="K192" s="705"/>
      <c r="L192" s="705"/>
      <c r="M192" s="705"/>
      <c r="N192" s="705">
        <f>72.06+23.24</f>
        <v>95.3</v>
      </c>
      <c r="O192" s="668"/>
      <c r="P192" s="672"/>
    </row>
    <row r="193" spans="1:16">
      <c r="A193" s="714"/>
      <c r="B193" s="674" t="s">
        <v>4434</v>
      </c>
      <c r="C193" s="708">
        <v>-20</v>
      </c>
      <c r="D193" s="708">
        <v>-20</v>
      </c>
      <c r="E193" s="708">
        <v>-20</v>
      </c>
      <c r="F193" s="708">
        <v>-20</v>
      </c>
      <c r="G193" s="708">
        <v>-20</v>
      </c>
      <c r="H193" s="708">
        <v>-20</v>
      </c>
      <c r="I193" s="708">
        <v>-20</v>
      </c>
      <c r="J193" s="708">
        <v>-20</v>
      </c>
      <c r="K193" s="708">
        <v>-20</v>
      </c>
      <c r="L193" s="708">
        <v>-20</v>
      </c>
      <c r="M193" s="708">
        <v>-20</v>
      </c>
      <c r="N193" s="708">
        <v>-20</v>
      </c>
      <c r="O193" s="668">
        <f>SUM(C193:N193)</f>
        <v>-240</v>
      </c>
      <c r="P193" s="672"/>
    </row>
    <row r="194" spans="1:16">
      <c r="A194" s="715"/>
      <c r="B194" s="677" t="s">
        <v>4435</v>
      </c>
      <c r="C194" s="677">
        <f t="shared" ref="C194:O194" si="42">SUM(C182:C193)</f>
        <v>618.5</v>
      </c>
      <c r="D194" s="677">
        <f t="shared" si="42"/>
        <v>-3.5</v>
      </c>
      <c r="E194" s="677">
        <f t="shared" si="42"/>
        <v>-3.5</v>
      </c>
      <c r="F194" s="677">
        <f t="shared" si="42"/>
        <v>-6.5</v>
      </c>
      <c r="G194" s="677">
        <f t="shared" si="42"/>
        <v>496.5</v>
      </c>
      <c r="H194" s="677">
        <f t="shared" si="42"/>
        <v>-3.5</v>
      </c>
      <c r="I194" s="677">
        <f t="shared" si="42"/>
        <v>-3.5</v>
      </c>
      <c r="J194" s="677">
        <f t="shared" si="42"/>
        <v>-3.5</v>
      </c>
      <c r="K194" s="677">
        <f t="shared" si="42"/>
        <v>-3.5</v>
      </c>
      <c r="L194" s="677">
        <f t="shared" si="42"/>
        <v>-3.5</v>
      </c>
      <c r="M194" s="677">
        <f t="shared" si="42"/>
        <v>-3.5</v>
      </c>
      <c r="N194" s="677">
        <f t="shared" si="42"/>
        <v>421.8</v>
      </c>
      <c r="O194" s="677">
        <f t="shared" si="42"/>
        <v>1407</v>
      </c>
      <c r="P194" s="691"/>
    </row>
    <row r="195" spans="1:16">
      <c r="A195" s="715" t="s">
        <v>135</v>
      </c>
      <c r="B195" s="709" t="s">
        <v>135</v>
      </c>
      <c r="C195" s="709"/>
      <c r="D195" s="709"/>
      <c r="E195" s="709"/>
      <c r="F195" s="709"/>
      <c r="G195" s="709"/>
      <c r="H195" s="709"/>
      <c r="I195" s="709"/>
      <c r="J195" s="709"/>
      <c r="K195" s="709"/>
      <c r="L195" s="709"/>
      <c r="M195" s="709"/>
      <c r="N195" s="709"/>
      <c r="O195" s="709"/>
      <c r="P195" s="710"/>
    </row>
    <row r="196" spans="1:16">
      <c r="B196" s="578"/>
      <c r="C196" s="578"/>
      <c r="D196" s="578"/>
      <c r="E196" s="578"/>
      <c r="F196" s="578"/>
      <c r="G196" s="578"/>
      <c r="H196" s="578"/>
      <c r="I196" s="578"/>
      <c r="J196" s="578"/>
      <c r="K196" s="578"/>
      <c r="L196" s="578"/>
      <c r="M196" s="2129" t="s">
        <v>4436</v>
      </c>
      <c r="N196" s="2087"/>
      <c r="O196" s="711">
        <f>800/12</f>
        <v>66.666666666666671</v>
      </c>
      <c r="P196" s="712"/>
    </row>
    <row r="197" spans="1:16">
      <c r="B197" s="578"/>
      <c r="C197" s="578"/>
      <c r="D197" s="578"/>
      <c r="E197" s="578"/>
      <c r="F197" s="578"/>
      <c r="G197" s="578"/>
      <c r="H197" s="578"/>
      <c r="I197" s="578"/>
      <c r="J197" s="578"/>
      <c r="K197" s="578"/>
      <c r="L197" s="578"/>
      <c r="M197" s="578"/>
      <c r="N197" s="578"/>
      <c r="O197" s="578"/>
    </row>
    <row r="198" spans="1:16">
      <c r="B198" s="578"/>
      <c r="C198" s="578"/>
      <c r="D198" s="578"/>
      <c r="E198" s="578"/>
      <c r="F198" s="578"/>
      <c r="G198" s="578"/>
      <c r="H198" s="578"/>
      <c r="I198" s="578"/>
      <c r="J198" s="578"/>
      <c r="K198" s="578"/>
      <c r="L198" s="578"/>
      <c r="M198" s="578"/>
      <c r="N198" s="578"/>
      <c r="O198" s="578"/>
    </row>
    <row r="199" spans="1:16">
      <c r="B199" s="578"/>
      <c r="C199" s="578"/>
      <c r="D199" s="578"/>
      <c r="E199" s="578"/>
      <c r="F199" s="578"/>
      <c r="G199" s="578"/>
      <c r="H199" s="578"/>
      <c r="I199" s="578"/>
      <c r="J199" s="578"/>
      <c r="K199" s="578"/>
      <c r="L199" s="578"/>
      <c r="M199" s="578"/>
      <c r="N199" s="578"/>
      <c r="O199" s="578"/>
    </row>
    <row r="200" spans="1:16">
      <c r="B200" s="997"/>
      <c r="C200" s="997"/>
      <c r="D200" s="997"/>
      <c r="E200" s="997"/>
      <c r="F200" s="997"/>
      <c r="G200" s="997"/>
      <c r="H200" s="997"/>
      <c r="I200" s="997"/>
      <c r="J200" s="997"/>
      <c r="K200" s="997"/>
      <c r="L200" s="997"/>
      <c r="M200" s="997"/>
      <c r="N200" s="997"/>
      <c r="O200" s="997"/>
      <c r="P200" s="660"/>
    </row>
    <row r="201" spans="1:16">
      <c r="A201" s="714"/>
      <c r="B201" s="2126" t="s">
        <v>7051</v>
      </c>
      <c r="C201" s="2127"/>
      <c r="D201" s="2127"/>
      <c r="E201" s="2127"/>
      <c r="F201" s="2127"/>
      <c r="G201" s="2127"/>
      <c r="H201" s="2127"/>
      <c r="I201" s="2127"/>
      <c r="J201" s="2127"/>
      <c r="K201" s="2127"/>
      <c r="L201" s="2127"/>
      <c r="M201" s="2127"/>
      <c r="N201" s="2127"/>
      <c r="O201" s="2128"/>
      <c r="P201" s="661"/>
    </row>
    <row r="202" spans="1:16">
      <c r="A202" s="714"/>
      <c r="B202" s="662">
        <v>2016</v>
      </c>
      <c r="C202" s="663" t="s">
        <v>143</v>
      </c>
      <c r="D202" s="663" t="s">
        <v>26</v>
      </c>
      <c r="E202" s="663" t="s">
        <v>25</v>
      </c>
      <c r="F202" s="663" t="s">
        <v>24</v>
      </c>
      <c r="G202" s="663" t="s">
        <v>23</v>
      </c>
      <c r="H202" s="663" t="s">
        <v>22</v>
      </c>
      <c r="I202" s="663" t="s">
        <v>21</v>
      </c>
      <c r="J202" s="663" t="s">
        <v>20</v>
      </c>
      <c r="K202" s="663" t="s">
        <v>256</v>
      </c>
      <c r="L202" s="663" t="s">
        <v>18</v>
      </c>
      <c r="M202" s="663" t="s">
        <v>17</v>
      </c>
      <c r="N202" s="663" t="s">
        <v>86</v>
      </c>
      <c r="O202" s="664" t="s">
        <v>67</v>
      </c>
      <c r="P202" s="665"/>
    </row>
    <row r="203" spans="1:16">
      <c r="A203" s="714"/>
      <c r="B203" s="666" t="s">
        <v>4397</v>
      </c>
      <c r="C203" s="671"/>
      <c r="D203" s="671"/>
      <c r="E203" s="671"/>
      <c r="F203" s="671"/>
      <c r="G203" s="671"/>
      <c r="H203" s="671"/>
      <c r="I203" s="671"/>
      <c r="J203" s="671"/>
      <c r="K203" s="671"/>
      <c r="L203" s="671"/>
      <c r="M203" s="671"/>
      <c r="N203" s="671"/>
      <c r="O203" s="668"/>
      <c r="P203" s="672"/>
    </row>
    <row r="204" spans="1:16">
      <c r="A204" s="714"/>
      <c r="B204" s="674" t="s">
        <v>4399</v>
      </c>
      <c r="C204" s="675"/>
      <c r="D204" s="675"/>
      <c r="E204" s="675"/>
      <c r="F204" s="675"/>
      <c r="G204" s="675"/>
      <c r="H204" s="675"/>
      <c r="I204" s="675"/>
      <c r="J204" s="675"/>
      <c r="K204" s="675"/>
      <c r="L204" s="675"/>
      <c r="M204" s="675"/>
      <c r="N204" s="675"/>
      <c r="O204" s="668">
        <f>SUM(C204:N204)</f>
        <v>0</v>
      </c>
      <c r="P204" s="672"/>
    </row>
    <row r="205" spans="1:16">
      <c r="A205" s="714"/>
      <c r="B205" s="674" t="s">
        <v>6850</v>
      </c>
      <c r="C205" s="675">
        <v>331.37</v>
      </c>
      <c r="D205" s="675"/>
      <c r="E205" s="675"/>
      <c r="F205" s="675">
        <v>224.47</v>
      </c>
      <c r="G205" s="675">
        <v>150.15</v>
      </c>
      <c r="H205" s="675">
        <v>132.33000000000001</v>
      </c>
      <c r="I205" s="675">
        <v>123.63</v>
      </c>
      <c r="J205" s="675">
        <v>102.34</v>
      </c>
      <c r="K205" s="675"/>
      <c r="L205" s="675">
        <v>78.14</v>
      </c>
      <c r="M205" s="675">
        <v>138.86000000000001</v>
      </c>
      <c r="N205" s="675">
        <v>167.22</v>
      </c>
      <c r="O205" s="668">
        <f>SUM(C205:N205)</f>
        <v>1448.51</v>
      </c>
      <c r="P205" s="672"/>
    </row>
    <row r="206" spans="1:16">
      <c r="A206" s="714"/>
      <c r="B206" s="674" t="s">
        <v>5684</v>
      </c>
      <c r="C206" s="675"/>
      <c r="D206" s="675"/>
      <c r="E206" s="675"/>
      <c r="F206" s="675"/>
      <c r="G206" s="675"/>
      <c r="H206" s="675"/>
      <c r="I206" s="675"/>
      <c r="J206" s="675"/>
      <c r="K206" s="675"/>
      <c r="L206" s="675"/>
      <c r="M206" s="675"/>
      <c r="N206" s="675"/>
      <c r="O206" s="668">
        <f>SUM(C206:N206)</f>
        <v>0</v>
      </c>
      <c r="P206" s="672"/>
    </row>
    <row r="207" spans="1:16">
      <c r="A207" s="714"/>
      <c r="B207" s="674" t="s">
        <v>7052</v>
      </c>
      <c r="C207" s="675"/>
      <c r="D207" s="675"/>
      <c r="E207" s="675"/>
      <c r="F207" s="675"/>
      <c r="G207" s="675"/>
      <c r="H207" s="675"/>
      <c r="I207" s="675"/>
      <c r="J207" s="675"/>
      <c r="K207" s="675"/>
      <c r="L207" s="675"/>
      <c r="M207" s="675"/>
      <c r="N207" s="675"/>
      <c r="O207" s="668"/>
      <c r="P207" s="672"/>
    </row>
    <row r="208" spans="1:16">
      <c r="A208" s="714"/>
      <c r="B208" s="674" t="s">
        <v>7053</v>
      </c>
      <c r="C208" s="675"/>
      <c r="D208" s="675"/>
      <c r="E208" s="675"/>
      <c r="F208" s="675"/>
      <c r="G208" s="675"/>
      <c r="H208" s="675"/>
      <c r="I208" s="675"/>
      <c r="J208" s="675"/>
      <c r="K208" s="675"/>
      <c r="L208" s="675"/>
      <c r="M208" s="675"/>
      <c r="N208" s="675"/>
      <c r="O208" s="668"/>
      <c r="P208" s="672"/>
    </row>
    <row r="209" spans="1:16">
      <c r="A209" s="714"/>
      <c r="B209" s="674" t="s">
        <v>7054</v>
      </c>
      <c r="C209" s="675"/>
      <c r="D209" s="675"/>
      <c r="E209" s="675"/>
      <c r="F209" s="675"/>
      <c r="G209" s="675"/>
      <c r="H209" s="675"/>
      <c r="I209" s="675"/>
      <c r="J209" s="675"/>
      <c r="K209" s="675"/>
      <c r="L209" s="675"/>
      <c r="M209" s="675"/>
      <c r="N209" s="675"/>
      <c r="O209" s="668"/>
      <c r="P209" s="672"/>
    </row>
    <row r="210" spans="1:16">
      <c r="A210" s="714"/>
      <c r="B210" s="674" t="s">
        <v>7055</v>
      </c>
      <c r="C210" s="675"/>
      <c r="D210" s="675"/>
      <c r="E210" s="675"/>
      <c r="F210" s="675"/>
      <c r="G210" s="675"/>
      <c r="H210" s="675"/>
      <c r="I210" s="675"/>
      <c r="J210" s="675"/>
      <c r="K210" s="675"/>
      <c r="L210" s="675"/>
      <c r="M210" s="675"/>
      <c r="N210" s="675"/>
      <c r="O210" s="668"/>
      <c r="P210" s="672"/>
    </row>
    <row r="211" spans="1:16">
      <c r="A211" s="714"/>
      <c r="B211" s="674" t="s">
        <v>7056</v>
      </c>
      <c r="C211" s="675"/>
      <c r="D211" s="675"/>
      <c r="E211" s="675"/>
      <c r="F211" s="675"/>
      <c r="G211" s="675"/>
      <c r="H211" s="675"/>
      <c r="I211" s="675"/>
      <c r="J211" s="675"/>
      <c r="K211" s="675"/>
      <c r="L211" s="675"/>
      <c r="M211" s="675"/>
      <c r="N211" s="675"/>
      <c r="O211" s="668"/>
      <c r="P211" s="672"/>
    </row>
    <row r="212" spans="1:16">
      <c r="A212" s="714"/>
      <c r="B212" s="674" t="s">
        <v>5024</v>
      </c>
      <c r="C212" s="675"/>
      <c r="D212" s="675"/>
      <c r="E212" s="675"/>
      <c r="F212" s="675"/>
      <c r="G212" s="675"/>
      <c r="H212" s="675"/>
      <c r="I212" s="675"/>
      <c r="J212" s="675"/>
      <c r="K212" s="675"/>
      <c r="L212" s="675"/>
      <c r="M212" s="675"/>
      <c r="N212" s="675"/>
      <c r="O212" s="668"/>
      <c r="P212" s="672"/>
    </row>
    <row r="213" spans="1:16">
      <c r="A213" s="714"/>
      <c r="B213" s="674" t="s">
        <v>1125</v>
      </c>
      <c r="C213" s="675"/>
      <c r="D213" s="675"/>
      <c r="E213" s="675"/>
      <c r="F213" s="675"/>
      <c r="G213" s="675"/>
      <c r="H213" s="675"/>
      <c r="I213" s="675"/>
      <c r="J213" s="675"/>
      <c r="K213" s="675"/>
      <c r="L213" s="675"/>
      <c r="M213" s="675"/>
      <c r="N213" s="675"/>
      <c r="O213" s="668">
        <f>SUM(C213:N213)</f>
        <v>0</v>
      </c>
      <c r="P213" s="672"/>
    </row>
    <row r="214" spans="1:16">
      <c r="A214" s="714"/>
      <c r="B214" s="674" t="s">
        <v>7057</v>
      </c>
      <c r="C214" s="675"/>
      <c r="D214" s="675" t="s">
        <v>135</v>
      </c>
      <c r="E214" s="675"/>
      <c r="F214" s="675" t="s">
        <v>135</v>
      </c>
      <c r="G214" s="675"/>
      <c r="H214" s="675"/>
      <c r="I214" s="675"/>
      <c r="J214" s="675"/>
      <c r="K214" s="675"/>
      <c r="L214" s="675"/>
      <c r="M214" s="675"/>
      <c r="N214" s="675"/>
      <c r="O214" s="668">
        <f>SUM(C214:N214)</f>
        <v>0</v>
      </c>
      <c r="P214" s="672"/>
    </row>
    <row r="215" spans="1:16">
      <c r="A215" s="714"/>
      <c r="B215" s="689" t="s">
        <v>1126</v>
      </c>
      <c r="C215" s="690">
        <f t="shared" ref="C215:O215" si="43">SUM(C204:C214)</f>
        <v>331.37</v>
      </c>
      <c r="D215" s="690">
        <f t="shared" si="43"/>
        <v>0</v>
      </c>
      <c r="E215" s="690">
        <f t="shared" si="43"/>
        <v>0</v>
      </c>
      <c r="F215" s="690">
        <f t="shared" si="43"/>
        <v>224.47</v>
      </c>
      <c r="G215" s="690">
        <f t="shared" si="43"/>
        <v>150.15</v>
      </c>
      <c r="H215" s="690">
        <f t="shared" si="43"/>
        <v>132.33000000000001</v>
      </c>
      <c r="I215" s="690">
        <f t="shared" si="43"/>
        <v>123.63</v>
      </c>
      <c r="J215" s="690">
        <f t="shared" si="43"/>
        <v>102.34</v>
      </c>
      <c r="K215" s="690">
        <f t="shared" si="43"/>
        <v>0</v>
      </c>
      <c r="L215" s="690">
        <f t="shared" si="43"/>
        <v>78.14</v>
      </c>
      <c r="M215" s="690">
        <f t="shared" si="43"/>
        <v>138.86000000000001</v>
      </c>
      <c r="N215" s="690">
        <f t="shared" si="43"/>
        <v>167.22</v>
      </c>
      <c r="O215" s="995">
        <f t="shared" si="43"/>
        <v>1448.51</v>
      </c>
      <c r="P215" s="691"/>
    </row>
    <row r="216" spans="1:16">
      <c r="A216" s="715"/>
      <c r="B216" s="692" t="s">
        <v>791</v>
      </c>
      <c r="C216" s="693" t="e">
        <f t="shared" ref="C216:O216" si="44">""-C215</f>
        <v>#VALUE!</v>
      </c>
      <c r="D216" s="693" t="e">
        <f t="shared" si="44"/>
        <v>#VALUE!</v>
      </c>
      <c r="E216" s="693" t="e">
        <f t="shared" si="44"/>
        <v>#VALUE!</v>
      </c>
      <c r="F216" s="693" t="e">
        <f t="shared" si="44"/>
        <v>#VALUE!</v>
      </c>
      <c r="G216" s="693" t="e">
        <f t="shared" si="44"/>
        <v>#VALUE!</v>
      </c>
      <c r="H216" s="693" t="e">
        <f t="shared" si="44"/>
        <v>#VALUE!</v>
      </c>
      <c r="I216" s="693" t="e">
        <f t="shared" si="44"/>
        <v>#VALUE!</v>
      </c>
      <c r="J216" s="693" t="e">
        <f t="shared" si="44"/>
        <v>#VALUE!</v>
      </c>
      <c r="K216" s="693" t="e">
        <f t="shared" si="44"/>
        <v>#VALUE!</v>
      </c>
      <c r="L216" s="693" t="e">
        <f t="shared" si="44"/>
        <v>#VALUE!</v>
      </c>
      <c r="M216" s="693" t="e">
        <f t="shared" si="44"/>
        <v>#VALUE!</v>
      </c>
      <c r="N216" s="693" t="e">
        <f t="shared" si="44"/>
        <v>#VALUE!</v>
      </c>
      <c r="O216" s="693" t="e">
        <f t="shared" si="44"/>
        <v>#VALUE!</v>
      </c>
      <c r="P216" s="694"/>
    </row>
    <row r="217" spans="1:16">
      <c r="B217" s="2130" t="s">
        <v>5766</v>
      </c>
      <c r="C217" s="2087"/>
      <c r="D217" s="2087"/>
      <c r="E217" s="2087"/>
      <c r="F217" s="2087"/>
      <c r="G217" s="2087"/>
      <c r="H217" s="2087"/>
      <c r="I217" s="2087"/>
      <c r="J217" s="2087"/>
      <c r="K217" s="2087"/>
      <c r="L217" s="2087"/>
      <c r="M217" s="2087"/>
      <c r="N217" s="2087"/>
      <c r="P217" s="712"/>
    </row>
    <row r="218" spans="1:16">
      <c r="B218" s="2088" t="s">
        <v>6868</v>
      </c>
      <c r="C218" s="2087"/>
      <c r="D218" s="2087"/>
      <c r="E218" s="2087"/>
      <c r="F218" s="2087"/>
    </row>
  </sheetData>
  <mergeCells count="20">
    <mergeCell ref="B201:O201"/>
    <mergeCell ref="B217:N217"/>
    <mergeCell ref="B218:F218"/>
    <mergeCell ref="B104:O104"/>
    <mergeCell ref="B107:O107"/>
    <mergeCell ref="B130:O130"/>
    <mergeCell ref="B131:O131"/>
    <mergeCell ref="B133:O133"/>
    <mergeCell ref="B154:O154"/>
    <mergeCell ref="B156:O156"/>
    <mergeCell ref="B76:O76"/>
    <mergeCell ref="B81:O81"/>
    <mergeCell ref="B177:O177"/>
    <mergeCell ref="B179:O179"/>
    <mergeCell ref="M196:N196"/>
    <mergeCell ref="B2:O2"/>
    <mergeCell ref="C23:F23"/>
    <mergeCell ref="B25:O25"/>
    <mergeCell ref="B49:O49"/>
    <mergeCell ref="B51:O51"/>
  </mergeCell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outlinePr summaryBelow="0" summaryRight="0"/>
  </sheetPr>
  <dimension ref="A1:AA26"/>
  <sheetViews>
    <sheetView workbookViewId="0"/>
  </sheetViews>
  <sheetFormatPr defaultColWidth="12.7109375" defaultRowHeight="12.75" customHeight="1"/>
  <cols>
    <col min="1" max="1" width="13.85546875" customWidth="1"/>
    <col min="2" max="2" width="18.28515625" customWidth="1"/>
    <col min="3" max="3" width="15" customWidth="1"/>
    <col min="4" max="4" width="25.28515625" customWidth="1"/>
    <col min="5" max="5" width="17" customWidth="1"/>
    <col min="6" max="6" width="7.7109375" customWidth="1"/>
    <col min="7" max="7" width="14.85546875" customWidth="1"/>
    <col min="8" max="8" width="10" customWidth="1"/>
    <col min="9" max="9" width="6" customWidth="1"/>
    <col min="10" max="10" width="13.85546875" customWidth="1"/>
    <col min="11" max="11" width="30.7109375" customWidth="1"/>
  </cols>
  <sheetData>
    <row r="1" spans="1:27">
      <c r="A1" s="3" t="s">
        <v>7419</v>
      </c>
      <c r="B1" s="447" t="s">
        <v>7420</v>
      </c>
      <c r="C1" s="3" t="s">
        <v>7421</v>
      </c>
      <c r="D1" s="3" t="s">
        <v>7422</v>
      </c>
      <c r="E1" s="3" t="s">
        <v>7423</v>
      </c>
      <c r="F1" s="6" t="s">
        <v>7424</v>
      </c>
      <c r="G1" s="3" t="s">
        <v>7425</v>
      </c>
      <c r="H1" s="9" t="s">
        <v>7426</v>
      </c>
    </row>
    <row r="2" spans="1:27">
      <c r="A2" s="9" t="s">
        <v>7427</v>
      </c>
      <c r="B2" s="809" t="s">
        <v>7428</v>
      </c>
      <c r="C2" s="3" t="s">
        <v>7429</v>
      </c>
      <c r="D2" s="460" t="s">
        <v>7430</v>
      </c>
      <c r="E2" s="9" t="s">
        <v>7431</v>
      </c>
      <c r="F2" s="6">
        <v>17</v>
      </c>
      <c r="G2" s="9" t="s">
        <v>7432</v>
      </c>
      <c r="H2" s="9">
        <v>20</v>
      </c>
      <c r="J2" s="9" t="s">
        <v>7433</v>
      </c>
    </row>
    <row r="3" spans="1:27">
      <c r="A3" s="9" t="s">
        <v>7434</v>
      </c>
      <c r="B3" s="809" t="s">
        <v>7435</v>
      </c>
      <c r="C3" s="3" t="s">
        <v>7436</v>
      </c>
      <c r="D3" s="460" t="s">
        <v>7430</v>
      </c>
      <c r="E3" s="9"/>
      <c r="F3" s="6">
        <v>9</v>
      </c>
      <c r="G3" s="9" t="s">
        <v>7437</v>
      </c>
      <c r="H3" s="9">
        <v>12</v>
      </c>
      <c r="K3" s="590" t="s">
        <v>7438</v>
      </c>
    </row>
    <row r="4" spans="1:27">
      <c r="A4" s="9" t="s">
        <v>1116</v>
      </c>
      <c r="B4" s="809" t="s">
        <v>7439</v>
      </c>
      <c r="C4" s="9" t="s">
        <v>7436</v>
      </c>
      <c r="D4" s="9" t="s">
        <v>7440</v>
      </c>
      <c r="E4" s="9" t="s">
        <v>7441</v>
      </c>
      <c r="F4" s="6">
        <v>17</v>
      </c>
      <c r="G4" s="9" t="s">
        <v>1116</v>
      </c>
    </row>
    <row r="5" spans="1:27">
      <c r="A5" s="9" t="s">
        <v>4128</v>
      </c>
      <c r="B5" s="40" t="s">
        <v>7442</v>
      </c>
      <c r="C5" s="3" t="s">
        <v>7443</v>
      </c>
      <c r="D5" s="9" t="s">
        <v>7440</v>
      </c>
      <c r="E5" s="9" t="s">
        <v>7444</v>
      </c>
      <c r="F5" s="6">
        <v>25</v>
      </c>
      <c r="G5" s="9" t="s">
        <v>7445</v>
      </c>
    </row>
    <row r="7" spans="1:27">
      <c r="A7" s="18"/>
      <c r="C7" s="18"/>
      <c r="D7" s="18"/>
      <c r="E7" s="18"/>
      <c r="F7" s="1360"/>
      <c r="G7" s="18"/>
      <c r="H7" s="18"/>
      <c r="I7" s="18"/>
      <c r="J7" s="18"/>
      <c r="K7" s="18"/>
      <c r="L7" s="18"/>
      <c r="M7" s="18"/>
      <c r="N7" s="18"/>
      <c r="O7" s="18"/>
      <c r="P7" s="18"/>
      <c r="Q7" s="18"/>
      <c r="R7" s="18"/>
      <c r="S7" s="18"/>
      <c r="T7" s="18"/>
      <c r="U7" s="18"/>
      <c r="V7" s="18"/>
      <c r="W7" s="18"/>
      <c r="X7" s="18"/>
      <c r="Y7" s="18"/>
      <c r="Z7" s="18"/>
      <c r="AA7" s="18"/>
    </row>
    <row r="11" spans="1:27">
      <c r="B11" s="9">
        <v>5021</v>
      </c>
      <c r="C11" s="9" t="s">
        <v>1902</v>
      </c>
      <c r="G11" s="9" t="s">
        <v>7432</v>
      </c>
    </row>
    <row r="12" spans="1:27">
      <c r="B12" s="40"/>
    </row>
    <row r="14" spans="1:27">
      <c r="A14" s="9" t="s">
        <v>7434</v>
      </c>
      <c r="B14" s="9" t="s">
        <v>7446</v>
      </c>
      <c r="D14" s="9" t="s">
        <v>7447</v>
      </c>
    </row>
    <row r="16" spans="1:27">
      <c r="A16" s="9" t="s">
        <v>7427</v>
      </c>
      <c r="B16" s="9" t="s">
        <v>7438</v>
      </c>
      <c r="C16" s="9" t="s">
        <v>7448</v>
      </c>
      <c r="D16" s="9" t="s">
        <v>7447</v>
      </c>
    </row>
    <row r="21" spans="1:27">
      <c r="B21" s="9">
        <v>1497</v>
      </c>
    </row>
    <row r="23" spans="1:27">
      <c r="A23" s="18" t="s">
        <v>7449</v>
      </c>
      <c r="B23" s="1361" t="s">
        <v>7450</v>
      </c>
      <c r="C23" s="18" t="s">
        <v>7327</v>
      </c>
      <c r="D23" s="18" t="s">
        <v>7451</v>
      </c>
      <c r="E23" s="18"/>
      <c r="F23" s="1360">
        <v>1</v>
      </c>
      <c r="G23" s="18"/>
      <c r="H23" s="18">
        <v>4</v>
      </c>
      <c r="I23" s="18"/>
      <c r="J23" s="18" t="s">
        <v>7452</v>
      </c>
      <c r="K23" s="18" t="s">
        <v>7453</v>
      </c>
      <c r="L23" s="18"/>
      <c r="M23" s="18"/>
      <c r="N23" s="18"/>
      <c r="O23" s="18"/>
      <c r="P23" s="18"/>
      <c r="Q23" s="18"/>
      <c r="R23" s="18"/>
      <c r="S23" s="18"/>
      <c r="T23" s="18"/>
      <c r="U23" s="18"/>
      <c r="V23" s="18"/>
      <c r="W23" s="18"/>
      <c r="X23" s="18"/>
      <c r="Y23" s="18"/>
      <c r="Z23" s="18"/>
      <c r="AA23" s="18"/>
    </row>
    <row r="24" spans="1:27">
      <c r="A24" s="18" t="s">
        <v>7434</v>
      </c>
      <c r="B24" s="1361" t="s">
        <v>7454</v>
      </c>
      <c r="C24" s="289" t="s">
        <v>5755</v>
      </c>
      <c r="D24" s="465" t="s">
        <v>7455</v>
      </c>
      <c r="E24" s="18"/>
      <c r="F24" s="1360">
        <v>18</v>
      </c>
      <c r="G24" s="18" t="s">
        <v>7432</v>
      </c>
      <c r="H24" s="18">
        <v>21</v>
      </c>
      <c r="I24" s="18"/>
      <c r="J24" s="18" t="s">
        <v>7452</v>
      </c>
      <c r="K24" s="18"/>
      <c r="L24" s="18"/>
      <c r="M24" s="18"/>
      <c r="N24" s="18"/>
      <c r="O24" s="18"/>
      <c r="P24" s="18"/>
      <c r="Q24" s="18"/>
      <c r="R24" s="18"/>
      <c r="S24" s="18"/>
      <c r="T24" s="18"/>
      <c r="U24" s="18"/>
      <c r="V24" s="18"/>
      <c r="W24" s="18"/>
      <c r="X24" s="18"/>
      <c r="Y24" s="18"/>
      <c r="Z24" s="18"/>
      <c r="AA24" s="18"/>
    </row>
    <row r="25" spans="1:27">
      <c r="A25" s="18" t="s">
        <v>7456</v>
      </c>
      <c r="B25" s="1362" t="s">
        <v>7457</v>
      </c>
      <c r="C25" s="18" t="s">
        <v>7327</v>
      </c>
      <c r="D25" s="18" t="s">
        <v>7458</v>
      </c>
      <c r="E25" s="18"/>
      <c r="F25" s="1360">
        <v>8</v>
      </c>
      <c r="G25" s="18" t="s">
        <v>7459</v>
      </c>
      <c r="H25" s="18"/>
      <c r="I25" s="18"/>
      <c r="J25" s="18" t="s">
        <v>7452</v>
      </c>
      <c r="K25" s="18"/>
      <c r="L25" s="18"/>
      <c r="M25" s="18"/>
      <c r="N25" s="18"/>
      <c r="O25" s="18"/>
      <c r="P25" s="18"/>
      <c r="Q25" s="18"/>
      <c r="R25" s="18"/>
      <c r="S25" s="18"/>
      <c r="T25" s="18"/>
      <c r="U25" s="18"/>
      <c r="V25" s="18"/>
      <c r="W25" s="18"/>
      <c r="X25" s="18"/>
      <c r="Y25" s="18"/>
      <c r="Z25" s="18"/>
      <c r="AA25" s="18"/>
    </row>
    <row r="26" spans="1:27">
      <c r="A26" s="18" t="s">
        <v>7460</v>
      </c>
      <c r="B26" s="1361" t="s">
        <v>7461</v>
      </c>
      <c r="C26" s="18" t="s">
        <v>7462</v>
      </c>
      <c r="D26" s="18" t="s">
        <v>7440</v>
      </c>
      <c r="E26" s="18"/>
      <c r="F26" s="1360">
        <v>12</v>
      </c>
      <c r="G26" s="18" t="s">
        <v>7437</v>
      </c>
      <c r="H26" s="18"/>
      <c r="I26" s="18"/>
      <c r="J26" s="18" t="s">
        <v>7452</v>
      </c>
      <c r="K26" s="18"/>
      <c r="L26" s="18"/>
      <c r="M26" s="18"/>
      <c r="N26" s="18"/>
      <c r="O26" s="18"/>
      <c r="P26" s="18"/>
      <c r="Q26" s="18"/>
      <c r="R26" s="18"/>
      <c r="S26" s="18"/>
      <c r="T26" s="18"/>
      <c r="U26" s="18"/>
      <c r="V26" s="18"/>
      <c r="W26" s="18"/>
      <c r="X26" s="18"/>
      <c r="Y26" s="18"/>
      <c r="Z26" s="18"/>
      <c r="AA26" s="18"/>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outlinePr summaryBelow="0" summaryRight="0"/>
    <pageSetUpPr fitToPage="1"/>
  </sheetPr>
  <dimension ref="A1:Y1000"/>
  <sheetViews>
    <sheetView workbookViewId="0"/>
  </sheetViews>
  <sheetFormatPr defaultColWidth="12.7109375" defaultRowHeight="12.75" customHeight="1"/>
  <cols>
    <col min="1" max="1" width="9.140625" customWidth="1"/>
    <col min="2" max="2" width="8.28515625" customWidth="1"/>
    <col min="3" max="3" width="9.28515625" customWidth="1"/>
    <col min="4" max="4" width="1.7109375" customWidth="1"/>
    <col min="5" max="5" width="9.140625" customWidth="1"/>
    <col min="6" max="6" width="8.28515625" customWidth="1"/>
    <col min="7" max="7" width="9.28515625" customWidth="1"/>
    <col min="8" max="8" width="1.7109375" customWidth="1"/>
    <col min="9" max="9" width="9.140625" customWidth="1"/>
    <col min="10" max="10" width="8.28515625" customWidth="1"/>
    <col min="11" max="11" width="9.28515625" customWidth="1"/>
  </cols>
  <sheetData>
    <row r="1" spans="1:25">
      <c r="A1" s="1363" t="s">
        <v>7463</v>
      </c>
      <c r="B1" s="1364" t="s">
        <v>7464</v>
      </c>
      <c r="C1" s="1364" t="s">
        <v>7465</v>
      </c>
      <c r="D1" s="1365"/>
      <c r="E1" s="1364" t="s">
        <v>7463</v>
      </c>
      <c r="F1" s="1364" t="s">
        <v>7464</v>
      </c>
      <c r="G1" s="1364" t="s">
        <v>7465</v>
      </c>
      <c r="H1" s="1365"/>
      <c r="I1" s="1364" t="s">
        <v>7463</v>
      </c>
      <c r="J1" s="1364" t="s">
        <v>7464</v>
      </c>
      <c r="K1" s="1366" t="s">
        <v>7465</v>
      </c>
      <c r="L1" s="93"/>
      <c r="M1" s="93"/>
      <c r="N1" s="93"/>
      <c r="O1" s="93"/>
      <c r="P1" s="93"/>
      <c r="Q1" s="93"/>
      <c r="R1" s="93"/>
      <c r="S1" s="93"/>
      <c r="T1" s="93"/>
      <c r="U1" s="93"/>
      <c r="V1" s="93"/>
      <c r="W1" s="93"/>
      <c r="X1" s="93"/>
      <c r="Y1" s="93"/>
    </row>
    <row r="2" spans="1:25">
      <c r="A2" s="1367" t="s">
        <v>7466</v>
      </c>
      <c r="B2" s="1368" t="s">
        <v>7467</v>
      </c>
      <c r="C2" s="1368" t="s">
        <v>7468</v>
      </c>
      <c r="D2" s="72"/>
      <c r="E2" s="1369" t="s">
        <v>7469</v>
      </c>
      <c r="F2" s="1369" t="s">
        <v>7470</v>
      </c>
      <c r="G2" s="1370"/>
      <c r="H2" s="72"/>
      <c r="I2" s="1369" t="s">
        <v>7471</v>
      </c>
      <c r="J2" s="1369" t="s">
        <v>7472</v>
      </c>
      <c r="K2" s="1371"/>
      <c r="L2" s="93"/>
      <c r="M2" s="93"/>
      <c r="N2" s="93"/>
      <c r="O2" s="93"/>
      <c r="P2" s="93"/>
      <c r="Q2" s="93"/>
      <c r="R2" s="93"/>
      <c r="S2" s="93"/>
      <c r="T2" s="93"/>
      <c r="U2" s="93"/>
      <c r="V2" s="93"/>
      <c r="W2" s="93"/>
      <c r="X2" s="93"/>
      <c r="Y2" s="93"/>
    </row>
    <row r="3" spans="1:25">
      <c r="A3" s="1367" t="s">
        <v>7473</v>
      </c>
      <c r="B3" s="1368" t="s">
        <v>7474</v>
      </c>
      <c r="C3" s="1368" t="s">
        <v>7475</v>
      </c>
      <c r="D3" s="72"/>
      <c r="E3" s="1368" t="s">
        <v>7476</v>
      </c>
      <c r="F3" s="1368" t="s">
        <v>7477</v>
      </c>
      <c r="G3" s="1368" t="s">
        <v>7478</v>
      </c>
      <c r="H3" s="72"/>
      <c r="I3" s="1368" t="s">
        <v>7479</v>
      </c>
      <c r="J3" s="1368" t="s">
        <v>7480</v>
      </c>
      <c r="K3" s="1372" t="s">
        <v>7481</v>
      </c>
      <c r="L3" s="93"/>
      <c r="M3" s="93"/>
      <c r="N3" s="93"/>
      <c r="O3" s="93"/>
      <c r="P3" s="93"/>
      <c r="Q3" s="93"/>
      <c r="R3" s="93"/>
      <c r="S3" s="93"/>
      <c r="T3" s="93"/>
      <c r="U3" s="93"/>
      <c r="V3" s="93"/>
      <c r="W3" s="93"/>
      <c r="X3" s="93"/>
      <c r="Y3" s="93"/>
    </row>
    <row r="4" spans="1:25">
      <c r="A4" s="1373" t="s">
        <v>7482</v>
      </c>
      <c r="B4" s="1374" t="s">
        <v>7483</v>
      </c>
      <c r="C4" s="1374" t="s">
        <v>7484</v>
      </c>
      <c r="D4" s="72"/>
      <c r="E4" s="1368" t="s">
        <v>7485</v>
      </c>
      <c r="F4" s="1368" t="s">
        <v>7486</v>
      </c>
      <c r="G4" s="1368" t="s">
        <v>7487</v>
      </c>
      <c r="H4" s="72"/>
      <c r="I4" s="1368" t="s">
        <v>7488</v>
      </c>
      <c r="J4" s="1368" t="s">
        <v>7489</v>
      </c>
      <c r="K4" s="1372" t="s">
        <v>7490</v>
      </c>
      <c r="L4" s="93"/>
      <c r="M4" s="93"/>
      <c r="N4" s="93"/>
      <c r="O4" s="93"/>
      <c r="P4" s="93"/>
      <c r="Q4" s="93"/>
      <c r="R4" s="93"/>
      <c r="S4" s="93"/>
      <c r="T4" s="93"/>
      <c r="U4" s="93"/>
      <c r="V4" s="93"/>
      <c r="W4" s="93"/>
      <c r="X4" s="93"/>
      <c r="Y4" s="93"/>
    </row>
    <row r="5" spans="1:25">
      <c r="A5" s="1367" t="s">
        <v>7491</v>
      </c>
      <c r="B5" s="1368" t="s">
        <v>7492</v>
      </c>
      <c r="C5" s="1368" t="s">
        <v>7493</v>
      </c>
      <c r="D5" s="72"/>
      <c r="E5" s="1368" t="s">
        <v>7494</v>
      </c>
      <c r="F5" s="1368" t="s">
        <v>7495</v>
      </c>
      <c r="G5" s="1368" t="s">
        <v>7496</v>
      </c>
      <c r="H5" s="72"/>
      <c r="I5" s="1368" t="s">
        <v>7497</v>
      </c>
      <c r="J5" s="1368" t="s">
        <v>7498</v>
      </c>
      <c r="K5" s="1372" t="s">
        <v>7499</v>
      </c>
      <c r="L5" s="93"/>
      <c r="M5" s="93"/>
      <c r="N5" s="93"/>
      <c r="O5" s="93"/>
      <c r="P5" s="93"/>
      <c r="Q5" s="93"/>
      <c r="R5" s="93"/>
      <c r="S5" s="93"/>
      <c r="T5" s="93"/>
      <c r="U5" s="93"/>
      <c r="V5" s="93"/>
      <c r="W5" s="93"/>
      <c r="X5" s="93"/>
      <c r="Y5" s="93"/>
    </row>
    <row r="6" spans="1:25">
      <c r="A6" s="1367" t="s">
        <v>7500</v>
      </c>
      <c r="B6" s="1368" t="s">
        <v>7501</v>
      </c>
      <c r="C6" s="1368" t="s">
        <v>7502</v>
      </c>
      <c r="D6" s="72"/>
      <c r="E6" s="1368" t="s">
        <v>7503</v>
      </c>
      <c r="F6" s="1368" t="s">
        <v>7504</v>
      </c>
      <c r="G6" s="1368" t="s">
        <v>7505</v>
      </c>
      <c r="H6" s="72"/>
      <c r="I6" s="1368" t="s">
        <v>7506</v>
      </c>
      <c r="J6" s="1368" t="s">
        <v>7507</v>
      </c>
      <c r="K6" s="1372" t="s">
        <v>7508</v>
      </c>
      <c r="L6" s="93"/>
      <c r="M6" s="93"/>
      <c r="N6" s="93"/>
      <c r="O6" s="93"/>
      <c r="P6" s="93"/>
      <c r="Q6" s="93"/>
      <c r="R6" s="93"/>
      <c r="S6" s="93"/>
      <c r="T6" s="93"/>
      <c r="U6" s="93"/>
      <c r="V6" s="93"/>
      <c r="W6" s="93"/>
      <c r="X6" s="93"/>
      <c r="Y6" s="93"/>
    </row>
    <row r="7" spans="1:25">
      <c r="A7" s="1375" t="s">
        <v>7509</v>
      </c>
      <c r="B7" s="1369" t="s">
        <v>7510</v>
      </c>
      <c r="C7" s="1370"/>
      <c r="D7" s="72"/>
      <c r="E7" s="1369" t="s">
        <v>7511</v>
      </c>
      <c r="F7" s="1369" t="s">
        <v>7512</v>
      </c>
      <c r="G7" s="1370"/>
      <c r="H7" s="72"/>
      <c r="I7" s="1368" t="s">
        <v>7513</v>
      </c>
      <c r="J7" s="1368" t="s">
        <v>7514</v>
      </c>
      <c r="K7" s="1372" t="s">
        <v>7515</v>
      </c>
      <c r="L7" s="93"/>
      <c r="M7" s="93"/>
      <c r="N7" s="93"/>
      <c r="O7" s="93"/>
      <c r="P7" s="93"/>
      <c r="Q7" s="93"/>
      <c r="R7" s="93"/>
      <c r="S7" s="93"/>
      <c r="T7" s="93"/>
      <c r="U7" s="93"/>
      <c r="V7" s="93"/>
      <c r="W7" s="93"/>
      <c r="X7" s="93"/>
      <c r="Y7" s="93"/>
    </row>
    <row r="8" spans="1:25">
      <c r="A8" s="1367" t="s">
        <v>7516</v>
      </c>
      <c r="B8" s="1368" t="s">
        <v>7517</v>
      </c>
      <c r="C8" s="1368" t="s">
        <v>7518</v>
      </c>
      <c r="D8" s="72"/>
      <c r="E8" s="1368" t="s">
        <v>7519</v>
      </c>
      <c r="F8" s="1368" t="s">
        <v>7520</v>
      </c>
      <c r="G8" s="1368" t="s">
        <v>7521</v>
      </c>
      <c r="H8" s="72"/>
      <c r="I8" s="1374" t="s">
        <v>7522</v>
      </c>
      <c r="J8" s="1374" t="s">
        <v>7523</v>
      </c>
      <c r="K8" s="1376" t="s">
        <v>7524</v>
      </c>
      <c r="L8" s="93"/>
      <c r="M8" s="93"/>
      <c r="N8" s="93"/>
      <c r="O8" s="93"/>
      <c r="P8" s="93"/>
      <c r="Q8" s="93"/>
      <c r="R8" s="93"/>
      <c r="S8" s="93"/>
      <c r="T8" s="93"/>
      <c r="U8" s="93"/>
      <c r="V8" s="93"/>
      <c r="W8" s="93"/>
      <c r="X8" s="93"/>
      <c r="Y8" s="93"/>
    </row>
    <row r="9" spans="1:25">
      <c r="A9" s="1367" t="s">
        <v>7525</v>
      </c>
      <c r="B9" s="1368" t="s">
        <v>7526</v>
      </c>
      <c r="C9" s="1368" t="s">
        <v>7527</v>
      </c>
      <c r="D9" s="72"/>
      <c r="E9" s="1374" t="s">
        <v>7528</v>
      </c>
      <c r="F9" s="1374" t="s">
        <v>7529</v>
      </c>
      <c r="G9" s="1374" t="s">
        <v>7530</v>
      </c>
      <c r="H9" s="72"/>
      <c r="I9" s="1368" t="s">
        <v>7531</v>
      </c>
      <c r="J9" s="1368" t="s">
        <v>7532</v>
      </c>
      <c r="K9" s="1372" t="s">
        <v>7533</v>
      </c>
      <c r="L9" s="93"/>
      <c r="M9" s="93"/>
      <c r="N9" s="93"/>
      <c r="O9" s="93"/>
      <c r="P9" s="93"/>
      <c r="Q9" s="93"/>
      <c r="R9" s="93"/>
      <c r="S9" s="93"/>
      <c r="T9" s="93"/>
      <c r="U9" s="93"/>
      <c r="V9" s="93"/>
      <c r="W9" s="93"/>
      <c r="X9" s="93"/>
      <c r="Y9" s="93"/>
    </row>
    <row r="10" spans="1:25">
      <c r="A10" s="1367" t="s">
        <v>7534</v>
      </c>
      <c r="B10" s="1368" t="s">
        <v>7535</v>
      </c>
      <c r="C10" s="1368" t="s">
        <v>7536</v>
      </c>
      <c r="D10" s="72"/>
      <c r="E10" s="1369" t="s">
        <v>7537</v>
      </c>
      <c r="F10" s="1369" t="s">
        <v>7538</v>
      </c>
      <c r="G10" s="1370"/>
      <c r="H10" s="72"/>
      <c r="I10" s="1368" t="s">
        <v>7539</v>
      </c>
      <c r="J10" s="1368" t="s">
        <v>7540</v>
      </c>
      <c r="K10" s="1372" t="s">
        <v>7541</v>
      </c>
      <c r="L10" s="93"/>
      <c r="M10" s="93"/>
      <c r="N10" s="93"/>
      <c r="O10" s="93"/>
      <c r="P10" s="93"/>
      <c r="Q10" s="93"/>
      <c r="R10" s="93"/>
      <c r="S10" s="93"/>
      <c r="T10" s="93"/>
      <c r="U10" s="93"/>
      <c r="V10" s="93"/>
      <c r="W10" s="93"/>
      <c r="X10" s="93"/>
      <c r="Y10" s="93"/>
    </row>
    <row r="11" spans="1:25">
      <c r="A11" s="1367" t="s">
        <v>7542</v>
      </c>
      <c r="B11" s="1368" t="s">
        <v>7543</v>
      </c>
      <c r="C11" s="1368" t="s">
        <v>7544</v>
      </c>
      <c r="D11" s="72"/>
      <c r="E11" s="1369" t="s">
        <v>7545</v>
      </c>
      <c r="F11" s="1369" t="s">
        <v>7546</v>
      </c>
      <c r="G11" s="1370"/>
      <c r="H11" s="72"/>
      <c r="I11" s="1369" t="s">
        <v>7547</v>
      </c>
      <c r="J11" s="1369" t="s">
        <v>7548</v>
      </c>
      <c r="K11" s="1371"/>
      <c r="L11" s="93"/>
      <c r="M11" s="93"/>
      <c r="N11" s="93"/>
      <c r="O11" s="93"/>
      <c r="P11" s="93"/>
      <c r="Q11" s="93"/>
      <c r="R11" s="93"/>
      <c r="S11" s="93"/>
      <c r="T11" s="93"/>
      <c r="U11" s="93"/>
      <c r="V11" s="93"/>
      <c r="W11" s="93"/>
      <c r="X11" s="93"/>
      <c r="Y11" s="93"/>
    </row>
    <row r="12" spans="1:25">
      <c r="A12" s="1367" t="s">
        <v>7549</v>
      </c>
      <c r="B12" s="1368" t="s">
        <v>7550</v>
      </c>
      <c r="C12" s="1368" t="s">
        <v>7551</v>
      </c>
      <c r="D12" s="72"/>
      <c r="E12" s="1368" t="s">
        <v>7552</v>
      </c>
      <c r="F12" s="1368" t="s">
        <v>7553</v>
      </c>
      <c r="G12" s="1368" t="s">
        <v>7554</v>
      </c>
      <c r="H12" s="72"/>
      <c r="I12" s="1368" t="s">
        <v>7555</v>
      </c>
      <c r="J12" s="1368" t="s">
        <v>7556</v>
      </c>
      <c r="K12" s="1372" t="s">
        <v>7557</v>
      </c>
      <c r="L12" s="93"/>
      <c r="M12" s="93"/>
      <c r="N12" s="93"/>
      <c r="O12" s="93"/>
      <c r="P12" s="93"/>
      <c r="Q12" s="93"/>
      <c r="R12" s="93"/>
      <c r="S12" s="93"/>
      <c r="T12" s="93"/>
      <c r="U12" s="93"/>
      <c r="V12" s="93"/>
      <c r="W12" s="93"/>
      <c r="X12" s="93"/>
      <c r="Y12" s="93"/>
    </row>
    <row r="13" spans="1:25">
      <c r="A13" s="1367" t="s">
        <v>7558</v>
      </c>
      <c r="B13" s="1368" t="s">
        <v>7559</v>
      </c>
      <c r="C13" s="1368" t="s">
        <v>7560</v>
      </c>
      <c r="D13" s="72"/>
      <c r="E13" s="1368" t="s">
        <v>7561</v>
      </c>
      <c r="F13" s="1368" t="s">
        <v>7562</v>
      </c>
      <c r="G13" s="1368" t="s">
        <v>7563</v>
      </c>
      <c r="H13" s="72"/>
      <c r="I13" s="1368" t="s">
        <v>7564</v>
      </c>
      <c r="J13" s="1368" t="s">
        <v>7565</v>
      </c>
      <c r="K13" s="1372" t="s">
        <v>7566</v>
      </c>
      <c r="L13" s="93"/>
      <c r="M13" s="93"/>
      <c r="N13" s="93"/>
      <c r="O13" s="93"/>
      <c r="P13" s="93"/>
      <c r="Q13" s="93"/>
      <c r="R13" s="93"/>
      <c r="S13" s="93"/>
      <c r="T13" s="93"/>
      <c r="U13" s="93"/>
      <c r="V13" s="93"/>
      <c r="W13" s="93"/>
      <c r="X13" s="93"/>
      <c r="Y13" s="93"/>
    </row>
    <row r="14" spans="1:25">
      <c r="A14" s="1367" t="s">
        <v>7567</v>
      </c>
      <c r="B14" s="1368" t="s">
        <v>7568</v>
      </c>
      <c r="C14" s="1368" t="s">
        <v>7569</v>
      </c>
      <c r="D14" s="72"/>
      <c r="E14" s="1369" t="s">
        <v>7570</v>
      </c>
      <c r="F14" s="1369" t="s">
        <v>7571</v>
      </c>
      <c r="G14" s="1370"/>
      <c r="H14" s="72"/>
      <c r="I14" s="1368" t="s">
        <v>7572</v>
      </c>
      <c r="J14" s="1368" t="s">
        <v>7573</v>
      </c>
      <c r="K14" s="1372" t="s">
        <v>7574</v>
      </c>
      <c r="L14" s="93"/>
      <c r="M14" s="93"/>
      <c r="N14" s="93"/>
      <c r="O14" s="93"/>
      <c r="P14" s="93"/>
      <c r="Q14" s="93"/>
      <c r="R14" s="93"/>
      <c r="S14" s="93"/>
      <c r="T14" s="93"/>
      <c r="U14" s="93"/>
      <c r="V14" s="93"/>
      <c r="W14" s="93"/>
      <c r="X14" s="93"/>
      <c r="Y14" s="93"/>
    </row>
    <row r="15" spans="1:25">
      <c r="A15" s="1367" t="s">
        <v>7575</v>
      </c>
      <c r="B15" s="1368" t="s">
        <v>7576</v>
      </c>
      <c r="C15" s="1368" t="s">
        <v>7577</v>
      </c>
      <c r="D15" s="72"/>
      <c r="E15" s="1369" t="s">
        <v>7578</v>
      </c>
      <c r="F15" s="1369" t="s">
        <v>7579</v>
      </c>
      <c r="G15" s="1370"/>
      <c r="H15" s="72"/>
      <c r="I15" s="1368" t="s">
        <v>7580</v>
      </c>
      <c r="J15" s="1368" t="s">
        <v>7581</v>
      </c>
      <c r="K15" s="1372" t="s">
        <v>7582</v>
      </c>
      <c r="L15" s="93"/>
      <c r="M15" s="93"/>
      <c r="N15" s="93"/>
      <c r="O15" s="93"/>
      <c r="P15" s="93"/>
      <c r="Q15" s="93"/>
      <c r="R15" s="93"/>
      <c r="S15" s="93"/>
      <c r="T15" s="93"/>
      <c r="U15" s="93"/>
      <c r="V15" s="93"/>
      <c r="W15" s="93"/>
      <c r="X15" s="93"/>
      <c r="Y15" s="93"/>
    </row>
    <row r="16" spans="1:25">
      <c r="A16" s="1375" t="s">
        <v>7583</v>
      </c>
      <c r="B16" s="1369" t="s">
        <v>7584</v>
      </c>
      <c r="C16" s="1370"/>
      <c r="D16" s="72"/>
      <c r="E16" s="1368" t="s">
        <v>7585</v>
      </c>
      <c r="F16" s="1368" t="s">
        <v>7586</v>
      </c>
      <c r="G16" s="1368" t="s">
        <v>7587</v>
      </c>
      <c r="H16" s="72"/>
      <c r="I16" s="1374" t="s">
        <v>7588</v>
      </c>
      <c r="J16" s="1374" t="s">
        <v>7589</v>
      </c>
      <c r="K16" s="1376" t="s">
        <v>7590</v>
      </c>
      <c r="L16" s="93"/>
      <c r="M16" s="93"/>
      <c r="N16" s="93"/>
      <c r="O16" s="93"/>
      <c r="P16" s="93"/>
      <c r="Q16" s="93"/>
      <c r="R16" s="93"/>
      <c r="S16" s="93"/>
      <c r="T16" s="93"/>
      <c r="U16" s="93"/>
      <c r="V16" s="93"/>
      <c r="W16" s="93"/>
      <c r="X16" s="93"/>
      <c r="Y16" s="93"/>
    </row>
    <row r="17" spans="1:25">
      <c r="A17" s="1367" t="s">
        <v>7591</v>
      </c>
      <c r="B17" s="1368" t="s">
        <v>7592</v>
      </c>
      <c r="C17" s="1368" t="s">
        <v>7593</v>
      </c>
      <c r="D17" s="72"/>
      <c r="E17" s="1374" t="s">
        <v>7594</v>
      </c>
      <c r="F17" s="1374" t="s">
        <v>7595</v>
      </c>
      <c r="G17" s="1374" t="s">
        <v>7596</v>
      </c>
      <c r="H17" s="72"/>
      <c r="I17" s="1368" t="s">
        <v>7597</v>
      </c>
      <c r="J17" s="1368" t="s">
        <v>7598</v>
      </c>
      <c r="K17" s="1372" t="s">
        <v>7599</v>
      </c>
      <c r="L17" s="93"/>
      <c r="M17" s="93"/>
      <c r="N17" s="93"/>
      <c r="O17" s="93"/>
      <c r="P17" s="93"/>
      <c r="Q17" s="93"/>
      <c r="R17" s="93"/>
      <c r="S17" s="93"/>
      <c r="T17" s="93"/>
      <c r="U17" s="93"/>
      <c r="V17" s="93"/>
      <c r="W17" s="93"/>
      <c r="X17" s="93"/>
      <c r="Y17" s="93"/>
    </row>
    <row r="18" spans="1:25">
      <c r="A18" s="1373" t="s">
        <v>7600</v>
      </c>
      <c r="B18" s="1374" t="s">
        <v>7601</v>
      </c>
      <c r="C18" s="1374" t="s">
        <v>7602</v>
      </c>
      <c r="D18" s="72"/>
      <c r="E18" s="1369" t="s">
        <v>7603</v>
      </c>
      <c r="F18" s="1369" t="s">
        <v>7604</v>
      </c>
      <c r="G18" s="1370"/>
      <c r="H18" s="72"/>
      <c r="I18" s="1368" t="s">
        <v>7605</v>
      </c>
      <c r="J18" s="1368" t="s">
        <v>7606</v>
      </c>
      <c r="K18" s="1372" t="s">
        <v>7607</v>
      </c>
      <c r="L18" s="93"/>
      <c r="M18" s="93"/>
      <c r="N18" s="93"/>
      <c r="O18" s="93"/>
      <c r="P18" s="93"/>
      <c r="Q18" s="93"/>
      <c r="R18" s="93"/>
      <c r="S18" s="93"/>
      <c r="T18" s="93"/>
      <c r="U18" s="93"/>
      <c r="V18" s="93"/>
      <c r="W18" s="93"/>
      <c r="X18" s="93"/>
      <c r="Y18" s="93"/>
    </row>
    <row r="19" spans="1:25">
      <c r="A19" s="1367" t="s">
        <v>7608</v>
      </c>
      <c r="B19" s="1368" t="s">
        <v>7609</v>
      </c>
      <c r="C19" s="1368" t="s">
        <v>7610</v>
      </c>
      <c r="D19" s="72"/>
      <c r="E19" s="1368" t="s">
        <v>7611</v>
      </c>
      <c r="F19" s="1368" t="s">
        <v>7612</v>
      </c>
      <c r="G19" s="1368" t="s">
        <v>7613</v>
      </c>
      <c r="H19" s="72"/>
      <c r="I19" s="1368" t="s">
        <v>7614</v>
      </c>
      <c r="J19" s="1368" t="s">
        <v>7615</v>
      </c>
      <c r="K19" s="1372" t="s">
        <v>7616</v>
      </c>
      <c r="L19" s="93"/>
      <c r="M19" s="93"/>
      <c r="N19" s="93"/>
      <c r="O19" s="93"/>
      <c r="P19" s="93"/>
      <c r="Q19" s="93"/>
      <c r="R19" s="93"/>
      <c r="S19" s="93"/>
      <c r="T19" s="93"/>
      <c r="U19" s="93"/>
      <c r="V19" s="93"/>
      <c r="W19" s="93"/>
      <c r="X19" s="93"/>
      <c r="Y19" s="93"/>
    </row>
    <row r="20" spans="1:25">
      <c r="A20" s="1367" t="s">
        <v>7617</v>
      </c>
      <c r="B20" s="1368" t="s">
        <v>7618</v>
      </c>
      <c r="C20" s="1368" t="s">
        <v>7619</v>
      </c>
      <c r="D20" s="72"/>
      <c r="E20" s="1368" t="s">
        <v>7620</v>
      </c>
      <c r="F20" s="1368" t="s">
        <v>7621</v>
      </c>
      <c r="G20" s="1368" t="s">
        <v>7622</v>
      </c>
      <c r="H20" s="72"/>
      <c r="I20" s="1369" t="s">
        <v>7623</v>
      </c>
      <c r="J20" s="1369" t="s">
        <v>7624</v>
      </c>
      <c r="K20" s="1371"/>
      <c r="L20" s="93"/>
      <c r="M20" s="93"/>
      <c r="N20" s="93"/>
      <c r="O20" s="93"/>
      <c r="P20" s="93"/>
      <c r="Q20" s="93"/>
      <c r="R20" s="93"/>
      <c r="S20" s="93"/>
      <c r="T20" s="93"/>
      <c r="U20" s="93"/>
      <c r="V20" s="93"/>
      <c r="W20" s="93"/>
      <c r="X20" s="93"/>
      <c r="Y20" s="93"/>
    </row>
    <row r="21" spans="1:25">
      <c r="A21" s="1375" t="s">
        <v>7625</v>
      </c>
      <c r="B21" s="1369" t="s">
        <v>7626</v>
      </c>
      <c r="C21" s="1370"/>
      <c r="D21" s="72"/>
      <c r="E21" s="1369" t="s">
        <v>7627</v>
      </c>
      <c r="F21" s="1369" t="s">
        <v>7628</v>
      </c>
      <c r="G21" s="1370"/>
      <c r="H21" s="72"/>
      <c r="I21" s="1368" t="s">
        <v>7629</v>
      </c>
      <c r="J21" s="1368" t="s">
        <v>7630</v>
      </c>
      <c r="K21" s="1372" t="s">
        <v>7631</v>
      </c>
      <c r="L21" s="93"/>
      <c r="M21" s="93"/>
      <c r="N21" s="93"/>
      <c r="O21" s="93"/>
      <c r="P21" s="93"/>
      <c r="Q21" s="93"/>
      <c r="R21" s="93"/>
      <c r="S21" s="93"/>
      <c r="T21" s="93"/>
      <c r="U21" s="93"/>
      <c r="V21" s="93"/>
      <c r="W21" s="93"/>
      <c r="X21" s="93"/>
      <c r="Y21" s="93"/>
    </row>
    <row r="22" spans="1:25">
      <c r="A22" s="1367" t="s">
        <v>7632</v>
      </c>
      <c r="B22" s="1368" t="s">
        <v>7633</v>
      </c>
      <c r="C22" s="1368" t="s">
        <v>7634</v>
      </c>
      <c r="D22" s="72"/>
      <c r="E22" s="1368" t="s">
        <v>7635</v>
      </c>
      <c r="F22" s="1368" t="s">
        <v>7636</v>
      </c>
      <c r="G22" s="1368" t="s">
        <v>7637</v>
      </c>
      <c r="H22" s="72"/>
      <c r="I22" s="1369" t="s">
        <v>7638</v>
      </c>
      <c r="J22" s="1369" t="s">
        <v>7639</v>
      </c>
      <c r="K22" s="1371"/>
      <c r="L22" s="93"/>
      <c r="M22" s="93"/>
      <c r="N22" s="93"/>
      <c r="O22" s="93"/>
      <c r="P22" s="93"/>
      <c r="Q22" s="93"/>
      <c r="R22" s="93"/>
      <c r="S22" s="93"/>
      <c r="T22" s="93"/>
      <c r="U22" s="93"/>
      <c r="V22" s="93"/>
      <c r="W22" s="93"/>
      <c r="X22" s="93"/>
      <c r="Y22" s="93"/>
    </row>
    <row r="23" spans="1:25">
      <c r="A23" s="1367" t="s">
        <v>7640</v>
      </c>
      <c r="B23" s="1368" t="s">
        <v>7641</v>
      </c>
      <c r="C23" s="1368" t="s">
        <v>7642</v>
      </c>
      <c r="D23" s="72"/>
      <c r="E23" s="1368" t="s">
        <v>7643</v>
      </c>
      <c r="F23" s="1368" t="s">
        <v>7644</v>
      </c>
      <c r="G23" s="1368" t="s">
        <v>7645</v>
      </c>
      <c r="H23" s="72"/>
      <c r="I23" s="1368" t="s">
        <v>7646</v>
      </c>
      <c r="J23" s="1368" t="s">
        <v>7647</v>
      </c>
      <c r="K23" s="1372" t="s">
        <v>7648</v>
      </c>
      <c r="L23" s="93"/>
      <c r="M23" s="93"/>
      <c r="N23" s="93"/>
      <c r="O23" s="93"/>
      <c r="P23" s="93"/>
      <c r="Q23" s="93"/>
      <c r="R23" s="93"/>
      <c r="S23" s="93"/>
      <c r="T23" s="93"/>
      <c r="U23" s="93"/>
      <c r="V23" s="93"/>
      <c r="W23" s="93"/>
      <c r="X23" s="93"/>
      <c r="Y23" s="93"/>
    </row>
    <row r="24" spans="1:25">
      <c r="A24" s="1367" t="s">
        <v>7649</v>
      </c>
      <c r="B24" s="1368" t="s">
        <v>7650</v>
      </c>
      <c r="C24" s="1368" t="s">
        <v>7651</v>
      </c>
      <c r="D24" s="72"/>
      <c r="E24" s="1368" t="s">
        <v>7652</v>
      </c>
      <c r="F24" s="1368" t="s">
        <v>7653</v>
      </c>
      <c r="G24" s="1368" t="s">
        <v>7654</v>
      </c>
      <c r="H24" s="72"/>
      <c r="I24" s="1374" t="s">
        <v>7655</v>
      </c>
      <c r="J24" s="1374" t="s">
        <v>7656</v>
      </c>
      <c r="K24" s="1376" t="s">
        <v>7657</v>
      </c>
      <c r="L24" s="93"/>
      <c r="M24" s="93"/>
      <c r="N24" s="93"/>
      <c r="O24" s="93"/>
      <c r="P24" s="93"/>
      <c r="Q24" s="93"/>
      <c r="R24" s="93"/>
      <c r="S24" s="93"/>
      <c r="T24" s="93"/>
      <c r="U24" s="93"/>
      <c r="V24" s="93"/>
      <c r="W24" s="93"/>
      <c r="X24" s="93"/>
      <c r="Y24" s="93"/>
    </row>
    <row r="25" spans="1:25">
      <c r="A25" s="1375" t="s">
        <v>7658</v>
      </c>
      <c r="B25" s="1369" t="s">
        <v>7659</v>
      </c>
      <c r="C25" s="1370"/>
      <c r="D25" s="72"/>
      <c r="E25" s="1374" t="s">
        <v>7660</v>
      </c>
      <c r="F25" s="1374" t="s">
        <v>7661</v>
      </c>
      <c r="G25" s="1374" t="s">
        <v>7662</v>
      </c>
      <c r="H25" s="72"/>
      <c r="I25" s="1368" t="s">
        <v>7663</v>
      </c>
      <c r="J25" s="1368" t="s">
        <v>7664</v>
      </c>
      <c r="K25" s="1372" t="s">
        <v>7665</v>
      </c>
      <c r="L25" s="93"/>
      <c r="M25" s="93"/>
      <c r="N25" s="93"/>
      <c r="O25" s="93"/>
      <c r="P25" s="93"/>
      <c r="Q25" s="93"/>
      <c r="R25" s="93"/>
      <c r="S25" s="93"/>
      <c r="T25" s="93"/>
      <c r="U25" s="93"/>
      <c r="V25" s="93"/>
      <c r="W25" s="93"/>
      <c r="X25" s="93"/>
      <c r="Y25" s="93"/>
    </row>
    <row r="26" spans="1:25">
      <c r="A26" s="1367" t="s">
        <v>7666</v>
      </c>
      <c r="B26" s="1368" t="s">
        <v>7667</v>
      </c>
      <c r="C26" s="1368" t="s">
        <v>7668</v>
      </c>
      <c r="D26" s="72"/>
      <c r="E26" s="1368" t="s">
        <v>7669</v>
      </c>
      <c r="F26" s="1368" t="s">
        <v>7670</v>
      </c>
      <c r="G26" s="1368" t="s">
        <v>7671</v>
      </c>
      <c r="H26" s="72"/>
      <c r="I26" s="72"/>
      <c r="J26" s="72"/>
      <c r="K26" s="1377"/>
      <c r="L26" s="93"/>
      <c r="M26" s="93"/>
      <c r="N26" s="93"/>
      <c r="O26" s="93"/>
      <c r="P26" s="93"/>
      <c r="Q26" s="93"/>
      <c r="R26" s="93"/>
      <c r="S26" s="93"/>
      <c r="T26" s="93"/>
      <c r="U26" s="93"/>
      <c r="V26" s="93"/>
      <c r="W26" s="93"/>
      <c r="X26" s="93"/>
      <c r="Y26" s="93"/>
    </row>
    <row r="27" spans="1:25">
      <c r="A27" s="1378" t="s">
        <v>7672</v>
      </c>
      <c r="B27" s="1379" t="s">
        <v>7673</v>
      </c>
      <c r="C27" s="1379" t="s">
        <v>7674</v>
      </c>
      <c r="D27" s="1380"/>
      <c r="E27" s="1381" t="s">
        <v>7675</v>
      </c>
      <c r="F27" s="1381" t="s">
        <v>7676</v>
      </c>
      <c r="G27" s="1382"/>
      <c r="H27" s="1380"/>
      <c r="I27" s="1380"/>
      <c r="J27" s="1380"/>
      <c r="K27" s="1383"/>
      <c r="L27" s="93"/>
      <c r="M27" s="93"/>
      <c r="N27" s="93"/>
      <c r="O27" s="93"/>
      <c r="P27" s="93"/>
      <c r="Q27" s="93"/>
      <c r="R27" s="93"/>
      <c r="S27" s="93"/>
      <c r="T27" s="93"/>
      <c r="U27" s="93"/>
      <c r="V27" s="93"/>
      <c r="W27" s="93"/>
      <c r="X27" s="93"/>
      <c r="Y27" s="93"/>
    </row>
    <row r="28" spans="1:25">
      <c r="A28" s="72"/>
      <c r="B28" s="72"/>
      <c r="C28" s="72"/>
      <c r="D28" s="72"/>
      <c r="E28" s="72"/>
      <c r="F28" s="72"/>
      <c r="G28" s="72"/>
      <c r="H28" s="72"/>
      <c r="I28" s="72"/>
      <c r="J28" s="72"/>
      <c r="K28" s="72"/>
      <c r="L28" s="93"/>
      <c r="M28" s="93"/>
      <c r="N28" s="93"/>
      <c r="O28" s="93"/>
      <c r="P28" s="93"/>
      <c r="Q28" s="93"/>
      <c r="R28" s="93"/>
      <c r="S28" s="93"/>
      <c r="T28" s="93"/>
      <c r="U28" s="93"/>
      <c r="V28" s="93"/>
      <c r="W28" s="93"/>
      <c r="X28" s="93"/>
      <c r="Y28" s="93"/>
    </row>
    <row r="29" spans="1:25">
      <c r="A29" s="72"/>
      <c r="B29" s="72"/>
      <c r="C29" s="72"/>
      <c r="D29" s="72"/>
      <c r="E29" s="72"/>
      <c r="F29" s="72"/>
      <c r="G29" s="72"/>
      <c r="H29" s="72"/>
      <c r="I29" s="72"/>
      <c r="J29" s="72"/>
      <c r="K29" s="72"/>
      <c r="L29" s="93"/>
      <c r="M29" s="93"/>
      <c r="N29" s="93"/>
      <c r="O29" s="93"/>
      <c r="P29" s="93"/>
      <c r="Q29" s="93"/>
      <c r="R29" s="93"/>
      <c r="S29" s="93"/>
      <c r="T29" s="93"/>
      <c r="U29" s="93"/>
      <c r="V29" s="93"/>
      <c r="W29" s="93"/>
      <c r="X29" s="93"/>
      <c r="Y29" s="93"/>
    </row>
    <row r="30" spans="1:25">
      <c r="A30" s="72"/>
      <c r="B30" s="72"/>
      <c r="C30" s="72"/>
      <c r="D30" s="72"/>
      <c r="E30" s="72"/>
      <c r="F30" s="72"/>
      <c r="G30" s="72"/>
      <c r="H30" s="72"/>
      <c r="I30" s="72"/>
      <c r="J30" s="72"/>
      <c r="K30" s="72"/>
      <c r="L30" s="93"/>
      <c r="M30" s="93"/>
      <c r="N30" s="93"/>
      <c r="O30" s="93"/>
      <c r="P30" s="93"/>
      <c r="Q30" s="93"/>
      <c r="R30" s="93"/>
      <c r="S30" s="93"/>
      <c r="T30" s="93"/>
      <c r="U30" s="93"/>
      <c r="V30" s="93"/>
      <c r="W30" s="93"/>
      <c r="X30" s="93"/>
      <c r="Y30" s="93"/>
    </row>
    <row r="31" spans="1:25">
      <c r="A31" s="72"/>
      <c r="B31" s="72"/>
      <c r="C31" s="72"/>
      <c r="D31" s="72"/>
      <c r="E31" s="72"/>
      <c r="F31" s="72"/>
      <c r="G31" s="72"/>
      <c r="H31" s="72"/>
      <c r="I31" s="72"/>
      <c r="J31" s="72"/>
      <c r="K31" s="72"/>
      <c r="L31" s="93"/>
      <c r="M31" s="93"/>
      <c r="N31" s="93"/>
      <c r="O31" s="93"/>
      <c r="P31" s="93"/>
      <c r="Q31" s="93"/>
      <c r="R31" s="93"/>
      <c r="S31" s="93"/>
      <c r="T31" s="93"/>
      <c r="U31" s="93"/>
      <c r="V31" s="93"/>
      <c r="W31" s="93"/>
      <c r="X31" s="93"/>
      <c r="Y31" s="93"/>
    </row>
    <row r="32" spans="1:25">
      <c r="A32" s="72"/>
      <c r="B32" s="72"/>
      <c r="C32" s="72"/>
      <c r="D32" s="72"/>
      <c r="E32" s="72"/>
      <c r="F32" s="72"/>
      <c r="G32" s="72"/>
      <c r="H32" s="72"/>
      <c r="I32" s="72"/>
      <c r="J32" s="72"/>
      <c r="K32" s="72"/>
      <c r="L32" s="93"/>
      <c r="M32" s="93"/>
      <c r="N32" s="93"/>
      <c r="O32" s="93"/>
      <c r="P32" s="93"/>
      <c r="Q32" s="93"/>
      <c r="R32" s="93"/>
      <c r="S32" s="93"/>
      <c r="T32" s="93"/>
      <c r="U32" s="93"/>
      <c r="V32" s="93"/>
      <c r="W32" s="93"/>
      <c r="X32" s="93"/>
      <c r="Y32" s="93"/>
    </row>
    <row r="33" spans="1:25">
      <c r="A33" s="72"/>
      <c r="B33" s="72"/>
      <c r="C33" s="72"/>
      <c r="D33" s="72"/>
      <c r="E33" s="72"/>
      <c r="F33" s="72"/>
      <c r="G33" s="72"/>
      <c r="H33" s="72"/>
      <c r="I33" s="72"/>
      <c r="J33" s="72"/>
      <c r="K33" s="72"/>
      <c r="L33" s="93"/>
      <c r="M33" s="93"/>
      <c r="N33" s="93"/>
      <c r="O33" s="93"/>
      <c r="P33" s="93"/>
      <c r="Q33" s="93"/>
      <c r="R33" s="93"/>
      <c r="S33" s="93"/>
      <c r="T33" s="93"/>
      <c r="U33" s="93"/>
      <c r="V33" s="93"/>
      <c r="W33" s="93"/>
      <c r="X33" s="93"/>
      <c r="Y33" s="93"/>
    </row>
    <row r="34" spans="1:25">
      <c r="A34" s="72"/>
      <c r="B34" s="72"/>
      <c r="C34" s="72"/>
      <c r="D34" s="72"/>
      <c r="E34" s="72"/>
      <c r="F34" s="72"/>
      <c r="G34" s="72"/>
      <c r="H34" s="72"/>
      <c r="I34" s="72"/>
      <c r="J34" s="72"/>
      <c r="K34" s="72"/>
      <c r="L34" s="93"/>
      <c r="M34" s="93"/>
      <c r="N34" s="93"/>
      <c r="O34" s="93"/>
      <c r="P34" s="93"/>
      <c r="Q34" s="93"/>
      <c r="R34" s="93"/>
      <c r="S34" s="93"/>
      <c r="T34" s="93"/>
      <c r="U34" s="93"/>
      <c r="V34" s="93"/>
      <c r="W34" s="93"/>
      <c r="X34" s="93"/>
      <c r="Y34" s="93"/>
    </row>
    <row r="35" spans="1:25">
      <c r="A35" s="72"/>
      <c r="B35" s="72"/>
      <c r="C35" s="72"/>
      <c r="D35" s="72"/>
      <c r="E35" s="72"/>
      <c r="F35" s="72"/>
      <c r="G35" s="72"/>
      <c r="H35" s="72"/>
      <c r="I35" s="72"/>
      <c r="J35" s="72"/>
      <c r="K35" s="72"/>
      <c r="L35" s="93"/>
      <c r="M35" s="93"/>
      <c r="N35" s="93"/>
      <c r="O35" s="93"/>
      <c r="P35" s="93"/>
      <c r="Q35" s="93"/>
      <c r="R35" s="93"/>
      <c r="S35" s="93"/>
      <c r="T35" s="93"/>
      <c r="U35" s="93"/>
      <c r="V35" s="93"/>
      <c r="W35" s="93"/>
      <c r="X35" s="93"/>
      <c r="Y35" s="93"/>
    </row>
    <row r="36" spans="1:25">
      <c r="A36" s="72"/>
      <c r="B36" s="72"/>
      <c r="C36" s="72"/>
      <c r="D36" s="72"/>
      <c r="E36" s="72"/>
      <c r="F36" s="72"/>
      <c r="G36" s="72"/>
      <c r="H36" s="72"/>
      <c r="I36" s="72"/>
      <c r="J36" s="72"/>
      <c r="K36" s="72"/>
      <c r="L36" s="93"/>
      <c r="M36" s="93"/>
      <c r="N36" s="93"/>
      <c r="O36" s="93"/>
      <c r="P36" s="93"/>
      <c r="Q36" s="93"/>
      <c r="R36" s="93"/>
      <c r="S36" s="93"/>
      <c r="T36" s="93"/>
      <c r="U36" s="93"/>
      <c r="V36" s="93"/>
      <c r="W36" s="93"/>
      <c r="X36" s="93"/>
      <c r="Y36" s="93"/>
    </row>
    <row r="37" spans="1:25">
      <c r="A37" s="72"/>
      <c r="B37" s="72"/>
      <c r="C37" s="72"/>
      <c r="D37" s="72"/>
      <c r="E37" s="72"/>
      <c r="F37" s="72"/>
      <c r="G37" s="72"/>
      <c r="H37" s="72"/>
      <c r="I37" s="72"/>
      <c r="J37" s="72"/>
      <c r="K37" s="72"/>
      <c r="L37" s="93"/>
      <c r="M37" s="93"/>
      <c r="N37" s="93"/>
      <c r="O37" s="93"/>
      <c r="P37" s="93"/>
      <c r="Q37" s="93"/>
      <c r="R37" s="93"/>
      <c r="S37" s="93"/>
      <c r="T37" s="93"/>
      <c r="U37" s="93"/>
      <c r="V37" s="93"/>
      <c r="W37" s="93"/>
      <c r="X37" s="93"/>
      <c r="Y37" s="93"/>
    </row>
    <row r="38" spans="1:25">
      <c r="A38" s="72"/>
      <c r="B38" s="72"/>
      <c r="C38" s="72"/>
      <c r="D38" s="72"/>
      <c r="E38" s="72"/>
      <c r="F38" s="72"/>
      <c r="G38" s="72"/>
      <c r="H38" s="72"/>
      <c r="I38" s="72"/>
      <c r="J38" s="72"/>
      <c r="K38" s="72"/>
      <c r="L38" s="93"/>
      <c r="M38" s="93"/>
      <c r="N38" s="93"/>
      <c r="O38" s="93"/>
      <c r="P38" s="93"/>
      <c r="Q38" s="93"/>
      <c r="R38" s="93"/>
      <c r="S38" s="93"/>
      <c r="T38" s="93"/>
      <c r="U38" s="93"/>
      <c r="V38" s="93"/>
      <c r="W38" s="93"/>
      <c r="X38" s="93"/>
      <c r="Y38" s="93"/>
    </row>
    <row r="39" spans="1:25">
      <c r="A39" s="72"/>
      <c r="B39" s="72"/>
      <c r="C39" s="72"/>
      <c r="D39" s="72"/>
      <c r="E39" s="72"/>
      <c r="F39" s="72"/>
      <c r="G39" s="72"/>
      <c r="H39" s="72"/>
      <c r="I39" s="72"/>
      <c r="J39" s="72"/>
      <c r="K39" s="72"/>
      <c r="L39" s="93"/>
      <c r="M39" s="93"/>
      <c r="N39" s="93"/>
      <c r="O39" s="93"/>
      <c r="P39" s="93"/>
      <c r="Q39" s="93"/>
      <c r="R39" s="93"/>
      <c r="S39" s="93"/>
      <c r="T39" s="93"/>
      <c r="U39" s="93"/>
      <c r="V39" s="93"/>
      <c r="W39" s="93"/>
      <c r="X39" s="93"/>
      <c r="Y39" s="93"/>
    </row>
    <row r="40" spans="1:25">
      <c r="A40" s="72"/>
      <c r="B40" s="72"/>
      <c r="C40" s="72"/>
      <c r="D40" s="72"/>
      <c r="E40" s="72"/>
      <c r="F40" s="72"/>
      <c r="G40" s="72"/>
      <c r="H40" s="72"/>
      <c r="I40" s="72"/>
      <c r="J40" s="72"/>
      <c r="K40" s="72"/>
      <c r="L40" s="93"/>
      <c r="M40" s="93"/>
      <c r="N40" s="93"/>
      <c r="O40" s="93"/>
      <c r="P40" s="93"/>
      <c r="Q40" s="93"/>
      <c r="R40" s="93"/>
      <c r="S40" s="93"/>
      <c r="T40" s="93"/>
      <c r="U40" s="93"/>
      <c r="V40" s="93"/>
      <c r="W40" s="93"/>
      <c r="X40" s="93"/>
      <c r="Y40" s="93"/>
    </row>
    <row r="41" spans="1:25">
      <c r="A41" s="72"/>
      <c r="B41" s="72"/>
      <c r="C41" s="72"/>
      <c r="D41" s="72"/>
      <c r="E41" s="72"/>
      <c r="F41" s="72"/>
      <c r="G41" s="72"/>
      <c r="H41" s="72"/>
      <c r="I41" s="72"/>
      <c r="J41" s="72"/>
      <c r="K41" s="72"/>
      <c r="L41" s="93"/>
      <c r="M41" s="93"/>
      <c r="N41" s="93"/>
      <c r="O41" s="93"/>
      <c r="P41" s="93"/>
      <c r="Q41" s="93"/>
      <c r="R41" s="93"/>
      <c r="S41" s="93"/>
      <c r="T41" s="93"/>
      <c r="U41" s="93"/>
      <c r="V41" s="93"/>
      <c r="W41" s="93"/>
      <c r="X41" s="93"/>
      <c r="Y41" s="93"/>
    </row>
    <row r="42" spans="1:25">
      <c r="A42" s="72"/>
      <c r="B42" s="72"/>
      <c r="C42" s="72"/>
      <c r="D42" s="72"/>
      <c r="E42" s="72"/>
      <c r="F42" s="72"/>
      <c r="G42" s="72"/>
      <c r="H42" s="72"/>
      <c r="I42" s="72"/>
      <c r="J42" s="72"/>
      <c r="K42" s="72"/>
      <c r="L42" s="93"/>
      <c r="M42" s="93"/>
      <c r="N42" s="93"/>
      <c r="O42" s="93"/>
      <c r="P42" s="93"/>
      <c r="Q42" s="93"/>
      <c r="R42" s="93"/>
      <c r="S42" s="93"/>
      <c r="T42" s="93"/>
      <c r="U42" s="93"/>
      <c r="V42" s="93"/>
      <c r="W42" s="93"/>
      <c r="X42" s="93"/>
      <c r="Y42" s="93"/>
    </row>
    <row r="43" spans="1:25">
      <c r="A43" s="72"/>
      <c r="B43" s="72"/>
      <c r="C43" s="72"/>
      <c r="D43" s="72"/>
      <c r="E43" s="72"/>
      <c r="F43" s="72"/>
      <c r="G43" s="72"/>
      <c r="H43" s="72"/>
      <c r="I43" s="72"/>
      <c r="J43" s="72"/>
      <c r="K43" s="72"/>
      <c r="L43" s="93"/>
      <c r="M43" s="93"/>
      <c r="N43" s="93"/>
      <c r="O43" s="93"/>
      <c r="P43" s="93"/>
      <c r="Q43" s="93"/>
      <c r="R43" s="93"/>
      <c r="S43" s="93"/>
      <c r="T43" s="93"/>
      <c r="U43" s="93"/>
      <c r="V43" s="93"/>
      <c r="W43" s="93"/>
      <c r="X43" s="93"/>
      <c r="Y43" s="93"/>
    </row>
    <row r="44" spans="1:25">
      <c r="A44" s="72"/>
      <c r="B44" s="72"/>
      <c r="C44" s="72"/>
      <c r="D44" s="72"/>
      <c r="E44" s="72"/>
      <c r="F44" s="72"/>
      <c r="G44" s="72"/>
      <c r="H44" s="72"/>
      <c r="I44" s="72"/>
      <c r="J44" s="72"/>
      <c r="K44" s="72"/>
      <c r="L44" s="93"/>
      <c r="M44" s="93"/>
      <c r="N44" s="93"/>
      <c r="O44" s="93"/>
      <c r="P44" s="93"/>
      <c r="Q44" s="93"/>
      <c r="R44" s="93"/>
      <c r="S44" s="93"/>
      <c r="T44" s="93"/>
      <c r="U44" s="93"/>
      <c r="V44" s="93"/>
      <c r="W44" s="93"/>
      <c r="X44" s="93"/>
      <c r="Y44" s="93"/>
    </row>
    <row r="45" spans="1:25">
      <c r="A45" s="72"/>
      <c r="B45" s="72"/>
      <c r="C45" s="72"/>
      <c r="D45" s="72"/>
      <c r="E45" s="72"/>
      <c r="F45" s="72"/>
      <c r="G45" s="72"/>
      <c r="H45" s="72"/>
      <c r="I45" s="72"/>
      <c r="J45" s="72"/>
      <c r="K45" s="72"/>
      <c r="L45" s="93"/>
      <c r="M45" s="93"/>
      <c r="N45" s="93"/>
      <c r="O45" s="93"/>
      <c r="P45" s="93"/>
      <c r="Q45" s="93"/>
      <c r="R45" s="93"/>
      <c r="S45" s="93"/>
      <c r="T45" s="93"/>
      <c r="U45" s="93"/>
      <c r="V45" s="93"/>
      <c r="W45" s="93"/>
      <c r="X45" s="93"/>
      <c r="Y45" s="93"/>
    </row>
    <row r="46" spans="1:25">
      <c r="A46" s="72"/>
      <c r="B46" s="72"/>
      <c r="C46" s="72"/>
      <c r="D46" s="72"/>
      <c r="E46" s="72"/>
      <c r="F46" s="72"/>
      <c r="G46" s="72"/>
      <c r="H46" s="72"/>
      <c r="I46" s="72"/>
      <c r="J46" s="72"/>
      <c r="K46" s="72"/>
      <c r="L46" s="93"/>
      <c r="M46" s="93"/>
      <c r="N46" s="93"/>
      <c r="O46" s="93"/>
      <c r="P46" s="93"/>
      <c r="Q46" s="93"/>
      <c r="R46" s="93"/>
      <c r="S46" s="93"/>
      <c r="T46" s="93"/>
      <c r="U46" s="93"/>
      <c r="V46" s="93"/>
      <c r="W46" s="93"/>
      <c r="X46" s="93"/>
      <c r="Y46" s="93"/>
    </row>
    <row r="47" spans="1:25">
      <c r="A47" s="72"/>
      <c r="B47" s="72"/>
      <c r="C47" s="72"/>
      <c r="D47" s="72"/>
      <c r="E47" s="72"/>
      <c r="F47" s="72"/>
      <c r="G47" s="72"/>
      <c r="H47" s="72"/>
      <c r="I47" s="72"/>
      <c r="J47" s="72"/>
      <c r="K47" s="72"/>
      <c r="L47" s="93"/>
      <c r="M47" s="93"/>
      <c r="N47" s="93"/>
      <c r="O47" s="93"/>
      <c r="P47" s="93"/>
      <c r="Q47" s="93"/>
      <c r="R47" s="93"/>
      <c r="S47" s="93"/>
      <c r="T47" s="93"/>
      <c r="U47" s="93"/>
      <c r="V47" s="93"/>
      <c r="W47" s="93"/>
      <c r="X47" s="93"/>
      <c r="Y47" s="93"/>
    </row>
    <row r="48" spans="1:25">
      <c r="A48" s="72"/>
      <c r="B48" s="72"/>
      <c r="C48" s="72"/>
      <c r="D48" s="72"/>
      <c r="E48" s="72"/>
      <c r="F48" s="72"/>
      <c r="G48" s="72"/>
      <c r="H48" s="72"/>
      <c r="I48" s="72"/>
      <c r="J48" s="72"/>
      <c r="K48" s="72"/>
      <c r="L48" s="93"/>
      <c r="M48" s="93"/>
      <c r="N48" s="93"/>
      <c r="O48" s="93"/>
      <c r="P48" s="93"/>
      <c r="Q48" s="93"/>
      <c r="R48" s="93"/>
      <c r="S48" s="93"/>
      <c r="T48" s="93"/>
      <c r="U48" s="93"/>
      <c r="V48" s="93"/>
      <c r="W48" s="93"/>
      <c r="X48" s="93"/>
      <c r="Y48" s="93"/>
    </row>
    <row r="49" spans="1:25">
      <c r="A49" s="72"/>
      <c r="B49" s="72"/>
      <c r="C49" s="72"/>
      <c r="D49" s="72"/>
      <c r="E49" s="72"/>
      <c r="F49" s="72"/>
      <c r="G49" s="72"/>
      <c r="H49" s="72"/>
      <c r="I49" s="72"/>
      <c r="J49" s="72"/>
      <c r="K49" s="72"/>
      <c r="L49" s="93"/>
      <c r="M49" s="93"/>
      <c r="N49" s="93"/>
      <c r="O49" s="93"/>
      <c r="P49" s="93"/>
      <c r="Q49" s="93"/>
      <c r="R49" s="93"/>
      <c r="S49" s="93"/>
      <c r="T49" s="93"/>
      <c r="U49" s="93"/>
      <c r="V49" s="93"/>
      <c r="W49" s="93"/>
      <c r="X49" s="93"/>
      <c r="Y49" s="93"/>
    </row>
    <row r="50" spans="1:25">
      <c r="A50" s="72"/>
      <c r="B50" s="72"/>
      <c r="C50" s="72"/>
      <c r="D50" s="72"/>
      <c r="E50" s="72"/>
      <c r="F50" s="72"/>
      <c r="G50" s="72"/>
      <c r="H50" s="72"/>
      <c r="I50" s="72"/>
      <c r="J50" s="72"/>
      <c r="K50" s="72"/>
      <c r="L50" s="93"/>
      <c r="M50" s="93"/>
      <c r="N50" s="93"/>
      <c r="O50" s="93"/>
      <c r="P50" s="93"/>
      <c r="Q50" s="93"/>
      <c r="R50" s="93"/>
      <c r="S50" s="93"/>
      <c r="T50" s="93"/>
      <c r="U50" s="93"/>
      <c r="V50" s="93"/>
      <c r="W50" s="93"/>
      <c r="X50" s="93"/>
      <c r="Y50" s="93"/>
    </row>
    <row r="51" spans="1:25">
      <c r="A51" s="72"/>
      <c r="B51" s="72"/>
      <c r="C51" s="72"/>
      <c r="D51" s="72"/>
      <c r="E51" s="72"/>
      <c r="F51" s="72"/>
      <c r="G51" s="72"/>
      <c r="H51" s="72"/>
      <c r="I51" s="72"/>
      <c r="J51" s="72"/>
      <c r="K51" s="72"/>
      <c r="L51" s="93"/>
      <c r="M51" s="93"/>
      <c r="N51" s="93"/>
      <c r="O51" s="93"/>
      <c r="P51" s="93"/>
      <c r="Q51" s="93"/>
      <c r="R51" s="93"/>
      <c r="S51" s="93"/>
      <c r="T51" s="93"/>
      <c r="U51" s="93"/>
      <c r="V51" s="93"/>
      <c r="W51" s="93"/>
      <c r="X51" s="93"/>
      <c r="Y51" s="93"/>
    </row>
    <row r="52" spans="1:25">
      <c r="A52" s="72"/>
      <c r="B52" s="72"/>
      <c r="C52" s="72"/>
      <c r="D52" s="72"/>
      <c r="E52" s="72"/>
      <c r="F52" s="72"/>
      <c r="G52" s="72"/>
      <c r="H52" s="72"/>
      <c r="I52" s="72"/>
      <c r="J52" s="72"/>
      <c r="K52" s="72"/>
      <c r="L52" s="93"/>
      <c r="M52" s="93"/>
      <c r="N52" s="93"/>
      <c r="O52" s="93"/>
      <c r="P52" s="93"/>
      <c r="Q52" s="93"/>
      <c r="R52" s="93"/>
      <c r="S52" s="93"/>
      <c r="T52" s="93"/>
      <c r="U52" s="93"/>
      <c r="V52" s="93"/>
      <c r="W52" s="93"/>
      <c r="X52" s="93"/>
      <c r="Y52" s="93"/>
    </row>
    <row r="53" spans="1:25">
      <c r="A53" s="72"/>
      <c r="B53" s="72"/>
      <c r="C53" s="72"/>
      <c r="D53" s="72"/>
      <c r="E53" s="72"/>
      <c r="F53" s="72"/>
      <c r="G53" s="72"/>
      <c r="H53" s="72"/>
      <c r="I53" s="72"/>
      <c r="J53" s="72"/>
      <c r="K53" s="72"/>
      <c r="L53" s="93"/>
      <c r="M53" s="93"/>
      <c r="N53" s="93"/>
      <c r="O53" s="93"/>
      <c r="P53" s="93"/>
      <c r="Q53" s="93"/>
      <c r="R53" s="93"/>
      <c r="S53" s="93"/>
      <c r="T53" s="93"/>
      <c r="U53" s="93"/>
      <c r="V53" s="93"/>
      <c r="W53" s="93"/>
      <c r="X53" s="93"/>
      <c r="Y53" s="93"/>
    </row>
    <row r="54" spans="1:25">
      <c r="A54" s="72"/>
      <c r="B54" s="72"/>
      <c r="C54" s="72"/>
      <c r="D54" s="72"/>
      <c r="E54" s="72"/>
      <c r="F54" s="72"/>
      <c r="G54" s="72"/>
      <c r="H54" s="72"/>
      <c r="I54" s="72"/>
      <c r="J54" s="72"/>
      <c r="K54" s="72"/>
      <c r="L54" s="93"/>
      <c r="M54" s="93"/>
      <c r="N54" s="93"/>
      <c r="O54" s="93"/>
      <c r="P54" s="93"/>
      <c r="Q54" s="93"/>
      <c r="R54" s="93"/>
      <c r="S54" s="93"/>
      <c r="T54" s="93"/>
      <c r="U54" s="93"/>
      <c r="V54" s="93"/>
      <c r="W54" s="93"/>
      <c r="X54" s="93"/>
      <c r="Y54" s="93"/>
    </row>
    <row r="55" spans="1:25">
      <c r="A55" s="72"/>
      <c r="B55" s="72"/>
      <c r="C55" s="72"/>
      <c r="D55" s="72"/>
      <c r="E55" s="72"/>
      <c r="F55" s="72"/>
      <c r="G55" s="72"/>
      <c r="H55" s="72"/>
      <c r="I55" s="72"/>
      <c r="J55" s="72"/>
      <c r="K55" s="72"/>
      <c r="L55" s="93"/>
      <c r="M55" s="93"/>
      <c r="N55" s="93"/>
      <c r="O55" s="93"/>
      <c r="P55" s="93"/>
      <c r="Q55" s="93"/>
      <c r="R55" s="93"/>
      <c r="S55" s="93"/>
      <c r="T55" s="93"/>
      <c r="U55" s="93"/>
      <c r="V55" s="93"/>
      <c r="W55" s="93"/>
      <c r="X55" s="93"/>
      <c r="Y55" s="93"/>
    </row>
    <row r="56" spans="1:25">
      <c r="A56" s="72"/>
      <c r="B56" s="72"/>
      <c r="C56" s="72"/>
      <c r="D56" s="72"/>
      <c r="E56" s="72"/>
      <c r="F56" s="72"/>
      <c r="G56" s="72"/>
      <c r="H56" s="72"/>
      <c r="I56" s="72"/>
      <c r="J56" s="72"/>
      <c r="K56" s="72"/>
      <c r="L56" s="93"/>
      <c r="M56" s="93"/>
      <c r="N56" s="93"/>
      <c r="O56" s="93"/>
      <c r="P56" s="93"/>
      <c r="Q56" s="93"/>
      <c r="R56" s="93"/>
      <c r="S56" s="93"/>
      <c r="T56" s="93"/>
      <c r="U56" s="93"/>
      <c r="V56" s="93"/>
      <c r="W56" s="93"/>
      <c r="X56" s="93"/>
      <c r="Y56" s="93"/>
    </row>
    <row r="57" spans="1:25">
      <c r="A57" s="72"/>
      <c r="B57" s="72"/>
      <c r="C57" s="72"/>
      <c r="D57" s="72"/>
      <c r="E57" s="72"/>
      <c r="F57" s="72"/>
      <c r="G57" s="72"/>
      <c r="H57" s="72"/>
      <c r="I57" s="72"/>
      <c r="J57" s="72"/>
      <c r="K57" s="72"/>
      <c r="L57" s="93"/>
      <c r="M57" s="93"/>
      <c r="N57" s="93"/>
      <c r="O57" s="93"/>
      <c r="P57" s="93"/>
      <c r="Q57" s="93"/>
      <c r="R57" s="93"/>
      <c r="S57" s="93"/>
      <c r="T57" s="93"/>
      <c r="U57" s="93"/>
      <c r="V57" s="93"/>
      <c r="W57" s="93"/>
      <c r="X57" s="93"/>
      <c r="Y57" s="93"/>
    </row>
    <row r="58" spans="1:25">
      <c r="A58" s="72"/>
      <c r="B58" s="72"/>
      <c r="C58" s="72"/>
      <c r="D58" s="72"/>
      <c r="E58" s="72"/>
      <c r="F58" s="72"/>
      <c r="G58" s="72"/>
      <c r="H58" s="72"/>
      <c r="I58" s="72"/>
      <c r="J58" s="72"/>
      <c r="K58" s="72"/>
      <c r="L58" s="93"/>
      <c r="M58" s="93"/>
      <c r="N58" s="93"/>
      <c r="O58" s="93"/>
      <c r="P58" s="93"/>
      <c r="Q58" s="93"/>
      <c r="R58" s="93"/>
      <c r="S58" s="93"/>
      <c r="T58" s="93"/>
      <c r="U58" s="93"/>
      <c r="V58" s="93"/>
      <c r="W58" s="93"/>
      <c r="X58" s="93"/>
      <c r="Y58" s="93"/>
    </row>
    <row r="59" spans="1:25">
      <c r="A59" s="72"/>
      <c r="B59" s="72"/>
      <c r="C59" s="72"/>
      <c r="D59" s="72"/>
      <c r="E59" s="72"/>
      <c r="F59" s="72"/>
      <c r="G59" s="72"/>
      <c r="H59" s="72"/>
      <c r="I59" s="72"/>
      <c r="J59" s="72"/>
      <c r="K59" s="72"/>
      <c r="L59" s="93"/>
      <c r="M59" s="93"/>
      <c r="N59" s="93"/>
      <c r="O59" s="93"/>
      <c r="P59" s="93"/>
      <c r="Q59" s="93"/>
      <c r="R59" s="93"/>
      <c r="S59" s="93"/>
      <c r="T59" s="93"/>
      <c r="U59" s="93"/>
      <c r="V59" s="93"/>
      <c r="W59" s="93"/>
      <c r="X59" s="93"/>
      <c r="Y59" s="93"/>
    </row>
    <row r="60" spans="1:25">
      <c r="A60" s="72"/>
      <c r="B60" s="72"/>
      <c r="C60" s="72"/>
      <c r="D60" s="72"/>
      <c r="E60" s="72"/>
      <c r="F60" s="72"/>
      <c r="G60" s="72"/>
      <c r="H60" s="72"/>
      <c r="I60" s="72"/>
      <c r="J60" s="72"/>
      <c r="K60" s="72"/>
      <c r="L60" s="93"/>
      <c r="M60" s="93"/>
      <c r="N60" s="93"/>
      <c r="O60" s="93"/>
      <c r="P60" s="93"/>
      <c r="Q60" s="93"/>
      <c r="R60" s="93"/>
      <c r="S60" s="93"/>
      <c r="T60" s="93"/>
      <c r="U60" s="93"/>
      <c r="V60" s="93"/>
      <c r="W60" s="93"/>
      <c r="X60" s="93"/>
      <c r="Y60" s="93"/>
    </row>
    <row r="61" spans="1:25">
      <c r="A61" s="72"/>
      <c r="B61" s="72"/>
      <c r="C61" s="72"/>
      <c r="D61" s="72"/>
      <c r="E61" s="72"/>
      <c r="F61" s="72"/>
      <c r="G61" s="72"/>
      <c r="H61" s="72"/>
      <c r="I61" s="72"/>
      <c r="J61" s="72"/>
      <c r="K61" s="72"/>
      <c r="L61" s="93"/>
      <c r="M61" s="93"/>
      <c r="N61" s="93"/>
      <c r="O61" s="93"/>
      <c r="P61" s="93"/>
      <c r="Q61" s="93"/>
      <c r="R61" s="93"/>
      <c r="S61" s="93"/>
      <c r="T61" s="93"/>
      <c r="U61" s="93"/>
      <c r="V61" s="93"/>
      <c r="W61" s="93"/>
      <c r="X61" s="93"/>
      <c r="Y61" s="93"/>
    </row>
    <row r="62" spans="1:25">
      <c r="A62" s="72"/>
      <c r="B62" s="72"/>
      <c r="C62" s="72"/>
      <c r="D62" s="72"/>
      <c r="E62" s="72"/>
      <c r="F62" s="72"/>
      <c r="G62" s="72"/>
      <c r="H62" s="72"/>
      <c r="I62" s="72"/>
      <c r="J62" s="72"/>
      <c r="K62" s="72"/>
      <c r="L62" s="93"/>
      <c r="M62" s="93"/>
      <c r="N62" s="93"/>
      <c r="O62" s="93"/>
      <c r="P62" s="93"/>
      <c r="Q62" s="93"/>
      <c r="R62" s="93"/>
      <c r="S62" s="93"/>
      <c r="T62" s="93"/>
      <c r="U62" s="93"/>
      <c r="V62" s="93"/>
      <c r="W62" s="93"/>
      <c r="X62" s="93"/>
      <c r="Y62" s="93"/>
    </row>
    <row r="63" spans="1:25">
      <c r="A63" s="72"/>
      <c r="B63" s="72"/>
      <c r="C63" s="72"/>
      <c r="D63" s="72"/>
      <c r="E63" s="72"/>
      <c r="F63" s="72"/>
      <c r="G63" s="72"/>
      <c r="H63" s="72"/>
      <c r="I63" s="72"/>
      <c r="J63" s="72"/>
      <c r="K63" s="72"/>
      <c r="L63" s="93"/>
      <c r="M63" s="93"/>
      <c r="N63" s="93"/>
      <c r="O63" s="93"/>
      <c r="P63" s="93"/>
      <c r="Q63" s="93"/>
      <c r="R63" s="93"/>
      <c r="S63" s="93"/>
      <c r="T63" s="93"/>
      <c r="U63" s="93"/>
      <c r="V63" s="93"/>
      <c r="W63" s="93"/>
      <c r="X63" s="93"/>
      <c r="Y63" s="93"/>
    </row>
    <row r="64" spans="1:25">
      <c r="A64" s="72"/>
      <c r="B64" s="72"/>
      <c r="C64" s="72"/>
      <c r="D64" s="72"/>
      <c r="E64" s="72"/>
      <c r="F64" s="72"/>
      <c r="G64" s="72"/>
      <c r="H64" s="72"/>
      <c r="I64" s="72"/>
      <c r="J64" s="72"/>
      <c r="K64" s="72"/>
      <c r="L64" s="93"/>
      <c r="M64" s="93"/>
      <c r="N64" s="93"/>
      <c r="O64" s="93"/>
      <c r="P64" s="93"/>
      <c r="Q64" s="93"/>
      <c r="R64" s="93"/>
      <c r="S64" s="93"/>
      <c r="T64" s="93"/>
      <c r="U64" s="93"/>
      <c r="V64" s="93"/>
      <c r="W64" s="93"/>
      <c r="X64" s="93"/>
      <c r="Y64" s="93"/>
    </row>
    <row r="65" spans="1:25">
      <c r="A65" s="72"/>
      <c r="B65" s="72"/>
      <c r="C65" s="72"/>
      <c r="D65" s="72"/>
      <c r="E65" s="72"/>
      <c r="F65" s="72"/>
      <c r="G65" s="72"/>
      <c r="H65" s="72"/>
      <c r="I65" s="72"/>
      <c r="J65" s="72"/>
      <c r="K65" s="72"/>
      <c r="L65" s="93"/>
      <c r="M65" s="93"/>
      <c r="N65" s="93"/>
      <c r="O65" s="93"/>
      <c r="P65" s="93"/>
      <c r="Q65" s="93"/>
      <c r="R65" s="93"/>
      <c r="S65" s="93"/>
      <c r="T65" s="93"/>
      <c r="U65" s="93"/>
      <c r="V65" s="93"/>
      <c r="W65" s="93"/>
      <c r="X65" s="93"/>
      <c r="Y65" s="93"/>
    </row>
    <row r="66" spans="1:25">
      <c r="A66" s="72"/>
      <c r="B66" s="72"/>
      <c r="C66" s="72"/>
      <c r="D66" s="72"/>
      <c r="E66" s="72"/>
      <c r="F66" s="72"/>
      <c r="G66" s="72"/>
      <c r="H66" s="72"/>
      <c r="I66" s="72"/>
      <c r="J66" s="72"/>
      <c r="K66" s="72"/>
      <c r="L66" s="93"/>
      <c r="M66" s="93"/>
      <c r="N66" s="93"/>
      <c r="O66" s="93"/>
      <c r="P66" s="93"/>
      <c r="Q66" s="93"/>
      <c r="R66" s="93"/>
      <c r="S66" s="93"/>
      <c r="T66" s="93"/>
      <c r="U66" s="93"/>
      <c r="V66" s="93"/>
      <c r="W66" s="93"/>
      <c r="X66" s="93"/>
      <c r="Y66" s="93"/>
    </row>
    <row r="67" spans="1:25">
      <c r="A67" s="72"/>
      <c r="B67" s="72"/>
      <c r="C67" s="72"/>
      <c r="D67" s="72"/>
      <c r="E67" s="72"/>
      <c r="F67" s="72"/>
      <c r="G67" s="72"/>
      <c r="H67" s="72"/>
      <c r="I67" s="72"/>
      <c r="J67" s="72"/>
      <c r="K67" s="72"/>
      <c r="L67" s="93"/>
      <c r="M67" s="93"/>
      <c r="N67" s="93"/>
      <c r="O67" s="93"/>
      <c r="P67" s="93"/>
      <c r="Q67" s="93"/>
      <c r="R67" s="93"/>
      <c r="S67" s="93"/>
      <c r="T67" s="93"/>
      <c r="U67" s="93"/>
      <c r="V67" s="93"/>
      <c r="W67" s="93"/>
      <c r="X67" s="93"/>
      <c r="Y67" s="93"/>
    </row>
    <row r="68" spans="1:25">
      <c r="A68" s="72"/>
      <c r="B68" s="72"/>
      <c r="C68" s="72"/>
      <c r="D68" s="72"/>
      <c r="E68" s="72"/>
      <c r="F68" s="72"/>
      <c r="G68" s="72"/>
      <c r="H68" s="72"/>
      <c r="I68" s="72"/>
      <c r="J68" s="72"/>
      <c r="K68" s="72"/>
      <c r="L68" s="93"/>
      <c r="M68" s="93"/>
      <c r="N68" s="93"/>
      <c r="O68" s="93"/>
      <c r="P68" s="93"/>
      <c r="Q68" s="93"/>
      <c r="R68" s="93"/>
      <c r="S68" s="93"/>
      <c r="T68" s="93"/>
      <c r="U68" s="93"/>
      <c r="V68" s="93"/>
      <c r="W68" s="93"/>
      <c r="X68" s="93"/>
      <c r="Y68" s="93"/>
    </row>
    <row r="69" spans="1:25">
      <c r="A69" s="72"/>
      <c r="B69" s="72"/>
      <c r="C69" s="72"/>
      <c r="D69" s="72"/>
      <c r="E69" s="72"/>
      <c r="F69" s="72"/>
      <c r="G69" s="72"/>
      <c r="H69" s="72"/>
      <c r="I69" s="72"/>
      <c r="J69" s="72"/>
      <c r="K69" s="72"/>
      <c r="L69" s="93"/>
      <c r="M69" s="93"/>
      <c r="N69" s="93"/>
      <c r="O69" s="93"/>
      <c r="P69" s="93"/>
      <c r="Q69" s="93"/>
      <c r="R69" s="93"/>
      <c r="S69" s="93"/>
      <c r="T69" s="93"/>
      <c r="U69" s="93"/>
      <c r="V69" s="93"/>
      <c r="W69" s="93"/>
      <c r="X69" s="93"/>
      <c r="Y69" s="93"/>
    </row>
    <row r="70" spans="1:25">
      <c r="A70" s="72"/>
      <c r="B70" s="72"/>
      <c r="C70" s="72"/>
      <c r="D70" s="72"/>
      <c r="E70" s="72"/>
      <c r="F70" s="72"/>
      <c r="G70" s="72"/>
      <c r="H70" s="72"/>
      <c r="I70" s="72"/>
      <c r="J70" s="72"/>
      <c r="K70" s="72"/>
      <c r="L70" s="93"/>
      <c r="M70" s="93"/>
      <c r="N70" s="93"/>
      <c r="O70" s="93"/>
      <c r="P70" s="93"/>
      <c r="Q70" s="93"/>
      <c r="R70" s="93"/>
      <c r="S70" s="93"/>
      <c r="T70" s="93"/>
      <c r="U70" s="93"/>
      <c r="V70" s="93"/>
      <c r="W70" s="93"/>
      <c r="X70" s="93"/>
      <c r="Y70" s="93"/>
    </row>
    <row r="71" spans="1:25">
      <c r="A71" s="72"/>
      <c r="B71" s="72"/>
      <c r="C71" s="72"/>
      <c r="D71" s="72"/>
      <c r="E71" s="72"/>
      <c r="F71" s="72"/>
      <c r="G71" s="72"/>
      <c r="H71" s="72"/>
      <c r="I71" s="72"/>
      <c r="J71" s="72"/>
      <c r="K71" s="72"/>
      <c r="L71" s="93"/>
      <c r="M71" s="93"/>
      <c r="N71" s="93"/>
      <c r="O71" s="93"/>
      <c r="P71" s="93"/>
      <c r="Q71" s="93"/>
      <c r="R71" s="93"/>
      <c r="S71" s="93"/>
      <c r="T71" s="93"/>
      <c r="U71" s="93"/>
      <c r="V71" s="93"/>
      <c r="W71" s="93"/>
      <c r="X71" s="93"/>
      <c r="Y71" s="93"/>
    </row>
    <row r="72" spans="1:25">
      <c r="A72" s="72"/>
      <c r="B72" s="72"/>
      <c r="C72" s="72"/>
      <c r="D72" s="72"/>
      <c r="E72" s="72"/>
      <c r="F72" s="72"/>
      <c r="G72" s="72"/>
      <c r="H72" s="72"/>
      <c r="I72" s="72"/>
      <c r="J72" s="72"/>
      <c r="K72" s="72"/>
      <c r="L72" s="93"/>
      <c r="M72" s="93"/>
      <c r="N72" s="93"/>
      <c r="O72" s="93"/>
      <c r="P72" s="93"/>
      <c r="Q72" s="93"/>
      <c r="R72" s="93"/>
      <c r="S72" s="93"/>
      <c r="T72" s="93"/>
      <c r="U72" s="93"/>
      <c r="V72" s="93"/>
      <c r="W72" s="93"/>
      <c r="X72" s="93"/>
      <c r="Y72" s="93"/>
    </row>
    <row r="73" spans="1:25">
      <c r="A73" s="72"/>
      <c r="B73" s="72"/>
      <c r="C73" s="72"/>
      <c r="D73" s="72"/>
      <c r="E73" s="72"/>
      <c r="F73" s="72"/>
      <c r="G73" s="72"/>
      <c r="H73" s="72"/>
      <c r="I73" s="72"/>
      <c r="J73" s="72"/>
      <c r="K73" s="72"/>
      <c r="L73" s="93"/>
      <c r="M73" s="93"/>
      <c r="N73" s="93"/>
      <c r="O73" s="93"/>
      <c r="P73" s="93"/>
      <c r="Q73" s="93"/>
      <c r="R73" s="93"/>
      <c r="S73" s="93"/>
      <c r="T73" s="93"/>
      <c r="U73" s="93"/>
      <c r="V73" s="93"/>
      <c r="W73" s="93"/>
      <c r="X73" s="93"/>
      <c r="Y73" s="93"/>
    </row>
    <row r="74" spans="1:25">
      <c r="A74" s="72"/>
      <c r="B74" s="72"/>
      <c r="C74" s="72"/>
      <c r="D74" s="72"/>
      <c r="E74" s="72"/>
      <c r="F74" s="72"/>
      <c r="G74" s="72"/>
      <c r="H74" s="72"/>
      <c r="I74" s="72"/>
      <c r="J74" s="72"/>
      <c r="K74" s="72"/>
      <c r="L74" s="93"/>
      <c r="M74" s="93"/>
      <c r="N74" s="93"/>
      <c r="O74" s="93"/>
      <c r="P74" s="93"/>
      <c r="Q74" s="93"/>
      <c r="R74" s="93"/>
      <c r="S74" s="93"/>
      <c r="T74" s="93"/>
      <c r="U74" s="93"/>
      <c r="V74" s="93"/>
      <c r="W74" s="93"/>
      <c r="X74" s="93"/>
      <c r="Y74" s="93"/>
    </row>
    <row r="75" spans="1:25">
      <c r="A75" s="72"/>
      <c r="B75" s="72"/>
      <c r="C75" s="72"/>
      <c r="D75" s="72"/>
      <c r="E75" s="72"/>
      <c r="F75" s="72"/>
      <c r="G75" s="72"/>
      <c r="H75" s="72"/>
      <c r="I75" s="72"/>
      <c r="J75" s="72"/>
      <c r="K75" s="72"/>
      <c r="L75" s="93"/>
      <c r="M75" s="93"/>
      <c r="N75" s="93"/>
      <c r="O75" s="93"/>
      <c r="P75" s="93"/>
      <c r="Q75" s="93"/>
      <c r="R75" s="93"/>
      <c r="S75" s="93"/>
      <c r="T75" s="93"/>
      <c r="U75" s="93"/>
      <c r="V75" s="93"/>
      <c r="W75" s="93"/>
      <c r="X75" s="93"/>
      <c r="Y75" s="93"/>
    </row>
    <row r="76" spans="1:25">
      <c r="A76" s="72"/>
      <c r="B76" s="72"/>
      <c r="C76" s="72"/>
      <c r="D76" s="72"/>
      <c r="E76" s="72"/>
      <c r="F76" s="72"/>
      <c r="G76" s="72"/>
      <c r="H76" s="72"/>
      <c r="I76" s="72"/>
      <c r="J76" s="72"/>
      <c r="K76" s="72"/>
      <c r="L76" s="93"/>
      <c r="M76" s="93"/>
      <c r="N76" s="93"/>
      <c r="O76" s="93"/>
      <c r="P76" s="93"/>
      <c r="Q76" s="93"/>
      <c r="R76" s="93"/>
      <c r="S76" s="93"/>
      <c r="T76" s="93"/>
      <c r="U76" s="93"/>
      <c r="V76" s="93"/>
      <c r="W76" s="93"/>
      <c r="X76" s="93"/>
      <c r="Y76" s="93"/>
    </row>
    <row r="77" spans="1:25">
      <c r="A77" s="72"/>
      <c r="B77" s="72"/>
      <c r="C77" s="72"/>
      <c r="D77" s="72"/>
      <c r="E77" s="72"/>
      <c r="F77" s="72"/>
      <c r="G77" s="72"/>
      <c r="H77" s="72"/>
      <c r="I77" s="72"/>
      <c r="J77" s="72"/>
      <c r="K77" s="72"/>
      <c r="L77" s="93"/>
      <c r="M77" s="93"/>
      <c r="N77" s="93"/>
      <c r="O77" s="93"/>
      <c r="P77" s="93"/>
      <c r="Q77" s="93"/>
      <c r="R77" s="93"/>
      <c r="S77" s="93"/>
      <c r="T77" s="93"/>
      <c r="U77" s="93"/>
      <c r="V77" s="93"/>
      <c r="W77" s="93"/>
      <c r="X77" s="93"/>
      <c r="Y77" s="93"/>
    </row>
    <row r="78" spans="1:25">
      <c r="A78" s="72"/>
      <c r="B78" s="72"/>
      <c r="C78" s="72"/>
      <c r="D78" s="72"/>
      <c r="E78" s="72"/>
      <c r="F78" s="72"/>
      <c r="G78" s="72"/>
      <c r="H78" s="72"/>
      <c r="I78" s="72"/>
      <c r="J78" s="72"/>
      <c r="K78" s="72"/>
      <c r="L78" s="93"/>
      <c r="M78" s="93"/>
      <c r="N78" s="93"/>
      <c r="O78" s="93"/>
      <c r="P78" s="93"/>
      <c r="Q78" s="93"/>
      <c r="R78" s="93"/>
      <c r="S78" s="93"/>
      <c r="T78" s="93"/>
      <c r="U78" s="93"/>
      <c r="V78" s="93"/>
      <c r="W78" s="93"/>
      <c r="X78" s="93"/>
      <c r="Y78" s="93"/>
    </row>
    <row r="79" spans="1:25">
      <c r="A79" s="72"/>
      <c r="B79" s="72"/>
      <c r="C79" s="72"/>
      <c r="D79" s="72"/>
      <c r="E79" s="72"/>
      <c r="F79" s="72"/>
      <c r="G79" s="72"/>
      <c r="H79" s="72"/>
      <c r="I79" s="72"/>
      <c r="J79" s="72"/>
      <c r="K79" s="72"/>
      <c r="L79" s="93"/>
      <c r="M79" s="93"/>
      <c r="N79" s="93"/>
      <c r="O79" s="93"/>
      <c r="P79" s="93"/>
      <c r="Q79" s="93"/>
      <c r="R79" s="93"/>
      <c r="S79" s="93"/>
      <c r="T79" s="93"/>
      <c r="U79" s="93"/>
      <c r="V79" s="93"/>
      <c r="W79" s="93"/>
      <c r="X79" s="93"/>
      <c r="Y79" s="93"/>
    </row>
    <row r="80" spans="1:25">
      <c r="A80" s="72"/>
      <c r="B80" s="72"/>
      <c r="C80" s="72"/>
      <c r="D80" s="72"/>
      <c r="E80" s="72"/>
      <c r="F80" s="72"/>
      <c r="G80" s="72"/>
      <c r="H80" s="72"/>
      <c r="I80" s="72"/>
      <c r="J80" s="72"/>
      <c r="K80" s="72"/>
      <c r="L80" s="93"/>
      <c r="M80" s="93"/>
      <c r="N80" s="93"/>
      <c r="O80" s="93"/>
      <c r="P80" s="93"/>
      <c r="Q80" s="93"/>
      <c r="R80" s="93"/>
      <c r="S80" s="93"/>
      <c r="T80" s="93"/>
      <c r="U80" s="93"/>
      <c r="V80" s="93"/>
      <c r="W80" s="93"/>
      <c r="X80" s="93"/>
      <c r="Y80" s="93"/>
    </row>
    <row r="81" spans="1:25">
      <c r="A81" s="72"/>
      <c r="B81" s="72"/>
      <c r="C81" s="72"/>
      <c r="D81" s="72"/>
      <c r="E81" s="72"/>
      <c r="F81" s="72"/>
      <c r="G81" s="72"/>
      <c r="H81" s="72"/>
      <c r="I81" s="72"/>
      <c r="J81" s="72"/>
      <c r="K81" s="72"/>
      <c r="L81" s="93"/>
      <c r="M81" s="93"/>
      <c r="N81" s="93"/>
      <c r="O81" s="93"/>
      <c r="P81" s="93"/>
      <c r="Q81" s="93"/>
      <c r="R81" s="93"/>
      <c r="S81" s="93"/>
      <c r="T81" s="93"/>
      <c r="U81" s="93"/>
      <c r="V81" s="93"/>
      <c r="W81" s="93"/>
      <c r="X81" s="93"/>
      <c r="Y81" s="93"/>
    </row>
    <row r="82" spans="1:25">
      <c r="A82" s="72"/>
      <c r="B82" s="72"/>
      <c r="C82" s="72"/>
      <c r="D82" s="72"/>
      <c r="E82" s="72"/>
      <c r="F82" s="72"/>
      <c r="G82" s="72"/>
      <c r="H82" s="72"/>
      <c r="I82" s="72"/>
      <c r="J82" s="72"/>
      <c r="K82" s="72"/>
      <c r="L82" s="93"/>
      <c r="M82" s="93"/>
      <c r="N82" s="93"/>
      <c r="O82" s="93"/>
      <c r="P82" s="93"/>
      <c r="Q82" s="93"/>
      <c r="R82" s="93"/>
      <c r="S82" s="93"/>
      <c r="T82" s="93"/>
      <c r="U82" s="93"/>
      <c r="V82" s="93"/>
      <c r="W82" s="93"/>
      <c r="X82" s="93"/>
      <c r="Y82" s="93"/>
    </row>
    <row r="83" spans="1:25">
      <c r="A83" s="72"/>
      <c r="B83" s="72"/>
      <c r="C83" s="72"/>
      <c r="D83" s="72"/>
      <c r="E83" s="72"/>
      <c r="F83" s="72"/>
      <c r="G83" s="72"/>
      <c r="H83" s="72"/>
      <c r="I83" s="72"/>
      <c r="J83" s="72"/>
      <c r="K83" s="72"/>
      <c r="L83" s="93"/>
      <c r="M83" s="93"/>
      <c r="N83" s="93"/>
      <c r="O83" s="93"/>
      <c r="P83" s="93"/>
      <c r="Q83" s="93"/>
      <c r="R83" s="93"/>
      <c r="S83" s="93"/>
      <c r="T83" s="93"/>
      <c r="U83" s="93"/>
      <c r="V83" s="93"/>
      <c r="W83" s="93"/>
      <c r="X83" s="93"/>
      <c r="Y83" s="93"/>
    </row>
    <row r="84" spans="1:25">
      <c r="A84" s="72"/>
      <c r="B84" s="72"/>
      <c r="C84" s="72"/>
      <c r="D84" s="72"/>
      <c r="E84" s="72"/>
      <c r="F84" s="72"/>
      <c r="G84" s="72"/>
      <c r="H84" s="72"/>
      <c r="I84" s="72"/>
      <c r="J84" s="72"/>
      <c r="K84" s="72"/>
      <c r="L84" s="93"/>
      <c r="M84" s="93"/>
      <c r="N84" s="93"/>
      <c r="O84" s="93"/>
      <c r="P84" s="93"/>
      <c r="Q84" s="93"/>
      <c r="R84" s="93"/>
      <c r="S84" s="93"/>
      <c r="T84" s="93"/>
      <c r="U84" s="93"/>
      <c r="V84" s="93"/>
      <c r="W84" s="93"/>
      <c r="X84" s="93"/>
      <c r="Y84" s="93"/>
    </row>
    <row r="85" spans="1:25">
      <c r="A85" s="72"/>
      <c r="B85" s="72"/>
      <c r="C85" s="72"/>
      <c r="D85" s="72"/>
      <c r="E85" s="72"/>
      <c r="F85" s="72"/>
      <c r="G85" s="72"/>
      <c r="H85" s="72"/>
      <c r="I85" s="72"/>
      <c r="J85" s="72"/>
      <c r="K85" s="72"/>
      <c r="L85" s="93"/>
      <c r="M85" s="93"/>
      <c r="N85" s="93"/>
      <c r="O85" s="93"/>
      <c r="P85" s="93"/>
      <c r="Q85" s="93"/>
      <c r="R85" s="93"/>
      <c r="S85" s="93"/>
      <c r="T85" s="93"/>
      <c r="U85" s="93"/>
      <c r="V85" s="93"/>
      <c r="W85" s="93"/>
      <c r="X85" s="93"/>
      <c r="Y85" s="93"/>
    </row>
    <row r="86" spans="1:25">
      <c r="A86" s="72"/>
      <c r="B86" s="72"/>
      <c r="C86" s="72"/>
      <c r="D86" s="72"/>
      <c r="E86" s="72"/>
      <c r="F86" s="72"/>
      <c r="G86" s="72"/>
      <c r="H86" s="72"/>
      <c r="I86" s="72"/>
      <c r="J86" s="72"/>
      <c r="K86" s="72"/>
      <c r="L86" s="93"/>
      <c r="M86" s="93"/>
      <c r="N86" s="93"/>
      <c r="O86" s="93"/>
      <c r="P86" s="93"/>
      <c r="Q86" s="93"/>
      <c r="R86" s="93"/>
      <c r="S86" s="93"/>
      <c r="T86" s="93"/>
      <c r="U86" s="93"/>
      <c r="V86" s="93"/>
      <c r="W86" s="93"/>
      <c r="X86" s="93"/>
      <c r="Y86" s="93"/>
    </row>
    <row r="87" spans="1:25">
      <c r="A87" s="72"/>
      <c r="B87" s="72"/>
      <c r="C87" s="72"/>
      <c r="D87" s="72"/>
      <c r="E87" s="72"/>
      <c r="F87" s="72"/>
      <c r="G87" s="72"/>
      <c r="H87" s="72"/>
      <c r="I87" s="72"/>
      <c r="J87" s="72"/>
      <c r="K87" s="72"/>
      <c r="L87" s="93"/>
      <c r="M87" s="93"/>
      <c r="N87" s="93"/>
      <c r="O87" s="93"/>
      <c r="P87" s="93"/>
      <c r="Q87" s="93"/>
      <c r="R87" s="93"/>
      <c r="S87" s="93"/>
      <c r="T87" s="93"/>
      <c r="U87" s="93"/>
      <c r="V87" s="93"/>
      <c r="W87" s="93"/>
      <c r="X87" s="93"/>
      <c r="Y87" s="93"/>
    </row>
    <row r="88" spans="1:25">
      <c r="A88" s="72"/>
      <c r="B88" s="72"/>
      <c r="C88" s="72"/>
      <c r="D88" s="72"/>
      <c r="E88" s="72"/>
      <c r="F88" s="72"/>
      <c r="G88" s="72"/>
      <c r="H88" s="72"/>
      <c r="I88" s="72"/>
      <c r="J88" s="72"/>
      <c r="K88" s="72"/>
      <c r="L88" s="93"/>
      <c r="M88" s="93"/>
      <c r="N88" s="93"/>
      <c r="O88" s="93"/>
      <c r="P88" s="93"/>
      <c r="Q88" s="93"/>
      <c r="R88" s="93"/>
      <c r="S88" s="93"/>
      <c r="T88" s="93"/>
      <c r="U88" s="93"/>
      <c r="V88" s="93"/>
      <c r="W88" s="93"/>
      <c r="X88" s="93"/>
      <c r="Y88" s="93"/>
    </row>
    <row r="89" spans="1:25">
      <c r="A89" s="72"/>
      <c r="B89" s="72"/>
      <c r="C89" s="72"/>
      <c r="D89" s="72"/>
      <c r="E89" s="72"/>
      <c r="F89" s="72"/>
      <c r="G89" s="72"/>
      <c r="H89" s="72"/>
      <c r="I89" s="72"/>
      <c r="J89" s="72"/>
      <c r="K89" s="72"/>
      <c r="L89" s="93"/>
      <c r="M89" s="93"/>
      <c r="N89" s="93"/>
      <c r="O89" s="93"/>
      <c r="P89" s="93"/>
      <c r="Q89" s="93"/>
      <c r="R89" s="93"/>
      <c r="S89" s="93"/>
      <c r="T89" s="93"/>
      <c r="U89" s="93"/>
      <c r="V89" s="93"/>
      <c r="W89" s="93"/>
      <c r="X89" s="93"/>
      <c r="Y89" s="93"/>
    </row>
    <row r="90" spans="1:25">
      <c r="A90" s="72"/>
      <c r="B90" s="72"/>
      <c r="C90" s="72"/>
      <c r="D90" s="72"/>
      <c r="E90" s="72"/>
      <c r="F90" s="72"/>
      <c r="G90" s="72"/>
      <c r="H90" s="72"/>
      <c r="I90" s="72"/>
      <c r="J90" s="72"/>
      <c r="K90" s="72"/>
      <c r="L90" s="93"/>
      <c r="M90" s="93"/>
      <c r="N90" s="93"/>
      <c r="O90" s="93"/>
      <c r="P90" s="93"/>
      <c r="Q90" s="93"/>
      <c r="R90" s="93"/>
      <c r="S90" s="93"/>
      <c r="T90" s="93"/>
      <c r="U90" s="93"/>
      <c r="V90" s="93"/>
      <c r="W90" s="93"/>
      <c r="X90" s="93"/>
      <c r="Y90" s="93"/>
    </row>
    <row r="91" spans="1:25">
      <c r="A91" s="72"/>
      <c r="B91" s="72"/>
      <c r="C91" s="72"/>
      <c r="D91" s="72"/>
      <c r="E91" s="72"/>
      <c r="F91" s="72"/>
      <c r="G91" s="72"/>
      <c r="H91" s="72"/>
      <c r="I91" s="72"/>
      <c r="J91" s="72"/>
      <c r="K91" s="72"/>
      <c r="L91" s="93"/>
      <c r="M91" s="93"/>
      <c r="N91" s="93"/>
      <c r="O91" s="93"/>
      <c r="P91" s="93"/>
      <c r="Q91" s="93"/>
      <c r="R91" s="93"/>
      <c r="S91" s="93"/>
      <c r="T91" s="93"/>
      <c r="U91" s="93"/>
      <c r="V91" s="93"/>
      <c r="W91" s="93"/>
      <c r="X91" s="93"/>
      <c r="Y91" s="93"/>
    </row>
    <row r="92" spans="1:25">
      <c r="A92" s="72"/>
      <c r="B92" s="72"/>
      <c r="C92" s="72"/>
      <c r="D92" s="72"/>
      <c r="E92" s="72"/>
      <c r="F92" s="72"/>
      <c r="G92" s="72"/>
      <c r="H92" s="72"/>
      <c r="I92" s="72"/>
      <c r="J92" s="72"/>
      <c r="K92" s="72"/>
      <c r="L92" s="93"/>
      <c r="M92" s="93"/>
      <c r="N92" s="93"/>
      <c r="O92" s="93"/>
      <c r="P92" s="93"/>
      <c r="Q92" s="93"/>
      <c r="R92" s="93"/>
      <c r="S92" s="93"/>
      <c r="T92" s="93"/>
      <c r="U92" s="93"/>
      <c r="V92" s="93"/>
      <c r="W92" s="93"/>
      <c r="X92" s="93"/>
      <c r="Y92" s="93"/>
    </row>
    <row r="93" spans="1:25">
      <c r="A93" s="72"/>
      <c r="B93" s="72"/>
      <c r="C93" s="72"/>
      <c r="D93" s="72"/>
      <c r="E93" s="72"/>
      <c r="F93" s="72"/>
      <c r="G93" s="72"/>
      <c r="H93" s="72"/>
      <c r="I93" s="72"/>
      <c r="J93" s="72"/>
      <c r="K93" s="72"/>
      <c r="L93" s="93"/>
      <c r="M93" s="93"/>
      <c r="N93" s="93"/>
      <c r="O93" s="93"/>
      <c r="P93" s="93"/>
      <c r="Q93" s="93"/>
      <c r="R93" s="93"/>
      <c r="S93" s="93"/>
      <c r="T93" s="93"/>
      <c r="U93" s="93"/>
      <c r="V93" s="93"/>
      <c r="W93" s="93"/>
      <c r="X93" s="93"/>
      <c r="Y93" s="93"/>
    </row>
    <row r="94" spans="1:25">
      <c r="A94" s="72"/>
      <c r="B94" s="72"/>
      <c r="C94" s="72"/>
      <c r="D94" s="72"/>
      <c r="E94" s="72"/>
      <c r="F94" s="72"/>
      <c r="G94" s="72"/>
      <c r="H94" s="72"/>
      <c r="I94" s="72"/>
      <c r="J94" s="72"/>
      <c r="K94" s="72"/>
      <c r="L94" s="93"/>
      <c r="M94" s="93"/>
      <c r="N94" s="93"/>
      <c r="O94" s="93"/>
      <c r="P94" s="93"/>
      <c r="Q94" s="93"/>
      <c r="R94" s="93"/>
      <c r="S94" s="93"/>
      <c r="T94" s="93"/>
      <c r="U94" s="93"/>
      <c r="V94" s="93"/>
      <c r="W94" s="93"/>
      <c r="X94" s="93"/>
      <c r="Y94" s="93"/>
    </row>
    <row r="95" spans="1:25">
      <c r="A95" s="72"/>
      <c r="B95" s="72"/>
      <c r="C95" s="72"/>
      <c r="D95" s="72"/>
      <c r="E95" s="72"/>
      <c r="F95" s="72"/>
      <c r="G95" s="72"/>
      <c r="H95" s="72"/>
      <c r="I95" s="72"/>
      <c r="J95" s="72"/>
      <c r="K95" s="72"/>
      <c r="L95" s="93"/>
      <c r="M95" s="93"/>
      <c r="N95" s="93"/>
      <c r="O95" s="93"/>
      <c r="P95" s="93"/>
      <c r="Q95" s="93"/>
      <c r="R95" s="93"/>
      <c r="S95" s="93"/>
      <c r="T95" s="93"/>
      <c r="U95" s="93"/>
      <c r="V95" s="93"/>
      <c r="W95" s="93"/>
      <c r="X95" s="93"/>
      <c r="Y95" s="93"/>
    </row>
    <row r="96" spans="1:25">
      <c r="A96" s="72"/>
      <c r="B96" s="72"/>
      <c r="C96" s="72"/>
      <c r="D96" s="72"/>
      <c r="E96" s="72"/>
      <c r="F96" s="72"/>
      <c r="G96" s="72"/>
      <c r="H96" s="72"/>
      <c r="I96" s="72"/>
      <c r="J96" s="72"/>
      <c r="K96" s="72"/>
      <c r="L96" s="93"/>
      <c r="M96" s="93"/>
      <c r="N96" s="93"/>
      <c r="O96" s="93"/>
      <c r="P96" s="93"/>
      <c r="Q96" s="93"/>
      <c r="R96" s="93"/>
      <c r="S96" s="93"/>
      <c r="T96" s="93"/>
      <c r="U96" s="93"/>
      <c r="V96" s="93"/>
      <c r="W96" s="93"/>
      <c r="X96" s="93"/>
      <c r="Y96" s="93"/>
    </row>
    <row r="97" spans="1:25">
      <c r="A97" s="72"/>
      <c r="B97" s="72"/>
      <c r="C97" s="72"/>
      <c r="D97" s="72"/>
      <c r="E97" s="72"/>
      <c r="F97" s="72"/>
      <c r="G97" s="72"/>
      <c r="H97" s="72"/>
      <c r="I97" s="72"/>
      <c r="J97" s="72"/>
      <c r="K97" s="72"/>
      <c r="L97" s="93"/>
      <c r="M97" s="93"/>
      <c r="N97" s="93"/>
      <c r="O97" s="93"/>
      <c r="P97" s="93"/>
      <c r="Q97" s="93"/>
      <c r="R97" s="93"/>
      <c r="S97" s="93"/>
      <c r="T97" s="93"/>
      <c r="U97" s="93"/>
      <c r="V97" s="93"/>
      <c r="W97" s="93"/>
      <c r="X97" s="93"/>
      <c r="Y97" s="93"/>
    </row>
    <row r="98" spans="1:25">
      <c r="A98" s="72"/>
      <c r="B98" s="72"/>
      <c r="C98" s="72"/>
      <c r="D98" s="72"/>
      <c r="E98" s="72"/>
      <c r="F98" s="72"/>
      <c r="G98" s="72"/>
      <c r="H98" s="72"/>
      <c r="I98" s="72"/>
      <c r="J98" s="72"/>
      <c r="K98" s="72"/>
      <c r="L98" s="93"/>
      <c r="M98" s="93"/>
      <c r="N98" s="93"/>
      <c r="O98" s="93"/>
      <c r="P98" s="93"/>
      <c r="Q98" s="93"/>
      <c r="R98" s="93"/>
      <c r="S98" s="93"/>
      <c r="T98" s="93"/>
      <c r="U98" s="93"/>
      <c r="V98" s="93"/>
      <c r="W98" s="93"/>
      <c r="X98" s="93"/>
      <c r="Y98" s="93"/>
    </row>
    <row r="99" spans="1:25">
      <c r="A99" s="72"/>
      <c r="B99" s="72"/>
      <c r="C99" s="72"/>
      <c r="D99" s="72"/>
      <c r="E99" s="72"/>
      <c r="F99" s="72"/>
      <c r="G99" s="72"/>
      <c r="H99" s="72"/>
      <c r="I99" s="72"/>
      <c r="J99" s="72"/>
      <c r="K99" s="72"/>
      <c r="L99" s="93"/>
      <c r="M99" s="93"/>
      <c r="N99" s="93"/>
      <c r="O99" s="93"/>
      <c r="P99" s="93"/>
      <c r="Q99" s="93"/>
      <c r="R99" s="93"/>
      <c r="S99" s="93"/>
      <c r="T99" s="93"/>
      <c r="U99" s="93"/>
      <c r="V99" s="93"/>
      <c r="W99" s="93"/>
      <c r="X99" s="93"/>
      <c r="Y99" s="93"/>
    </row>
    <row r="100" spans="1:25">
      <c r="A100" s="72"/>
      <c r="B100" s="72"/>
      <c r="C100" s="72"/>
      <c r="D100" s="72"/>
      <c r="E100" s="72"/>
      <c r="F100" s="72"/>
      <c r="G100" s="72"/>
      <c r="H100" s="72"/>
      <c r="I100" s="72"/>
      <c r="J100" s="72"/>
      <c r="K100" s="72"/>
      <c r="L100" s="93"/>
      <c r="M100" s="93"/>
      <c r="N100" s="93"/>
      <c r="O100" s="93"/>
      <c r="P100" s="93"/>
      <c r="Q100" s="93"/>
      <c r="R100" s="93"/>
      <c r="S100" s="93"/>
      <c r="T100" s="93"/>
      <c r="U100" s="93"/>
      <c r="V100" s="93"/>
      <c r="W100" s="93"/>
      <c r="X100" s="93"/>
      <c r="Y100" s="93"/>
    </row>
    <row r="101" spans="1:25">
      <c r="A101" s="72"/>
      <c r="B101" s="72"/>
      <c r="C101" s="72"/>
      <c r="D101" s="72"/>
      <c r="E101" s="72"/>
      <c r="F101" s="72"/>
      <c r="G101" s="72"/>
      <c r="H101" s="72"/>
      <c r="I101" s="72"/>
      <c r="J101" s="72"/>
      <c r="K101" s="72"/>
      <c r="L101" s="93"/>
      <c r="M101" s="93"/>
      <c r="N101" s="93"/>
      <c r="O101" s="93"/>
      <c r="P101" s="93"/>
      <c r="Q101" s="93"/>
      <c r="R101" s="93"/>
      <c r="S101" s="93"/>
      <c r="T101" s="93"/>
      <c r="U101" s="93"/>
      <c r="V101" s="93"/>
      <c r="W101" s="93"/>
      <c r="X101" s="93"/>
      <c r="Y101" s="93"/>
    </row>
    <row r="102" spans="1:25">
      <c r="A102" s="72"/>
      <c r="B102" s="72"/>
      <c r="C102" s="72"/>
      <c r="D102" s="72"/>
      <c r="E102" s="72"/>
      <c r="F102" s="72"/>
      <c r="G102" s="72"/>
      <c r="H102" s="72"/>
      <c r="I102" s="72"/>
      <c r="J102" s="72"/>
      <c r="K102" s="72"/>
      <c r="L102" s="93"/>
      <c r="M102" s="93"/>
      <c r="N102" s="93"/>
      <c r="O102" s="93"/>
      <c r="P102" s="93"/>
      <c r="Q102" s="93"/>
      <c r="R102" s="93"/>
      <c r="S102" s="93"/>
      <c r="T102" s="93"/>
      <c r="U102" s="93"/>
      <c r="V102" s="93"/>
      <c r="W102" s="93"/>
      <c r="X102" s="93"/>
      <c r="Y102" s="93"/>
    </row>
    <row r="103" spans="1:25">
      <c r="A103" s="72"/>
      <c r="B103" s="72"/>
      <c r="C103" s="72"/>
      <c r="D103" s="72"/>
      <c r="E103" s="72"/>
      <c r="F103" s="72"/>
      <c r="G103" s="72"/>
      <c r="H103" s="72"/>
      <c r="I103" s="72"/>
      <c r="J103" s="72"/>
      <c r="K103" s="72"/>
      <c r="L103" s="93"/>
      <c r="M103" s="93"/>
      <c r="N103" s="93"/>
      <c r="O103" s="93"/>
      <c r="P103" s="93"/>
      <c r="Q103" s="93"/>
      <c r="R103" s="93"/>
      <c r="S103" s="93"/>
      <c r="T103" s="93"/>
      <c r="U103" s="93"/>
      <c r="V103" s="93"/>
      <c r="W103" s="93"/>
      <c r="X103" s="93"/>
      <c r="Y103" s="93"/>
    </row>
    <row r="104" spans="1:25">
      <c r="A104" s="72"/>
      <c r="B104" s="72"/>
      <c r="C104" s="72"/>
      <c r="D104" s="72"/>
      <c r="E104" s="72"/>
      <c r="F104" s="72"/>
      <c r="G104" s="72"/>
      <c r="H104" s="72"/>
      <c r="I104" s="72"/>
      <c r="J104" s="72"/>
      <c r="K104" s="72"/>
      <c r="L104" s="93"/>
      <c r="M104" s="93"/>
      <c r="N104" s="93"/>
      <c r="O104" s="93"/>
      <c r="P104" s="93"/>
      <c r="Q104" s="93"/>
      <c r="R104" s="93"/>
      <c r="S104" s="93"/>
      <c r="T104" s="93"/>
      <c r="U104" s="93"/>
      <c r="V104" s="93"/>
      <c r="W104" s="93"/>
      <c r="X104" s="93"/>
      <c r="Y104" s="93"/>
    </row>
    <row r="105" spans="1:25">
      <c r="A105" s="72"/>
      <c r="B105" s="72"/>
      <c r="C105" s="72"/>
      <c r="D105" s="72"/>
      <c r="E105" s="72"/>
      <c r="F105" s="72"/>
      <c r="G105" s="72"/>
      <c r="H105" s="72"/>
      <c r="I105" s="72"/>
      <c r="J105" s="72"/>
      <c r="K105" s="72"/>
      <c r="L105" s="93"/>
      <c r="M105" s="93"/>
      <c r="N105" s="93"/>
      <c r="O105" s="93"/>
      <c r="P105" s="93"/>
      <c r="Q105" s="93"/>
      <c r="R105" s="93"/>
      <c r="S105" s="93"/>
      <c r="T105" s="93"/>
      <c r="U105" s="93"/>
      <c r="V105" s="93"/>
      <c r="W105" s="93"/>
      <c r="X105" s="93"/>
      <c r="Y105" s="93"/>
    </row>
    <row r="106" spans="1:25">
      <c r="A106" s="72"/>
      <c r="B106" s="72"/>
      <c r="C106" s="72"/>
      <c r="D106" s="72"/>
      <c r="E106" s="72"/>
      <c r="F106" s="72"/>
      <c r="G106" s="72"/>
      <c r="H106" s="72"/>
      <c r="I106" s="72"/>
      <c r="J106" s="72"/>
      <c r="K106" s="72"/>
      <c r="L106" s="93"/>
      <c r="M106" s="93"/>
      <c r="N106" s="93"/>
      <c r="O106" s="93"/>
      <c r="P106" s="93"/>
      <c r="Q106" s="93"/>
      <c r="R106" s="93"/>
      <c r="S106" s="93"/>
      <c r="T106" s="93"/>
      <c r="U106" s="93"/>
      <c r="V106" s="93"/>
      <c r="W106" s="93"/>
      <c r="X106" s="93"/>
      <c r="Y106" s="93"/>
    </row>
    <row r="107" spans="1:25">
      <c r="A107" s="72"/>
      <c r="B107" s="72"/>
      <c r="C107" s="72"/>
      <c r="D107" s="72"/>
      <c r="E107" s="72"/>
      <c r="F107" s="72"/>
      <c r="G107" s="72"/>
      <c r="H107" s="72"/>
      <c r="I107" s="72"/>
      <c r="J107" s="72"/>
      <c r="K107" s="72"/>
      <c r="L107" s="93"/>
      <c r="M107" s="93"/>
      <c r="N107" s="93"/>
      <c r="O107" s="93"/>
      <c r="P107" s="93"/>
      <c r="Q107" s="93"/>
      <c r="R107" s="93"/>
      <c r="S107" s="93"/>
      <c r="T107" s="93"/>
      <c r="U107" s="93"/>
      <c r="V107" s="93"/>
      <c r="W107" s="93"/>
      <c r="X107" s="93"/>
      <c r="Y107" s="93"/>
    </row>
    <row r="108" spans="1:25">
      <c r="A108" s="72"/>
      <c r="B108" s="72"/>
      <c r="C108" s="72"/>
      <c r="D108" s="72"/>
      <c r="E108" s="72"/>
      <c r="F108" s="72"/>
      <c r="G108" s="72"/>
      <c r="H108" s="72"/>
      <c r="I108" s="72"/>
      <c r="J108" s="72"/>
      <c r="K108" s="72"/>
      <c r="L108" s="93"/>
      <c r="M108" s="93"/>
      <c r="N108" s="93"/>
      <c r="O108" s="93"/>
      <c r="P108" s="93"/>
      <c r="Q108" s="93"/>
      <c r="R108" s="93"/>
      <c r="S108" s="93"/>
      <c r="T108" s="93"/>
      <c r="U108" s="93"/>
      <c r="V108" s="93"/>
      <c r="W108" s="93"/>
      <c r="X108" s="93"/>
      <c r="Y108" s="93"/>
    </row>
    <row r="109" spans="1:25">
      <c r="A109" s="72"/>
      <c r="B109" s="72"/>
      <c r="C109" s="72"/>
      <c r="D109" s="72"/>
      <c r="E109" s="72"/>
      <c r="F109" s="72"/>
      <c r="G109" s="72"/>
      <c r="H109" s="72"/>
      <c r="I109" s="72"/>
      <c r="J109" s="72"/>
      <c r="K109" s="72"/>
      <c r="L109" s="93"/>
      <c r="M109" s="93"/>
      <c r="N109" s="93"/>
      <c r="O109" s="93"/>
      <c r="P109" s="93"/>
      <c r="Q109" s="93"/>
      <c r="R109" s="93"/>
      <c r="S109" s="93"/>
      <c r="T109" s="93"/>
      <c r="U109" s="93"/>
      <c r="V109" s="93"/>
      <c r="W109" s="93"/>
      <c r="X109" s="93"/>
      <c r="Y109" s="93"/>
    </row>
    <row r="110" spans="1:25">
      <c r="A110" s="72"/>
      <c r="B110" s="72"/>
      <c r="C110" s="72"/>
      <c r="D110" s="72"/>
      <c r="E110" s="72"/>
      <c r="F110" s="72"/>
      <c r="G110" s="72"/>
      <c r="H110" s="72"/>
      <c r="I110" s="72"/>
      <c r="J110" s="72"/>
      <c r="K110" s="72"/>
      <c r="L110" s="93"/>
      <c r="M110" s="93"/>
      <c r="N110" s="93"/>
      <c r="O110" s="93"/>
      <c r="P110" s="93"/>
      <c r="Q110" s="93"/>
      <c r="R110" s="93"/>
      <c r="S110" s="93"/>
      <c r="T110" s="93"/>
      <c r="U110" s="93"/>
      <c r="V110" s="93"/>
      <c r="W110" s="93"/>
      <c r="X110" s="93"/>
      <c r="Y110" s="93"/>
    </row>
    <row r="111" spans="1:25">
      <c r="A111" s="72"/>
      <c r="B111" s="72"/>
      <c r="C111" s="72"/>
      <c r="D111" s="72"/>
      <c r="E111" s="72"/>
      <c r="F111" s="72"/>
      <c r="G111" s="72"/>
      <c r="H111" s="72"/>
      <c r="I111" s="72"/>
      <c r="J111" s="72"/>
      <c r="K111" s="72"/>
      <c r="L111" s="93"/>
      <c r="M111" s="93"/>
      <c r="N111" s="93"/>
      <c r="O111" s="93"/>
      <c r="P111" s="93"/>
      <c r="Q111" s="93"/>
      <c r="R111" s="93"/>
      <c r="S111" s="93"/>
      <c r="T111" s="93"/>
      <c r="U111" s="93"/>
      <c r="V111" s="93"/>
      <c r="W111" s="93"/>
      <c r="X111" s="93"/>
      <c r="Y111" s="93"/>
    </row>
    <row r="112" spans="1:25">
      <c r="A112" s="72"/>
      <c r="B112" s="72"/>
      <c r="C112" s="72"/>
      <c r="D112" s="72"/>
      <c r="E112" s="72"/>
      <c r="F112" s="72"/>
      <c r="G112" s="72"/>
      <c r="H112" s="72"/>
      <c r="I112" s="72"/>
      <c r="J112" s="72"/>
      <c r="K112" s="72"/>
      <c r="L112" s="93"/>
      <c r="M112" s="93"/>
      <c r="N112" s="93"/>
      <c r="O112" s="93"/>
      <c r="P112" s="93"/>
      <c r="Q112" s="93"/>
      <c r="R112" s="93"/>
      <c r="S112" s="93"/>
      <c r="T112" s="93"/>
      <c r="U112" s="93"/>
      <c r="V112" s="93"/>
      <c r="W112" s="93"/>
      <c r="X112" s="93"/>
      <c r="Y112" s="93"/>
    </row>
    <row r="113" spans="1:25">
      <c r="A113" s="72"/>
      <c r="B113" s="72"/>
      <c r="C113" s="72"/>
      <c r="D113" s="72"/>
      <c r="E113" s="72"/>
      <c r="F113" s="72"/>
      <c r="G113" s="72"/>
      <c r="H113" s="72"/>
      <c r="I113" s="72"/>
      <c r="J113" s="72"/>
      <c r="K113" s="72"/>
      <c r="L113" s="93"/>
      <c r="M113" s="93"/>
      <c r="N113" s="93"/>
      <c r="O113" s="93"/>
      <c r="P113" s="93"/>
      <c r="Q113" s="93"/>
      <c r="R113" s="93"/>
      <c r="S113" s="93"/>
      <c r="T113" s="93"/>
      <c r="U113" s="93"/>
      <c r="V113" s="93"/>
      <c r="W113" s="93"/>
      <c r="X113" s="93"/>
      <c r="Y113" s="93"/>
    </row>
    <row r="114" spans="1:25">
      <c r="A114" s="72"/>
      <c r="B114" s="72"/>
      <c r="C114" s="72"/>
      <c r="D114" s="72"/>
      <c r="E114" s="72"/>
      <c r="F114" s="72"/>
      <c r="G114" s="72"/>
      <c r="H114" s="72"/>
      <c r="I114" s="72"/>
      <c r="J114" s="72"/>
      <c r="K114" s="72"/>
      <c r="L114" s="93"/>
      <c r="M114" s="93"/>
      <c r="N114" s="93"/>
      <c r="O114" s="93"/>
      <c r="P114" s="93"/>
      <c r="Q114" s="93"/>
      <c r="R114" s="93"/>
      <c r="S114" s="93"/>
      <c r="T114" s="93"/>
      <c r="U114" s="93"/>
      <c r="V114" s="93"/>
      <c r="W114" s="93"/>
      <c r="X114" s="93"/>
      <c r="Y114" s="93"/>
    </row>
    <row r="115" spans="1:25">
      <c r="A115" s="72"/>
      <c r="B115" s="72"/>
      <c r="C115" s="72"/>
      <c r="D115" s="72"/>
      <c r="E115" s="72"/>
      <c r="F115" s="72"/>
      <c r="G115" s="72"/>
      <c r="H115" s="72"/>
      <c r="I115" s="72"/>
      <c r="J115" s="72"/>
      <c r="K115" s="72"/>
      <c r="L115" s="93"/>
      <c r="M115" s="93"/>
      <c r="N115" s="93"/>
      <c r="O115" s="93"/>
      <c r="P115" s="93"/>
      <c r="Q115" s="93"/>
      <c r="R115" s="93"/>
      <c r="S115" s="93"/>
      <c r="T115" s="93"/>
      <c r="U115" s="93"/>
      <c r="V115" s="93"/>
      <c r="W115" s="93"/>
      <c r="X115" s="93"/>
      <c r="Y115" s="93"/>
    </row>
    <row r="116" spans="1:25">
      <c r="A116" s="72"/>
      <c r="B116" s="72"/>
      <c r="C116" s="72"/>
      <c r="D116" s="72"/>
      <c r="E116" s="72"/>
      <c r="F116" s="72"/>
      <c r="G116" s="72"/>
      <c r="H116" s="72"/>
      <c r="I116" s="72"/>
      <c r="J116" s="72"/>
      <c r="K116" s="72"/>
      <c r="L116" s="93"/>
      <c r="M116" s="93"/>
      <c r="N116" s="93"/>
      <c r="O116" s="93"/>
      <c r="P116" s="93"/>
      <c r="Q116" s="93"/>
      <c r="R116" s="93"/>
      <c r="S116" s="93"/>
      <c r="T116" s="93"/>
      <c r="U116" s="93"/>
      <c r="V116" s="93"/>
      <c r="W116" s="93"/>
      <c r="X116" s="93"/>
      <c r="Y116" s="93"/>
    </row>
    <row r="117" spans="1:25">
      <c r="A117" s="72"/>
      <c r="B117" s="72"/>
      <c r="C117" s="72"/>
      <c r="D117" s="72"/>
      <c r="E117" s="72"/>
      <c r="F117" s="72"/>
      <c r="G117" s="72"/>
      <c r="H117" s="72"/>
      <c r="I117" s="72"/>
      <c r="J117" s="72"/>
      <c r="K117" s="72"/>
      <c r="L117" s="93"/>
      <c r="M117" s="93"/>
      <c r="N117" s="93"/>
      <c r="O117" s="93"/>
      <c r="P117" s="93"/>
      <c r="Q117" s="93"/>
      <c r="R117" s="93"/>
      <c r="S117" s="93"/>
      <c r="T117" s="93"/>
      <c r="U117" s="93"/>
      <c r="V117" s="93"/>
      <c r="W117" s="93"/>
      <c r="X117" s="93"/>
      <c r="Y117" s="93"/>
    </row>
    <row r="118" spans="1:25">
      <c r="A118" s="72"/>
      <c r="B118" s="72"/>
      <c r="C118" s="72"/>
      <c r="D118" s="72"/>
      <c r="E118" s="72"/>
      <c r="F118" s="72"/>
      <c r="G118" s="72"/>
      <c r="H118" s="72"/>
      <c r="I118" s="72"/>
      <c r="J118" s="72"/>
      <c r="K118" s="72"/>
      <c r="L118" s="93"/>
      <c r="M118" s="93"/>
      <c r="N118" s="93"/>
      <c r="O118" s="93"/>
      <c r="P118" s="93"/>
      <c r="Q118" s="93"/>
      <c r="R118" s="93"/>
      <c r="S118" s="93"/>
      <c r="T118" s="93"/>
      <c r="U118" s="93"/>
      <c r="V118" s="93"/>
      <c r="W118" s="93"/>
      <c r="X118" s="93"/>
      <c r="Y118" s="93"/>
    </row>
    <row r="119" spans="1:25">
      <c r="A119" s="72"/>
      <c r="B119" s="72"/>
      <c r="C119" s="72"/>
      <c r="D119" s="72"/>
      <c r="E119" s="72"/>
      <c r="F119" s="72"/>
      <c r="G119" s="72"/>
      <c r="H119" s="72"/>
      <c r="I119" s="72"/>
      <c r="J119" s="72"/>
      <c r="K119" s="72"/>
      <c r="L119" s="93"/>
      <c r="M119" s="93"/>
      <c r="N119" s="93"/>
      <c r="O119" s="93"/>
      <c r="P119" s="93"/>
      <c r="Q119" s="93"/>
      <c r="R119" s="93"/>
      <c r="S119" s="93"/>
      <c r="T119" s="93"/>
      <c r="U119" s="93"/>
      <c r="V119" s="93"/>
      <c r="W119" s="93"/>
      <c r="X119" s="93"/>
      <c r="Y119" s="93"/>
    </row>
    <row r="120" spans="1:25">
      <c r="A120" s="72"/>
      <c r="B120" s="72"/>
      <c r="C120" s="72"/>
      <c r="D120" s="72"/>
      <c r="E120" s="72"/>
      <c r="F120" s="72"/>
      <c r="G120" s="72"/>
      <c r="H120" s="72"/>
      <c r="I120" s="72"/>
      <c r="J120" s="72"/>
      <c r="K120" s="72"/>
      <c r="L120" s="93"/>
      <c r="M120" s="93"/>
      <c r="N120" s="93"/>
      <c r="O120" s="93"/>
      <c r="P120" s="93"/>
      <c r="Q120" s="93"/>
      <c r="R120" s="93"/>
      <c r="S120" s="93"/>
      <c r="T120" s="93"/>
      <c r="U120" s="93"/>
      <c r="V120" s="93"/>
      <c r="W120" s="93"/>
      <c r="X120" s="93"/>
      <c r="Y120" s="93"/>
    </row>
    <row r="121" spans="1:25">
      <c r="A121" s="72"/>
      <c r="B121" s="72"/>
      <c r="C121" s="72"/>
      <c r="D121" s="72"/>
      <c r="E121" s="72"/>
      <c r="F121" s="72"/>
      <c r="G121" s="72"/>
      <c r="H121" s="72"/>
      <c r="I121" s="72"/>
      <c r="J121" s="72"/>
      <c r="K121" s="72"/>
      <c r="L121" s="93"/>
      <c r="M121" s="93"/>
      <c r="N121" s="93"/>
      <c r="O121" s="93"/>
      <c r="P121" s="93"/>
      <c r="Q121" s="93"/>
      <c r="R121" s="93"/>
      <c r="S121" s="93"/>
      <c r="T121" s="93"/>
      <c r="U121" s="93"/>
      <c r="V121" s="93"/>
      <c r="W121" s="93"/>
      <c r="X121" s="93"/>
      <c r="Y121" s="93"/>
    </row>
    <row r="122" spans="1:25">
      <c r="A122" s="72"/>
      <c r="B122" s="72"/>
      <c r="C122" s="72"/>
      <c r="D122" s="72"/>
      <c r="E122" s="72"/>
      <c r="F122" s="72"/>
      <c r="G122" s="72"/>
      <c r="H122" s="72"/>
      <c r="I122" s="72"/>
      <c r="J122" s="72"/>
      <c r="K122" s="72"/>
      <c r="L122" s="93"/>
      <c r="M122" s="93"/>
      <c r="N122" s="93"/>
      <c r="O122" s="93"/>
      <c r="P122" s="93"/>
      <c r="Q122" s="93"/>
      <c r="R122" s="93"/>
      <c r="S122" s="93"/>
      <c r="T122" s="93"/>
      <c r="U122" s="93"/>
      <c r="V122" s="93"/>
      <c r="W122" s="93"/>
      <c r="X122" s="93"/>
      <c r="Y122" s="93"/>
    </row>
    <row r="123" spans="1:25">
      <c r="A123" s="72"/>
      <c r="B123" s="72"/>
      <c r="C123" s="72"/>
      <c r="D123" s="72"/>
      <c r="E123" s="72"/>
      <c r="F123" s="72"/>
      <c r="G123" s="72"/>
      <c r="H123" s="72"/>
      <c r="I123" s="72"/>
      <c r="J123" s="72"/>
      <c r="K123" s="72"/>
      <c r="L123" s="93"/>
      <c r="M123" s="93"/>
      <c r="N123" s="93"/>
      <c r="O123" s="93"/>
      <c r="P123" s="93"/>
      <c r="Q123" s="93"/>
      <c r="R123" s="93"/>
      <c r="S123" s="93"/>
      <c r="T123" s="93"/>
      <c r="U123" s="93"/>
      <c r="V123" s="93"/>
      <c r="W123" s="93"/>
      <c r="X123" s="93"/>
      <c r="Y123" s="93"/>
    </row>
    <row r="124" spans="1:25">
      <c r="A124" s="72"/>
      <c r="B124" s="72"/>
      <c r="C124" s="72"/>
      <c r="D124" s="72"/>
      <c r="E124" s="72"/>
      <c r="F124" s="72"/>
      <c r="G124" s="72"/>
      <c r="H124" s="72"/>
      <c r="I124" s="72"/>
      <c r="J124" s="72"/>
      <c r="K124" s="72"/>
      <c r="L124" s="93"/>
      <c r="M124" s="93"/>
      <c r="N124" s="93"/>
      <c r="O124" s="93"/>
      <c r="P124" s="93"/>
      <c r="Q124" s="93"/>
      <c r="R124" s="93"/>
      <c r="S124" s="93"/>
      <c r="T124" s="93"/>
      <c r="U124" s="93"/>
      <c r="V124" s="93"/>
      <c r="W124" s="93"/>
      <c r="X124" s="93"/>
      <c r="Y124" s="93"/>
    </row>
    <row r="125" spans="1:25">
      <c r="A125" s="72"/>
      <c r="B125" s="72"/>
      <c r="C125" s="72"/>
      <c r="D125" s="72"/>
      <c r="E125" s="72"/>
      <c r="F125" s="72"/>
      <c r="G125" s="72"/>
      <c r="H125" s="72"/>
      <c r="I125" s="72"/>
      <c r="J125" s="72"/>
      <c r="K125" s="72"/>
      <c r="L125" s="93"/>
      <c r="M125" s="93"/>
      <c r="N125" s="93"/>
      <c r="O125" s="93"/>
      <c r="P125" s="93"/>
      <c r="Q125" s="93"/>
      <c r="R125" s="93"/>
      <c r="S125" s="93"/>
      <c r="T125" s="93"/>
      <c r="U125" s="93"/>
      <c r="V125" s="93"/>
      <c r="W125" s="93"/>
      <c r="X125" s="93"/>
      <c r="Y125" s="93"/>
    </row>
    <row r="126" spans="1:25">
      <c r="A126" s="72"/>
      <c r="B126" s="72"/>
      <c r="C126" s="72"/>
      <c r="D126" s="72"/>
      <c r="E126" s="72"/>
      <c r="F126" s="72"/>
      <c r="G126" s="72"/>
      <c r="H126" s="72"/>
      <c r="I126" s="72"/>
      <c r="J126" s="72"/>
      <c r="K126" s="72"/>
      <c r="L126" s="93"/>
      <c r="M126" s="93"/>
      <c r="N126" s="93"/>
      <c r="O126" s="93"/>
      <c r="P126" s="93"/>
      <c r="Q126" s="93"/>
      <c r="R126" s="93"/>
      <c r="S126" s="93"/>
      <c r="T126" s="93"/>
      <c r="U126" s="93"/>
      <c r="V126" s="93"/>
      <c r="W126" s="93"/>
      <c r="X126" s="93"/>
      <c r="Y126" s="93"/>
    </row>
    <row r="127" spans="1:25">
      <c r="A127" s="72"/>
      <c r="B127" s="72"/>
      <c r="C127" s="72"/>
      <c r="D127" s="72"/>
      <c r="E127" s="72"/>
      <c r="F127" s="72"/>
      <c r="G127" s="72"/>
      <c r="H127" s="72"/>
      <c r="I127" s="72"/>
      <c r="J127" s="72"/>
      <c r="K127" s="72"/>
      <c r="L127" s="93"/>
      <c r="M127" s="93"/>
      <c r="N127" s="93"/>
      <c r="O127" s="93"/>
      <c r="P127" s="93"/>
      <c r="Q127" s="93"/>
      <c r="R127" s="93"/>
      <c r="S127" s="93"/>
      <c r="T127" s="93"/>
      <c r="U127" s="93"/>
      <c r="V127" s="93"/>
      <c r="W127" s="93"/>
      <c r="X127" s="93"/>
      <c r="Y127" s="93"/>
    </row>
    <row r="128" spans="1:25">
      <c r="A128" s="72"/>
      <c r="B128" s="72"/>
      <c r="C128" s="72"/>
      <c r="D128" s="72"/>
      <c r="E128" s="72"/>
      <c r="F128" s="72"/>
      <c r="G128" s="72"/>
      <c r="H128" s="72"/>
      <c r="I128" s="72"/>
      <c r="J128" s="72"/>
      <c r="K128" s="72"/>
      <c r="L128" s="93"/>
      <c r="M128" s="93"/>
      <c r="N128" s="93"/>
      <c r="O128" s="93"/>
      <c r="P128" s="93"/>
      <c r="Q128" s="93"/>
      <c r="R128" s="93"/>
      <c r="S128" s="93"/>
      <c r="T128" s="93"/>
      <c r="U128" s="93"/>
      <c r="V128" s="93"/>
      <c r="W128" s="93"/>
      <c r="X128" s="93"/>
      <c r="Y128" s="93"/>
    </row>
    <row r="129" spans="1:25">
      <c r="A129" s="72"/>
      <c r="B129" s="72"/>
      <c r="C129" s="72"/>
      <c r="D129" s="72"/>
      <c r="E129" s="72"/>
      <c r="F129" s="72"/>
      <c r="G129" s="72"/>
      <c r="H129" s="72"/>
      <c r="I129" s="72"/>
      <c r="J129" s="72"/>
      <c r="K129" s="72"/>
      <c r="L129" s="93"/>
      <c r="M129" s="93"/>
      <c r="N129" s="93"/>
      <c r="O129" s="93"/>
      <c r="P129" s="93"/>
      <c r="Q129" s="93"/>
      <c r="R129" s="93"/>
      <c r="S129" s="93"/>
      <c r="T129" s="93"/>
      <c r="U129" s="93"/>
      <c r="V129" s="93"/>
      <c r="W129" s="93"/>
      <c r="X129" s="93"/>
      <c r="Y129" s="93"/>
    </row>
    <row r="130" spans="1:25">
      <c r="A130" s="72"/>
      <c r="B130" s="72"/>
      <c r="C130" s="72"/>
      <c r="D130" s="72"/>
      <c r="E130" s="72"/>
      <c r="F130" s="72"/>
      <c r="G130" s="72"/>
      <c r="H130" s="72"/>
      <c r="I130" s="72"/>
      <c r="J130" s="72"/>
      <c r="K130" s="72"/>
      <c r="L130" s="93"/>
      <c r="M130" s="93"/>
      <c r="N130" s="93"/>
      <c r="O130" s="93"/>
      <c r="P130" s="93"/>
      <c r="Q130" s="93"/>
      <c r="R130" s="93"/>
      <c r="S130" s="93"/>
      <c r="T130" s="93"/>
      <c r="U130" s="93"/>
      <c r="V130" s="93"/>
      <c r="W130" s="93"/>
      <c r="X130" s="93"/>
      <c r="Y130" s="93"/>
    </row>
    <row r="131" spans="1:25">
      <c r="A131" s="72"/>
      <c r="B131" s="72"/>
      <c r="C131" s="72"/>
      <c r="D131" s="72"/>
      <c r="E131" s="72"/>
      <c r="F131" s="72"/>
      <c r="G131" s="72"/>
      <c r="H131" s="72"/>
      <c r="I131" s="72"/>
      <c r="J131" s="72"/>
      <c r="K131" s="72"/>
      <c r="L131" s="93"/>
      <c r="M131" s="93"/>
      <c r="N131" s="93"/>
      <c r="O131" s="93"/>
      <c r="P131" s="93"/>
      <c r="Q131" s="93"/>
      <c r="R131" s="93"/>
      <c r="S131" s="93"/>
      <c r="T131" s="93"/>
      <c r="U131" s="93"/>
      <c r="V131" s="93"/>
      <c r="W131" s="93"/>
      <c r="X131" s="93"/>
      <c r="Y131" s="93"/>
    </row>
    <row r="132" spans="1:25">
      <c r="A132" s="72"/>
      <c r="B132" s="72"/>
      <c r="C132" s="72"/>
      <c r="D132" s="72"/>
      <c r="E132" s="72"/>
      <c r="F132" s="72"/>
      <c r="G132" s="72"/>
      <c r="H132" s="72"/>
      <c r="I132" s="72"/>
      <c r="J132" s="72"/>
      <c r="K132" s="72"/>
      <c r="L132" s="93"/>
      <c r="M132" s="93"/>
      <c r="N132" s="93"/>
      <c r="O132" s="93"/>
      <c r="P132" s="93"/>
      <c r="Q132" s="93"/>
      <c r="R132" s="93"/>
      <c r="S132" s="93"/>
      <c r="T132" s="93"/>
      <c r="U132" s="93"/>
      <c r="V132" s="93"/>
      <c r="W132" s="93"/>
      <c r="X132" s="93"/>
      <c r="Y132" s="93"/>
    </row>
    <row r="133" spans="1:25">
      <c r="A133" s="72"/>
      <c r="B133" s="72"/>
      <c r="C133" s="72"/>
      <c r="D133" s="72"/>
      <c r="E133" s="72"/>
      <c r="F133" s="72"/>
      <c r="G133" s="72"/>
      <c r="H133" s="72"/>
      <c r="I133" s="72"/>
      <c r="J133" s="72"/>
      <c r="K133" s="72"/>
      <c r="L133" s="93"/>
      <c r="M133" s="93"/>
      <c r="N133" s="93"/>
      <c r="O133" s="93"/>
      <c r="P133" s="93"/>
      <c r="Q133" s="93"/>
      <c r="R133" s="93"/>
      <c r="S133" s="93"/>
      <c r="T133" s="93"/>
      <c r="U133" s="93"/>
      <c r="V133" s="93"/>
      <c r="W133" s="93"/>
      <c r="X133" s="93"/>
      <c r="Y133" s="93"/>
    </row>
    <row r="134" spans="1:25">
      <c r="A134" s="72"/>
      <c r="B134" s="72"/>
      <c r="C134" s="72"/>
      <c r="D134" s="72"/>
      <c r="E134" s="72"/>
      <c r="F134" s="72"/>
      <c r="G134" s="72"/>
      <c r="H134" s="72"/>
      <c r="I134" s="72"/>
      <c r="J134" s="72"/>
      <c r="K134" s="72"/>
      <c r="L134" s="93"/>
      <c r="M134" s="93"/>
      <c r="N134" s="93"/>
      <c r="O134" s="93"/>
      <c r="P134" s="93"/>
      <c r="Q134" s="93"/>
      <c r="R134" s="93"/>
      <c r="S134" s="93"/>
      <c r="T134" s="93"/>
      <c r="U134" s="93"/>
      <c r="V134" s="93"/>
      <c r="W134" s="93"/>
      <c r="X134" s="93"/>
      <c r="Y134" s="93"/>
    </row>
    <row r="135" spans="1:25">
      <c r="A135" s="72"/>
      <c r="B135" s="72"/>
      <c r="C135" s="72"/>
      <c r="D135" s="72"/>
      <c r="E135" s="72"/>
      <c r="F135" s="72"/>
      <c r="G135" s="72"/>
      <c r="H135" s="72"/>
      <c r="I135" s="72"/>
      <c r="J135" s="72"/>
      <c r="K135" s="72"/>
      <c r="L135" s="93"/>
      <c r="M135" s="93"/>
      <c r="N135" s="93"/>
      <c r="O135" s="93"/>
      <c r="P135" s="93"/>
      <c r="Q135" s="93"/>
      <c r="R135" s="93"/>
      <c r="S135" s="93"/>
      <c r="T135" s="93"/>
      <c r="U135" s="93"/>
      <c r="V135" s="93"/>
      <c r="W135" s="93"/>
      <c r="X135" s="93"/>
      <c r="Y135" s="93"/>
    </row>
    <row r="136" spans="1:25">
      <c r="A136" s="72"/>
      <c r="B136" s="72"/>
      <c r="C136" s="72"/>
      <c r="D136" s="72"/>
      <c r="E136" s="72"/>
      <c r="F136" s="72"/>
      <c r="G136" s="72"/>
      <c r="H136" s="72"/>
      <c r="I136" s="72"/>
      <c r="J136" s="72"/>
      <c r="K136" s="72"/>
      <c r="L136" s="93"/>
      <c r="M136" s="93"/>
      <c r="N136" s="93"/>
      <c r="O136" s="93"/>
      <c r="P136" s="93"/>
      <c r="Q136" s="93"/>
      <c r="R136" s="93"/>
      <c r="S136" s="93"/>
      <c r="T136" s="93"/>
      <c r="U136" s="93"/>
      <c r="V136" s="93"/>
      <c r="W136" s="93"/>
      <c r="X136" s="93"/>
      <c r="Y136" s="93"/>
    </row>
    <row r="137" spans="1:25">
      <c r="A137" s="72"/>
      <c r="B137" s="72"/>
      <c r="C137" s="72"/>
      <c r="D137" s="72"/>
      <c r="E137" s="72"/>
      <c r="F137" s="72"/>
      <c r="G137" s="72"/>
      <c r="H137" s="72"/>
      <c r="I137" s="72"/>
      <c r="J137" s="72"/>
      <c r="K137" s="72"/>
      <c r="L137" s="93"/>
      <c r="M137" s="93"/>
      <c r="N137" s="93"/>
      <c r="O137" s="93"/>
      <c r="P137" s="93"/>
      <c r="Q137" s="93"/>
      <c r="R137" s="93"/>
      <c r="S137" s="93"/>
      <c r="T137" s="93"/>
      <c r="U137" s="93"/>
      <c r="V137" s="93"/>
      <c r="W137" s="93"/>
      <c r="X137" s="93"/>
      <c r="Y137" s="93"/>
    </row>
    <row r="138" spans="1:25">
      <c r="A138" s="72"/>
      <c r="B138" s="72"/>
      <c r="C138" s="72"/>
      <c r="D138" s="72"/>
      <c r="E138" s="72"/>
      <c r="F138" s="72"/>
      <c r="G138" s="72"/>
      <c r="H138" s="72"/>
      <c r="I138" s="72"/>
      <c r="J138" s="72"/>
      <c r="K138" s="72"/>
      <c r="L138" s="93"/>
      <c r="M138" s="93"/>
      <c r="N138" s="93"/>
      <c r="O138" s="93"/>
      <c r="P138" s="93"/>
      <c r="Q138" s="93"/>
      <c r="R138" s="93"/>
      <c r="S138" s="93"/>
      <c r="T138" s="93"/>
      <c r="U138" s="93"/>
      <c r="V138" s="93"/>
      <c r="W138" s="93"/>
      <c r="X138" s="93"/>
      <c r="Y138" s="93"/>
    </row>
    <row r="139" spans="1:25">
      <c r="A139" s="72"/>
      <c r="B139" s="72"/>
      <c r="C139" s="72"/>
      <c r="D139" s="72"/>
      <c r="E139" s="72"/>
      <c r="F139" s="72"/>
      <c r="G139" s="72"/>
      <c r="H139" s="72"/>
      <c r="I139" s="72"/>
      <c r="J139" s="72"/>
      <c r="K139" s="72"/>
      <c r="L139" s="93"/>
      <c r="M139" s="93"/>
      <c r="N139" s="93"/>
      <c r="O139" s="93"/>
      <c r="P139" s="93"/>
      <c r="Q139" s="93"/>
      <c r="R139" s="93"/>
      <c r="S139" s="93"/>
      <c r="T139" s="93"/>
      <c r="U139" s="93"/>
      <c r="V139" s="93"/>
      <c r="W139" s="93"/>
      <c r="X139" s="93"/>
      <c r="Y139" s="93"/>
    </row>
    <row r="140" spans="1:25">
      <c r="A140" s="72"/>
      <c r="B140" s="72"/>
      <c r="C140" s="72"/>
      <c r="D140" s="72"/>
      <c r="E140" s="72"/>
      <c r="F140" s="72"/>
      <c r="G140" s="72"/>
      <c r="H140" s="72"/>
      <c r="I140" s="72"/>
      <c r="J140" s="72"/>
      <c r="K140" s="72"/>
      <c r="L140" s="93"/>
      <c r="M140" s="93"/>
      <c r="N140" s="93"/>
      <c r="O140" s="93"/>
      <c r="P140" s="93"/>
      <c r="Q140" s="93"/>
      <c r="R140" s="93"/>
      <c r="S140" s="93"/>
      <c r="T140" s="93"/>
      <c r="U140" s="93"/>
      <c r="V140" s="93"/>
      <c r="W140" s="93"/>
      <c r="X140" s="93"/>
      <c r="Y140" s="93"/>
    </row>
    <row r="141" spans="1:25">
      <c r="A141" s="72"/>
      <c r="B141" s="72"/>
      <c r="C141" s="72"/>
      <c r="D141" s="72"/>
      <c r="E141" s="72"/>
      <c r="F141" s="72"/>
      <c r="G141" s="72"/>
      <c r="H141" s="72"/>
      <c r="I141" s="72"/>
      <c r="J141" s="72"/>
      <c r="K141" s="72"/>
      <c r="L141" s="93"/>
      <c r="M141" s="93"/>
      <c r="N141" s="93"/>
      <c r="O141" s="93"/>
      <c r="P141" s="93"/>
      <c r="Q141" s="93"/>
      <c r="R141" s="93"/>
      <c r="S141" s="93"/>
      <c r="T141" s="93"/>
      <c r="U141" s="93"/>
      <c r="V141" s="93"/>
      <c r="W141" s="93"/>
      <c r="X141" s="93"/>
      <c r="Y141" s="93"/>
    </row>
    <row r="142" spans="1:25">
      <c r="A142" s="72"/>
      <c r="B142" s="72"/>
      <c r="C142" s="72"/>
      <c r="D142" s="72"/>
      <c r="E142" s="72"/>
      <c r="F142" s="72"/>
      <c r="G142" s="72"/>
      <c r="H142" s="72"/>
      <c r="I142" s="72"/>
      <c r="J142" s="72"/>
      <c r="K142" s="72"/>
      <c r="L142" s="93"/>
      <c r="M142" s="93"/>
      <c r="N142" s="93"/>
      <c r="O142" s="93"/>
      <c r="P142" s="93"/>
      <c r="Q142" s="93"/>
      <c r="R142" s="93"/>
      <c r="S142" s="93"/>
      <c r="T142" s="93"/>
      <c r="U142" s="93"/>
      <c r="V142" s="93"/>
      <c r="W142" s="93"/>
      <c r="X142" s="93"/>
      <c r="Y142" s="93"/>
    </row>
    <row r="143" spans="1:25">
      <c r="A143" s="72"/>
      <c r="B143" s="72"/>
      <c r="C143" s="72"/>
      <c r="D143" s="72"/>
      <c r="E143" s="72"/>
      <c r="F143" s="72"/>
      <c r="G143" s="72"/>
      <c r="H143" s="72"/>
      <c r="I143" s="72"/>
      <c r="J143" s="72"/>
      <c r="K143" s="72"/>
      <c r="L143" s="93"/>
      <c r="M143" s="93"/>
      <c r="N143" s="93"/>
      <c r="O143" s="93"/>
      <c r="P143" s="93"/>
      <c r="Q143" s="93"/>
      <c r="R143" s="93"/>
      <c r="S143" s="93"/>
      <c r="T143" s="93"/>
      <c r="U143" s="93"/>
      <c r="V143" s="93"/>
      <c r="W143" s="93"/>
      <c r="X143" s="93"/>
      <c r="Y143" s="93"/>
    </row>
    <row r="144" spans="1:25">
      <c r="A144" s="72"/>
      <c r="B144" s="72"/>
      <c r="C144" s="72"/>
      <c r="D144" s="72"/>
      <c r="E144" s="72"/>
      <c r="F144" s="72"/>
      <c r="G144" s="72"/>
      <c r="H144" s="72"/>
      <c r="I144" s="72"/>
      <c r="J144" s="72"/>
      <c r="K144" s="72"/>
      <c r="L144" s="93"/>
      <c r="M144" s="93"/>
      <c r="N144" s="93"/>
      <c r="O144" s="93"/>
      <c r="P144" s="93"/>
      <c r="Q144" s="93"/>
      <c r="R144" s="93"/>
      <c r="S144" s="93"/>
      <c r="T144" s="93"/>
      <c r="U144" s="93"/>
      <c r="V144" s="93"/>
      <c r="W144" s="93"/>
      <c r="X144" s="93"/>
      <c r="Y144" s="93"/>
    </row>
    <row r="145" spans="1:25">
      <c r="A145" s="72"/>
      <c r="B145" s="72"/>
      <c r="C145" s="72"/>
      <c r="D145" s="72"/>
      <c r="E145" s="72"/>
      <c r="F145" s="72"/>
      <c r="G145" s="72"/>
      <c r="H145" s="72"/>
      <c r="I145" s="72"/>
      <c r="J145" s="72"/>
      <c r="K145" s="72"/>
      <c r="L145" s="93"/>
      <c r="M145" s="93"/>
      <c r="N145" s="93"/>
      <c r="O145" s="93"/>
      <c r="P145" s="93"/>
      <c r="Q145" s="93"/>
      <c r="R145" s="93"/>
      <c r="S145" s="93"/>
      <c r="T145" s="93"/>
      <c r="U145" s="93"/>
      <c r="V145" s="93"/>
      <c r="W145" s="93"/>
      <c r="X145" s="93"/>
      <c r="Y145" s="93"/>
    </row>
    <row r="146" spans="1:25">
      <c r="A146" s="72"/>
      <c r="B146" s="72"/>
      <c r="C146" s="72"/>
      <c r="D146" s="72"/>
      <c r="E146" s="72"/>
      <c r="F146" s="72"/>
      <c r="G146" s="72"/>
      <c r="H146" s="72"/>
      <c r="I146" s="72"/>
      <c r="J146" s="72"/>
      <c r="K146" s="72"/>
      <c r="L146" s="93"/>
      <c r="M146" s="93"/>
      <c r="N146" s="93"/>
      <c r="O146" s="93"/>
      <c r="P146" s="93"/>
      <c r="Q146" s="93"/>
      <c r="R146" s="93"/>
      <c r="S146" s="93"/>
      <c r="T146" s="93"/>
      <c r="U146" s="93"/>
      <c r="V146" s="93"/>
      <c r="W146" s="93"/>
      <c r="X146" s="93"/>
      <c r="Y146" s="93"/>
    </row>
    <row r="147" spans="1:25">
      <c r="A147" s="72"/>
      <c r="B147" s="72"/>
      <c r="C147" s="72"/>
      <c r="D147" s="72"/>
      <c r="E147" s="72"/>
      <c r="F147" s="72"/>
      <c r="G147" s="72"/>
      <c r="H147" s="72"/>
      <c r="I147" s="72"/>
      <c r="J147" s="72"/>
      <c r="K147" s="72"/>
      <c r="L147" s="93"/>
      <c r="M147" s="93"/>
      <c r="N147" s="93"/>
      <c r="O147" s="93"/>
      <c r="P147" s="93"/>
      <c r="Q147" s="93"/>
      <c r="R147" s="93"/>
      <c r="S147" s="93"/>
      <c r="T147" s="93"/>
      <c r="U147" s="93"/>
      <c r="V147" s="93"/>
      <c r="W147" s="93"/>
      <c r="X147" s="93"/>
      <c r="Y147" s="93"/>
    </row>
    <row r="148" spans="1:25">
      <c r="A148" s="72"/>
      <c r="B148" s="72"/>
      <c r="C148" s="72"/>
      <c r="D148" s="72"/>
      <c r="E148" s="72"/>
      <c r="F148" s="72"/>
      <c r="G148" s="72"/>
      <c r="H148" s="72"/>
      <c r="I148" s="72"/>
      <c r="J148" s="72"/>
      <c r="K148" s="72"/>
      <c r="L148" s="93"/>
      <c r="M148" s="93"/>
      <c r="N148" s="93"/>
      <c r="O148" s="93"/>
      <c r="P148" s="93"/>
      <c r="Q148" s="93"/>
      <c r="R148" s="93"/>
      <c r="S148" s="93"/>
      <c r="T148" s="93"/>
      <c r="U148" s="93"/>
      <c r="V148" s="93"/>
      <c r="W148" s="93"/>
      <c r="X148" s="93"/>
      <c r="Y148" s="93"/>
    </row>
    <row r="149" spans="1:25">
      <c r="A149" s="72"/>
      <c r="B149" s="72"/>
      <c r="C149" s="72"/>
      <c r="D149" s="72"/>
      <c r="E149" s="72"/>
      <c r="F149" s="72"/>
      <c r="G149" s="72"/>
      <c r="H149" s="72"/>
      <c r="I149" s="72"/>
      <c r="J149" s="72"/>
      <c r="K149" s="72"/>
      <c r="L149" s="93"/>
      <c r="M149" s="93"/>
      <c r="N149" s="93"/>
      <c r="O149" s="93"/>
      <c r="P149" s="93"/>
      <c r="Q149" s="93"/>
      <c r="R149" s="93"/>
      <c r="S149" s="93"/>
      <c r="T149" s="93"/>
      <c r="U149" s="93"/>
      <c r="V149" s="93"/>
      <c r="W149" s="93"/>
      <c r="X149" s="93"/>
      <c r="Y149" s="93"/>
    </row>
    <row r="150" spans="1:25">
      <c r="A150" s="72"/>
      <c r="B150" s="72"/>
      <c r="C150" s="72"/>
      <c r="D150" s="72"/>
      <c r="E150" s="72"/>
      <c r="F150" s="72"/>
      <c r="G150" s="72"/>
      <c r="H150" s="72"/>
      <c r="I150" s="72"/>
      <c r="J150" s="72"/>
      <c r="K150" s="72"/>
      <c r="L150" s="93"/>
      <c r="M150" s="93"/>
      <c r="N150" s="93"/>
      <c r="O150" s="93"/>
      <c r="P150" s="93"/>
      <c r="Q150" s="93"/>
      <c r="R150" s="93"/>
      <c r="S150" s="93"/>
      <c r="T150" s="93"/>
      <c r="U150" s="93"/>
      <c r="V150" s="93"/>
      <c r="W150" s="93"/>
      <c r="X150" s="93"/>
      <c r="Y150" s="93"/>
    </row>
    <row r="151" spans="1:25">
      <c r="A151" s="72"/>
      <c r="B151" s="72"/>
      <c r="C151" s="72"/>
      <c r="D151" s="72"/>
      <c r="E151" s="72"/>
      <c r="F151" s="72"/>
      <c r="G151" s="72"/>
      <c r="H151" s="72"/>
      <c r="I151" s="72"/>
      <c r="J151" s="72"/>
      <c r="K151" s="72"/>
      <c r="L151" s="93"/>
      <c r="M151" s="93"/>
      <c r="N151" s="93"/>
      <c r="O151" s="93"/>
      <c r="P151" s="93"/>
      <c r="Q151" s="93"/>
      <c r="R151" s="93"/>
      <c r="S151" s="93"/>
      <c r="T151" s="93"/>
      <c r="U151" s="93"/>
      <c r="V151" s="93"/>
      <c r="W151" s="93"/>
      <c r="X151" s="93"/>
      <c r="Y151" s="93"/>
    </row>
    <row r="152" spans="1:25">
      <c r="A152" s="72"/>
      <c r="B152" s="72"/>
      <c r="C152" s="72"/>
      <c r="D152" s="72"/>
      <c r="E152" s="72"/>
      <c r="F152" s="72"/>
      <c r="G152" s="72"/>
      <c r="H152" s="72"/>
      <c r="I152" s="72"/>
      <c r="J152" s="72"/>
      <c r="K152" s="72"/>
      <c r="L152" s="93"/>
      <c r="M152" s="93"/>
      <c r="N152" s="93"/>
      <c r="O152" s="93"/>
      <c r="P152" s="93"/>
      <c r="Q152" s="93"/>
      <c r="R152" s="93"/>
      <c r="S152" s="93"/>
      <c r="T152" s="93"/>
      <c r="U152" s="93"/>
      <c r="V152" s="93"/>
      <c r="W152" s="93"/>
      <c r="X152" s="93"/>
      <c r="Y152" s="93"/>
    </row>
    <row r="153" spans="1:25">
      <c r="A153" s="72"/>
      <c r="B153" s="72"/>
      <c r="C153" s="72"/>
      <c r="D153" s="72"/>
      <c r="E153" s="72"/>
      <c r="F153" s="72"/>
      <c r="G153" s="72"/>
      <c r="H153" s="72"/>
      <c r="I153" s="72"/>
      <c r="J153" s="72"/>
      <c r="K153" s="72"/>
      <c r="L153" s="93"/>
      <c r="M153" s="93"/>
      <c r="N153" s="93"/>
      <c r="O153" s="93"/>
      <c r="P153" s="93"/>
      <c r="Q153" s="93"/>
      <c r="R153" s="93"/>
      <c r="S153" s="93"/>
      <c r="T153" s="93"/>
      <c r="U153" s="93"/>
      <c r="V153" s="93"/>
      <c r="W153" s="93"/>
      <c r="X153" s="93"/>
      <c r="Y153" s="93"/>
    </row>
    <row r="154" spans="1:25">
      <c r="A154" s="72"/>
      <c r="B154" s="72"/>
      <c r="C154" s="72"/>
      <c r="D154" s="72"/>
      <c r="E154" s="72"/>
      <c r="F154" s="72"/>
      <c r="G154" s="72"/>
      <c r="H154" s="72"/>
      <c r="I154" s="72"/>
      <c r="J154" s="72"/>
      <c r="K154" s="72"/>
      <c r="L154" s="93"/>
      <c r="M154" s="93"/>
      <c r="N154" s="93"/>
      <c r="O154" s="93"/>
      <c r="P154" s="93"/>
      <c r="Q154" s="93"/>
      <c r="R154" s="93"/>
      <c r="S154" s="93"/>
      <c r="T154" s="93"/>
      <c r="U154" s="93"/>
      <c r="V154" s="93"/>
      <c r="W154" s="93"/>
      <c r="X154" s="93"/>
      <c r="Y154" s="93"/>
    </row>
    <row r="155" spans="1:25">
      <c r="A155" s="72"/>
      <c r="B155" s="72"/>
      <c r="C155" s="72"/>
      <c r="D155" s="72"/>
      <c r="E155" s="72"/>
      <c r="F155" s="72"/>
      <c r="G155" s="72"/>
      <c r="H155" s="72"/>
      <c r="I155" s="72"/>
      <c r="J155" s="72"/>
      <c r="K155" s="72"/>
      <c r="L155" s="93"/>
      <c r="M155" s="93"/>
      <c r="N155" s="93"/>
      <c r="O155" s="93"/>
      <c r="P155" s="93"/>
      <c r="Q155" s="93"/>
      <c r="R155" s="93"/>
      <c r="S155" s="93"/>
      <c r="T155" s="93"/>
      <c r="U155" s="93"/>
      <c r="V155" s="93"/>
      <c r="W155" s="93"/>
      <c r="X155" s="93"/>
      <c r="Y155" s="93"/>
    </row>
    <row r="156" spans="1:25">
      <c r="A156" s="72"/>
      <c r="B156" s="72"/>
      <c r="C156" s="72"/>
      <c r="D156" s="72"/>
      <c r="E156" s="72"/>
      <c r="F156" s="72"/>
      <c r="G156" s="72"/>
      <c r="H156" s="72"/>
      <c r="I156" s="72"/>
      <c r="J156" s="72"/>
      <c r="K156" s="72"/>
      <c r="L156" s="93"/>
      <c r="M156" s="93"/>
      <c r="N156" s="93"/>
      <c r="O156" s="93"/>
      <c r="P156" s="93"/>
      <c r="Q156" s="93"/>
      <c r="R156" s="93"/>
      <c r="S156" s="93"/>
      <c r="T156" s="93"/>
      <c r="U156" s="93"/>
      <c r="V156" s="93"/>
      <c r="W156" s="93"/>
      <c r="X156" s="93"/>
      <c r="Y156" s="93"/>
    </row>
    <row r="157" spans="1:25">
      <c r="A157" s="72"/>
      <c r="B157" s="72"/>
      <c r="C157" s="72"/>
      <c r="D157" s="72"/>
      <c r="E157" s="72"/>
      <c r="F157" s="72"/>
      <c r="G157" s="72"/>
      <c r="H157" s="72"/>
      <c r="I157" s="72"/>
      <c r="J157" s="72"/>
      <c r="K157" s="72"/>
      <c r="L157" s="93"/>
      <c r="M157" s="93"/>
      <c r="N157" s="93"/>
      <c r="O157" s="93"/>
      <c r="P157" s="93"/>
      <c r="Q157" s="93"/>
      <c r="R157" s="93"/>
      <c r="S157" s="93"/>
      <c r="T157" s="93"/>
      <c r="U157" s="93"/>
      <c r="V157" s="93"/>
      <c r="W157" s="93"/>
      <c r="X157" s="93"/>
      <c r="Y157" s="93"/>
    </row>
    <row r="158" spans="1:25">
      <c r="A158" s="72"/>
      <c r="B158" s="72"/>
      <c r="C158" s="72"/>
      <c r="D158" s="72"/>
      <c r="E158" s="72"/>
      <c r="F158" s="72"/>
      <c r="G158" s="72"/>
      <c r="H158" s="72"/>
      <c r="I158" s="72"/>
      <c r="J158" s="72"/>
      <c r="K158" s="72"/>
      <c r="L158" s="93"/>
      <c r="M158" s="93"/>
      <c r="N158" s="93"/>
      <c r="O158" s="93"/>
      <c r="P158" s="93"/>
      <c r="Q158" s="93"/>
      <c r="R158" s="93"/>
      <c r="S158" s="93"/>
      <c r="T158" s="93"/>
      <c r="U158" s="93"/>
      <c r="V158" s="93"/>
      <c r="W158" s="93"/>
      <c r="X158" s="93"/>
      <c r="Y158" s="93"/>
    </row>
    <row r="159" spans="1:25">
      <c r="A159" s="72"/>
      <c r="B159" s="72"/>
      <c r="C159" s="72"/>
      <c r="D159" s="72"/>
      <c r="E159" s="72"/>
      <c r="F159" s="72"/>
      <c r="G159" s="72"/>
      <c r="H159" s="72"/>
      <c r="I159" s="72"/>
      <c r="J159" s="72"/>
      <c r="K159" s="72"/>
      <c r="L159" s="93"/>
      <c r="M159" s="93"/>
      <c r="N159" s="93"/>
      <c r="O159" s="93"/>
      <c r="P159" s="93"/>
      <c r="Q159" s="93"/>
      <c r="R159" s="93"/>
      <c r="S159" s="93"/>
      <c r="T159" s="93"/>
      <c r="U159" s="93"/>
      <c r="V159" s="93"/>
      <c r="W159" s="93"/>
      <c r="X159" s="93"/>
      <c r="Y159" s="93"/>
    </row>
    <row r="160" spans="1:25">
      <c r="A160" s="72"/>
      <c r="B160" s="72"/>
      <c r="C160" s="72"/>
      <c r="D160" s="72"/>
      <c r="E160" s="72"/>
      <c r="F160" s="72"/>
      <c r="G160" s="72"/>
      <c r="H160" s="72"/>
      <c r="I160" s="72"/>
      <c r="J160" s="72"/>
      <c r="K160" s="72"/>
      <c r="L160" s="93"/>
      <c r="M160" s="93"/>
      <c r="N160" s="93"/>
      <c r="O160" s="93"/>
      <c r="P160" s="93"/>
      <c r="Q160" s="93"/>
      <c r="R160" s="93"/>
      <c r="S160" s="93"/>
      <c r="T160" s="93"/>
      <c r="U160" s="93"/>
      <c r="V160" s="93"/>
      <c r="W160" s="93"/>
      <c r="X160" s="93"/>
      <c r="Y160" s="93"/>
    </row>
    <row r="161" spans="1:25">
      <c r="A161" s="72"/>
      <c r="B161" s="72"/>
      <c r="C161" s="72"/>
      <c r="D161" s="72"/>
      <c r="E161" s="72"/>
      <c r="F161" s="72"/>
      <c r="G161" s="72"/>
      <c r="H161" s="72"/>
      <c r="I161" s="72"/>
      <c r="J161" s="72"/>
      <c r="K161" s="72"/>
      <c r="L161" s="93"/>
      <c r="M161" s="93"/>
      <c r="N161" s="93"/>
      <c r="O161" s="93"/>
      <c r="P161" s="93"/>
      <c r="Q161" s="93"/>
      <c r="R161" s="93"/>
      <c r="S161" s="93"/>
      <c r="T161" s="93"/>
      <c r="U161" s="93"/>
      <c r="V161" s="93"/>
      <c r="W161" s="93"/>
      <c r="X161" s="93"/>
      <c r="Y161" s="93"/>
    </row>
    <row r="162" spans="1:25">
      <c r="A162" s="72"/>
      <c r="B162" s="72"/>
      <c r="C162" s="72"/>
      <c r="D162" s="72"/>
      <c r="E162" s="72"/>
      <c r="F162" s="72"/>
      <c r="G162" s="72"/>
      <c r="H162" s="72"/>
      <c r="I162" s="72"/>
      <c r="J162" s="72"/>
      <c r="K162" s="72"/>
      <c r="L162" s="93"/>
      <c r="M162" s="93"/>
      <c r="N162" s="93"/>
      <c r="O162" s="93"/>
      <c r="P162" s="93"/>
      <c r="Q162" s="93"/>
      <c r="R162" s="93"/>
      <c r="S162" s="93"/>
      <c r="T162" s="93"/>
      <c r="U162" s="93"/>
      <c r="V162" s="93"/>
      <c r="W162" s="93"/>
      <c r="X162" s="93"/>
      <c r="Y162" s="93"/>
    </row>
    <row r="163" spans="1:25">
      <c r="A163" s="72"/>
      <c r="B163" s="72"/>
      <c r="C163" s="72"/>
      <c r="D163" s="72"/>
      <c r="E163" s="72"/>
      <c r="F163" s="72"/>
      <c r="G163" s="72"/>
      <c r="H163" s="72"/>
      <c r="I163" s="72"/>
      <c r="J163" s="72"/>
      <c r="K163" s="72"/>
      <c r="L163" s="93"/>
      <c r="M163" s="93"/>
      <c r="N163" s="93"/>
      <c r="O163" s="93"/>
      <c r="P163" s="93"/>
      <c r="Q163" s="93"/>
      <c r="R163" s="93"/>
      <c r="S163" s="93"/>
      <c r="T163" s="93"/>
      <c r="U163" s="93"/>
      <c r="V163" s="93"/>
      <c r="W163" s="93"/>
      <c r="X163" s="93"/>
      <c r="Y163" s="93"/>
    </row>
    <row r="164" spans="1:25">
      <c r="A164" s="72"/>
      <c r="B164" s="72"/>
      <c r="C164" s="72"/>
      <c r="D164" s="72"/>
      <c r="E164" s="72"/>
      <c r="F164" s="72"/>
      <c r="G164" s="72"/>
      <c r="H164" s="72"/>
      <c r="I164" s="72"/>
      <c r="J164" s="72"/>
      <c r="K164" s="72"/>
      <c r="L164" s="93"/>
      <c r="M164" s="93"/>
      <c r="N164" s="93"/>
      <c r="O164" s="93"/>
      <c r="P164" s="93"/>
      <c r="Q164" s="93"/>
      <c r="R164" s="93"/>
      <c r="S164" s="93"/>
      <c r="T164" s="93"/>
      <c r="U164" s="93"/>
      <c r="V164" s="93"/>
      <c r="W164" s="93"/>
      <c r="X164" s="93"/>
      <c r="Y164" s="93"/>
    </row>
    <row r="165" spans="1:25">
      <c r="A165" s="72"/>
      <c r="B165" s="72"/>
      <c r="C165" s="72"/>
      <c r="D165" s="72"/>
      <c r="E165" s="72"/>
      <c r="F165" s="72"/>
      <c r="G165" s="72"/>
      <c r="H165" s="72"/>
      <c r="I165" s="72"/>
      <c r="J165" s="72"/>
      <c r="K165" s="72"/>
      <c r="L165" s="93"/>
      <c r="M165" s="93"/>
      <c r="N165" s="93"/>
      <c r="O165" s="93"/>
      <c r="P165" s="93"/>
      <c r="Q165" s="93"/>
      <c r="R165" s="93"/>
      <c r="S165" s="93"/>
      <c r="T165" s="93"/>
      <c r="U165" s="93"/>
      <c r="V165" s="93"/>
      <c r="W165" s="93"/>
      <c r="X165" s="93"/>
      <c r="Y165" s="93"/>
    </row>
    <row r="166" spans="1:25">
      <c r="A166" s="72"/>
      <c r="B166" s="72"/>
      <c r="C166" s="72"/>
      <c r="D166" s="72"/>
      <c r="E166" s="72"/>
      <c r="F166" s="72"/>
      <c r="G166" s="72"/>
      <c r="H166" s="72"/>
      <c r="I166" s="72"/>
      <c r="J166" s="72"/>
      <c r="K166" s="72"/>
      <c r="L166" s="93"/>
      <c r="M166" s="93"/>
      <c r="N166" s="93"/>
      <c r="O166" s="93"/>
      <c r="P166" s="93"/>
      <c r="Q166" s="93"/>
      <c r="R166" s="93"/>
      <c r="S166" s="93"/>
      <c r="T166" s="93"/>
      <c r="U166" s="93"/>
      <c r="V166" s="93"/>
      <c r="W166" s="93"/>
      <c r="X166" s="93"/>
      <c r="Y166" s="93"/>
    </row>
    <row r="167" spans="1:25">
      <c r="A167" s="72"/>
      <c r="B167" s="72"/>
      <c r="C167" s="72"/>
      <c r="D167" s="72"/>
      <c r="E167" s="72"/>
      <c r="F167" s="72"/>
      <c r="G167" s="72"/>
      <c r="H167" s="72"/>
      <c r="I167" s="72"/>
      <c r="J167" s="72"/>
      <c r="K167" s="72"/>
      <c r="L167" s="93"/>
      <c r="M167" s="93"/>
      <c r="N167" s="93"/>
      <c r="O167" s="93"/>
      <c r="P167" s="93"/>
      <c r="Q167" s="93"/>
      <c r="R167" s="93"/>
      <c r="S167" s="93"/>
      <c r="T167" s="93"/>
      <c r="U167" s="93"/>
      <c r="V167" s="93"/>
      <c r="W167" s="93"/>
      <c r="X167" s="93"/>
      <c r="Y167" s="93"/>
    </row>
    <row r="168" spans="1:25">
      <c r="A168" s="72"/>
      <c r="B168" s="72"/>
      <c r="C168" s="72"/>
      <c r="D168" s="72"/>
      <c r="E168" s="72"/>
      <c r="F168" s="72"/>
      <c r="G168" s="72"/>
      <c r="H168" s="72"/>
      <c r="I168" s="72"/>
      <c r="J168" s="72"/>
      <c r="K168" s="72"/>
      <c r="L168" s="93"/>
      <c r="M168" s="93"/>
      <c r="N168" s="93"/>
      <c r="O168" s="93"/>
      <c r="P168" s="93"/>
      <c r="Q168" s="93"/>
      <c r="R168" s="93"/>
      <c r="S168" s="93"/>
      <c r="T168" s="93"/>
      <c r="U168" s="93"/>
      <c r="V168" s="93"/>
      <c r="W168" s="93"/>
      <c r="X168" s="93"/>
      <c r="Y168" s="93"/>
    </row>
    <row r="169" spans="1:25">
      <c r="A169" s="72"/>
      <c r="B169" s="72"/>
      <c r="C169" s="72"/>
      <c r="D169" s="72"/>
      <c r="E169" s="72"/>
      <c r="F169" s="72"/>
      <c r="G169" s="72"/>
      <c r="H169" s="72"/>
      <c r="I169" s="72"/>
      <c r="J169" s="72"/>
      <c r="K169" s="72"/>
      <c r="L169" s="93"/>
      <c r="M169" s="93"/>
      <c r="N169" s="93"/>
      <c r="O169" s="93"/>
      <c r="P169" s="93"/>
      <c r="Q169" s="93"/>
      <c r="R169" s="93"/>
      <c r="S169" s="93"/>
      <c r="T169" s="93"/>
      <c r="U169" s="93"/>
      <c r="V169" s="93"/>
      <c r="W169" s="93"/>
      <c r="X169" s="93"/>
      <c r="Y169" s="93"/>
    </row>
    <row r="170" spans="1:25">
      <c r="A170" s="72"/>
      <c r="B170" s="72"/>
      <c r="C170" s="72"/>
      <c r="D170" s="72"/>
      <c r="E170" s="72"/>
      <c r="F170" s="72"/>
      <c r="G170" s="72"/>
      <c r="H170" s="72"/>
      <c r="I170" s="72"/>
      <c r="J170" s="72"/>
      <c r="K170" s="72"/>
      <c r="L170" s="93"/>
      <c r="M170" s="93"/>
      <c r="N170" s="93"/>
      <c r="O170" s="93"/>
      <c r="P170" s="93"/>
      <c r="Q170" s="93"/>
      <c r="R170" s="93"/>
      <c r="S170" s="93"/>
      <c r="T170" s="93"/>
      <c r="U170" s="93"/>
      <c r="V170" s="93"/>
      <c r="W170" s="93"/>
      <c r="X170" s="93"/>
      <c r="Y170" s="93"/>
    </row>
    <row r="171" spans="1:25">
      <c r="A171" s="72"/>
      <c r="B171" s="72"/>
      <c r="C171" s="72"/>
      <c r="D171" s="72"/>
      <c r="E171" s="72"/>
      <c r="F171" s="72"/>
      <c r="G171" s="72"/>
      <c r="H171" s="72"/>
      <c r="I171" s="72"/>
      <c r="J171" s="72"/>
      <c r="K171" s="72"/>
      <c r="L171" s="93"/>
      <c r="M171" s="93"/>
      <c r="N171" s="93"/>
      <c r="O171" s="93"/>
      <c r="P171" s="93"/>
      <c r="Q171" s="93"/>
      <c r="R171" s="93"/>
      <c r="S171" s="93"/>
      <c r="T171" s="93"/>
      <c r="U171" s="93"/>
      <c r="V171" s="93"/>
      <c r="W171" s="93"/>
      <c r="X171" s="93"/>
      <c r="Y171" s="93"/>
    </row>
    <row r="172" spans="1:25">
      <c r="A172" s="72"/>
      <c r="B172" s="72"/>
      <c r="C172" s="72"/>
      <c r="D172" s="72"/>
      <c r="E172" s="72"/>
      <c r="F172" s="72"/>
      <c r="G172" s="72"/>
      <c r="H172" s="72"/>
      <c r="I172" s="72"/>
      <c r="J172" s="72"/>
      <c r="K172" s="72"/>
      <c r="L172" s="93"/>
      <c r="M172" s="93"/>
      <c r="N172" s="93"/>
      <c r="O172" s="93"/>
      <c r="P172" s="93"/>
      <c r="Q172" s="93"/>
      <c r="R172" s="93"/>
      <c r="S172" s="93"/>
      <c r="T172" s="93"/>
      <c r="U172" s="93"/>
      <c r="V172" s="93"/>
      <c r="W172" s="93"/>
      <c r="X172" s="93"/>
      <c r="Y172" s="93"/>
    </row>
    <row r="173" spans="1:25">
      <c r="A173" s="72"/>
      <c r="B173" s="72"/>
      <c r="C173" s="72"/>
      <c r="D173" s="72"/>
      <c r="E173" s="72"/>
      <c r="F173" s="72"/>
      <c r="G173" s="72"/>
      <c r="H173" s="72"/>
      <c r="I173" s="72"/>
      <c r="J173" s="72"/>
      <c r="K173" s="72"/>
      <c r="L173" s="93"/>
      <c r="M173" s="93"/>
      <c r="N173" s="93"/>
      <c r="O173" s="93"/>
      <c r="P173" s="93"/>
      <c r="Q173" s="93"/>
      <c r="R173" s="93"/>
      <c r="S173" s="93"/>
      <c r="T173" s="93"/>
      <c r="U173" s="93"/>
      <c r="V173" s="93"/>
      <c r="W173" s="93"/>
      <c r="X173" s="93"/>
      <c r="Y173" s="93"/>
    </row>
    <row r="174" spans="1:25">
      <c r="A174" s="72"/>
      <c r="B174" s="72"/>
      <c r="C174" s="72"/>
      <c r="D174" s="72"/>
      <c r="E174" s="72"/>
      <c r="F174" s="72"/>
      <c r="G174" s="72"/>
      <c r="H174" s="72"/>
      <c r="I174" s="72"/>
      <c r="J174" s="72"/>
      <c r="K174" s="72"/>
      <c r="L174" s="93"/>
      <c r="M174" s="93"/>
      <c r="N174" s="93"/>
      <c r="O174" s="93"/>
      <c r="P174" s="93"/>
      <c r="Q174" s="93"/>
      <c r="R174" s="93"/>
      <c r="S174" s="93"/>
      <c r="T174" s="93"/>
      <c r="U174" s="93"/>
      <c r="V174" s="93"/>
      <c r="W174" s="93"/>
      <c r="X174" s="93"/>
      <c r="Y174" s="93"/>
    </row>
    <row r="175" spans="1:25">
      <c r="A175" s="72"/>
      <c r="B175" s="72"/>
      <c r="C175" s="72"/>
      <c r="D175" s="72"/>
      <c r="E175" s="72"/>
      <c r="F175" s="72"/>
      <c r="G175" s="72"/>
      <c r="H175" s="72"/>
      <c r="I175" s="72"/>
      <c r="J175" s="72"/>
      <c r="K175" s="72"/>
      <c r="L175" s="93"/>
      <c r="M175" s="93"/>
      <c r="N175" s="93"/>
      <c r="O175" s="93"/>
      <c r="P175" s="93"/>
      <c r="Q175" s="93"/>
      <c r="R175" s="93"/>
      <c r="S175" s="93"/>
      <c r="T175" s="93"/>
      <c r="U175" s="93"/>
      <c r="V175" s="93"/>
      <c r="W175" s="93"/>
      <c r="X175" s="93"/>
      <c r="Y175" s="93"/>
    </row>
    <row r="176" spans="1:25">
      <c r="A176" s="72"/>
      <c r="B176" s="72"/>
      <c r="C176" s="72"/>
      <c r="D176" s="72"/>
      <c r="E176" s="72"/>
      <c r="F176" s="72"/>
      <c r="G176" s="72"/>
      <c r="H176" s="72"/>
      <c r="I176" s="72"/>
      <c r="J176" s="72"/>
      <c r="K176" s="72"/>
      <c r="L176" s="93"/>
      <c r="M176" s="93"/>
      <c r="N176" s="93"/>
      <c r="O176" s="93"/>
      <c r="P176" s="93"/>
      <c r="Q176" s="93"/>
      <c r="R176" s="93"/>
      <c r="S176" s="93"/>
      <c r="T176" s="93"/>
      <c r="U176" s="93"/>
      <c r="V176" s="93"/>
      <c r="W176" s="93"/>
      <c r="X176" s="93"/>
      <c r="Y176" s="93"/>
    </row>
    <row r="177" spans="1:25">
      <c r="A177" s="72"/>
      <c r="B177" s="72"/>
      <c r="C177" s="72"/>
      <c r="D177" s="72"/>
      <c r="E177" s="72"/>
      <c r="F177" s="72"/>
      <c r="G177" s="72"/>
      <c r="H177" s="72"/>
      <c r="I177" s="72"/>
      <c r="J177" s="72"/>
      <c r="K177" s="72"/>
      <c r="L177" s="93"/>
      <c r="M177" s="93"/>
      <c r="N177" s="93"/>
      <c r="O177" s="93"/>
      <c r="P177" s="93"/>
      <c r="Q177" s="93"/>
      <c r="R177" s="93"/>
      <c r="S177" s="93"/>
      <c r="T177" s="93"/>
      <c r="U177" s="93"/>
      <c r="V177" s="93"/>
      <c r="W177" s="93"/>
      <c r="X177" s="93"/>
      <c r="Y177" s="93"/>
    </row>
    <row r="178" spans="1:25">
      <c r="A178" s="72"/>
      <c r="B178" s="72"/>
      <c r="C178" s="72"/>
      <c r="D178" s="72"/>
      <c r="E178" s="72"/>
      <c r="F178" s="72"/>
      <c r="G178" s="72"/>
      <c r="H178" s="72"/>
      <c r="I178" s="72"/>
      <c r="J178" s="72"/>
      <c r="K178" s="72"/>
      <c r="L178" s="93"/>
      <c r="M178" s="93"/>
      <c r="N178" s="93"/>
      <c r="O178" s="93"/>
      <c r="P178" s="93"/>
      <c r="Q178" s="93"/>
      <c r="R178" s="93"/>
      <c r="S178" s="93"/>
      <c r="T178" s="93"/>
      <c r="U178" s="93"/>
      <c r="V178" s="93"/>
      <c r="W178" s="93"/>
      <c r="X178" s="93"/>
      <c r="Y178" s="93"/>
    </row>
    <row r="179" spans="1:25">
      <c r="A179" s="72"/>
      <c r="B179" s="72"/>
      <c r="C179" s="72"/>
      <c r="D179" s="72"/>
      <c r="E179" s="72"/>
      <c r="F179" s="72"/>
      <c r="G179" s="72"/>
      <c r="H179" s="72"/>
      <c r="I179" s="72"/>
      <c r="J179" s="72"/>
      <c r="K179" s="72"/>
      <c r="L179" s="93"/>
      <c r="M179" s="93"/>
      <c r="N179" s="93"/>
      <c r="O179" s="93"/>
      <c r="P179" s="93"/>
      <c r="Q179" s="93"/>
      <c r="R179" s="93"/>
      <c r="S179" s="93"/>
      <c r="T179" s="93"/>
      <c r="U179" s="93"/>
      <c r="V179" s="93"/>
      <c r="W179" s="93"/>
      <c r="X179" s="93"/>
      <c r="Y179" s="93"/>
    </row>
    <row r="180" spans="1:25">
      <c r="A180" s="72"/>
      <c r="B180" s="72"/>
      <c r="C180" s="72"/>
      <c r="D180" s="72"/>
      <c r="E180" s="72"/>
      <c r="F180" s="72"/>
      <c r="G180" s="72"/>
      <c r="H180" s="72"/>
      <c r="I180" s="72"/>
      <c r="J180" s="72"/>
      <c r="K180" s="72"/>
      <c r="L180" s="93"/>
      <c r="M180" s="93"/>
      <c r="N180" s="93"/>
      <c r="O180" s="93"/>
      <c r="P180" s="93"/>
      <c r="Q180" s="93"/>
      <c r="R180" s="93"/>
      <c r="S180" s="93"/>
      <c r="T180" s="93"/>
      <c r="U180" s="93"/>
      <c r="V180" s="93"/>
      <c r="W180" s="93"/>
      <c r="X180" s="93"/>
      <c r="Y180" s="93"/>
    </row>
    <row r="181" spans="1:25">
      <c r="A181" s="72"/>
      <c r="B181" s="72"/>
      <c r="C181" s="72"/>
      <c r="D181" s="72"/>
      <c r="E181" s="72"/>
      <c r="F181" s="72"/>
      <c r="G181" s="72"/>
      <c r="H181" s="72"/>
      <c r="I181" s="72"/>
      <c r="J181" s="72"/>
      <c r="K181" s="72"/>
      <c r="L181" s="93"/>
      <c r="M181" s="93"/>
      <c r="N181" s="93"/>
      <c r="O181" s="93"/>
      <c r="P181" s="93"/>
      <c r="Q181" s="93"/>
      <c r="R181" s="93"/>
      <c r="S181" s="93"/>
      <c r="T181" s="93"/>
      <c r="U181" s="93"/>
      <c r="V181" s="93"/>
      <c r="W181" s="93"/>
      <c r="X181" s="93"/>
      <c r="Y181" s="93"/>
    </row>
    <row r="182" spans="1:25">
      <c r="A182" s="72"/>
      <c r="B182" s="72"/>
      <c r="C182" s="72"/>
      <c r="D182" s="72"/>
      <c r="E182" s="72"/>
      <c r="F182" s="72"/>
      <c r="G182" s="72"/>
      <c r="H182" s="72"/>
      <c r="I182" s="72"/>
      <c r="J182" s="72"/>
      <c r="K182" s="72"/>
      <c r="L182" s="93"/>
      <c r="M182" s="93"/>
      <c r="N182" s="93"/>
      <c r="O182" s="93"/>
      <c r="P182" s="93"/>
      <c r="Q182" s="93"/>
      <c r="R182" s="93"/>
      <c r="S182" s="93"/>
      <c r="T182" s="93"/>
      <c r="U182" s="93"/>
      <c r="V182" s="93"/>
      <c r="W182" s="93"/>
      <c r="X182" s="93"/>
      <c r="Y182" s="93"/>
    </row>
    <row r="183" spans="1:25">
      <c r="A183" s="72"/>
      <c r="B183" s="72"/>
      <c r="C183" s="72"/>
      <c r="D183" s="72"/>
      <c r="E183" s="72"/>
      <c r="F183" s="72"/>
      <c r="G183" s="72"/>
      <c r="H183" s="72"/>
      <c r="I183" s="72"/>
      <c r="J183" s="72"/>
      <c r="K183" s="72"/>
      <c r="L183" s="93"/>
      <c r="M183" s="93"/>
      <c r="N183" s="93"/>
      <c r="O183" s="93"/>
      <c r="P183" s="93"/>
      <c r="Q183" s="93"/>
      <c r="R183" s="93"/>
      <c r="S183" s="93"/>
      <c r="T183" s="93"/>
      <c r="U183" s="93"/>
      <c r="V183" s="93"/>
      <c r="W183" s="93"/>
      <c r="X183" s="93"/>
      <c r="Y183" s="93"/>
    </row>
    <row r="184" spans="1:25">
      <c r="A184" s="72"/>
      <c r="B184" s="72"/>
      <c r="C184" s="72"/>
      <c r="D184" s="72"/>
      <c r="E184" s="72"/>
      <c r="F184" s="72"/>
      <c r="G184" s="72"/>
      <c r="H184" s="72"/>
      <c r="I184" s="72"/>
      <c r="J184" s="72"/>
      <c r="K184" s="72"/>
      <c r="L184" s="93"/>
      <c r="M184" s="93"/>
      <c r="N184" s="93"/>
      <c r="O184" s="93"/>
      <c r="P184" s="93"/>
      <c r="Q184" s="93"/>
      <c r="R184" s="93"/>
      <c r="S184" s="93"/>
      <c r="T184" s="93"/>
      <c r="U184" s="93"/>
      <c r="V184" s="93"/>
      <c r="W184" s="93"/>
      <c r="X184" s="93"/>
      <c r="Y184" s="93"/>
    </row>
    <row r="185" spans="1:25">
      <c r="A185" s="72"/>
      <c r="B185" s="72"/>
      <c r="C185" s="72"/>
      <c r="D185" s="72"/>
      <c r="E185" s="72"/>
      <c r="F185" s="72"/>
      <c r="G185" s="72"/>
      <c r="H185" s="72"/>
      <c r="I185" s="72"/>
      <c r="J185" s="72"/>
      <c r="K185" s="72"/>
      <c r="L185" s="93"/>
      <c r="M185" s="93"/>
      <c r="N185" s="93"/>
      <c r="O185" s="93"/>
      <c r="P185" s="93"/>
      <c r="Q185" s="93"/>
      <c r="R185" s="93"/>
      <c r="S185" s="93"/>
      <c r="T185" s="93"/>
      <c r="U185" s="93"/>
      <c r="V185" s="93"/>
      <c r="W185" s="93"/>
      <c r="X185" s="93"/>
      <c r="Y185" s="93"/>
    </row>
    <row r="186" spans="1:25">
      <c r="A186" s="72"/>
      <c r="B186" s="72"/>
      <c r="C186" s="72"/>
      <c r="D186" s="72"/>
      <c r="E186" s="72"/>
      <c r="F186" s="72"/>
      <c r="G186" s="72"/>
      <c r="H186" s="72"/>
      <c r="I186" s="72"/>
      <c r="J186" s="72"/>
      <c r="K186" s="72"/>
      <c r="L186" s="93"/>
      <c r="M186" s="93"/>
      <c r="N186" s="93"/>
      <c r="O186" s="93"/>
      <c r="P186" s="93"/>
      <c r="Q186" s="93"/>
      <c r="R186" s="93"/>
      <c r="S186" s="93"/>
      <c r="T186" s="93"/>
      <c r="U186" s="93"/>
      <c r="V186" s="93"/>
      <c r="W186" s="93"/>
      <c r="X186" s="93"/>
      <c r="Y186" s="93"/>
    </row>
    <row r="187" spans="1:25">
      <c r="A187" s="72"/>
      <c r="B187" s="72"/>
      <c r="C187" s="72"/>
      <c r="D187" s="72"/>
      <c r="E187" s="72"/>
      <c r="F187" s="72"/>
      <c r="G187" s="72"/>
      <c r="H187" s="72"/>
      <c r="I187" s="72"/>
      <c r="J187" s="72"/>
      <c r="K187" s="72"/>
      <c r="L187" s="93"/>
      <c r="M187" s="93"/>
      <c r="N187" s="93"/>
      <c r="O187" s="93"/>
      <c r="P187" s="93"/>
      <c r="Q187" s="93"/>
      <c r="R187" s="93"/>
      <c r="S187" s="93"/>
      <c r="T187" s="93"/>
      <c r="U187" s="93"/>
      <c r="V187" s="93"/>
      <c r="W187" s="93"/>
      <c r="X187" s="93"/>
      <c r="Y187" s="93"/>
    </row>
    <row r="188" spans="1:25">
      <c r="A188" s="72"/>
      <c r="B188" s="72"/>
      <c r="C188" s="72"/>
      <c r="D188" s="72"/>
      <c r="E188" s="72"/>
      <c r="F188" s="72"/>
      <c r="G188" s="72"/>
      <c r="H188" s="72"/>
      <c r="I188" s="72"/>
      <c r="J188" s="72"/>
      <c r="K188" s="72"/>
      <c r="L188" s="93"/>
      <c r="M188" s="93"/>
      <c r="N188" s="93"/>
      <c r="O188" s="93"/>
      <c r="P188" s="93"/>
      <c r="Q188" s="93"/>
      <c r="R188" s="93"/>
      <c r="S188" s="93"/>
      <c r="T188" s="93"/>
      <c r="U188" s="93"/>
      <c r="V188" s="93"/>
      <c r="W188" s="93"/>
      <c r="X188" s="93"/>
      <c r="Y188" s="93"/>
    </row>
    <row r="189" spans="1:25">
      <c r="A189" s="72"/>
      <c r="B189" s="72"/>
      <c r="C189" s="72"/>
      <c r="D189" s="72"/>
      <c r="E189" s="72"/>
      <c r="F189" s="72"/>
      <c r="G189" s="72"/>
      <c r="H189" s="72"/>
      <c r="I189" s="72"/>
      <c r="J189" s="72"/>
      <c r="K189" s="72"/>
      <c r="L189" s="93"/>
      <c r="M189" s="93"/>
      <c r="N189" s="93"/>
      <c r="O189" s="93"/>
      <c r="P189" s="93"/>
      <c r="Q189" s="93"/>
      <c r="R189" s="93"/>
      <c r="S189" s="93"/>
      <c r="T189" s="93"/>
      <c r="U189" s="93"/>
      <c r="V189" s="93"/>
      <c r="W189" s="93"/>
      <c r="X189" s="93"/>
      <c r="Y189" s="93"/>
    </row>
    <row r="190" spans="1:25">
      <c r="A190" s="72"/>
      <c r="B190" s="72"/>
      <c r="C190" s="72"/>
      <c r="D190" s="72"/>
      <c r="E190" s="72"/>
      <c r="F190" s="72"/>
      <c r="G190" s="72"/>
      <c r="H190" s="72"/>
      <c r="I190" s="72"/>
      <c r="J190" s="72"/>
      <c r="K190" s="72"/>
      <c r="L190" s="93"/>
      <c r="M190" s="93"/>
      <c r="N190" s="93"/>
      <c r="O190" s="93"/>
      <c r="P190" s="93"/>
      <c r="Q190" s="93"/>
      <c r="R190" s="93"/>
      <c r="S190" s="93"/>
      <c r="T190" s="93"/>
      <c r="U190" s="93"/>
      <c r="V190" s="93"/>
      <c r="W190" s="93"/>
      <c r="X190" s="93"/>
      <c r="Y190" s="93"/>
    </row>
    <row r="191" spans="1:25">
      <c r="A191" s="72"/>
      <c r="B191" s="72"/>
      <c r="C191" s="72"/>
      <c r="D191" s="72"/>
      <c r="E191" s="72"/>
      <c r="F191" s="72"/>
      <c r="G191" s="72"/>
      <c r="H191" s="72"/>
      <c r="I191" s="72"/>
      <c r="J191" s="72"/>
      <c r="K191" s="72"/>
      <c r="L191" s="93"/>
      <c r="M191" s="93"/>
      <c r="N191" s="93"/>
      <c r="O191" s="93"/>
      <c r="P191" s="93"/>
      <c r="Q191" s="93"/>
      <c r="R191" s="93"/>
      <c r="S191" s="93"/>
      <c r="T191" s="93"/>
      <c r="U191" s="93"/>
      <c r="V191" s="93"/>
      <c r="W191" s="93"/>
      <c r="X191" s="93"/>
      <c r="Y191" s="93"/>
    </row>
    <row r="192" spans="1:25">
      <c r="A192" s="72"/>
      <c r="B192" s="72"/>
      <c r="C192" s="72"/>
      <c r="D192" s="72"/>
      <c r="E192" s="72"/>
      <c r="F192" s="72"/>
      <c r="G192" s="72"/>
      <c r="H192" s="72"/>
      <c r="I192" s="72"/>
      <c r="J192" s="72"/>
      <c r="K192" s="72"/>
      <c r="L192" s="93"/>
      <c r="M192" s="93"/>
      <c r="N192" s="93"/>
      <c r="O192" s="93"/>
      <c r="P192" s="93"/>
      <c r="Q192" s="93"/>
      <c r="R192" s="93"/>
      <c r="S192" s="93"/>
      <c r="T192" s="93"/>
      <c r="U192" s="93"/>
      <c r="V192" s="93"/>
      <c r="W192" s="93"/>
      <c r="X192" s="93"/>
      <c r="Y192" s="93"/>
    </row>
    <row r="193" spans="1:25">
      <c r="A193" s="72"/>
      <c r="B193" s="72"/>
      <c r="C193" s="72"/>
      <c r="D193" s="72"/>
      <c r="E193" s="72"/>
      <c r="F193" s="72"/>
      <c r="G193" s="72"/>
      <c r="H193" s="72"/>
      <c r="I193" s="72"/>
      <c r="J193" s="72"/>
      <c r="K193" s="72"/>
      <c r="L193" s="93"/>
      <c r="M193" s="93"/>
      <c r="N193" s="93"/>
      <c r="O193" s="93"/>
      <c r="P193" s="93"/>
      <c r="Q193" s="93"/>
      <c r="R193" s="93"/>
      <c r="S193" s="93"/>
      <c r="T193" s="93"/>
      <c r="U193" s="93"/>
      <c r="V193" s="93"/>
      <c r="W193" s="93"/>
      <c r="X193" s="93"/>
      <c r="Y193" s="93"/>
    </row>
    <row r="194" spans="1:25">
      <c r="A194" s="72"/>
      <c r="B194" s="72"/>
      <c r="C194" s="72"/>
      <c r="D194" s="72"/>
      <c r="E194" s="72"/>
      <c r="F194" s="72"/>
      <c r="G194" s="72"/>
      <c r="H194" s="72"/>
      <c r="I194" s="72"/>
      <c r="J194" s="72"/>
      <c r="K194" s="72"/>
      <c r="L194" s="93"/>
      <c r="M194" s="93"/>
      <c r="N194" s="93"/>
      <c r="O194" s="93"/>
      <c r="P194" s="93"/>
      <c r="Q194" s="93"/>
      <c r="R194" s="93"/>
      <c r="S194" s="93"/>
      <c r="T194" s="93"/>
      <c r="U194" s="93"/>
      <c r="V194" s="93"/>
      <c r="W194" s="93"/>
      <c r="X194" s="93"/>
      <c r="Y194" s="93"/>
    </row>
    <row r="195" spans="1:25">
      <c r="A195" s="72"/>
      <c r="B195" s="72"/>
      <c r="C195" s="72"/>
      <c r="D195" s="72"/>
      <c r="E195" s="72"/>
      <c r="F195" s="72"/>
      <c r="G195" s="72"/>
      <c r="H195" s="72"/>
      <c r="I195" s="72"/>
      <c r="J195" s="72"/>
      <c r="K195" s="72"/>
      <c r="L195" s="93"/>
      <c r="M195" s="93"/>
      <c r="N195" s="93"/>
      <c r="O195" s="93"/>
      <c r="P195" s="93"/>
      <c r="Q195" s="93"/>
      <c r="R195" s="93"/>
      <c r="S195" s="93"/>
      <c r="T195" s="93"/>
      <c r="U195" s="93"/>
      <c r="V195" s="93"/>
      <c r="W195" s="93"/>
      <c r="X195" s="93"/>
      <c r="Y195" s="93"/>
    </row>
    <row r="196" spans="1:25">
      <c r="A196" s="72"/>
      <c r="B196" s="72"/>
      <c r="C196" s="72"/>
      <c r="D196" s="72"/>
      <c r="E196" s="72"/>
      <c r="F196" s="72"/>
      <c r="G196" s="72"/>
      <c r="H196" s="72"/>
      <c r="I196" s="72"/>
      <c r="J196" s="72"/>
      <c r="K196" s="72"/>
      <c r="L196" s="93"/>
      <c r="M196" s="93"/>
      <c r="N196" s="93"/>
      <c r="O196" s="93"/>
      <c r="P196" s="93"/>
      <c r="Q196" s="93"/>
      <c r="R196" s="93"/>
      <c r="S196" s="93"/>
      <c r="T196" s="93"/>
      <c r="U196" s="93"/>
      <c r="V196" s="93"/>
      <c r="W196" s="93"/>
      <c r="X196" s="93"/>
      <c r="Y196" s="93"/>
    </row>
    <row r="197" spans="1:25">
      <c r="A197" s="72"/>
      <c r="B197" s="72"/>
      <c r="C197" s="72"/>
      <c r="D197" s="72"/>
      <c r="E197" s="72"/>
      <c r="F197" s="72"/>
      <c r="G197" s="72"/>
      <c r="H197" s="72"/>
      <c r="I197" s="72"/>
      <c r="J197" s="72"/>
      <c r="K197" s="72"/>
      <c r="L197" s="93"/>
      <c r="M197" s="93"/>
      <c r="N197" s="93"/>
      <c r="O197" s="93"/>
      <c r="P197" s="93"/>
      <c r="Q197" s="93"/>
      <c r="R197" s="93"/>
      <c r="S197" s="93"/>
      <c r="T197" s="93"/>
      <c r="U197" s="93"/>
      <c r="V197" s="93"/>
      <c r="W197" s="93"/>
      <c r="X197" s="93"/>
      <c r="Y197" s="93"/>
    </row>
    <row r="198" spans="1:25">
      <c r="A198" s="72"/>
      <c r="B198" s="72"/>
      <c r="C198" s="72"/>
      <c r="D198" s="72"/>
      <c r="E198" s="72"/>
      <c r="F198" s="72"/>
      <c r="G198" s="72"/>
      <c r="H198" s="72"/>
      <c r="I198" s="72"/>
      <c r="J198" s="72"/>
      <c r="K198" s="72"/>
      <c r="L198" s="93"/>
      <c r="M198" s="93"/>
      <c r="N198" s="93"/>
      <c r="O198" s="93"/>
      <c r="P198" s="93"/>
      <c r="Q198" s="93"/>
      <c r="R198" s="93"/>
      <c r="S198" s="93"/>
      <c r="T198" s="93"/>
      <c r="U198" s="93"/>
      <c r="V198" s="93"/>
      <c r="W198" s="93"/>
      <c r="X198" s="93"/>
      <c r="Y198" s="93"/>
    </row>
    <row r="199" spans="1:25">
      <c r="A199" s="72"/>
      <c r="B199" s="72"/>
      <c r="C199" s="72"/>
      <c r="D199" s="72"/>
      <c r="E199" s="72"/>
      <c r="F199" s="72"/>
      <c r="G199" s="72"/>
      <c r="H199" s="72"/>
      <c r="I199" s="72"/>
      <c r="J199" s="72"/>
      <c r="K199" s="72"/>
      <c r="L199" s="93"/>
      <c r="M199" s="93"/>
      <c r="N199" s="93"/>
      <c r="O199" s="93"/>
      <c r="P199" s="93"/>
      <c r="Q199" s="93"/>
      <c r="R199" s="93"/>
      <c r="S199" s="93"/>
      <c r="T199" s="93"/>
      <c r="U199" s="93"/>
      <c r="V199" s="93"/>
      <c r="W199" s="93"/>
      <c r="X199" s="93"/>
      <c r="Y199" s="93"/>
    </row>
    <row r="200" spans="1:25">
      <c r="A200" s="72"/>
      <c r="B200" s="72"/>
      <c r="C200" s="72"/>
      <c r="D200" s="72"/>
      <c r="E200" s="72"/>
      <c r="F200" s="72"/>
      <c r="G200" s="72"/>
      <c r="H200" s="72"/>
      <c r="I200" s="72"/>
      <c r="J200" s="72"/>
      <c r="K200" s="72"/>
      <c r="L200" s="93"/>
      <c r="M200" s="93"/>
      <c r="N200" s="93"/>
      <c r="O200" s="93"/>
      <c r="P200" s="93"/>
      <c r="Q200" s="93"/>
      <c r="R200" s="93"/>
      <c r="S200" s="93"/>
      <c r="T200" s="93"/>
      <c r="U200" s="93"/>
      <c r="V200" s="93"/>
      <c r="W200" s="93"/>
      <c r="X200" s="93"/>
      <c r="Y200" s="93"/>
    </row>
    <row r="201" spans="1:25">
      <c r="A201" s="72"/>
      <c r="B201" s="72"/>
      <c r="C201" s="72"/>
      <c r="D201" s="72"/>
      <c r="E201" s="72"/>
      <c r="F201" s="72"/>
      <c r="G201" s="72"/>
      <c r="H201" s="72"/>
      <c r="I201" s="72"/>
      <c r="J201" s="72"/>
      <c r="K201" s="72"/>
      <c r="L201" s="93"/>
      <c r="M201" s="93"/>
      <c r="N201" s="93"/>
      <c r="O201" s="93"/>
      <c r="P201" s="93"/>
      <c r="Q201" s="93"/>
      <c r="R201" s="93"/>
      <c r="S201" s="93"/>
      <c r="T201" s="93"/>
      <c r="U201" s="93"/>
      <c r="V201" s="93"/>
      <c r="W201" s="93"/>
      <c r="X201" s="93"/>
      <c r="Y201" s="93"/>
    </row>
    <row r="202" spans="1:25">
      <c r="A202" s="72"/>
      <c r="B202" s="72"/>
      <c r="C202" s="72"/>
      <c r="D202" s="72"/>
      <c r="E202" s="72"/>
      <c r="F202" s="72"/>
      <c r="G202" s="72"/>
      <c r="H202" s="72"/>
      <c r="I202" s="72"/>
      <c r="J202" s="72"/>
      <c r="K202" s="72"/>
      <c r="L202" s="93"/>
      <c r="M202" s="93"/>
      <c r="N202" s="93"/>
      <c r="O202" s="93"/>
      <c r="P202" s="93"/>
      <c r="Q202" s="93"/>
      <c r="R202" s="93"/>
      <c r="S202" s="93"/>
      <c r="T202" s="93"/>
      <c r="U202" s="93"/>
      <c r="V202" s="93"/>
      <c r="W202" s="93"/>
      <c r="X202" s="93"/>
      <c r="Y202" s="93"/>
    </row>
    <row r="203" spans="1:25">
      <c r="A203" s="72"/>
      <c r="B203" s="72"/>
      <c r="C203" s="72"/>
      <c r="D203" s="72"/>
      <c r="E203" s="72"/>
      <c r="F203" s="72"/>
      <c r="G203" s="72"/>
      <c r="H203" s="72"/>
      <c r="I203" s="72"/>
      <c r="J203" s="72"/>
      <c r="K203" s="72"/>
      <c r="L203" s="93"/>
      <c r="M203" s="93"/>
      <c r="N203" s="93"/>
      <c r="O203" s="93"/>
      <c r="P203" s="93"/>
      <c r="Q203" s="93"/>
      <c r="R203" s="93"/>
      <c r="S203" s="93"/>
      <c r="T203" s="93"/>
      <c r="U203" s="93"/>
      <c r="V203" s="93"/>
      <c r="W203" s="93"/>
      <c r="X203" s="93"/>
      <c r="Y203" s="93"/>
    </row>
    <row r="204" spans="1:25">
      <c r="A204" s="72"/>
      <c r="B204" s="72"/>
      <c r="C204" s="72"/>
      <c r="D204" s="72"/>
      <c r="E204" s="72"/>
      <c r="F204" s="72"/>
      <c r="G204" s="72"/>
      <c r="H204" s="72"/>
      <c r="I204" s="72"/>
      <c r="J204" s="72"/>
      <c r="K204" s="72"/>
      <c r="L204" s="93"/>
      <c r="M204" s="93"/>
      <c r="N204" s="93"/>
      <c r="O204" s="93"/>
      <c r="P204" s="93"/>
      <c r="Q204" s="93"/>
      <c r="R204" s="93"/>
      <c r="S204" s="93"/>
      <c r="T204" s="93"/>
      <c r="U204" s="93"/>
      <c r="V204" s="93"/>
      <c r="W204" s="93"/>
      <c r="X204" s="93"/>
      <c r="Y204" s="93"/>
    </row>
    <row r="205" spans="1:25">
      <c r="A205" s="72"/>
      <c r="B205" s="72"/>
      <c r="C205" s="72"/>
      <c r="D205" s="72"/>
      <c r="E205" s="72"/>
      <c r="F205" s="72"/>
      <c r="G205" s="72"/>
      <c r="H205" s="72"/>
      <c r="I205" s="72"/>
      <c r="J205" s="72"/>
      <c r="K205" s="72"/>
      <c r="L205" s="93"/>
      <c r="M205" s="93"/>
      <c r="N205" s="93"/>
      <c r="O205" s="93"/>
      <c r="P205" s="93"/>
      <c r="Q205" s="93"/>
      <c r="R205" s="93"/>
      <c r="S205" s="93"/>
      <c r="T205" s="93"/>
      <c r="U205" s="93"/>
      <c r="V205" s="93"/>
      <c r="W205" s="93"/>
      <c r="X205" s="93"/>
      <c r="Y205" s="93"/>
    </row>
    <row r="206" spans="1:25">
      <c r="A206" s="72"/>
      <c r="B206" s="72"/>
      <c r="C206" s="72"/>
      <c r="D206" s="72"/>
      <c r="E206" s="72"/>
      <c r="F206" s="72"/>
      <c r="G206" s="72"/>
      <c r="H206" s="72"/>
      <c r="I206" s="72"/>
      <c r="J206" s="72"/>
      <c r="K206" s="72"/>
      <c r="L206" s="93"/>
      <c r="M206" s="93"/>
      <c r="N206" s="93"/>
      <c r="O206" s="93"/>
      <c r="P206" s="93"/>
      <c r="Q206" s="93"/>
      <c r="R206" s="93"/>
      <c r="S206" s="93"/>
      <c r="T206" s="93"/>
      <c r="U206" s="93"/>
      <c r="V206" s="93"/>
      <c r="W206" s="93"/>
      <c r="X206" s="93"/>
      <c r="Y206" s="93"/>
    </row>
    <row r="207" spans="1:25">
      <c r="A207" s="72"/>
      <c r="B207" s="72"/>
      <c r="C207" s="72"/>
      <c r="D207" s="72"/>
      <c r="E207" s="72"/>
      <c r="F207" s="72"/>
      <c r="G207" s="72"/>
      <c r="H207" s="72"/>
      <c r="I207" s="72"/>
      <c r="J207" s="72"/>
      <c r="K207" s="72"/>
      <c r="L207" s="93"/>
      <c r="M207" s="93"/>
      <c r="N207" s="93"/>
      <c r="O207" s="93"/>
      <c r="P207" s="93"/>
      <c r="Q207" s="93"/>
      <c r="R207" s="93"/>
      <c r="S207" s="93"/>
      <c r="T207" s="93"/>
      <c r="U207" s="93"/>
      <c r="V207" s="93"/>
      <c r="W207" s="93"/>
      <c r="X207" s="93"/>
      <c r="Y207" s="93"/>
    </row>
    <row r="208" spans="1:25">
      <c r="A208" s="72"/>
      <c r="B208" s="72"/>
      <c r="C208" s="72"/>
      <c r="D208" s="72"/>
      <c r="E208" s="72"/>
      <c r="F208" s="72"/>
      <c r="G208" s="72"/>
      <c r="H208" s="72"/>
      <c r="I208" s="72"/>
      <c r="J208" s="72"/>
      <c r="K208" s="72"/>
      <c r="L208" s="93"/>
      <c r="M208" s="93"/>
      <c r="N208" s="93"/>
      <c r="O208" s="93"/>
      <c r="P208" s="93"/>
      <c r="Q208" s="93"/>
      <c r="R208" s="93"/>
      <c r="S208" s="93"/>
      <c r="T208" s="93"/>
      <c r="U208" s="93"/>
      <c r="V208" s="93"/>
      <c r="W208" s="93"/>
      <c r="X208" s="93"/>
      <c r="Y208" s="93"/>
    </row>
    <row r="209" spans="1:25">
      <c r="A209" s="72"/>
      <c r="B209" s="72"/>
      <c r="C209" s="72"/>
      <c r="D209" s="72"/>
      <c r="E209" s="72"/>
      <c r="F209" s="72"/>
      <c r="G209" s="72"/>
      <c r="H209" s="72"/>
      <c r="I209" s="72"/>
      <c r="J209" s="72"/>
      <c r="K209" s="72"/>
      <c r="L209" s="93"/>
      <c r="M209" s="93"/>
      <c r="N209" s="93"/>
      <c r="O209" s="93"/>
      <c r="P209" s="93"/>
      <c r="Q209" s="93"/>
      <c r="R209" s="93"/>
      <c r="S209" s="93"/>
      <c r="T209" s="93"/>
      <c r="U209" s="93"/>
      <c r="V209" s="93"/>
      <c r="W209" s="93"/>
      <c r="X209" s="93"/>
      <c r="Y209" s="93"/>
    </row>
    <row r="210" spans="1:25">
      <c r="A210" s="72"/>
      <c r="B210" s="72"/>
      <c r="C210" s="72"/>
      <c r="D210" s="72"/>
      <c r="E210" s="72"/>
      <c r="F210" s="72"/>
      <c r="G210" s="72"/>
      <c r="H210" s="72"/>
      <c r="I210" s="72"/>
      <c r="J210" s="72"/>
      <c r="K210" s="72"/>
      <c r="L210" s="93"/>
      <c r="M210" s="93"/>
      <c r="N210" s="93"/>
      <c r="O210" s="93"/>
      <c r="P210" s="93"/>
      <c r="Q210" s="93"/>
      <c r="R210" s="93"/>
      <c r="S210" s="93"/>
      <c r="T210" s="93"/>
      <c r="U210" s="93"/>
      <c r="V210" s="93"/>
      <c r="W210" s="93"/>
      <c r="X210" s="93"/>
      <c r="Y210" s="93"/>
    </row>
    <row r="211" spans="1:25">
      <c r="A211" s="72"/>
      <c r="B211" s="72"/>
      <c r="C211" s="72"/>
      <c r="D211" s="72"/>
      <c r="E211" s="72"/>
      <c r="F211" s="72"/>
      <c r="G211" s="72"/>
      <c r="H211" s="72"/>
      <c r="I211" s="72"/>
      <c r="J211" s="72"/>
      <c r="K211" s="72"/>
      <c r="L211" s="93"/>
      <c r="M211" s="93"/>
      <c r="N211" s="93"/>
      <c r="O211" s="93"/>
      <c r="P211" s="93"/>
      <c r="Q211" s="93"/>
      <c r="R211" s="93"/>
      <c r="S211" s="93"/>
      <c r="T211" s="93"/>
      <c r="U211" s="93"/>
      <c r="V211" s="93"/>
      <c r="W211" s="93"/>
      <c r="X211" s="93"/>
      <c r="Y211" s="93"/>
    </row>
    <row r="212" spans="1:25">
      <c r="A212" s="72"/>
      <c r="B212" s="72"/>
      <c r="C212" s="72"/>
      <c r="D212" s="72"/>
      <c r="E212" s="72"/>
      <c r="F212" s="72"/>
      <c r="G212" s="72"/>
      <c r="H212" s="72"/>
      <c r="I212" s="72"/>
      <c r="J212" s="72"/>
      <c r="K212" s="72"/>
      <c r="L212" s="93"/>
      <c r="M212" s="93"/>
      <c r="N212" s="93"/>
      <c r="O212" s="93"/>
      <c r="P212" s="93"/>
      <c r="Q212" s="93"/>
      <c r="R212" s="93"/>
      <c r="S212" s="93"/>
      <c r="T212" s="93"/>
      <c r="U212" s="93"/>
      <c r="V212" s="93"/>
      <c r="W212" s="93"/>
      <c r="X212" s="93"/>
      <c r="Y212" s="93"/>
    </row>
    <row r="213" spans="1:25">
      <c r="A213" s="72"/>
      <c r="B213" s="72"/>
      <c r="C213" s="72"/>
      <c r="D213" s="72"/>
      <c r="E213" s="72"/>
      <c r="F213" s="72"/>
      <c r="G213" s="72"/>
      <c r="H213" s="72"/>
      <c r="I213" s="72"/>
      <c r="J213" s="72"/>
      <c r="K213" s="72"/>
      <c r="L213" s="93"/>
      <c r="M213" s="93"/>
      <c r="N213" s="93"/>
      <c r="O213" s="93"/>
      <c r="P213" s="93"/>
      <c r="Q213" s="93"/>
      <c r="R213" s="93"/>
      <c r="S213" s="93"/>
      <c r="T213" s="93"/>
      <c r="U213" s="93"/>
      <c r="V213" s="93"/>
      <c r="W213" s="93"/>
      <c r="X213" s="93"/>
      <c r="Y213" s="93"/>
    </row>
    <row r="214" spans="1:25">
      <c r="A214" s="72"/>
      <c r="B214" s="72"/>
      <c r="C214" s="72"/>
      <c r="D214" s="72"/>
      <c r="E214" s="72"/>
      <c r="F214" s="72"/>
      <c r="G214" s="72"/>
      <c r="H214" s="72"/>
      <c r="I214" s="72"/>
      <c r="J214" s="72"/>
      <c r="K214" s="72"/>
      <c r="L214" s="93"/>
      <c r="M214" s="93"/>
      <c r="N214" s="93"/>
      <c r="O214" s="93"/>
      <c r="P214" s="93"/>
      <c r="Q214" s="93"/>
      <c r="R214" s="93"/>
      <c r="S214" s="93"/>
      <c r="T214" s="93"/>
      <c r="U214" s="93"/>
      <c r="V214" s="93"/>
      <c r="W214" s="93"/>
      <c r="X214" s="93"/>
      <c r="Y214" s="93"/>
    </row>
    <row r="215" spans="1:25">
      <c r="A215" s="72"/>
      <c r="B215" s="72"/>
      <c r="C215" s="72"/>
      <c r="D215" s="72"/>
      <c r="E215" s="72"/>
      <c r="F215" s="72"/>
      <c r="G215" s="72"/>
      <c r="H215" s="72"/>
      <c r="I215" s="72"/>
      <c r="J215" s="72"/>
      <c r="K215" s="72"/>
      <c r="L215" s="93"/>
      <c r="M215" s="93"/>
      <c r="N215" s="93"/>
      <c r="O215" s="93"/>
      <c r="P215" s="93"/>
      <c r="Q215" s="93"/>
      <c r="R215" s="93"/>
      <c r="S215" s="93"/>
      <c r="T215" s="93"/>
      <c r="U215" s="93"/>
      <c r="V215" s="93"/>
      <c r="W215" s="93"/>
      <c r="X215" s="93"/>
      <c r="Y215" s="93"/>
    </row>
    <row r="216" spans="1:25">
      <c r="A216" s="72"/>
      <c r="B216" s="72"/>
      <c r="C216" s="72"/>
      <c r="D216" s="72"/>
      <c r="E216" s="72"/>
      <c r="F216" s="72"/>
      <c r="G216" s="72"/>
      <c r="H216" s="72"/>
      <c r="I216" s="72"/>
      <c r="J216" s="72"/>
      <c r="K216" s="72"/>
      <c r="L216" s="93"/>
      <c r="M216" s="93"/>
      <c r="N216" s="93"/>
      <c r="O216" s="93"/>
      <c r="P216" s="93"/>
      <c r="Q216" s="93"/>
      <c r="R216" s="93"/>
      <c r="S216" s="93"/>
      <c r="T216" s="93"/>
      <c r="U216" s="93"/>
      <c r="V216" s="93"/>
      <c r="W216" s="93"/>
      <c r="X216" s="93"/>
      <c r="Y216" s="93"/>
    </row>
    <row r="217" spans="1:25">
      <c r="A217" s="72"/>
      <c r="B217" s="72"/>
      <c r="C217" s="72"/>
      <c r="D217" s="72"/>
      <c r="E217" s="72"/>
      <c r="F217" s="72"/>
      <c r="G217" s="72"/>
      <c r="H217" s="72"/>
      <c r="I217" s="72"/>
      <c r="J217" s="72"/>
      <c r="K217" s="72"/>
      <c r="L217" s="93"/>
      <c r="M217" s="93"/>
      <c r="N217" s="93"/>
      <c r="O217" s="93"/>
      <c r="P217" s="93"/>
      <c r="Q217" s="93"/>
      <c r="R217" s="93"/>
      <c r="S217" s="93"/>
      <c r="T217" s="93"/>
      <c r="U217" s="93"/>
      <c r="V217" s="93"/>
      <c r="W217" s="93"/>
      <c r="X217" s="93"/>
      <c r="Y217" s="93"/>
    </row>
    <row r="218" spans="1:25">
      <c r="A218" s="72"/>
      <c r="B218" s="72"/>
      <c r="C218" s="72"/>
      <c r="D218" s="72"/>
      <c r="E218" s="72"/>
      <c r="F218" s="72"/>
      <c r="G218" s="72"/>
      <c r="H218" s="72"/>
      <c r="I218" s="72"/>
      <c r="J218" s="72"/>
      <c r="K218" s="72"/>
      <c r="L218" s="93"/>
      <c r="M218" s="93"/>
      <c r="N218" s="93"/>
      <c r="O218" s="93"/>
      <c r="P218" s="93"/>
      <c r="Q218" s="93"/>
      <c r="R218" s="93"/>
      <c r="S218" s="93"/>
      <c r="T218" s="93"/>
      <c r="U218" s="93"/>
      <c r="V218" s="93"/>
      <c r="W218" s="93"/>
      <c r="X218" s="93"/>
      <c r="Y218" s="93"/>
    </row>
    <row r="219" spans="1:25">
      <c r="A219" s="72"/>
      <c r="B219" s="72"/>
      <c r="C219" s="72"/>
      <c r="D219" s="72"/>
      <c r="E219" s="72"/>
      <c r="F219" s="72"/>
      <c r="G219" s="72"/>
      <c r="H219" s="72"/>
      <c r="I219" s="72"/>
      <c r="J219" s="72"/>
      <c r="K219" s="72"/>
      <c r="L219" s="93"/>
      <c r="M219" s="93"/>
      <c r="N219" s="93"/>
      <c r="O219" s="93"/>
      <c r="P219" s="93"/>
      <c r="Q219" s="93"/>
      <c r="R219" s="93"/>
      <c r="S219" s="93"/>
      <c r="T219" s="93"/>
      <c r="U219" s="93"/>
      <c r="V219" s="93"/>
      <c r="W219" s="93"/>
      <c r="X219" s="93"/>
      <c r="Y219" s="93"/>
    </row>
    <row r="220" spans="1:25">
      <c r="A220" s="72"/>
      <c r="B220" s="72"/>
      <c r="C220" s="72"/>
      <c r="D220" s="72"/>
      <c r="E220" s="72"/>
      <c r="F220" s="72"/>
      <c r="G220" s="72"/>
      <c r="H220" s="72"/>
      <c r="I220" s="72"/>
      <c r="J220" s="72"/>
      <c r="K220" s="72"/>
      <c r="L220" s="93"/>
      <c r="M220" s="93"/>
      <c r="N220" s="93"/>
      <c r="O220" s="93"/>
      <c r="P220" s="93"/>
      <c r="Q220" s="93"/>
      <c r="R220" s="93"/>
      <c r="S220" s="93"/>
      <c r="T220" s="93"/>
      <c r="U220" s="93"/>
      <c r="V220" s="93"/>
      <c r="W220" s="93"/>
      <c r="X220" s="93"/>
      <c r="Y220" s="93"/>
    </row>
    <row r="221" spans="1:25">
      <c r="A221" s="72"/>
      <c r="B221" s="72"/>
      <c r="C221" s="72"/>
      <c r="D221" s="72"/>
      <c r="E221" s="72"/>
      <c r="F221" s="72"/>
      <c r="G221" s="72"/>
      <c r="H221" s="72"/>
      <c r="I221" s="72"/>
      <c r="J221" s="72"/>
      <c r="K221" s="72"/>
      <c r="L221" s="93"/>
      <c r="M221" s="93"/>
      <c r="N221" s="93"/>
      <c r="O221" s="93"/>
      <c r="P221" s="93"/>
      <c r="Q221" s="93"/>
      <c r="R221" s="93"/>
      <c r="S221" s="93"/>
      <c r="T221" s="93"/>
      <c r="U221" s="93"/>
      <c r="V221" s="93"/>
      <c r="W221" s="93"/>
      <c r="X221" s="93"/>
      <c r="Y221" s="93"/>
    </row>
    <row r="222" spans="1:25">
      <c r="A222" s="72"/>
      <c r="B222" s="72"/>
      <c r="C222" s="72"/>
      <c r="D222" s="72"/>
      <c r="E222" s="72"/>
      <c r="F222" s="72"/>
      <c r="G222" s="72"/>
      <c r="H222" s="72"/>
      <c r="I222" s="72"/>
      <c r="J222" s="72"/>
      <c r="K222" s="72"/>
      <c r="L222" s="93"/>
      <c r="M222" s="93"/>
      <c r="N222" s="93"/>
      <c r="O222" s="93"/>
      <c r="P222" s="93"/>
      <c r="Q222" s="93"/>
      <c r="R222" s="93"/>
      <c r="S222" s="93"/>
      <c r="T222" s="93"/>
      <c r="U222" s="93"/>
      <c r="V222" s="93"/>
      <c r="W222" s="93"/>
      <c r="X222" s="93"/>
      <c r="Y222" s="93"/>
    </row>
    <row r="223" spans="1:25">
      <c r="A223" s="72"/>
      <c r="B223" s="72"/>
      <c r="C223" s="72"/>
      <c r="D223" s="72"/>
      <c r="E223" s="72"/>
      <c r="F223" s="72"/>
      <c r="G223" s="72"/>
      <c r="H223" s="72"/>
      <c r="I223" s="72"/>
      <c r="J223" s="72"/>
      <c r="K223" s="72"/>
      <c r="L223" s="93"/>
      <c r="M223" s="93"/>
      <c r="N223" s="93"/>
      <c r="O223" s="93"/>
      <c r="P223" s="93"/>
      <c r="Q223" s="93"/>
      <c r="R223" s="93"/>
      <c r="S223" s="93"/>
      <c r="T223" s="93"/>
      <c r="U223" s="93"/>
      <c r="V223" s="93"/>
      <c r="W223" s="93"/>
      <c r="X223" s="93"/>
      <c r="Y223" s="93"/>
    </row>
    <row r="224" spans="1:25">
      <c r="A224" s="72"/>
      <c r="B224" s="72"/>
      <c r="C224" s="72"/>
      <c r="D224" s="72"/>
      <c r="E224" s="72"/>
      <c r="F224" s="72"/>
      <c r="G224" s="72"/>
      <c r="H224" s="72"/>
      <c r="I224" s="72"/>
      <c r="J224" s="72"/>
      <c r="K224" s="72"/>
      <c r="L224" s="93"/>
      <c r="M224" s="93"/>
      <c r="N224" s="93"/>
      <c r="O224" s="93"/>
      <c r="P224" s="93"/>
      <c r="Q224" s="93"/>
      <c r="R224" s="93"/>
      <c r="S224" s="93"/>
      <c r="T224" s="93"/>
      <c r="U224" s="93"/>
      <c r="V224" s="93"/>
      <c r="W224" s="93"/>
      <c r="X224" s="93"/>
      <c r="Y224" s="93"/>
    </row>
    <row r="225" spans="1:25">
      <c r="A225" s="72"/>
      <c r="B225" s="72"/>
      <c r="C225" s="72"/>
      <c r="D225" s="72"/>
      <c r="E225" s="72"/>
      <c r="F225" s="72"/>
      <c r="G225" s="72"/>
      <c r="H225" s="72"/>
      <c r="I225" s="72"/>
      <c r="J225" s="72"/>
      <c r="K225" s="72"/>
      <c r="L225" s="93"/>
      <c r="M225" s="93"/>
      <c r="N225" s="93"/>
      <c r="O225" s="93"/>
      <c r="P225" s="93"/>
      <c r="Q225" s="93"/>
      <c r="R225" s="93"/>
      <c r="S225" s="93"/>
      <c r="T225" s="93"/>
      <c r="U225" s="93"/>
      <c r="V225" s="93"/>
      <c r="W225" s="93"/>
      <c r="X225" s="93"/>
      <c r="Y225" s="93"/>
    </row>
    <row r="226" spans="1:25">
      <c r="A226" s="72"/>
      <c r="B226" s="72"/>
      <c r="C226" s="72"/>
      <c r="D226" s="72"/>
      <c r="E226" s="72"/>
      <c r="F226" s="72"/>
      <c r="G226" s="72"/>
      <c r="H226" s="72"/>
      <c r="I226" s="72"/>
      <c r="J226" s="72"/>
      <c r="K226" s="72"/>
      <c r="L226" s="93"/>
      <c r="M226" s="93"/>
      <c r="N226" s="93"/>
      <c r="O226" s="93"/>
      <c r="P226" s="93"/>
      <c r="Q226" s="93"/>
      <c r="R226" s="93"/>
      <c r="S226" s="93"/>
      <c r="T226" s="93"/>
      <c r="U226" s="93"/>
      <c r="V226" s="93"/>
      <c r="W226" s="93"/>
      <c r="X226" s="93"/>
      <c r="Y226" s="93"/>
    </row>
    <row r="227" spans="1:25">
      <c r="A227" s="72"/>
      <c r="B227" s="72"/>
      <c r="C227" s="72"/>
      <c r="D227" s="72"/>
      <c r="E227" s="72"/>
      <c r="F227" s="72"/>
      <c r="G227" s="72"/>
      <c r="H227" s="72"/>
      <c r="I227" s="72"/>
      <c r="J227" s="72"/>
      <c r="K227" s="72"/>
      <c r="L227" s="93"/>
      <c r="M227" s="93"/>
      <c r="N227" s="93"/>
      <c r="O227" s="93"/>
      <c r="P227" s="93"/>
      <c r="Q227" s="93"/>
      <c r="R227" s="93"/>
      <c r="S227" s="93"/>
      <c r="T227" s="93"/>
      <c r="U227" s="93"/>
      <c r="V227" s="93"/>
      <c r="W227" s="93"/>
      <c r="X227" s="93"/>
      <c r="Y227" s="93"/>
    </row>
    <row r="228" spans="1:25">
      <c r="A228" s="72"/>
      <c r="B228" s="72"/>
      <c r="C228" s="72"/>
      <c r="D228" s="72"/>
      <c r="E228" s="72"/>
      <c r="F228" s="72"/>
      <c r="G228" s="72"/>
      <c r="H228" s="72"/>
      <c r="I228" s="72"/>
      <c r="J228" s="72"/>
      <c r="K228" s="72"/>
      <c r="L228" s="93"/>
      <c r="M228" s="93"/>
      <c r="N228" s="93"/>
      <c r="O228" s="93"/>
      <c r="P228" s="93"/>
      <c r="Q228" s="93"/>
      <c r="R228" s="93"/>
      <c r="S228" s="93"/>
      <c r="T228" s="93"/>
      <c r="U228" s="93"/>
      <c r="V228" s="93"/>
      <c r="W228" s="93"/>
      <c r="X228" s="93"/>
      <c r="Y228" s="93"/>
    </row>
    <row r="229" spans="1:25">
      <c r="A229" s="72"/>
      <c r="B229" s="72"/>
      <c r="C229" s="72"/>
      <c r="D229" s="72"/>
      <c r="E229" s="72"/>
      <c r="F229" s="72"/>
      <c r="G229" s="72"/>
      <c r="H229" s="72"/>
      <c r="I229" s="72"/>
      <c r="J229" s="72"/>
      <c r="K229" s="72"/>
      <c r="L229" s="93"/>
      <c r="M229" s="93"/>
      <c r="N229" s="93"/>
      <c r="O229" s="93"/>
      <c r="P229" s="93"/>
      <c r="Q229" s="93"/>
      <c r="R229" s="93"/>
      <c r="S229" s="93"/>
      <c r="T229" s="93"/>
      <c r="U229" s="93"/>
      <c r="V229" s="93"/>
      <c r="W229" s="93"/>
      <c r="X229" s="93"/>
      <c r="Y229" s="93"/>
    </row>
    <row r="230" spans="1:25">
      <c r="A230" s="72"/>
      <c r="B230" s="72"/>
      <c r="C230" s="72"/>
      <c r="D230" s="72"/>
      <c r="E230" s="72"/>
      <c r="F230" s="72"/>
      <c r="G230" s="72"/>
      <c r="H230" s="72"/>
      <c r="I230" s="72"/>
      <c r="J230" s="72"/>
      <c r="K230" s="72"/>
      <c r="L230" s="93"/>
      <c r="M230" s="93"/>
      <c r="N230" s="93"/>
      <c r="O230" s="93"/>
      <c r="P230" s="93"/>
      <c r="Q230" s="93"/>
      <c r="R230" s="93"/>
      <c r="S230" s="93"/>
      <c r="T230" s="93"/>
      <c r="U230" s="93"/>
      <c r="V230" s="93"/>
      <c r="W230" s="93"/>
      <c r="X230" s="93"/>
      <c r="Y230" s="93"/>
    </row>
    <row r="231" spans="1:25">
      <c r="A231" s="72"/>
      <c r="B231" s="72"/>
      <c r="C231" s="72"/>
      <c r="D231" s="72"/>
      <c r="E231" s="72"/>
      <c r="F231" s="72"/>
      <c r="G231" s="72"/>
      <c r="H231" s="72"/>
      <c r="I231" s="72"/>
      <c r="J231" s="72"/>
      <c r="K231" s="72"/>
      <c r="L231" s="93"/>
      <c r="M231" s="93"/>
      <c r="N231" s="93"/>
      <c r="O231" s="93"/>
      <c r="P231" s="93"/>
      <c r="Q231" s="93"/>
      <c r="R231" s="93"/>
      <c r="S231" s="93"/>
      <c r="T231" s="93"/>
      <c r="U231" s="93"/>
      <c r="V231" s="93"/>
      <c r="W231" s="93"/>
      <c r="X231" s="93"/>
      <c r="Y231" s="93"/>
    </row>
    <row r="232" spans="1:25">
      <c r="A232" s="72"/>
      <c r="B232" s="72"/>
      <c r="C232" s="72"/>
      <c r="D232" s="72"/>
      <c r="E232" s="72"/>
      <c r="F232" s="72"/>
      <c r="G232" s="72"/>
      <c r="H232" s="72"/>
      <c r="I232" s="72"/>
      <c r="J232" s="72"/>
      <c r="K232" s="72"/>
      <c r="L232" s="93"/>
      <c r="M232" s="93"/>
      <c r="N232" s="93"/>
      <c r="O232" s="93"/>
      <c r="P232" s="93"/>
      <c r="Q232" s="93"/>
      <c r="R232" s="93"/>
      <c r="S232" s="93"/>
      <c r="T232" s="93"/>
      <c r="U232" s="93"/>
      <c r="V232" s="93"/>
      <c r="W232" s="93"/>
      <c r="X232" s="93"/>
      <c r="Y232" s="93"/>
    </row>
    <row r="233" spans="1:25">
      <c r="A233" s="72"/>
      <c r="B233" s="72"/>
      <c r="C233" s="72"/>
      <c r="D233" s="72"/>
      <c r="E233" s="72"/>
      <c r="F233" s="72"/>
      <c r="G233" s="72"/>
      <c r="H233" s="72"/>
      <c r="I233" s="72"/>
      <c r="J233" s="72"/>
      <c r="K233" s="72"/>
      <c r="L233" s="93"/>
      <c r="M233" s="93"/>
      <c r="N233" s="93"/>
      <c r="O233" s="93"/>
      <c r="P233" s="93"/>
      <c r="Q233" s="93"/>
      <c r="R233" s="93"/>
      <c r="S233" s="93"/>
      <c r="T233" s="93"/>
      <c r="U233" s="93"/>
      <c r="V233" s="93"/>
      <c r="W233" s="93"/>
      <c r="X233" s="93"/>
      <c r="Y233" s="93"/>
    </row>
    <row r="234" spans="1:25">
      <c r="A234" s="72"/>
      <c r="B234" s="72"/>
      <c r="C234" s="72"/>
      <c r="D234" s="72"/>
      <c r="E234" s="72"/>
      <c r="F234" s="72"/>
      <c r="G234" s="72"/>
      <c r="H234" s="72"/>
      <c r="I234" s="72"/>
      <c r="J234" s="72"/>
      <c r="K234" s="72"/>
      <c r="L234" s="93"/>
      <c r="M234" s="93"/>
      <c r="N234" s="93"/>
      <c r="O234" s="93"/>
      <c r="P234" s="93"/>
      <c r="Q234" s="93"/>
      <c r="R234" s="93"/>
      <c r="S234" s="93"/>
      <c r="T234" s="93"/>
      <c r="U234" s="93"/>
      <c r="V234" s="93"/>
      <c r="W234" s="93"/>
      <c r="X234" s="93"/>
      <c r="Y234" s="93"/>
    </row>
    <row r="235" spans="1:25">
      <c r="A235" s="72"/>
      <c r="B235" s="72"/>
      <c r="C235" s="72"/>
      <c r="D235" s="72"/>
      <c r="E235" s="72"/>
      <c r="F235" s="72"/>
      <c r="G235" s="72"/>
      <c r="H235" s="72"/>
      <c r="I235" s="72"/>
      <c r="J235" s="72"/>
      <c r="K235" s="72"/>
      <c r="L235" s="93"/>
      <c r="M235" s="93"/>
      <c r="N235" s="93"/>
      <c r="O235" s="93"/>
      <c r="P235" s="93"/>
      <c r="Q235" s="93"/>
      <c r="R235" s="93"/>
      <c r="S235" s="93"/>
      <c r="T235" s="93"/>
      <c r="U235" s="93"/>
      <c r="V235" s="93"/>
      <c r="W235" s="93"/>
      <c r="X235" s="93"/>
      <c r="Y235" s="93"/>
    </row>
    <row r="236" spans="1:25">
      <c r="A236" s="72"/>
      <c r="B236" s="72"/>
      <c r="C236" s="72"/>
      <c r="D236" s="72"/>
      <c r="E236" s="72"/>
      <c r="F236" s="72"/>
      <c r="G236" s="72"/>
      <c r="H236" s="72"/>
      <c r="I236" s="72"/>
      <c r="J236" s="72"/>
      <c r="K236" s="72"/>
      <c r="L236" s="93"/>
      <c r="M236" s="93"/>
      <c r="N236" s="93"/>
      <c r="O236" s="93"/>
      <c r="P236" s="93"/>
      <c r="Q236" s="93"/>
      <c r="R236" s="93"/>
      <c r="S236" s="93"/>
      <c r="T236" s="93"/>
      <c r="U236" s="93"/>
      <c r="V236" s="93"/>
      <c r="W236" s="93"/>
      <c r="X236" s="93"/>
      <c r="Y236" s="93"/>
    </row>
    <row r="237" spans="1:25">
      <c r="A237" s="72"/>
      <c r="B237" s="72"/>
      <c r="C237" s="72"/>
      <c r="D237" s="72"/>
      <c r="E237" s="72"/>
      <c r="F237" s="72"/>
      <c r="G237" s="72"/>
      <c r="H237" s="72"/>
      <c r="I237" s="72"/>
      <c r="J237" s="72"/>
      <c r="K237" s="72"/>
      <c r="L237" s="93"/>
      <c r="M237" s="93"/>
      <c r="N237" s="93"/>
      <c r="O237" s="93"/>
      <c r="P237" s="93"/>
      <c r="Q237" s="93"/>
      <c r="R237" s="93"/>
      <c r="S237" s="93"/>
      <c r="T237" s="93"/>
      <c r="U237" s="93"/>
      <c r="V237" s="93"/>
      <c r="W237" s="93"/>
      <c r="X237" s="93"/>
      <c r="Y237" s="93"/>
    </row>
    <row r="238" spans="1:25">
      <c r="A238" s="72"/>
      <c r="B238" s="72"/>
      <c r="C238" s="72"/>
      <c r="D238" s="72"/>
      <c r="E238" s="72"/>
      <c r="F238" s="72"/>
      <c r="G238" s="72"/>
      <c r="H238" s="72"/>
      <c r="I238" s="72"/>
      <c r="J238" s="72"/>
      <c r="K238" s="72"/>
      <c r="L238" s="93"/>
      <c r="M238" s="93"/>
      <c r="N238" s="93"/>
      <c r="O238" s="93"/>
      <c r="P238" s="93"/>
      <c r="Q238" s="93"/>
      <c r="R238" s="93"/>
      <c r="S238" s="93"/>
      <c r="T238" s="93"/>
      <c r="U238" s="93"/>
      <c r="V238" s="93"/>
      <c r="W238" s="93"/>
      <c r="X238" s="93"/>
      <c r="Y238" s="93"/>
    </row>
    <row r="239" spans="1:25">
      <c r="A239" s="72"/>
      <c r="B239" s="72"/>
      <c r="C239" s="72"/>
      <c r="D239" s="72"/>
      <c r="E239" s="72"/>
      <c r="F239" s="72"/>
      <c r="G239" s="72"/>
      <c r="H239" s="72"/>
      <c r="I239" s="72"/>
      <c r="J239" s="72"/>
      <c r="K239" s="72"/>
      <c r="L239" s="93"/>
      <c r="M239" s="93"/>
      <c r="N239" s="93"/>
      <c r="O239" s="93"/>
      <c r="P239" s="93"/>
      <c r="Q239" s="93"/>
      <c r="R239" s="93"/>
      <c r="S239" s="93"/>
      <c r="T239" s="93"/>
      <c r="U239" s="93"/>
      <c r="V239" s="93"/>
      <c r="W239" s="93"/>
      <c r="X239" s="93"/>
      <c r="Y239" s="93"/>
    </row>
    <row r="240" spans="1:25">
      <c r="A240" s="72"/>
      <c r="B240" s="72"/>
      <c r="C240" s="72"/>
      <c r="D240" s="72"/>
      <c r="E240" s="72"/>
      <c r="F240" s="72"/>
      <c r="G240" s="72"/>
      <c r="H240" s="72"/>
      <c r="I240" s="72"/>
      <c r="J240" s="72"/>
      <c r="K240" s="72"/>
      <c r="L240" s="93"/>
      <c r="M240" s="93"/>
      <c r="N240" s="93"/>
      <c r="O240" s="93"/>
      <c r="P240" s="93"/>
      <c r="Q240" s="93"/>
      <c r="R240" s="93"/>
      <c r="S240" s="93"/>
      <c r="T240" s="93"/>
      <c r="U240" s="93"/>
      <c r="V240" s="93"/>
      <c r="W240" s="93"/>
      <c r="X240" s="93"/>
      <c r="Y240" s="93"/>
    </row>
    <row r="241" spans="1:25">
      <c r="A241" s="72"/>
      <c r="B241" s="72"/>
      <c r="C241" s="72"/>
      <c r="D241" s="72"/>
      <c r="E241" s="72"/>
      <c r="F241" s="72"/>
      <c r="G241" s="72"/>
      <c r="H241" s="72"/>
      <c r="I241" s="72"/>
      <c r="J241" s="72"/>
      <c r="K241" s="72"/>
      <c r="L241" s="93"/>
      <c r="M241" s="93"/>
      <c r="N241" s="93"/>
      <c r="O241" s="93"/>
      <c r="P241" s="93"/>
      <c r="Q241" s="93"/>
      <c r="R241" s="93"/>
      <c r="S241" s="93"/>
      <c r="T241" s="93"/>
      <c r="U241" s="93"/>
      <c r="V241" s="93"/>
      <c r="W241" s="93"/>
      <c r="X241" s="93"/>
      <c r="Y241" s="93"/>
    </row>
    <row r="242" spans="1:25">
      <c r="A242" s="72"/>
      <c r="B242" s="72"/>
      <c r="C242" s="72"/>
      <c r="D242" s="72"/>
      <c r="E242" s="72"/>
      <c r="F242" s="72"/>
      <c r="G242" s="72"/>
      <c r="H242" s="72"/>
      <c r="I242" s="72"/>
      <c r="J242" s="72"/>
      <c r="K242" s="72"/>
      <c r="L242" s="93"/>
      <c r="M242" s="93"/>
      <c r="N242" s="93"/>
      <c r="O242" s="93"/>
      <c r="P242" s="93"/>
      <c r="Q242" s="93"/>
      <c r="R242" s="93"/>
      <c r="S242" s="93"/>
      <c r="T242" s="93"/>
      <c r="U242" s="93"/>
      <c r="V242" s="93"/>
      <c r="W242" s="93"/>
      <c r="X242" s="93"/>
      <c r="Y242" s="93"/>
    </row>
    <row r="243" spans="1:25">
      <c r="A243" s="72"/>
      <c r="B243" s="72"/>
      <c r="C243" s="72"/>
      <c r="D243" s="72"/>
      <c r="E243" s="72"/>
      <c r="F243" s="72"/>
      <c r="G243" s="72"/>
      <c r="H243" s="72"/>
      <c r="I243" s="72"/>
      <c r="J243" s="72"/>
      <c r="K243" s="72"/>
      <c r="L243" s="93"/>
      <c r="M243" s="93"/>
      <c r="N243" s="93"/>
      <c r="O243" s="93"/>
      <c r="P243" s="93"/>
      <c r="Q243" s="93"/>
      <c r="R243" s="93"/>
      <c r="S243" s="93"/>
      <c r="T243" s="93"/>
      <c r="U243" s="93"/>
      <c r="V243" s="93"/>
      <c r="W243" s="93"/>
      <c r="X243" s="93"/>
      <c r="Y243" s="93"/>
    </row>
    <row r="244" spans="1:25">
      <c r="A244" s="72"/>
      <c r="B244" s="72"/>
      <c r="C244" s="72"/>
      <c r="D244" s="72"/>
      <c r="E244" s="72"/>
      <c r="F244" s="72"/>
      <c r="G244" s="72"/>
      <c r="H244" s="72"/>
      <c r="I244" s="72"/>
      <c r="J244" s="72"/>
      <c r="K244" s="72"/>
      <c r="L244" s="93"/>
      <c r="M244" s="93"/>
      <c r="N244" s="93"/>
      <c r="O244" s="93"/>
      <c r="P244" s="93"/>
      <c r="Q244" s="93"/>
      <c r="R244" s="93"/>
      <c r="S244" s="93"/>
      <c r="T244" s="93"/>
      <c r="U244" s="93"/>
      <c r="V244" s="93"/>
      <c r="W244" s="93"/>
      <c r="X244" s="93"/>
      <c r="Y244" s="93"/>
    </row>
    <row r="245" spans="1:25">
      <c r="A245" s="72"/>
      <c r="B245" s="72"/>
      <c r="C245" s="72"/>
      <c r="D245" s="72"/>
      <c r="E245" s="72"/>
      <c r="F245" s="72"/>
      <c r="G245" s="72"/>
      <c r="H245" s="72"/>
      <c r="I245" s="72"/>
      <c r="J245" s="72"/>
      <c r="K245" s="72"/>
      <c r="L245" s="93"/>
      <c r="M245" s="93"/>
      <c r="N245" s="93"/>
      <c r="O245" s="93"/>
      <c r="P245" s="93"/>
      <c r="Q245" s="93"/>
      <c r="R245" s="93"/>
      <c r="S245" s="93"/>
      <c r="T245" s="93"/>
      <c r="U245" s="93"/>
      <c r="V245" s="93"/>
      <c r="W245" s="93"/>
      <c r="X245" s="93"/>
      <c r="Y245" s="93"/>
    </row>
    <row r="246" spans="1:25">
      <c r="A246" s="72"/>
      <c r="B246" s="72"/>
      <c r="C246" s="72"/>
      <c r="D246" s="72"/>
      <c r="E246" s="72"/>
      <c r="F246" s="72"/>
      <c r="G246" s="72"/>
      <c r="H246" s="72"/>
      <c r="I246" s="72"/>
      <c r="J246" s="72"/>
      <c r="K246" s="72"/>
      <c r="L246" s="93"/>
      <c r="M246" s="93"/>
      <c r="N246" s="93"/>
      <c r="O246" s="93"/>
      <c r="P246" s="93"/>
      <c r="Q246" s="93"/>
      <c r="R246" s="93"/>
      <c r="S246" s="93"/>
      <c r="T246" s="93"/>
      <c r="U246" s="93"/>
      <c r="V246" s="93"/>
      <c r="W246" s="93"/>
      <c r="X246" s="93"/>
      <c r="Y246" s="93"/>
    </row>
    <row r="247" spans="1:25">
      <c r="A247" s="72"/>
      <c r="B247" s="72"/>
      <c r="C247" s="72"/>
      <c r="D247" s="72"/>
      <c r="E247" s="72"/>
      <c r="F247" s="72"/>
      <c r="G247" s="72"/>
      <c r="H247" s="72"/>
      <c r="I247" s="72"/>
      <c r="J247" s="72"/>
      <c r="K247" s="72"/>
      <c r="L247" s="93"/>
      <c r="M247" s="93"/>
      <c r="N247" s="93"/>
      <c r="O247" s="93"/>
      <c r="P247" s="93"/>
      <c r="Q247" s="93"/>
      <c r="R247" s="93"/>
      <c r="S247" s="93"/>
      <c r="T247" s="93"/>
      <c r="U247" s="93"/>
      <c r="V247" s="93"/>
      <c r="W247" s="93"/>
      <c r="X247" s="93"/>
      <c r="Y247" s="93"/>
    </row>
    <row r="248" spans="1:25">
      <c r="A248" s="72"/>
      <c r="B248" s="72"/>
      <c r="C248" s="72"/>
      <c r="D248" s="72"/>
      <c r="E248" s="72"/>
      <c r="F248" s="72"/>
      <c r="G248" s="72"/>
      <c r="H248" s="72"/>
      <c r="I248" s="72"/>
      <c r="J248" s="72"/>
      <c r="K248" s="72"/>
      <c r="L248" s="93"/>
      <c r="M248" s="93"/>
      <c r="N248" s="93"/>
      <c r="O248" s="93"/>
      <c r="P248" s="93"/>
      <c r="Q248" s="93"/>
      <c r="R248" s="93"/>
      <c r="S248" s="93"/>
      <c r="T248" s="93"/>
      <c r="U248" s="93"/>
      <c r="V248" s="93"/>
      <c r="W248" s="93"/>
      <c r="X248" s="93"/>
      <c r="Y248" s="93"/>
    </row>
    <row r="249" spans="1:25">
      <c r="A249" s="72"/>
      <c r="B249" s="72"/>
      <c r="C249" s="72"/>
      <c r="D249" s="72"/>
      <c r="E249" s="72"/>
      <c r="F249" s="72"/>
      <c r="G249" s="72"/>
      <c r="H249" s="72"/>
      <c r="I249" s="72"/>
      <c r="J249" s="72"/>
      <c r="K249" s="72"/>
      <c r="L249" s="93"/>
      <c r="M249" s="93"/>
      <c r="N249" s="93"/>
      <c r="O249" s="93"/>
      <c r="P249" s="93"/>
      <c r="Q249" s="93"/>
      <c r="R249" s="93"/>
      <c r="S249" s="93"/>
      <c r="T249" s="93"/>
      <c r="U249" s="93"/>
      <c r="V249" s="93"/>
      <c r="W249" s="93"/>
      <c r="X249" s="93"/>
      <c r="Y249" s="93"/>
    </row>
    <row r="250" spans="1:25">
      <c r="A250" s="72"/>
      <c r="B250" s="72"/>
      <c r="C250" s="72"/>
      <c r="D250" s="72"/>
      <c r="E250" s="72"/>
      <c r="F250" s="72"/>
      <c r="G250" s="72"/>
      <c r="H250" s="72"/>
      <c r="I250" s="72"/>
      <c r="J250" s="72"/>
      <c r="K250" s="72"/>
      <c r="L250" s="93"/>
      <c r="M250" s="93"/>
      <c r="N250" s="93"/>
      <c r="O250" s="93"/>
      <c r="P250" s="93"/>
      <c r="Q250" s="93"/>
      <c r="R250" s="93"/>
      <c r="S250" s="93"/>
      <c r="T250" s="93"/>
      <c r="U250" s="93"/>
      <c r="V250" s="93"/>
      <c r="W250" s="93"/>
      <c r="X250" s="93"/>
      <c r="Y250" s="93"/>
    </row>
    <row r="251" spans="1:25">
      <c r="A251" s="72"/>
      <c r="B251" s="72"/>
      <c r="C251" s="72"/>
      <c r="D251" s="72"/>
      <c r="E251" s="72"/>
      <c r="F251" s="72"/>
      <c r="G251" s="72"/>
      <c r="H251" s="72"/>
      <c r="I251" s="72"/>
      <c r="J251" s="72"/>
      <c r="K251" s="72"/>
      <c r="L251" s="93"/>
      <c r="M251" s="93"/>
      <c r="N251" s="93"/>
      <c r="O251" s="93"/>
      <c r="P251" s="93"/>
      <c r="Q251" s="93"/>
      <c r="R251" s="93"/>
      <c r="S251" s="93"/>
      <c r="T251" s="93"/>
      <c r="U251" s="93"/>
      <c r="V251" s="93"/>
      <c r="W251" s="93"/>
      <c r="X251" s="93"/>
      <c r="Y251" s="93"/>
    </row>
    <row r="252" spans="1:25">
      <c r="A252" s="72"/>
      <c r="B252" s="72"/>
      <c r="C252" s="72"/>
      <c r="D252" s="72"/>
      <c r="E252" s="72"/>
      <c r="F252" s="72"/>
      <c r="G252" s="72"/>
      <c r="H252" s="72"/>
      <c r="I252" s="72"/>
      <c r="J252" s="72"/>
      <c r="K252" s="72"/>
      <c r="L252" s="93"/>
      <c r="M252" s="93"/>
      <c r="N252" s="93"/>
      <c r="O252" s="93"/>
      <c r="P252" s="93"/>
      <c r="Q252" s="93"/>
      <c r="R252" s="93"/>
      <c r="S252" s="93"/>
      <c r="T252" s="93"/>
      <c r="U252" s="93"/>
      <c r="V252" s="93"/>
      <c r="W252" s="93"/>
      <c r="X252" s="93"/>
      <c r="Y252" s="93"/>
    </row>
    <row r="253" spans="1:25">
      <c r="A253" s="72"/>
      <c r="B253" s="72"/>
      <c r="C253" s="72"/>
      <c r="D253" s="72"/>
      <c r="E253" s="72"/>
      <c r="F253" s="72"/>
      <c r="G253" s="72"/>
      <c r="H253" s="72"/>
      <c r="I253" s="72"/>
      <c r="J253" s="72"/>
      <c r="K253" s="72"/>
      <c r="L253" s="93"/>
      <c r="M253" s="93"/>
      <c r="N253" s="93"/>
      <c r="O253" s="93"/>
      <c r="P253" s="93"/>
      <c r="Q253" s="93"/>
      <c r="R253" s="93"/>
      <c r="S253" s="93"/>
      <c r="T253" s="93"/>
      <c r="U253" s="93"/>
      <c r="V253" s="93"/>
      <c r="W253" s="93"/>
      <c r="X253" s="93"/>
      <c r="Y253" s="93"/>
    </row>
    <row r="254" spans="1:25">
      <c r="A254" s="72"/>
      <c r="B254" s="72"/>
      <c r="C254" s="72"/>
      <c r="D254" s="72"/>
      <c r="E254" s="72"/>
      <c r="F254" s="72"/>
      <c r="G254" s="72"/>
      <c r="H254" s="72"/>
      <c r="I254" s="72"/>
      <c r="J254" s="72"/>
      <c r="K254" s="72"/>
      <c r="L254" s="93"/>
      <c r="M254" s="93"/>
      <c r="N254" s="93"/>
      <c r="O254" s="93"/>
      <c r="P254" s="93"/>
      <c r="Q254" s="93"/>
      <c r="R254" s="93"/>
      <c r="S254" s="93"/>
      <c r="T254" s="93"/>
      <c r="U254" s="93"/>
      <c r="V254" s="93"/>
      <c r="W254" s="93"/>
      <c r="X254" s="93"/>
      <c r="Y254" s="93"/>
    </row>
    <row r="255" spans="1:25">
      <c r="A255" s="72"/>
      <c r="B255" s="72"/>
      <c r="C255" s="72"/>
      <c r="D255" s="72"/>
      <c r="E255" s="72"/>
      <c r="F255" s="72"/>
      <c r="G255" s="72"/>
      <c r="H255" s="72"/>
      <c r="I255" s="72"/>
      <c r="J255" s="72"/>
      <c r="K255" s="72"/>
      <c r="L255" s="93"/>
      <c r="M255" s="93"/>
      <c r="N255" s="93"/>
      <c r="O255" s="93"/>
      <c r="P255" s="93"/>
      <c r="Q255" s="93"/>
      <c r="R255" s="93"/>
      <c r="S255" s="93"/>
      <c r="T255" s="93"/>
      <c r="U255" s="93"/>
      <c r="V255" s="93"/>
      <c r="W255" s="93"/>
      <c r="X255" s="93"/>
      <c r="Y255" s="93"/>
    </row>
    <row r="256" spans="1:25">
      <c r="A256" s="72"/>
      <c r="B256" s="72"/>
      <c r="C256" s="72"/>
      <c r="D256" s="72"/>
      <c r="E256" s="72"/>
      <c r="F256" s="72"/>
      <c r="G256" s="72"/>
      <c r="H256" s="72"/>
      <c r="I256" s="72"/>
      <c r="J256" s="72"/>
      <c r="K256" s="72"/>
      <c r="L256" s="93"/>
      <c r="M256" s="93"/>
      <c r="N256" s="93"/>
      <c r="O256" s="93"/>
      <c r="P256" s="93"/>
      <c r="Q256" s="93"/>
      <c r="R256" s="93"/>
      <c r="S256" s="93"/>
      <c r="T256" s="93"/>
      <c r="U256" s="93"/>
      <c r="V256" s="93"/>
      <c r="W256" s="93"/>
      <c r="X256" s="93"/>
      <c r="Y256" s="93"/>
    </row>
    <row r="257" spans="1:25">
      <c r="A257" s="72"/>
      <c r="B257" s="72"/>
      <c r="C257" s="72"/>
      <c r="D257" s="72"/>
      <c r="E257" s="72"/>
      <c r="F257" s="72"/>
      <c r="G257" s="72"/>
      <c r="H257" s="72"/>
      <c r="I257" s="72"/>
      <c r="J257" s="72"/>
      <c r="K257" s="72"/>
      <c r="L257" s="93"/>
      <c r="M257" s="93"/>
      <c r="N257" s="93"/>
      <c r="O257" s="93"/>
      <c r="P257" s="93"/>
      <c r="Q257" s="93"/>
      <c r="R257" s="93"/>
      <c r="S257" s="93"/>
      <c r="T257" s="93"/>
      <c r="U257" s="93"/>
      <c r="V257" s="93"/>
      <c r="W257" s="93"/>
      <c r="X257" s="93"/>
      <c r="Y257" s="93"/>
    </row>
    <row r="258" spans="1:25">
      <c r="A258" s="72"/>
      <c r="B258" s="72"/>
      <c r="C258" s="72"/>
      <c r="D258" s="72"/>
      <c r="E258" s="72"/>
      <c r="F258" s="72"/>
      <c r="G258" s="72"/>
      <c r="H258" s="72"/>
      <c r="I258" s="72"/>
      <c r="J258" s="72"/>
      <c r="K258" s="72"/>
      <c r="L258" s="93"/>
      <c r="M258" s="93"/>
      <c r="N258" s="93"/>
      <c r="O258" s="93"/>
      <c r="P258" s="93"/>
      <c r="Q258" s="93"/>
      <c r="R258" s="93"/>
      <c r="S258" s="93"/>
      <c r="T258" s="93"/>
      <c r="U258" s="93"/>
      <c r="V258" s="93"/>
      <c r="W258" s="93"/>
      <c r="X258" s="93"/>
      <c r="Y258" s="93"/>
    </row>
    <row r="259" spans="1:25">
      <c r="A259" s="72"/>
      <c r="B259" s="72"/>
      <c r="C259" s="72"/>
      <c r="D259" s="72"/>
      <c r="E259" s="72"/>
      <c r="F259" s="72"/>
      <c r="G259" s="72"/>
      <c r="H259" s="72"/>
      <c r="I259" s="72"/>
      <c r="J259" s="72"/>
      <c r="K259" s="72"/>
      <c r="L259" s="93"/>
      <c r="M259" s="93"/>
      <c r="N259" s="93"/>
      <c r="O259" s="93"/>
      <c r="P259" s="93"/>
      <c r="Q259" s="93"/>
      <c r="R259" s="93"/>
      <c r="S259" s="93"/>
      <c r="T259" s="93"/>
      <c r="U259" s="93"/>
      <c r="V259" s="93"/>
      <c r="W259" s="93"/>
      <c r="X259" s="93"/>
      <c r="Y259" s="93"/>
    </row>
    <row r="260" spans="1:25">
      <c r="A260" s="72"/>
      <c r="B260" s="72"/>
      <c r="C260" s="72"/>
      <c r="D260" s="72"/>
      <c r="E260" s="72"/>
      <c r="F260" s="72"/>
      <c r="G260" s="72"/>
      <c r="H260" s="72"/>
      <c r="I260" s="72"/>
      <c r="J260" s="72"/>
      <c r="K260" s="72"/>
      <c r="L260" s="93"/>
      <c r="M260" s="93"/>
      <c r="N260" s="93"/>
      <c r="O260" s="93"/>
      <c r="P260" s="93"/>
      <c r="Q260" s="93"/>
      <c r="R260" s="93"/>
      <c r="S260" s="93"/>
      <c r="T260" s="93"/>
      <c r="U260" s="93"/>
      <c r="V260" s="93"/>
      <c r="W260" s="93"/>
      <c r="X260" s="93"/>
      <c r="Y260" s="93"/>
    </row>
    <row r="261" spans="1:25">
      <c r="A261" s="72"/>
      <c r="B261" s="72"/>
      <c r="C261" s="72"/>
      <c r="D261" s="72"/>
      <c r="E261" s="72"/>
      <c r="F261" s="72"/>
      <c r="G261" s="72"/>
      <c r="H261" s="72"/>
      <c r="I261" s="72"/>
      <c r="J261" s="72"/>
      <c r="K261" s="72"/>
      <c r="L261" s="93"/>
      <c r="M261" s="93"/>
      <c r="N261" s="93"/>
      <c r="O261" s="93"/>
      <c r="P261" s="93"/>
      <c r="Q261" s="93"/>
      <c r="R261" s="93"/>
      <c r="S261" s="93"/>
      <c r="T261" s="93"/>
      <c r="U261" s="93"/>
      <c r="V261" s="93"/>
      <c r="W261" s="93"/>
      <c r="X261" s="93"/>
      <c r="Y261" s="93"/>
    </row>
    <row r="262" spans="1:25">
      <c r="A262" s="72"/>
      <c r="B262" s="72"/>
      <c r="C262" s="72"/>
      <c r="D262" s="72"/>
      <c r="E262" s="72"/>
      <c r="F262" s="72"/>
      <c r="G262" s="72"/>
      <c r="H262" s="72"/>
      <c r="I262" s="72"/>
      <c r="J262" s="72"/>
      <c r="K262" s="72"/>
      <c r="L262" s="93"/>
      <c r="M262" s="93"/>
      <c r="N262" s="93"/>
      <c r="O262" s="93"/>
      <c r="P262" s="93"/>
      <c r="Q262" s="93"/>
      <c r="R262" s="93"/>
      <c r="S262" s="93"/>
      <c r="T262" s="93"/>
      <c r="U262" s="93"/>
      <c r="V262" s="93"/>
      <c r="W262" s="93"/>
      <c r="X262" s="93"/>
      <c r="Y262" s="93"/>
    </row>
    <row r="263" spans="1:25">
      <c r="A263" s="72"/>
      <c r="B263" s="72"/>
      <c r="C263" s="72"/>
      <c r="D263" s="72"/>
      <c r="E263" s="72"/>
      <c r="F263" s="72"/>
      <c r="G263" s="72"/>
      <c r="H263" s="72"/>
      <c r="I263" s="72"/>
      <c r="J263" s="72"/>
      <c r="K263" s="72"/>
      <c r="L263" s="93"/>
      <c r="M263" s="93"/>
      <c r="N263" s="93"/>
      <c r="O263" s="93"/>
      <c r="P263" s="93"/>
      <c r="Q263" s="93"/>
      <c r="R263" s="93"/>
      <c r="S263" s="93"/>
      <c r="T263" s="93"/>
      <c r="U263" s="93"/>
      <c r="V263" s="93"/>
      <c r="W263" s="93"/>
      <c r="X263" s="93"/>
      <c r="Y263" s="93"/>
    </row>
    <row r="264" spans="1:25">
      <c r="A264" s="72"/>
      <c r="B264" s="72"/>
      <c r="C264" s="72"/>
      <c r="D264" s="72"/>
      <c r="E264" s="72"/>
      <c r="F264" s="72"/>
      <c r="G264" s="72"/>
      <c r="H264" s="72"/>
      <c r="I264" s="72"/>
      <c r="J264" s="72"/>
      <c r="K264" s="72"/>
      <c r="L264" s="93"/>
      <c r="M264" s="93"/>
      <c r="N264" s="93"/>
      <c r="O264" s="93"/>
      <c r="P264" s="93"/>
      <c r="Q264" s="93"/>
      <c r="R264" s="93"/>
      <c r="S264" s="93"/>
      <c r="T264" s="93"/>
      <c r="U264" s="93"/>
      <c r="V264" s="93"/>
      <c r="W264" s="93"/>
      <c r="X264" s="93"/>
      <c r="Y264" s="93"/>
    </row>
    <row r="265" spans="1:25">
      <c r="A265" s="72"/>
      <c r="B265" s="72"/>
      <c r="C265" s="72"/>
      <c r="D265" s="72"/>
      <c r="E265" s="72"/>
      <c r="F265" s="72"/>
      <c r="G265" s="72"/>
      <c r="H265" s="72"/>
      <c r="I265" s="72"/>
      <c r="J265" s="72"/>
      <c r="K265" s="72"/>
      <c r="L265" s="93"/>
      <c r="M265" s="93"/>
      <c r="N265" s="93"/>
      <c r="O265" s="93"/>
      <c r="P265" s="93"/>
      <c r="Q265" s="93"/>
      <c r="R265" s="93"/>
      <c r="S265" s="93"/>
      <c r="T265" s="93"/>
      <c r="U265" s="93"/>
      <c r="V265" s="93"/>
      <c r="W265" s="93"/>
      <c r="X265" s="93"/>
      <c r="Y265" s="93"/>
    </row>
    <row r="266" spans="1:25">
      <c r="A266" s="72"/>
      <c r="B266" s="72"/>
      <c r="C266" s="72"/>
      <c r="D266" s="72"/>
      <c r="E266" s="72"/>
      <c r="F266" s="72"/>
      <c r="G266" s="72"/>
      <c r="H266" s="72"/>
      <c r="I266" s="72"/>
      <c r="J266" s="72"/>
      <c r="K266" s="72"/>
      <c r="L266" s="93"/>
      <c r="M266" s="93"/>
      <c r="N266" s="93"/>
      <c r="O266" s="93"/>
      <c r="P266" s="93"/>
      <c r="Q266" s="93"/>
      <c r="R266" s="93"/>
      <c r="S266" s="93"/>
      <c r="T266" s="93"/>
      <c r="U266" s="93"/>
      <c r="V266" s="93"/>
      <c r="W266" s="93"/>
      <c r="X266" s="93"/>
      <c r="Y266" s="93"/>
    </row>
    <row r="267" spans="1:25">
      <c r="A267" s="72"/>
      <c r="B267" s="72"/>
      <c r="C267" s="72"/>
      <c r="D267" s="72"/>
      <c r="E267" s="72"/>
      <c r="F267" s="72"/>
      <c r="G267" s="72"/>
      <c r="H267" s="72"/>
      <c r="I267" s="72"/>
      <c r="J267" s="72"/>
      <c r="K267" s="72"/>
      <c r="L267" s="93"/>
      <c r="M267" s="93"/>
      <c r="N267" s="93"/>
      <c r="O267" s="93"/>
      <c r="P267" s="93"/>
      <c r="Q267" s="93"/>
      <c r="R267" s="93"/>
      <c r="S267" s="93"/>
      <c r="T267" s="93"/>
      <c r="U267" s="93"/>
      <c r="V267" s="93"/>
      <c r="W267" s="93"/>
      <c r="X267" s="93"/>
      <c r="Y267" s="93"/>
    </row>
    <row r="268" spans="1:25">
      <c r="A268" s="72"/>
      <c r="B268" s="72"/>
      <c r="C268" s="72"/>
      <c r="D268" s="72"/>
      <c r="E268" s="72"/>
      <c r="F268" s="72"/>
      <c r="G268" s="72"/>
      <c r="H268" s="72"/>
      <c r="I268" s="72"/>
      <c r="J268" s="72"/>
      <c r="K268" s="72"/>
      <c r="L268" s="93"/>
      <c r="M268" s="93"/>
      <c r="N268" s="93"/>
      <c r="O268" s="93"/>
      <c r="P268" s="93"/>
      <c r="Q268" s="93"/>
      <c r="R268" s="93"/>
      <c r="S268" s="93"/>
      <c r="T268" s="93"/>
      <c r="U268" s="93"/>
      <c r="V268" s="93"/>
      <c r="W268" s="93"/>
      <c r="X268" s="93"/>
      <c r="Y268" s="93"/>
    </row>
    <row r="269" spans="1:25">
      <c r="A269" s="72"/>
      <c r="B269" s="72"/>
      <c r="C269" s="72"/>
      <c r="D269" s="72"/>
      <c r="E269" s="72"/>
      <c r="F269" s="72"/>
      <c r="G269" s="72"/>
      <c r="H269" s="72"/>
      <c r="I269" s="72"/>
      <c r="J269" s="72"/>
      <c r="K269" s="72"/>
      <c r="L269" s="93"/>
      <c r="M269" s="93"/>
      <c r="N269" s="93"/>
      <c r="O269" s="93"/>
      <c r="P269" s="93"/>
      <c r="Q269" s="93"/>
      <c r="R269" s="93"/>
      <c r="S269" s="93"/>
      <c r="T269" s="93"/>
      <c r="U269" s="93"/>
      <c r="V269" s="93"/>
      <c r="W269" s="93"/>
      <c r="X269" s="93"/>
      <c r="Y269" s="93"/>
    </row>
    <row r="270" spans="1:25">
      <c r="A270" s="72"/>
      <c r="B270" s="72"/>
      <c r="C270" s="72"/>
      <c r="D270" s="72"/>
      <c r="E270" s="72"/>
      <c r="F270" s="72"/>
      <c r="G270" s="72"/>
      <c r="H270" s="72"/>
      <c r="I270" s="72"/>
      <c r="J270" s="72"/>
      <c r="K270" s="72"/>
      <c r="L270" s="93"/>
      <c r="M270" s="93"/>
      <c r="N270" s="93"/>
      <c r="O270" s="93"/>
      <c r="P270" s="93"/>
      <c r="Q270" s="93"/>
      <c r="R270" s="93"/>
      <c r="S270" s="93"/>
      <c r="T270" s="93"/>
      <c r="U270" s="93"/>
      <c r="V270" s="93"/>
      <c r="W270" s="93"/>
      <c r="X270" s="93"/>
      <c r="Y270" s="93"/>
    </row>
    <row r="271" spans="1:25">
      <c r="A271" s="72"/>
      <c r="B271" s="72"/>
      <c r="C271" s="72"/>
      <c r="D271" s="72"/>
      <c r="E271" s="72"/>
      <c r="F271" s="72"/>
      <c r="G271" s="72"/>
      <c r="H271" s="72"/>
      <c r="I271" s="72"/>
      <c r="J271" s="72"/>
      <c r="K271" s="72"/>
      <c r="L271" s="93"/>
      <c r="M271" s="93"/>
      <c r="N271" s="93"/>
      <c r="O271" s="93"/>
      <c r="P271" s="93"/>
      <c r="Q271" s="93"/>
      <c r="R271" s="93"/>
      <c r="S271" s="93"/>
      <c r="T271" s="93"/>
      <c r="U271" s="93"/>
      <c r="V271" s="93"/>
      <c r="W271" s="93"/>
      <c r="X271" s="93"/>
      <c r="Y271" s="93"/>
    </row>
    <row r="272" spans="1:25">
      <c r="A272" s="72"/>
      <c r="B272" s="72"/>
      <c r="C272" s="72"/>
      <c r="D272" s="72"/>
      <c r="E272" s="72"/>
      <c r="F272" s="72"/>
      <c r="G272" s="72"/>
      <c r="H272" s="72"/>
      <c r="I272" s="72"/>
      <c r="J272" s="72"/>
      <c r="K272" s="72"/>
      <c r="L272" s="93"/>
      <c r="M272" s="93"/>
      <c r="N272" s="93"/>
      <c r="O272" s="93"/>
      <c r="P272" s="93"/>
      <c r="Q272" s="93"/>
      <c r="R272" s="93"/>
      <c r="S272" s="93"/>
      <c r="T272" s="93"/>
      <c r="U272" s="93"/>
      <c r="V272" s="93"/>
      <c r="W272" s="93"/>
      <c r="X272" s="93"/>
      <c r="Y272" s="93"/>
    </row>
    <row r="273" spans="1:25">
      <c r="A273" s="72"/>
      <c r="B273" s="72"/>
      <c r="C273" s="72"/>
      <c r="D273" s="72"/>
      <c r="E273" s="72"/>
      <c r="F273" s="72"/>
      <c r="G273" s="72"/>
      <c r="H273" s="72"/>
      <c r="I273" s="72"/>
      <c r="J273" s="72"/>
      <c r="K273" s="72"/>
      <c r="L273" s="93"/>
      <c r="M273" s="93"/>
      <c r="N273" s="93"/>
      <c r="O273" s="93"/>
      <c r="P273" s="93"/>
      <c r="Q273" s="93"/>
      <c r="R273" s="93"/>
      <c r="S273" s="93"/>
      <c r="T273" s="93"/>
      <c r="U273" s="93"/>
      <c r="V273" s="93"/>
      <c r="W273" s="93"/>
      <c r="X273" s="93"/>
      <c r="Y273" s="93"/>
    </row>
    <row r="274" spans="1:25">
      <c r="A274" s="72"/>
      <c r="B274" s="72"/>
      <c r="C274" s="72"/>
      <c r="D274" s="72"/>
      <c r="E274" s="72"/>
      <c r="F274" s="72"/>
      <c r="G274" s="72"/>
      <c r="H274" s="72"/>
      <c r="I274" s="72"/>
      <c r="J274" s="72"/>
      <c r="K274" s="72"/>
      <c r="L274" s="93"/>
      <c r="M274" s="93"/>
      <c r="N274" s="93"/>
      <c r="O274" s="93"/>
      <c r="P274" s="93"/>
      <c r="Q274" s="93"/>
      <c r="R274" s="93"/>
      <c r="S274" s="93"/>
      <c r="T274" s="93"/>
      <c r="U274" s="93"/>
      <c r="V274" s="93"/>
      <c r="W274" s="93"/>
      <c r="X274" s="93"/>
      <c r="Y274" s="93"/>
    </row>
    <row r="275" spans="1:25">
      <c r="A275" s="72"/>
      <c r="B275" s="72"/>
      <c r="C275" s="72"/>
      <c r="D275" s="72"/>
      <c r="E275" s="72"/>
      <c r="F275" s="72"/>
      <c r="G275" s="72"/>
      <c r="H275" s="72"/>
      <c r="I275" s="72"/>
      <c r="J275" s="72"/>
      <c r="K275" s="72"/>
      <c r="L275" s="93"/>
      <c r="M275" s="93"/>
      <c r="N275" s="93"/>
      <c r="O275" s="93"/>
      <c r="P275" s="93"/>
      <c r="Q275" s="93"/>
      <c r="R275" s="93"/>
      <c r="S275" s="93"/>
      <c r="T275" s="93"/>
      <c r="U275" s="93"/>
      <c r="V275" s="93"/>
      <c r="W275" s="93"/>
      <c r="X275" s="93"/>
      <c r="Y275" s="93"/>
    </row>
    <row r="276" spans="1:25">
      <c r="A276" s="72"/>
      <c r="B276" s="72"/>
      <c r="C276" s="72"/>
      <c r="D276" s="72"/>
      <c r="E276" s="72"/>
      <c r="F276" s="72"/>
      <c r="G276" s="72"/>
      <c r="H276" s="72"/>
      <c r="I276" s="72"/>
      <c r="J276" s="72"/>
      <c r="K276" s="72"/>
      <c r="L276" s="93"/>
      <c r="M276" s="93"/>
      <c r="N276" s="93"/>
      <c r="O276" s="93"/>
      <c r="P276" s="93"/>
      <c r="Q276" s="93"/>
      <c r="R276" s="93"/>
      <c r="S276" s="93"/>
      <c r="T276" s="93"/>
      <c r="U276" s="93"/>
      <c r="V276" s="93"/>
      <c r="W276" s="93"/>
      <c r="X276" s="93"/>
      <c r="Y276" s="93"/>
    </row>
    <row r="277" spans="1:25">
      <c r="A277" s="72"/>
      <c r="B277" s="72"/>
      <c r="C277" s="72"/>
      <c r="D277" s="72"/>
      <c r="E277" s="72"/>
      <c r="F277" s="72"/>
      <c r="G277" s="72"/>
      <c r="H277" s="72"/>
      <c r="I277" s="72"/>
      <c r="J277" s="72"/>
      <c r="K277" s="72"/>
      <c r="L277" s="93"/>
      <c r="M277" s="93"/>
      <c r="N277" s="93"/>
      <c r="O277" s="93"/>
      <c r="P277" s="93"/>
      <c r="Q277" s="93"/>
      <c r="R277" s="93"/>
      <c r="S277" s="93"/>
      <c r="T277" s="93"/>
      <c r="U277" s="93"/>
      <c r="V277" s="93"/>
      <c r="W277" s="93"/>
      <c r="X277" s="93"/>
      <c r="Y277" s="93"/>
    </row>
    <row r="278" spans="1:25">
      <c r="A278" s="72"/>
      <c r="B278" s="72"/>
      <c r="C278" s="72"/>
      <c r="D278" s="72"/>
      <c r="E278" s="72"/>
      <c r="F278" s="72"/>
      <c r="G278" s="72"/>
      <c r="H278" s="72"/>
      <c r="I278" s="72"/>
      <c r="J278" s="72"/>
      <c r="K278" s="72"/>
      <c r="L278" s="93"/>
      <c r="M278" s="93"/>
      <c r="N278" s="93"/>
      <c r="O278" s="93"/>
      <c r="P278" s="93"/>
      <c r="Q278" s="93"/>
      <c r="R278" s="93"/>
      <c r="S278" s="93"/>
      <c r="T278" s="93"/>
      <c r="U278" s="93"/>
      <c r="V278" s="93"/>
      <c r="W278" s="93"/>
      <c r="X278" s="93"/>
      <c r="Y278" s="93"/>
    </row>
    <row r="279" spans="1:25">
      <c r="A279" s="72"/>
      <c r="B279" s="72"/>
      <c r="C279" s="72"/>
      <c r="D279" s="72"/>
      <c r="E279" s="72"/>
      <c r="F279" s="72"/>
      <c r="G279" s="72"/>
      <c r="H279" s="72"/>
      <c r="I279" s="72"/>
      <c r="J279" s="72"/>
      <c r="K279" s="72"/>
      <c r="L279" s="93"/>
      <c r="M279" s="93"/>
      <c r="N279" s="93"/>
      <c r="O279" s="93"/>
      <c r="P279" s="93"/>
      <c r="Q279" s="93"/>
      <c r="R279" s="93"/>
      <c r="S279" s="93"/>
      <c r="T279" s="93"/>
      <c r="U279" s="93"/>
      <c r="V279" s="93"/>
      <c r="W279" s="93"/>
      <c r="X279" s="93"/>
      <c r="Y279" s="93"/>
    </row>
    <row r="280" spans="1:25">
      <c r="A280" s="72"/>
      <c r="B280" s="72"/>
      <c r="C280" s="72"/>
      <c r="D280" s="72"/>
      <c r="E280" s="72"/>
      <c r="F280" s="72"/>
      <c r="G280" s="72"/>
      <c r="H280" s="72"/>
      <c r="I280" s="72"/>
      <c r="J280" s="72"/>
      <c r="K280" s="72"/>
      <c r="L280" s="93"/>
      <c r="M280" s="93"/>
      <c r="N280" s="93"/>
      <c r="O280" s="93"/>
      <c r="P280" s="93"/>
      <c r="Q280" s="93"/>
      <c r="R280" s="93"/>
      <c r="S280" s="93"/>
      <c r="T280" s="93"/>
      <c r="U280" s="93"/>
      <c r="V280" s="93"/>
      <c r="W280" s="93"/>
      <c r="X280" s="93"/>
      <c r="Y280" s="93"/>
    </row>
    <row r="281" spans="1:25">
      <c r="A281" s="72"/>
      <c r="B281" s="72"/>
      <c r="C281" s="72"/>
      <c r="D281" s="72"/>
      <c r="E281" s="72"/>
      <c r="F281" s="72"/>
      <c r="G281" s="72"/>
      <c r="H281" s="72"/>
      <c r="I281" s="72"/>
      <c r="J281" s="72"/>
      <c r="K281" s="72"/>
      <c r="L281" s="93"/>
      <c r="M281" s="93"/>
      <c r="N281" s="93"/>
      <c r="O281" s="93"/>
      <c r="P281" s="93"/>
      <c r="Q281" s="93"/>
      <c r="R281" s="93"/>
      <c r="S281" s="93"/>
      <c r="T281" s="93"/>
      <c r="U281" s="93"/>
      <c r="V281" s="93"/>
      <c r="W281" s="93"/>
      <c r="X281" s="93"/>
      <c r="Y281" s="93"/>
    </row>
    <row r="282" spans="1:25">
      <c r="A282" s="72"/>
      <c r="B282" s="72"/>
      <c r="C282" s="72"/>
      <c r="D282" s="72"/>
      <c r="E282" s="72"/>
      <c r="F282" s="72"/>
      <c r="G282" s="72"/>
      <c r="H282" s="72"/>
      <c r="I282" s="72"/>
      <c r="J282" s="72"/>
      <c r="K282" s="72"/>
      <c r="L282" s="93"/>
      <c r="M282" s="93"/>
      <c r="N282" s="93"/>
      <c r="O282" s="93"/>
      <c r="P282" s="93"/>
      <c r="Q282" s="93"/>
      <c r="R282" s="93"/>
      <c r="S282" s="93"/>
      <c r="T282" s="93"/>
      <c r="U282" s="93"/>
      <c r="V282" s="93"/>
      <c r="W282" s="93"/>
      <c r="X282" s="93"/>
      <c r="Y282" s="93"/>
    </row>
    <row r="283" spans="1:25">
      <c r="A283" s="72"/>
      <c r="B283" s="72"/>
      <c r="C283" s="72"/>
      <c r="D283" s="72"/>
      <c r="E283" s="72"/>
      <c r="F283" s="72"/>
      <c r="G283" s="72"/>
      <c r="H283" s="72"/>
      <c r="I283" s="72"/>
      <c r="J283" s="72"/>
      <c r="K283" s="72"/>
      <c r="L283" s="93"/>
      <c r="M283" s="93"/>
      <c r="N283" s="93"/>
      <c r="O283" s="93"/>
      <c r="P283" s="93"/>
      <c r="Q283" s="93"/>
      <c r="R283" s="93"/>
      <c r="S283" s="93"/>
      <c r="T283" s="93"/>
      <c r="U283" s="93"/>
      <c r="V283" s="93"/>
      <c r="W283" s="93"/>
      <c r="X283" s="93"/>
      <c r="Y283" s="93"/>
    </row>
    <row r="284" spans="1:25">
      <c r="A284" s="72"/>
      <c r="B284" s="72"/>
      <c r="C284" s="72"/>
      <c r="D284" s="72"/>
      <c r="E284" s="72"/>
      <c r="F284" s="72"/>
      <c r="G284" s="72"/>
      <c r="H284" s="72"/>
      <c r="I284" s="72"/>
      <c r="J284" s="72"/>
      <c r="K284" s="72"/>
      <c r="L284" s="93"/>
      <c r="M284" s="93"/>
      <c r="N284" s="93"/>
      <c r="O284" s="93"/>
      <c r="P284" s="93"/>
      <c r="Q284" s="93"/>
      <c r="R284" s="93"/>
      <c r="S284" s="93"/>
      <c r="T284" s="93"/>
      <c r="U284" s="93"/>
      <c r="V284" s="93"/>
      <c r="W284" s="93"/>
      <c r="X284" s="93"/>
      <c r="Y284" s="93"/>
    </row>
    <row r="285" spans="1:25">
      <c r="A285" s="72"/>
      <c r="B285" s="72"/>
      <c r="C285" s="72"/>
      <c r="D285" s="72"/>
      <c r="E285" s="72"/>
      <c r="F285" s="72"/>
      <c r="G285" s="72"/>
      <c r="H285" s="72"/>
      <c r="I285" s="72"/>
      <c r="J285" s="72"/>
      <c r="K285" s="72"/>
      <c r="L285" s="93"/>
      <c r="M285" s="93"/>
      <c r="N285" s="93"/>
      <c r="O285" s="93"/>
      <c r="P285" s="93"/>
      <c r="Q285" s="93"/>
      <c r="R285" s="93"/>
      <c r="S285" s="93"/>
      <c r="T285" s="93"/>
      <c r="U285" s="93"/>
      <c r="V285" s="93"/>
      <c r="W285" s="93"/>
      <c r="X285" s="93"/>
      <c r="Y285" s="93"/>
    </row>
    <row r="286" spans="1:25">
      <c r="A286" s="72"/>
      <c r="B286" s="72"/>
      <c r="C286" s="72"/>
      <c r="D286" s="72"/>
      <c r="E286" s="72"/>
      <c r="F286" s="72"/>
      <c r="G286" s="72"/>
      <c r="H286" s="72"/>
      <c r="I286" s="72"/>
      <c r="J286" s="72"/>
      <c r="K286" s="72"/>
      <c r="L286" s="93"/>
      <c r="M286" s="93"/>
      <c r="N286" s="93"/>
      <c r="O286" s="93"/>
      <c r="P286" s="93"/>
      <c r="Q286" s="93"/>
      <c r="R286" s="93"/>
      <c r="S286" s="93"/>
      <c r="T286" s="93"/>
      <c r="U286" s="93"/>
      <c r="V286" s="93"/>
      <c r="W286" s="93"/>
      <c r="X286" s="93"/>
      <c r="Y286" s="93"/>
    </row>
    <row r="287" spans="1:25">
      <c r="A287" s="72"/>
      <c r="B287" s="72"/>
      <c r="C287" s="72"/>
      <c r="D287" s="72"/>
      <c r="E287" s="72"/>
      <c r="F287" s="72"/>
      <c r="G287" s="72"/>
      <c r="H287" s="72"/>
      <c r="I287" s="72"/>
      <c r="J287" s="72"/>
      <c r="K287" s="72"/>
      <c r="L287" s="93"/>
      <c r="M287" s="93"/>
      <c r="N287" s="93"/>
      <c r="O287" s="93"/>
      <c r="P287" s="93"/>
      <c r="Q287" s="93"/>
      <c r="R287" s="93"/>
      <c r="S287" s="93"/>
      <c r="T287" s="93"/>
      <c r="U287" s="93"/>
      <c r="V287" s="93"/>
      <c r="W287" s="93"/>
      <c r="X287" s="93"/>
      <c r="Y287" s="93"/>
    </row>
    <row r="288" spans="1:25">
      <c r="A288" s="72"/>
      <c r="B288" s="72"/>
      <c r="C288" s="72"/>
      <c r="D288" s="72"/>
      <c r="E288" s="72"/>
      <c r="F288" s="72"/>
      <c r="G288" s="72"/>
      <c r="H288" s="72"/>
      <c r="I288" s="72"/>
      <c r="J288" s="72"/>
      <c r="K288" s="72"/>
      <c r="L288" s="93"/>
      <c r="M288" s="93"/>
      <c r="N288" s="93"/>
      <c r="O288" s="93"/>
      <c r="P288" s="93"/>
      <c r="Q288" s="93"/>
      <c r="R288" s="93"/>
      <c r="S288" s="93"/>
      <c r="T288" s="93"/>
      <c r="U288" s="93"/>
      <c r="V288" s="93"/>
      <c r="W288" s="93"/>
      <c r="X288" s="93"/>
      <c r="Y288" s="93"/>
    </row>
    <row r="289" spans="1:25">
      <c r="A289" s="72"/>
      <c r="B289" s="72"/>
      <c r="C289" s="72"/>
      <c r="D289" s="72"/>
      <c r="E289" s="72"/>
      <c r="F289" s="72"/>
      <c r="G289" s="72"/>
      <c r="H289" s="72"/>
      <c r="I289" s="72"/>
      <c r="J289" s="72"/>
      <c r="K289" s="72"/>
      <c r="L289" s="93"/>
      <c r="M289" s="93"/>
      <c r="N289" s="93"/>
      <c r="O289" s="93"/>
      <c r="P289" s="93"/>
      <c r="Q289" s="93"/>
      <c r="R289" s="93"/>
      <c r="S289" s="93"/>
      <c r="T289" s="93"/>
      <c r="U289" s="93"/>
      <c r="V289" s="93"/>
      <c r="W289" s="93"/>
      <c r="X289" s="93"/>
      <c r="Y289" s="93"/>
    </row>
    <row r="290" spans="1:25">
      <c r="A290" s="72"/>
      <c r="B290" s="72"/>
      <c r="C290" s="72"/>
      <c r="D290" s="72"/>
      <c r="E290" s="72"/>
      <c r="F290" s="72"/>
      <c r="G290" s="72"/>
      <c r="H290" s="72"/>
      <c r="I290" s="72"/>
      <c r="J290" s="72"/>
      <c r="K290" s="72"/>
      <c r="L290" s="93"/>
      <c r="M290" s="93"/>
      <c r="N290" s="93"/>
      <c r="O290" s="93"/>
      <c r="P290" s="93"/>
      <c r="Q290" s="93"/>
      <c r="R290" s="93"/>
      <c r="S290" s="93"/>
      <c r="T290" s="93"/>
      <c r="U290" s="93"/>
      <c r="V290" s="93"/>
      <c r="W290" s="93"/>
      <c r="X290" s="93"/>
      <c r="Y290" s="93"/>
    </row>
    <row r="291" spans="1:25">
      <c r="A291" s="72"/>
      <c r="B291" s="72"/>
      <c r="C291" s="72"/>
      <c r="D291" s="72"/>
      <c r="E291" s="72"/>
      <c r="F291" s="72"/>
      <c r="G291" s="72"/>
      <c r="H291" s="72"/>
      <c r="I291" s="72"/>
      <c r="J291" s="72"/>
      <c r="K291" s="72"/>
      <c r="L291" s="93"/>
      <c r="M291" s="93"/>
      <c r="N291" s="93"/>
      <c r="O291" s="93"/>
      <c r="P291" s="93"/>
      <c r="Q291" s="93"/>
      <c r="R291" s="93"/>
      <c r="S291" s="93"/>
      <c r="T291" s="93"/>
      <c r="U291" s="93"/>
      <c r="V291" s="93"/>
      <c r="W291" s="93"/>
      <c r="X291" s="93"/>
      <c r="Y291" s="93"/>
    </row>
    <row r="292" spans="1:25">
      <c r="A292" s="72"/>
      <c r="B292" s="72"/>
      <c r="C292" s="72"/>
      <c r="D292" s="72"/>
      <c r="E292" s="72"/>
      <c r="F292" s="72"/>
      <c r="G292" s="72"/>
      <c r="H292" s="72"/>
      <c r="I292" s="72"/>
      <c r="J292" s="72"/>
      <c r="K292" s="72"/>
      <c r="L292" s="93"/>
      <c r="M292" s="93"/>
      <c r="N292" s="93"/>
      <c r="O292" s="93"/>
      <c r="P292" s="93"/>
      <c r="Q292" s="93"/>
      <c r="R292" s="93"/>
      <c r="S292" s="93"/>
      <c r="T292" s="93"/>
      <c r="U292" s="93"/>
      <c r="V292" s="93"/>
      <c r="W292" s="93"/>
      <c r="X292" s="93"/>
      <c r="Y292" s="93"/>
    </row>
    <row r="293" spans="1:25">
      <c r="A293" s="72"/>
      <c r="B293" s="72"/>
      <c r="C293" s="72"/>
      <c r="D293" s="72"/>
      <c r="E293" s="72"/>
      <c r="F293" s="72"/>
      <c r="G293" s="72"/>
      <c r="H293" s="72"/>
      <c r="I293" s="72"/>
      <c r="J293" s="72"/>
      <c r="K293" s="72"/>
      <c r="L293" s="93"/>
      <c r="M293" s="93"/>
      <c r="N293" s="93"/>
      <c r="O293" s="93"/>
      <c r="P293" s="93"/>
      <c r="Q293" s="93"/>
      <c r="R293" s="93"/>
      <c r="S293" s="93"/>
      <c r="T293" s="93"/>
      <c r="U293" s="93"/>
      <c r="V293" s="93"/>
      <c r="W293" s="93"/>
      <c r="X293" s="93"/>
      <c r="Y293" s="93"/>
    </row>
    <row r="294" spans="1:25">
      <c r="A294" s="72"/>
      <c r="B294" s="72"/>
      <c r="C294" s="72"/>
      <c r="D294" s="72"/>
      <c r="E294" s="72"/>
      <c r="F294" s="72"/>
      <c r="G294" s="72"/>
      <c r="H294" s="72"/>
      <c r="I294" s="72"/>
      <c r="J294" s="72"/>
      <c r="K294" s="72"/>
      <c r="L294" s="93"/>
      <c r="M294" s="93"/>
      <c r="N294" s="93"/>
      <c r="O294" s="93"/>
      <c r="P294" s="93"/>
      <c r="Q294" s="93"/>
      <c r="R294" s="93"/>
      <c r="S294" s="93"/>
      <c r="T294" s="93"/>
      <c r="U294" s="93"/>
      <c r="V294" s="93"/>
      <c r="W294" s="93"/>
      <c r="X294" s="93"/>
      <c r="Y294" s="93"/>
    </row>
    <row r="295" spans="1:25">
      <c r="A295" s="72"/>
      <c r="B295" s="72"/>
      <c r="C295" s="72"/>
      <c r="D295" s="72"/>
      <c r="E295" s="72"/>
      <c r="F295" s="72"/>
      <c r="G295" s="72"/>
      <c r="H295" s="72"/>
      <c r="I295" s="72"/>
      <c r="J295" s="72"/>
      <c r="K295" s="72"/>
      <c r="L295" s="93"/>
      <c r="M295" s="93"/>
      <c r="N295" s="93"/>
      <c r="O295" s="93"/>
      <c r="P295" s="93"/>
      <c r="Q295" s="93"/>
      <c r="R295" s="93"/>
      <c r="S295" s="93"/>
      <c r="T295" s="93"/>
      <c r="U295" s="93"/>
      <c r="V295" s="93"/>
      <c r="W295" s="93"/>
      <c r="X295" s="93"/>
      <c r="Y295" s="93"/>
    </row>
    <row r="296" spans="1:25">
      <c r="A296" s="72"/>
      <c r="B296" s="72"/>
      <c r="C296" s="72"/>
      <c r="D296" s="72"/>
      <c r="E296" s="72"/>
      <c r="F296" s="72"/>
      <c r="G296" s="72"/>
      <c r="H296" s="72"/>
      <c r="I296" s="72"/>
      <c r="J296" s="72"/>
      <c r="K296" s="72"/>
      <c r="L296" s="93"/>
      <c r="M296" s="93"/>
      <c r="N296" s="93"/>
      <c r="O296" s="93"/>
      <c r="P296" s="93"/>
      <c r="Q296" s="93"/>
      <c r="R296" s="93"/>
      <c r="S296" s="93"/>
      <c r="T296" s="93"/>
      <c r="U296" s="93"/>
      <c r="V296" s="93"/>
      <c r="W296" s="93"/>
      <c r="X296" s="93"/>
      <c r="Y296" s="93"/>
    </row>
    <row r="297" spans="1:25">
      <c r="A297" s="72"/>
      <c r="B297" s="72"/>
      <c r="C297" s="72"/>
      <c r="D297" s="72"/>
      <c r="E297" s="72"/>
      <c r="F297" s="72"/>
      <c r="G297" s="72"/>
      <c r="H297" s="72"/>
      <c r="I297" s="72"/>
      <c r="J297" s="72"/>
      <c r="K297" s="72"/>
      <c r="L297" s="93"/>
      <c r="M297" s="93"/>
      <c r="N297" s="93"/>
      <c r="O297" s="93"/>
      <c r="P297" s="93"/>
      <c r="Q297" s="93"/>
      <c r="R297" s="93"/>
      <c r="S297" s="93"/>
      <c r="T297" s="93"/>
      <c r="U297" s="93"/>
      <c r="V297" s="93"/>
      <c r="W297" s="93"/>
      <c r="X297" s="93"/>
      <c r="Y297" s="93"/>
    </row>
    <row r="298" spans="1:25">
      <c r="A298" s="72"/>
      <c r="B298" s="72"/>
      <c r="C298" s="72"/>
      <c r="D298" s="72"/>
      <c r="E298" s="72"/>
      <c r="F298" s="72"/>
      <c r="G298" s="72"/>
      <c r="H298" s="72"/>
      <c r="I298" s="72"/>
      <c r="J298" s="72"/>
      <c r="K298" s="72"/>
      <c r="L298" s="93"/>
      <c r="M298" s="93"/>
      <c r="N298" s="93"/>
      <c r="O298" s="93"/>
      <c r="P298" s="93"/>
      <c r="Q298" s="93"/>
      <c r="R298" s="93"/>
      <c r="S298" s="93"/>
      <c r="T298" s="93"/>
      <c r="U298" s="93"/>
      <c r="V298" s="93"/>
      <c r="W298" s="93"/>
      <c r="X298" s="93"/>
      <c r="Y298" s="93"/>
    </row>
    <row r="299" spans="1:25">
      <c r="A299" s="72"/>
      <c r="B299" s="72"/>
      <c r="C299" s="72"/>
      <c r="D299" s="72"/>
      <c r="E299" s="72"/>
      <c r="F299" s="72"/>
      <c r="G299" s="72"/>
      <c r="H299" s="72"/>
      <c r="I299" s="72"/>
      <c r="J299" s="72"/>
      <c r="K299" s="72"/>
      <c r="L299" s="93"/>
      <c r="M299" s="93"/>
      <c r="N299" s="93"/>
      <c r="O299" s="93"/>
      <c r="P299" s="93"/>
      <c r="Q299" s="93"/>
      <c r="R299" s="93"/>
      <c r="S299" s="93"/>
      <c r="T299" s="93"/>
      <c r="U299" s="93"/>
      <c r="V299" s="93"/>
      <c r="W299" s="93"/>
      <c r="X299" s="93"/>
      <c r="Y299" s="93"/>
    </row>
    <row r="300" spans="1:25">
      <c r="A300" s="72"/>
      <c r="B300" s="72"/>
      <c r="C300" s="72"/>
      <c r="D300" s="72"/>
      <c r="E300" s="72"/>
      <c r="F300" s="72"/>
      <c r="G300" s="72"/>
      <c r="H300" s="72"/>
      <c r="I300" s="72"/>
      <c r="J300" s="72"/>
      <c r="K300" s="72"/>
      <c r="L300" s="93"/>
      <c r="M300" s="93"/>
      <c r="N300" s="93"/>
      <c r="O300" s="93"/>
      <c r="P300" s="93"/>
      <c r="Q300" s="93"/>
      <c r="R300" s="93"/>
      <c r="S300" s="93"/>
      <c r="T300" s="93"/>
      <c r="U300" s="93"/>
      <c r="V300" s="93"/>
      <c r="W300" s="93"/>
      <c r="X300" s="93"/>
      <c r="Y300" s="93"/>
    </row>
    <row r="301" spans="1:25">
      <c r="A301" s="72"/>
      <c r="B301" s="72"/>
      <c r="C301" s="72"/>
      <c r="D301" s="72"/>
      <c r="E301" s="72"/>
      <c r="F301" s="72"/>
      <c r="G301" s="72"/>
      <c r="H301" s="72"/>
      <c r="I301" s="72"/>
      <c r="J301" s="72"/>
      <c r="K301" s="72"/>
      <c r="L301" s="93"/>
      <c r="M301" s="93"/>
      <c r="N301" s="93"/>
      <c r="O301" s="93"/>
      <c r="P301" s="93"/>
      <c r="Q301" s="93"/>
      <c r="R301" s="93"/>
      <c r="S301" s="93"/>
      <c r="T301" s="93"/>
      <c r="U301" s="93"/>
      <c r="V301" s="93"/>
      <c r="W301" s="93"/>
      <c r="X301" s="93"/>
      <c r="Y301" s="93"/>
    </row>
    <row r="302" spans="1:25">
      <c r="A302" s="72"/>
      <c r="B302" s="72"/>
      <c r="C302" s="72"/>
      <c r="D302" s="72"/>
      <c r="E302" s="72"/>
      <c r="F302" s="72"/>
      <c r="G302" s="72"/>
      <c r="H302" s="72"/>
      <c r="I302" s="72"/>
      <c r="J302" s="72"/>
      <c r="K302" s="72"/>
      <c r="L302" s="93"/>
      <c r="M302" s="93"/>
      <c r="N302" s="93"/>
      <c r="O302" s="93"/>
      <c r="P302" s="93"/>
      <c r="Q302" s="93"/>
      <c r="R302" s="93"/>
      <c r="S302" s="93"/>
      <c r="T302" s="93"/>
      <c r="U302" s="93"/>
      <c r="V302" s="93"/>
      <c r="W302" s="93"/>
      <c r="X302" s="93"/>
      <c r="Y302" s="93"/>
    </row>
    <row r="303" spans="1:25">
      <c r="A303" s="72"/>
      <c r="B303" s="72"/>
      <c r="C303" s="72"/>
      <c r="D303" s="72"/>
      <c r="E303" s="72"/>
      <c r="F303" s="72"/>
      <c r="G303" s="72"/>
      <c r="H303" s="72"/>
      <c r="I303" s="72"/>
      <c r="J303" s="72"/>
      <c r="K303" s="72"/>
      <c r="L303" s="93"/>
      <c r="M303" s="93"/>
      <c r="N303" s="93"/>
      <c r="O303" s="93"/>
      <c r="P303" s="93"/>
      <c r="Q303" s="93"/>
      <c r="R303" s="93"/>
      <c r="S303" s="93"/>
      <c r="T303" s="93"/>
      <c r="U303" s="93"/>
      <c r="V303" s="93"/>
      <c r="W303" s="93"/>
      <c r="X303" s="93"/>
      <c r="Y303" s="93"/>
    </row>
    <row r="304" spans="1:25">
      <c r="A304" s="72"/>
      <c r="B304" s="72"/>
      <c r="C304" s="72"/>
      <c r="D304" s="72"/>
      <c r="E304" s="72"/>
      <c r="F304" s="72"/>
      <c r="G304" s="72"/>
      <c r="H304" s="72"/>
      <c r="I304" s="72"/>
      <c r="J304" s="72"/>
      <c r="K304" s="72"/>
      <c r="L304" s="93"/>
      <c r="M304" s="93"/>
      <c r="N304" s="93"/>
      <c r="O304" s="93"/>
      <c r="P304" s="93"/>
      <c r="Q304" s="93"/>
      <c r="R304" s="93"/>
      <c r="S304" s="93"/>
      <c r="T304" s="93"/>
      <c r="U304" s="93"/>
      <c r="V304" s="93"/>
      <c r="W304" s="93"/>
      <c r="X304" s="93"/>
      <c r="Y304" s="93"/>
    </row>
    <row r="305" spans="1:25">
      <c r="A305" s="72"/>
      <c r="B305" s="72"/>
      <c r="C305" s="72"/>
      <c r="D305" s="72"/>
      <c r="E305" s="72"/>
      <c r="F305" s="72"/>
      <c r="G305" s="72"/>
      <c r="H305" s="72"/>
      <c r="I305" s="72"/>
      <c r="J305" s="72"/>
      <c r="K305" s="72"/>
      <c r="L305" s="93"/>
      <c r="M305" s="93"/>
      <c r="N305" s="93"/>
      <c r="O305" s="93"/>
      <c r="P305" s="93"/>
      <c r="Q305" s="93"/>
      <c r="R305" s="93"/>
      <c r="S305" s="93"/>
      <c r="T305" s="93"/>
      <c r="U305" s="93"/>
      <c r="V305" s="93"/>
      <c r="W305" s="93"/>
      <c r="X305" s="93"/>
      <c r="Y305" s="93"/>
    </row>
    <row r="306" spans="1:25">
      <c r="A306" s="72"/>
      <c r="B306" s="72"/>
      <c r="C306" s="72"/>
      <c r="D306" s="72"/>
      <c r="E306" s="72"/>
      <c r="F306" s="72"/>
      <c r="G306" s="72"/>
      <c r="H306" s="72"/>
      <c r="I306" s="72"/>
      <c r="J306" s="72"/>
      <c r="K306" s="72"/>
      <c r="L306" s="93"/>
      <c r="M306" s="93"/>
      <c r="N306" s="93"/>
      <c r="O306" s="93"/>
      <c r="P306" s="93"/>
      <c r="Q306" s="93"/>
      <c r="R306" s="93"/>
      <c r="S306" s="93"/>
      <c r="T306" s="93"/>
      <c r="U306" s="93"/>
      <c r="V306" s="93"/>
      <c r="W306" s="93"/>
      <c r="X306" s="93"/>
      <c r="Y306" s="93"/>
    </row>
    <row r="307" spans="1:25">
      <c r="A307" s="72"/>
      <c r="B307" s="72"/>
      <c r="C307" s="72"/>
      <c r="D307" s="72"/>
      <c r="E307" s="72"/>
      <c r="F307" s="72"/>
      <c r="G307" s="72"/>
      <c r="H307" s="72"/>
      <c r="I307" s="72"/>
      <c r="J307" s="72"/>
      <c r="K307" s="72"/>
      <c r="L307" s="93"/>
      <c r="M307" s="93"/>
      <c r="N307" s="93"/>
      <c r="O307" s="93"/>
      <c r="P307" s="93"/>
      <c r="Q307" s="93"/>
      <c r="R307" s="93"/>
      <c r="S307" s="93"/>
      <c r="T307" s="93"/>
      <c r="U307" s="93"/>
      <c r="V307" s="93"/>
      <c r="W307" s="93"/>
      <c r="X307" s="93"/>
      <c r="Y307" s="93"/>
    </row>
    <row r="308" spans="1:25">
      <c r="A308" s="72"/>
      <c r="B308" s="72"/>
      <c r="C308" s="72"/>
      <c r="D308" s="72"/>
      <c r="E308" s="72"/>
      <c r="F308" s="72"/>
      <c r="G308" s="72"/>
      <c r="H308" s="72"/>
      <c r="I308" s="72"/>
      <c r="J308" s="72"/>
      <c r="K308" s="72"/>
      <c r="L308" s="93"/>
      <c r="M308" s="93"/>
      <c r="N308" s="93"/>
      <c r="O308" s="93"/>
      <c r="P308" s="93"/>
      <c r="Q308" s="93"/>
      <c r="R308" s="93"/>
      <c r="S308" s="93"/>
      <c r="T308" s="93"/>
      <c r="U308" s="93"/>
      <c r="V308" s="93"/>
      <c r="W308" s="93"/>
      <c r="X308" s="93"/>
      <c r="Y308" s="93"/>
    </row>
    <row r="309" spans="1:25">
      <c r="A309" s="72"/>
      <c r="B309" s="72"/>
      <c r="C309" s="72"/>
      <c r="D309" s="72"/>
      <c r="E309" s="72"/>
      <c r="F309" s="72"/>
      <c r="G309" s="72"/>
      <c r="H309" s="72"/>
      <c r="I309" s="72"/>
      <c r="J309" s="72"/>
      <c r="K309" s="72"/>
      <c r="L309" s="93"/>
      <c r="M309" s="93"/>
      <c r="N309" s="93"/>
      <c r="O309" s="93"/>
      <c r="P309" s="93"/>
      <c r="Q309" s="93"/>
      <c r="R309" s="93"/>
      <c r="S309" s="93"/>
      <c r="T309" s="93"/>
      <c r="U309" s="93"/>
      <c r="V309" s="93"/>
      <c r="W309" s="93"/>
      <c r="X309" s="93"/>
      <c r="Y309" s="93"/>
    </row>
    <row r="310" spans="1:25">
      <c r="A310" s="72"/>
      <c r="B310" s="72"/>
      <c r="C310" s="72"/>
      <c r="D310" s="72"/>
      <c r="E310" s="72"/>
      <c r="F310" s="72"/>
      <c r="G310" s="72"/>
      <c r="H310" s="72"/>
      <c r="I310" s="72"/>
      <c r="J310" s="72"/>
      <c r="K310" s="72"/>
      <c r="L310" s="93"/>
      <c r="M310" s="93"/>
      <c r="N310" s="93"/>
      <c r="O310" s="93"/>
      <c r="P310" s="93"/>
      <c r="Q310" s="93"/>
      <c r="R310" s="93"/>
      <c r="S310" s="93"/>
      <c r="T310" s="93"/>
      <c r="U310" s="93"/>
      <c r="V310" s="93"/>
      <c r="W310" s="93"/>
      <c r="X310" s="93"/>
      <c r="Y310" s="93"/>
    </row>
    <row r="311" spans="1:25">
      <c r="A311" s="72"/>
      <c r="B311" s="72"/>
      <c r="C311" s="72"/>
      <c r="D311" s="72"/>
      <c r="E311" s="72"/>
      <c r="F311" s="72"/>
      <c r="G311" s="72"/>
      <c r="H311" s="72"/>
      <c r="I311" s="72"/>
      <c r="J311" s="72"/>
      <c r="K311" s="72"/>
      <c r="L311" s="93"/>
      <c r="M311" s="93"/>
      <c r="N311" s="93"/>
      <c r="O311" s="93"/>
      <c r="P311" s="93"/>
      <c r="Q311" s="93"/>
      <c r="R311" s="93"/>
      <c r="S311" s="93"/>
      <c r="T311" s="93"/>
      <c r="U311" s="93"/>
      <c r="V311" s="93"/>
      <c r="W311" s="93"/>
      <c r="X311" s="93"/>
      <c r="Y311" s="93"/>
    </row>
    <row r="312" spans="1:25">
      <c r="A312" s="72"/>
      <c r="B312" s="72"/>
      <c r="C312" s="72"/>
      <c r="D312" s="72"/>
      <c r="E312" s="72"/>
      <c r="F312" s="72"/>
      <c r="G312" s="72"/>
      <c r="H312" s="72"/>
      <c r="I312" s="72"/>
      <c r="J312" s="72"/>
      <c r="K312" s="72"/>
      <c r="L312" s="93"/>
      <c r="M312" s="93"/>
      <c r="N312" s="93"/>
      <c r="O312" s="93"/>
      <c r="P312" s="93"/>
      <c r="Q312" s="93"/>
      <c r="R312" s="93"/>
      <c r="S312" s="93"/>
      <c r="T312" s="93"/>
      <c r="U312" s="93"/>
      <c r="V312" s="93"/>
      <c r="W312" s="93"/>
      <c r="X312" s="93"/>
      <c r="Y312" s="93"/>
    </row>
    <row r="313" spans="1:25">
      <c r="A313" s="72"/>
      <c r="B313" s="72"/>
      <c r="C313" s="72"/>
      <c r="D313" s="72"/>
      <c r="E313" s="72"/>
      <c r="F313" s="72"/>
      <c r="G313" s="72"/>
      <c r="H313" s="72"/>
      <c r="I313" s="72"/>
      <c r="J313" s="72"/>
      <c r="K313" s="72"/>
      <c r="L313" s="93"/>
      <c r="M313" s="93"/>
      <c r="N313" s="93"/>
      <c r="O313" s="93"/>
      <c r="P313" s="93"/>
      <c r="Q313" s="93"/>
      <c r="R313" s="93"/>
      <c r="S313" s="93"/>
      <c r="T313" s="93"/>
      <c r="U313" s="93"/>
      <c r="V313" s="93"/>
      <c r="W313" s="93"/>
      <c r="X313" s="93"/>
      <c r="Y313" s="93"/>
    </row>
    <row r="314" spans="1:25">
      <c r="A314" s="72"/>
      <c r="B314" s="72"/>
      <c r="C314" s="72"/>
      <c r="D314" s="72"/>
      <c r="E314" s="72"/>
      <c r="F314" s="72"/>
      <c r="G314" s="72"/>
      <c r="H314" s="72"/>
      <c r="I314" s="72"/>
      <c r="J314" s="72"/>
      <c r="K314" s="72"/>
      <c r="L314" s="93"/>
      <c r="M314" s="93"/>
      <c r="N314" s="93"/>
      <c r="O314" s="93"/>
      <c r="P314" s="93"/>
      <c r="Q314" s="93"/>
      <c r="R314" s="93"/>
      <c r="S314" s="93"/>
      <c r="T314" s="93"/>
      <c r="U314" s="93"/>
      <c r="V314" s="93"/>
      <c r="W314" s="93"/>
      <c r="X314" s="93"/>
      <c r="Y314" s="93"/>
    </row>
    <row r="315" spans="1:25">
      <c r="A315" s="72"/>
      <c r="B315" s="72"/>
      <c r="C315" s="72"/>
      <c r="D315" s="72"/>
      <c r="E315" s="72"/>
      <c r="F315" s="72"/>
      <c r="G315" s="72"/>
      <c r="H315" s="72"/>
      <c r="I315" s="72"/>
      <c r="J315" s="72"/>
      <c r="K315" s="72"/>
      <c r="L315" s="93"/>
      <c r="M315" s="93"/>
      <c r="N315" s="93"/>
      <c r="O315" s="93"/>
      <c r="P315" s="93"/>
      <c r="Q315" s="93"/>
      <c r="R315" s="93"/>
      <c r="S315" s="93"/>
      <c r="T315" s="93"/>
      <c r="U315" s="93"/>
      <c r="V315" s="93"/>
      <c r="W315" s="93"/>
      <c r="X315" s="93"/>
      <c r="Y315" s="93"/>
    </row>
    <row r="316" spans="1:25">
      <c r="A316" s="72"/>
      <c r="B316" s="72"/>
      <c r="C316" s="72"/>
      <c r="D316" s="72"/>
      <c r="E316" s="72"/>
      <c r="F316" s="72"/>
      <c r="G316" s="72"/>
      <c r="H316" s="72"/>
      <c r="I316" s="72"/>
      <c r="J316" s="72"/>
      <c r="K316" s="72"/>
      <c r="L316" s="93"/>
      <c r="M316" s="93"/>
      <c r="N316" s="93"/>
      <c r="O316" s="93"/>
      <c r="P316" s="93"/>
      <c r="Q316" s="93"/>
      <c r="R316" s="93"/>
      <c r="S316" s="93"/>
      <c r="T316" s="93"/>
      <c r="U316" s="93"/>
      <c r="V316" s="93"/>
      <c r="W316" s="93"/>
      <c r="X316" s="93"/>
      <c r="Y316" s="93"/>
    </row>
    <row r="317" spans="1:25">
      <c r="A317" s="72"/>
      <c r="B317" s="72"/>
      <c r="C317" s="72"/>
      <c r="D317" s="72"/>
      <c r="E317" s="72"/>
      <c r="F317" s="72"/>
      <c r="G317" s="72"/>
      <c r="H317" s="72"/>
      <c r="I317" s="72"/>
      <c r="J317" s="72"/>
      <c r="K317" s="72"/>
      <c r="L317" s="93"/>
      <c r="M317" s="93"/>
      <c r="N317" s="93"/>
      <c r="O317" s="93"/>
      <c r="P317" s="93"/>
      <c r="Q317" s="93"/>
      <c r="R317" s="93"/>
      <c r="S317" s="93"/>
      <c r="T317" s="93"/>
      <c r="U317" s="93"/>
      <c r="V317" s="93"/>
      <c r="W317" s="93"/>
      <c r="X317" s="93"/>
      <c r="Y317" s="93"/>
    </row>
    <row r="318" spans="1:25">
      <c r="A318" s="72"/>
      <c r="B318" s="72"/>
      <c r="C318" s="72"/>
      <c r="D318" s="72"/>
      <c r="E318" s="72"/>
      <c r="F318" s="72"/>
      <c r="G318" s="72"/>
      <c r="H318" s="72"/>
      <c r="I318" s="72"/>
      <c r="J318" s="72"/>
      <c r="K318" s="72"/>
      <c r="L318" s="93"/>
      <c r="M318" s="93"/>
      <c r="N318" s="93"/>
      <c r="O318" s="93"/>
      <c r="P318" s="93"/>
      <c r="Q318" s="93"/>
      <c r="R318" s="93"/>
      <c r="S318" s="93"/>
      <c r="T318" s="93"/>
      <c r="U318" s="93"/>
      <c r="V318" s="93"/>
      <c r="W318" s="93"/>
      <c r="X318" s="93"/>
      <c r="Y318" s="93"/>
    </row>
    <row r="319" spans="1:25">
      <c r="A319" s="72"/>
      <c r="B319" s="72"/>
      <c r="C319" s="72"/>
      <c r="D319" s="72"/>
      <c r="E319" s="72"/>
      <c r="F319" s="72"/>
      <c r="G319" s="72"/>
      <c r="H319" s="72"/>
      <c r="I319" s="72"/>
      <c r="J319" s="72"/>
      <c r="K319" s="72"/>
      <c r="L319" s="93"/>
      <c r="M319" s="93"/>
      <c r="N319" s="93"/>
      <c r="O319" s="93"/>
      <c r="P319" s="93"/>
      <c r="Q319" s="93"/>
      <c r="R319" s="93"/>
      <c r="S319" s="93"/>
      <c r="T319" s="93"/>
      <c r="U319" s="93"/>
      <c r="V319" s="93"/>
      <c r="W319" s="93"/>
      <c r="X319" s="93"/>
      <c r="Y319" s="93"/>
    </row>
    <row r="320" spans="1:25">
      <c r="A320" s="72"/>
      <c r="B320" s="72"/>
      <c r="C320" s="72"/>
      <c r="D320" s="72"/>
      <c r="E320" s="72"/>
      <c r="F320" s="72"/>
      <c r="G320" s="72"/>
      <c r="H320" s="72"/>
      <c r="I320" s="72"/>
      <c r="J320" s="72"/>
      <c r="K320" s="72"/>
      <c r="L320" s="93"/>
      <c r="M320" s="93"/>
      <c r="N320" s="93"/>
      <c r="O320" s="93"/>
      <c r="P320" s="93"/>
      <c r="Q320" s="93"/>
      <c r="R320" s="93"/>
      <c r="S320" s="93"/>
      <c r="T320" s="93"/>
      <c r="U320" s="93"/>
      <c r="V320" s="93"/>
      <c r="W320" s="93"/>
      <c r="X320" s="93"/>
      <c r="Y320" s="93"/>
    </row>
    <row r="321" spans="1:25">
      <c r="A321" s="72"/>
      <c r="B321" s="72"/>
      <c r="C321" s="72"/>
      <c r="D321" s="72"/>
      <c r="E321" s="72"/>
      <c r="F321" s="72"/>
      <c r="G321" s="72"/>
      <c r="H321" s="72"/>
      <c r="I321" s="72"/>
      <c r="J321" s="72"/>
      <c r="K321" s="72"/>
      <c r="L321" s="93"/>
      <c r="M321" s="93"/>
      <c r="N321" s="93"/>
      <c r="O321" s="93"/>
      <c r="P321" s="93"/>
      <c r="Q321" s="93"/>
      <c r="R321" s="93"/>
      <c r="S321" s="93"/>
      <c r="T321" s="93"/>
      <c r="U321" s="93"/>
      <c r="V321" s="93"/>
      <c r="W321" s="93"/>
      <c r="X321" s="93"/>
      <c r="Y321" s="93"/>
    </row>
    <row r="322" spans="1:25">
      <c r="A322" s="72"/>
      <c r="B322" s="72"/>
      <c r="C322" s="72"/>
      <c r="D322" s="72"/>
      <c r="E322" s="72"/>
      <c r="F322" s="72"/>
      <c r="G322" s="72"/>
      <c r="H322" s="72"/>
      <c r="I322" s="72"/>
      <c r="J322" s="72"/>
      <c r="K322" s="72"/>
      <c r="L322" s="93"/>
      <c r="M322" s="93"/>
      <c r="N322" s="93"/>
      <c r="O322" s="93"/>
      <c r="P322" s="93"/>
      <c r="Q322" s="93"/>
      <c r="R322" s="93"/>
      <c r="S322" s="93"/>
      <c r="T322" s="93"/>
      <c r="U322" s="93"/>
      <c r="V322" s="93"/>
      <c r="W322" s="93"/>
      <c r="X322" s="93"/>
      <c r="Y322" s="93"/>
    </row>
    <row r="323" spans="1:25">
      <c r="A323" s="72"/>
      <c r="B323" s="72"/>
      <c r="C323" s="72"/>
      <c r="D323" s="72"/>
      <c r="E323" s="72"/>
      <c r="F323" s="72"/>
      <c r="G323" s="72"/>
      <c r="H323" s="72"/>
      <c r="I323" s="72"/>
      <c r="J323" s="72"/>
      <c r="K323" s="72"/>
      <c r="L323" s="93"/>
      <c r="M323" s="93"/>
      <c r="N323" s="93"/>
      <c r="O323" s="93"/>
      <c r="P323" s="93"/>
      <c r="Q323" s="93"/>
      <c r="R323" s="93"/>
      <c r="S323" s="93"/>
      <c r="T323" s="93"/>
      <c r="U323" s="93"/>
      <c r="V323" s="93"/>
      <c r="W323" s="93"/>
      <c r="X323" s="93"/>
      <c r="Y323" s="93"/>
    </row>
    <row r="324" spans="1:25">
      <c r="A324" s="72"/>
      <c r="B324" s="72"/>
      <c r="C324" s="72"/>
      <c r="D324" s="72"/>
      <c r="E324" s="72"/>
      <c r="F324" s="72"/>
      <c r="G324" s="72"/>
      <c r="H324" s="72"/>
      <c r="I324" s="72"/>
      <c r="J324" s="72"/>
      <c r="K324" s="72"/>
      <c r="L324" s="93"/>
      <c r="M324" s="93"/>
      <c r="N324" s="93"/>
      <c r="O324" s="93"/>
      <c r="P324" s="93"/>
      <c r="Q324" s="93"/>
      <c r="R324" s="93"/>
      <c r="S324" s="93"/>
      <c r="T324" s="93"/>
      <c r="U324" s="93"/>
      <c r="V324" s="93"/>
      <c r="W324" s="93"/>
      <c r="X324" s="93"/>
      <c r="Y324" s="93"/>
    </row>
    <row r="325" spans="1:25">
      <c r="A325" s="72"/>
      <c r="B325" s="72"/>
      <c r="C325" s="72"/>
      <c r="D325" s="72"/>
      <c r="E325" s="72"/>
      <c r="F325" s="72"/>
      <c r="G325" s="72"/>
      <c r="H325" s="72"/>
      <c r="I325" s="72"/>
      <c r="J325" s="72"/>
      <c r="K325" s="72"/>
      <c r="L325" s="93"/>
      <c r="M325" s="93"/>
      <c r="N325" s="93"/>
      <c r="O325" s="93"/>
      <c r="P325" s="93"/>
      <c r="Q325" s="93"/>
      <c r="R325" s="93"/>
      <c r="S325" s="93"/>
      <c r="T325" s="93"/>
      <c r="U325" s="93"/>
      <c r="V325" s="93"/>
      <c r="W325" s="93"/>
      <c r="X325" s="93"/>
      <c r="Y325" s="93"/>
    </row>
    <row r="326" spans="1:25">
      <c r="A326" s="72"/>
      <c r="B326" s="72"/>
      <c r="C326" s="72"/>
      <c r="D326" s="72"/>
      <c r="E326" s="72"/>
      <c r="F326" s="72"/>
      <c r="G326" s="72"/>
      <c r="H326" s="72"/>
      <c r="I326" s="72"/>
      <c r="J326" s="72"/>
      <c r="K326" s="72"/>
      <c r="L326" s="93"/>
      <c r="M326" s="93"/>
      <c r="N326" s="93"/>
      <c r="O326" s="93"/>
      <c r="P326" s="93"/>
      <c r="Q326" s="93"/>
      <c r="R326" s="93"/>
      <c r="S326" s="93"/>
      <c r="T326" s="93"/>
      <c r="U326" s="93"/>
      <c r="V326" s="93"/>
      <c r="W326" s="93"/>
      <c r="X326" s="93"/>
      <c r="Y326" s="93"/>
    </row>
    <row r="327" spans="1:25">
      <c r="A327" s="72"/>
      <c r="B327" s="72"/>
      <c r="C327" s="72"/>
      <c r="D327" s="72"/>
      <c r="E327" s="72"/>
      <c r="F327" s="72"/>
      <c r="G327" s="72"/>
      <c r="H327" s="72"/>
      <c r="I327" s="72"/>
      <c r="J327" s="72"/>
      <c r="K327" s="72"/>
      <c r="L327" s="93"/>
      <c r="M327" s="93"/>
      <c r="N327" s="93"/>
      <c r="O327" s="93"/>
      <c r="P327" s="93"/>
      <c r="Q327" s="93"/>
      <c r="R327" s="93"/>
      <c r="S327" s="93"/>
      <c r="T327" s="93"/>
      <c r="U327" s="93"/>
      <c r="V327" s="93"/>
      <c r="W327" s="93"/>
      <c r="X327" s="93"/>
      <c r="Y327" s="93"/>
    </row>
    <row r="328" spans="1:25">
      <c r="A328" s="72"/>
      <c r="B328" s="72"/>
      <c r="C328" s="72"/>
      <c r="D328" s="72"/>
      <c r="E328" s="72"/>
      <c r="F328" s="72"/>
      <c r="G328" s="72"/>
      <c r="H328" s="72"/>
      <c r="I328" s="72"/>
      <c r="J328" s="72"/>
      <c r="K328" s="72"/>
      <c r="L328" s="93"/>
      <c r="M328" s="93"/>
      <c r="N328" s="93"/>
      <c r="O328" s="93"/>
      <c r="P328" s="93"/>
      <c r="Q328" s="93"/>
      <c r="R328" s="93"/>
      <c r="S328" s="93"/>
      <c r="T328" s="93"/>
      <c r="U328" s="93"/>
      <c r="V328" s="93"/>
      <c r="W328" s="93"/>
      <c r="X328" s="93"/>
      <c r="Y328" s="93"/>
    </row>
    <row r="329" spans="1:25">
      <c r="A329" s="72"/>
      <c r="B329" s="72"/>
      <c r="C329" s="72"/>
      <c r="D329" s="72"/>
      <c r="E329" s="72"/>
      <c r="F329" s="72"/>
      <c r="G329" s="72"/>
      <c r="H329" s="72"/>
      <c r="I329" s="72"/>
      <c r="J329" s="72"/>
      <c r="K329" s="72"/>
      <c r="L329" s="93"/>
      <c r="M329" s="93"/>
      <c r="N329" s="93"/>
      <c r="O329" s="93"/>
      <c r="P329" s="93"/>
      <c r="Q329" s="93"/>
      <c r="R329" s="93"/>
      <c r="S329" s="93"/>
      <c r="T329" s="93"/>
      <c r="U329" s="93"/>
      <c r="V329" s="93"/>
      <c r="W329" s="93"/>
      <c r="X329" s="93"/>
      <c r="Y329" s="93"/>
    </row>
    <row r="330" spans="1:25">
      <c r="A330" s="72"/>
      <c r="B330" s="72"/>
      <c r="C330" s="72"/>
      <c r="D330" s="72"/>
      <c r="E330" s="72"/>
      <c r="F330" s="72"/>
      <c r="G330" s="72"/>
      <c r="H330" s="72"/>
      <c r="I330" s="72"/>
      <c r="J330" s="72"/>
      <c r="K330" s="72"/>
      <c r="L330" s="93"/>
      <c r="M330" s="93"/>
      <c r="N330" s="93"/>
      <c r="O330" s="93"/>
      <c r="P330" s="93"/>
      <c r="Q330" s="93"/>
      <c r="R330" s="93"/>
      <c r="S330" s="93"/>
      <c r="T330" s="93"/>
      <c r="U330" s="93"/>
      <c r="V330" s="93"/>
      <c r="W330" s="93"/>
      <c r="X330" s="93"/>
      <c r="Y330" s="93"/>
    </row>
    <row r="331" spans="1:25">
      <c r="A331" s="72"/>
      <c r="B331" s="72"/>
      <c r="C331" s="72"/>
      <c r="D331" s="72"/>
      <c r="E331" s="72"/>
      <c r="F331" s="72"/>
      <c r="G331" s="72"/>
      <c r="H331" s="72"/>
      <c r="I331" s="72"/>
      <c r="J331" s="72"/>
      <c r="K331" s="72"/>
      <c r="L331" s="93"/>
      <c r="M331" s="93"/>
      <c r="N331" s="93"/>
      <c r="O331" s="93"/>
      <c r="P331" s="93"/>
      <c r="Q331" s="93"/>
      <c r="R331" s="93"/>
      <c r="S331" s="93"/>
      <c r="T331" s="93"/>
      <c r="U331" s="93"/>
      <c r="V331" s="93"/>
      <c r="W331" s="93"/>
      <c r="X331" s="93"/>
      <c r="Y331" s="93"/>
    </row>
    <row r="332" spans="1:25">
      <c r="A332" s="72"/>
      <c r="B332" s="72"/>
      <c r="C332" s="72"/>
      <c r="D332" s="72"/>
      <c r="E332" s="72"/>
      <c r="F332" s="72"/>
      <c r="G332" s="72"/>
      <c r="H332" s="72"/>
      <c r="I332" s="72"/>
      <c r="J332" s="72"/>
      <c r="K332" s="72"/>
      <c r="L332" s="93"/>
      <c r="M332" s="93"/>
      <c r="N332" s="93"/>
      <c r="O332" s="93"/>
      <c r="P332" s="93"/>
      <c r="Q332" s="93"/>
      <c r="R332" s="93"/>
      <c r="S332" s="93"/>
      <c r="T332" s="93"/>
      <c r="U332" s="93"/>
      <c r="V332" s="93"/>
      <c r="W332" s="93"/>
      <c r="X332" s="93"/>
      <c r="Y332" s="93"/>
    </row>
    <row r="333" spans="1:25">
      <c r="A333" s="72"/>
      <c r="B333" s="72"/>
      <c r="C333" s="72"/>
      <c r="D333" s="72"/>
      <c r="E333" s="72"/>
      <c r="F333" s="72"/>
      <c r="G333" s="72"/>
      <c r="H333" s="72"/>
      <c r="I333" s="72"/>
      <c r="J333" s="72"/>
      <c r="K333" s="72"/>
      <c r="L333" s="93"/>
      <c r="M333" s="93"/>
      <c r="N333" s="93"/>
      <c r="O333" s="93"/>
      <c r="P333" s="93"/>
      <c r="Q333" s="93"/>
      <c r="R333" s="93"/>
      <c r="S333" s="93"/>
      <c r="T333" s="93"/>
      <c r="U333" s="93"/>
      <c r="V333" s="93"/>
      <c r="W333" s="93"/>
      <c r="X333" s="93"/>
      <c r="Y333" s="93"/>
    </row>
    <row r="334" spans="1:25">
      <c r="A334" s="72"/>
      <c r="B334" s="72"/>
      <c r="C334" s="72"/>
      <c r="D334" s="72"/>
      <c r="E334" s="72"/>
      <c r="F334" s="72"/>
      <c r="G334" s="72"/>
      <c r="H334" s="72"/>
      <c r="I334" s="72"/>
      <c r="J334" s="72"/>
      <c r="K334" s="72"/>
      <c r="L334" s="93"/>
      <c r="M334" s="93"/>
      <c r="N334" s="93"/>
      <c r="O334" s="93"/>
      <c r="P334" s="93"/>
      <c r="Q334" s="93"/>
      <c r="R334" s="93"/>
      <c r="S334" s="93"/>
      <c r="T334" s="93"/>
      <c r="U334" s="93"/>
      <c r="V334" s="93"/>
      <c r="W334" s="93"/>
      <c r="X334" s="93"/>
      <c r="Y334" s="93"/>
    </row>
    <row r="335" spans="1:25">
      <c r="A335" s="72"/>
      <c r="B335" s="72"/>
      <c r="C335" s="72"/>
      <c r="D335" s="72"/>
      <c r="E335" s="72"/>
      <c r="F335" s="72"/>
      <c r="G335" s="72"/>
      <c r="H335" s="72"/>
      <c r="I335" s="72"/>
      <c r="J335" s="72"/>
      <c r="K335" s="72"/>
      <c r="L335" s="93"/>
      <c r="M335" s="93"/>
      <c r="N335" s="93"/>
      <c r="O335" s="93"/>
      <c r="P335" s="93"/>
      <c r="Q335" s="93"/>
      <c r="R335" s="93"/>
      <c r="S335" s="93"/>
      <c r="T335" s="93"/>
      <c r="U335" s="93"/>
      <c r="V335" s="93"/>
      <c r="W335" s="93"/>
      <c r="X335" s="93"/>
      <c r="Y335" s="93"/>
    </row>
    <row r="336" spans="1:25">
      <c r="A336" s="72"/>
      <c r="B336" s="72"/>
      <c r="C336" s="72"/>
      <c r="D336" s="72"/>
      <c r="E336" s="72"/>
      <c r="F336" s="72"/>
      <c r="G336" s="72"/>
      <c r="H336" s="72"/>
      <c r="I336" s="72"/>
      <c r="J336" s="72"/>
      <c r="K336" s="72"/>
      <c r="L336" s="93"/>
      <c r="M336" s="93"/>
      <c r="N336" s="93"/>
      <c r="O336" s="93"/>
      <c r="P336" s="93"/>
      <c r="Q336" s="93"/>
      <c r="R336" s="93"/>
      <c r="S336" s="93"/>
      <c r="T336" s="93"/>
      <c r="U336" s="93"/>
      <c r="V336" s="93"/>
      <c r="W336" s="93"/>
      <c r="X336" s="93"/>
      <c r="Y336" s="93"/>
    </row>
    <row r="337" spans="1:25">
      <c r="A337" s="72"/>
      <c r="B337" s="72"/>
      <c r="C337" s="72"/>
      <c r="D337" s="72"/>
      <c r="E337" s="72"/>
      <c r="F337" s="72"/>
      <c r="G337" s="72"/>
      <c r="H337" s="72"/>
      <c r="I337" s="72"/>
      <c r="J337" s="72"/>
      <c r="K337" s="72"/>
      <c r="L337" s="93"/>
      <c r="M337" s="93"/>
      <c r="N337" s="93"/>
      <c r="O337" s="93"/>
      <c r="P337" s="93"/>
      <c r="Q337" s="93"/>
      <c r="R337" s="93"/>
      <c r="S337" s="93"/>
      <c r="T337" s="93"/>
      <c r="U337" s="93"/>
      <c r="V337" s="93"/>
      <c r="W337" s="93"/>
      <c r="X337" s="93"/>
      <c r="Y337" s="93"/>
    </row>
    <row r="338" spans="1:25">
      <c r="A338" s="72"/>
      <c r="B338" s="72"/>
      <c r="C338" s="72"/>
      <c r="D338" s="72"/>
      <c r="E338" s="72"/>
      <c r="F338" s="72"/>
      <c r="G338" s="72"/>
      <c r="H338" s="72"/>
      <c r="I338" s="72"/>
      <c r="J338" s="72"/>
      <c r="K338" s="72"/>
      <c r="L338" s="93"/>
      <c r="M338" s="93"/>
      <c r="N338" s="93"/>
      <c r="O338" s="93"/>
      <c r="P338" s="93"/>
      <c r="Q338" s="93"/>
      <c r="R338" s="93"/>
      <c r="S338" s="93"/>
      <c r="T338" s="93"/>
      <c r="U338" s="93"/>
      <c r="V338" s="93"/>
      <c r="W338" s="93"/>
      <c r="X338" s="93"/>
      <c r="Y338" s="93"/>
    </row>
    <row r="339" spans="1:25">
      <c r="A339" s="72"/>
      <c r="B339" s="72"/>
      <c r="C339" s="72"/>
      <c r="D339" s="72"/>
      <c r="E339" s="72"/>
      <c r="F339" s="72"/>
      <c r="G339" s="72"/>
      <c r="H339" s="72"/>
      <c r="I339" s="72"/>
      <c r="J339" s="72"/>
      <c r="K339" s="72"/>
      <c r="L339" s="93"/>
      <c r="M339" s="93"/>
      <c r="N339" s="93"/>
      <c r="O339" s="93"/>
      <c r="P339" s="93"/>
      <c r="Q339" s="93"/>
      <c r="R339" s="93"/>
      <c r="S339" s="93"/>
      <c r="T339" s="93"/>
      <c r="U339" s="93"/>
      <c r="V339" s="93"/>
      <c r="W339" s="93"/>
      <c r="X339" s="93"/>
      <c r="Y339" s="93"/>
    </row>
    <row r="340" spans="1:25">
      <c r="A340" s="72"/>
      <c r="B340" s="72"/>
      <c r="C340" s="72"/>
      <c r="D340" s="72"/>
      <c r="E340" s="72"/>
      <c r="F340" s="72"/>
      <c r="G340" s="72"/>
      <c r="H340" s="72"/>
      <c r="I340" s="72"/>
      <c r="J340" s="72"/>
      <c r="K340" s="72"/>
      <c r="L340" s="93"/>
      <c r="M340" s="93"/>
      <c r="N340" s="93"/>
      <c r="O340" s="93"/>
      <c r="P340" s="93"/>
      <c r="Q340" s="93"/>
      <c r="R340" s="93"/>
      <c r="S340" s="93"/>
      <c r="T340" s="93"/>
      <c r="U340" s="93"/>
      <c r="V340" s="93"/>
      <c r="W340" s="93"/>
      <c r="X340" s="93"/>
      <c r="Y340" s="93"/>
    </row>
    <row r="341" spans="1:25">
      <c r="A341" s="72"/>
      <c r="B341" s="72"/>
      <c r="C341" s="72"/>
      <c r="D341" s="72"/>
      <c r="E341" s="72"/>
      <c r="F341" s="72"/>
      <c r="G341" s="72"/>
      <c r="H341" s="72"/>
      <c r="I341" s="72"/>
      <c r="J341" s="72"/>
      <c r="K341" s="72"/>
      <c r="L341" s="93"/>
      <c r="M341" s="93"/>
      <c r="N341" s="93"/>
      <c r="O341" s="93"/>
      <c r="P341" s="93"/>
      <c r="Q341" s="93"/>
      <c r="R341" s="93"/>
      <c r="S341" s="93"/>
      <c r="T341" s="93"/>
      <c r="U341" s="93"/>
      <c r="V341" s="93"/>
      <c r="W341" s="93"/>
      <c r="X341" s="93"/>
      <c r="Y341" s="93"/>
    </row>
    <row r="342" spans="1:25">
      <c r="A342" s="72"/>
      <c r="B342" s="72"/>
      <c r="C342" s="72"/>
      <c r="D342" s="72"/>
      <c r="E342" s="72"/>
      <c r="F342" s="72"/>
      <c r="G342" s="72"/>
      <c r="H342" s="72"/>
      <c r="I342" s="72"/>
      <c r="J342" s="72"/>
      <c r="K342" s="72"/>
      <c r="L342" s="93"/>
      <c r="M342" s="93"/>
      <c r="N342" s="93"/>
      <c r="O342" s="93"/>
      <c r="P342" s="93"/>
      <c r="Q342" s="93"/>
      <c r="R342" s="93"/>
      <c r="S342" s="93"/>
      <c r="T342" s="93"/>
      <c r="U342" s="93"/>
      <c r="V342" s="93"/>
      <c r="W342" s="93"/>
      <c r="X342" s="93"/>
      <c r="Y342" s="93"/>
    </row>
    <row r="343" spans="1:25">
      <c r="A343" s="72"/>
      <c r="B343" s="72"/>
      <c r="C343" s="72"/>
      <c r="D343" s="72"/>
      <c r="E343" s="72"/>
      <c r="F343" s="72"/>
      <c r="G343" s="72"/>
      <c r="H343" s="72"/>
      <c r="I343" s="72"/>
      <c r="J343" s="72"/>
      <c r="K343" s="72"/>
      <c r="L343" s="93"/>
      <c r="M343" s="93"/>
      <c r="N343" s="93"/>
      <c r="O343" s="93"/>
      <c r="P343" s="93"/>
      <c r="Q343" s="93"/>
      <c r="R343" s="93"/>
      <c r="S343" s="93"/>
      <c r="T343" s="93"/>
      <c r="U343" s="93"/>
      <c r="V343" s="93"/>
      <c r="W343" s="93"/>
      <c r="X343" s="93"/>
      <c r="Y343" s="93"/>
    </row>
    <row r="344" spans="1:25">
      <c r="A344" s="72"/>
      <c r="B344" s="72"/>
      <c r="C344" s="72"/>
      <c r="D344" s="72"/>
      <c r="E344" s="72"/>
      <c r="F344" s="72"/>
      <c r="G344" s="72"/>
      <c r="H344" s="72"/>
      <c r="I344" s="72"/>
      <c r="J344" s="72"/>
      <c r="K344" s="72"/>
      <c r="L344" s="93"/>
      <c r="M344" s="93"/>
      <c r="N344" s="93"/>
      <c r="O344" s="93"/>
      <c r="P344" s="93"/>
      <c r="Q344" s="93"/>
      <c r="R344" s="93"/>
      <c r="S344" s="93"/>
      <c r="T344" s="93"/>
      <c r="U344" s="93"/>
      <c r="V344" s="93"/>
      <c r="W344" s="93"/>
      <c r="X344" s="93"/>
      <c r="Y344" s="93"/>
    </row>
    <row r="345" spans="1:25">
      <c r="A345" s="72"/>
      <c r="B345" s="72"/>
      <c r="C345" s="72"/>
      <c r="D345" s="72"/>
      <c r="E345" s="72"/>
      <c r="F345" s="72"/>
      <c r="G345" s="72"/>
      <c r="H345" s="72"/>
      <c r="I345" s="72"/>
      <c r="J345" s="72"/>
      <c r="K345" s="72"/>
      <c r="L345" s="93"/>
      <c r="M345" s="93"/>
      <c r="N345" s="93"/>
      <c r="O345" s="93"/>
      <c r="P345" s="93"/>
      <c r="Q345" s="93"/>
      <c r="R345" s="93"/>
      <c r="S345" s="93"/>
      <c r="T345" s="93"/>
      <c r="U345" s="93"/>
      <c r="V345" s="93"/>
      <c r="W345" s="93"/>
      <c r="X345" s="93"/>
      <c r="Y345" s="93"/>
    </row>
    <row r="346" spans="1:25">
      <c r="A346" s="72"/>
      <c r="B346" s="72"/>
      <c r="C346" s="72"/>
      <c r="D346" s="72"/>
      <c r="E346" s="72"/>
      <c r="F346" s="72"/>
      <c r="G346" s="72"/>
      <c r="H346" s="72"/>
      <c r="I346" s="72"/>
      <c r="J346" s="72"/>
      <c r="K346" s="72"/>
      <c r="L346" s="93"/>
      <c r="M346" s="93"/>
      <c r="N346" s="93"/>
      <c r="O346" s="93"/>
      <c r="P346" s="93"/>
      <c r="Q346" s="93"/>
      <c r="R346" s="93"/>
      <c r="S346" s="93"/>
      <c r="T346" s="93"/>
      <c r="U346" s="93"/>
      <c r="V346" s="93"/>
      <c r="W346" s="93"/>
      <c r="X346" s="93"/>
      <c r="Y346" s="93"/>
    </row>
    <row r="347" spans="1:25">
      <c r="A347" s="72"/>
      <c r="B347" s="72"/>
      <c r="C347" s="72"/>
      <c r="D347" s="72"/>
      <c r="E347" s="72"/>
      <c r="F347" s="72"/>
      <c r="G347" s="72"/>
      <c r="H347" s="72"/>
      <c r="I347" s="72"/>
      <c r="J347" s="72"/>
      <c r="K347" s="72"/>
      <c r="L347" s="93"/>
      <c r="M347" s="93"/>
      <c r="N347" s="93"/>
      <c r="O347" s="93"/>
      <c r="P347" s="93"/>
      <c r="Q347" s="93"/>
      <c r="R347" s="93"/>
      <c r="S347" s="93"/>
      <c r="T347" s="93"/>
      <c r="U347" s="93"/>
      <c r="V347" s="93"/>
      <c r="W347" s="93"/>
      <c r="X347" s="93"/>
      <c r="Y347" s="93"/>
    </row>
    <row r="348" spans="1:25">
      <c r="A348" s="72"/>
      <c r="B348" s="72"/>
      <c r="C348" s="72"/>
      <c r="D348" s="72"/>
      <c r="E348" s="72"/>
      <c r="F348" s="72"/>
      <c r="G348" s="72"/>
      <c r="H348" s="72"/>
      <c r="I348" s="72"/>
      <c r="J348" s="72"/>
      <c r="K348" s="72"/>
      <c r="L348" s="93"/>
      <c r="M348" s="93"/>
      <c r="N348" s="93"/>
      <c r="O348" s="93"/>
      <c r="P348" s="93"/>
      <c r="Q348" s="93"/>
      <c r="R348" s="93"/>
      <c r="S348" s="93"/>
      <c r="T348" s="93"/>
      <c r="U348" s="93"/>
      <c r="V348" s="93"/>
      <c r="W348" s="93"/>
      <c r="X348" s="93"/>
      <c r="Y348" s="93"/>
    </row>
    <row r="349" spans="1:25">
      <c r="A349" s="72"/>
      <c r="B349" s="72"/>
      <c r="C349" s="72"/>
      <c r="D349" s="72"/>
      <c r="E349" s="72"/>
      <c r="F349" s="72"/>
      <c r="G349" s="72"/>
      <c r="H349" s="72"/>
      <c r="I349" s="72"/>
      <c r="J349" s="72"/>
      <c r="K349" s="72"/>
      <c r="L349" s="93"/>
      <c r="M349" s="93"/>
      <c r="N349" s="93"/>
      <c r="O349" s="93"/>
      <c r="P349" s="93"/>
      <c r="Q349" s="93"/>
      <c r="R349" s="93"/>
      <c r="S349" s="93"/>
      <c r="T349" s="93"/>
      <c r="U349" s="93"/>
      <c r="V349" s="93"/>
      <c r="W349" s="93"/>
      <c r="X349" s="93"/>
      <c r="Y349" s="93"/>
    </row>
    <row r="350" spans="1:25">
      <c r="A350" s="72"/>
      <c r="B350" s="72"/>
      <c r="C350" s="72"/>
      <c r="D350" s="72"/>
      <c r="E350" s="72"/>
      <c r="F350" s="72"/>
      <c r="G350" s="72"/>
      <c r="H350" s="72"/>
      <c r="I350" s="72"/>
      <c r="J350" s="72"/>
      <c r="K350" s="72"/>
      <c r="L350" s="93"/>
      <c r="M350" s="93"/>
      <c r="N350" s="93"/>
      <c r="O350" s="93"/>
      <c r="P350" s="93"/>
      <c r="Q350" s="93"/>
      <c r="R350" s="93"/>
      <c r="S350" s="93"/>
      <c r="T350" s="93"/>
      <c r="U350" s="93"/>
      <c r="V350" s="93"/>
      <c r="W350" s="93"/>
      <c r="X350" s="93"/>
      <c r="Y350" s="93"/>
    </row>
    <row r="351" spans="1:25">
      <c r="A351" s="72"/>
      <c r="B351" s="72"/>
      <c r="C351" s="72"/>
      <c r="D351" s="72"/>
      <c r="E351" s="72"/>
      <c r="F351" s="72"/>
      <c r="G351" s="72"/>
      <c r="H351" s="72"/>
      <c r="I351" s="72"/>
      <c r="J351" s="72"/>
      <c r="K351" s="72"/>
      <c r="L351" s="93"/>
      <c r="M351" s="93"/>
      <c r="N351" s="93"/>
      <c r="O351" s="93"/>
      <c r="P351" s="93"/>
      <c r="Q351" s="93"/>
      <c r="R351" s="93"/>
      <c r="S351" s="93"/>
      <c r="T351" s="93"/>
      <c r="U351" s="93"/>
      <c r="V351" s="93"/>
      <c r="W351" s="93"/>
      <c r="X351" s="93"/>
      <c r="Y351" s="93"/>
    </row>
    <row r="352" spans="1:25">
      <c r="A352" s="72"/>
      <c r="B352" s="72"/>
      <c r="C352" s="72"/>
      <c r="D352" s="72"/>
      <c r="E352" s="72"/>
      <c r="F352" s="72"/>
      <c r="G352" s="72"/>
      <c r="H352" s="72"/>
      <c r="I352" s="72"/>
      <c r="J352" s="72"/>
      <c r="K352" s="72"/>
      <c r="L352" s="93"/>
      <c r="M352" s="93"/>
      <c r="N352" s="93"/>
      <c r="O352" s="93"/>
      <c r="P352" s="93"/>
      <c r="Q352" s="93"/>
      <c r="R352" s="93"/>
      <c r="S352" s="93"/>
      <c r="T352" s="93"/>
      <c r="U352" s="93"/>
      <c r="V352" s="93"/>
      <c r="W352" s="93"/>
      <c r="X352" s="93"/>
      <c r="Y352" s="93"/>
    </row>
    <row r="353" spans="1:25">
      <c r="A353" s="72"/>
      <c r="B353" s="72"/>
      <c r="C353" s="72"/>
      <c r="D353" s="72"/>
      <c r="E353" s="72"/>
      <c r="F353" s="72"/>
      <c r="G353" s="72"/>
      <c r="H353" s="72"/>
      <c r="I353" s="72"/>
      <c r="J353" s="72"/>
      <c r="K353" s="72"/>
      <c r="L353" s="93"/>
      <c r="M353" s="93"/>
      <c r="N353" s="93"/>
      <c r="O353" s="93"/>
      <c r="P353" s="93"/>
      <c r="Q353" s="93"/>
      <c r="R353" s="93"/>
      <c r="S353" s="93"/>
      <c r="T353" s="93"/>
      <c r="U353" s="93"/>
      <c r="V353" s="93"/>
      <c r="W353" s="93"/>
      <c r="X353" s="93"/>
      <c r="Y353" s="93"/>
    </row>
    <row r="354" spans="1:25">
      <c r="A354" s="72"/>
      <c r="B354" s="72"/>
      <c r="C354" s="72"/>
      <c r="D354" s="72"/>
      <c r="E354" s="72"/>
      <c r="F354" s="72"/>
      <c r="G354" s="72"/>
      <c r="H354" s="72"/>
      <c r="I354" s="72"/>
      <c r="J354" s="72"/>
      <c r="K354" s="72"/>
      <c r="L354" s="93"/>
      <c r="M354" s="93"/>
      <c r="N354" s="93"/>
      <c r="O354" s="93"/>
      <c r="P354" s="93"/>
      <c r="Q354" s="93"/>
      <c r="R354" s="93"/>
      <c r="S354" s="93"/>
      <c r="T354" s="93"/>
      <c r="U354" s="93"/>
      <c r="V354" s="93"/>
      <c r="W354" s="93"/>
      <c r="X354" s="93"/>
      <c r="Y354" s="93"/>
    </row>
    <row r="355" spans="1:25">
      <c r="A355" s="72"/>
      <c r="B355" s="72"/>
      <c r="C355" s="72"/>
      <c r="D355" s="72"/>
      <c r="E355" s="72"/>
      <c r="F355" s="72"/>
      <c r="G355" s="72"/>
      <c r="H355" s="72"/>
      <c r="I355" s="72"/>
      <c r="J355" s="72"/>
      <c r="K355" s="72"/>
      <c r="L355" s="93"/>
      <c r="M355" s="93"/>
      <c r="N355" s="93"/>
      <c r="O355" s="93"/>
      <c r="P355" s="93"/>
      <c r="Q355" s="93"/>
      <c r="R355" s="93"/>
      <c r="S355" s="93"/>
      <c r="T355" s="93"/>
      <c r="U355" s="93"/>
      <c r="V355" s="93"/>
      <c r="W355" s="93"/>
      <c r="X355" s="93"/>
      <c r="Y355" s="93"/>
    </row>
    <row r="356" spans="1:25">
      <c r="A356" s="72"/>
      <c r="B356" s="72"/>
      <c r="C356" s="72"/>
      <c r="D356" s="72"/>
      <c r="E356" s="72"/>
      <c r="F356" s="72"/>
      <c r="G356" s="72"/>
      <c r="H356" s="72"/>
      <c r="I356" s="72"/>
      <c r="J356" s="72"/>
      <c r="K356" s="72"/>
      <c r="L356" s="93"/>
      <c r="M356" s="93"/>
      <c r="N356" s="93"/>
      <c r="O356" s="93"/>
      <c r="P356" s="93"/>
      <c r="Q356" s="93"/>
      <c r="R356" s="93"/>
      <c r="S356" s="93"/>
      <c r="T356" s="93"/>
      <c r="U356" s="93"/>
      <c r="V356" s="93"/>
      <c r="W356" s="93"/>
      <c r="X356" s="93"/>
      <c r="Y356" s="93"/>
    </row>
    <row r="357" spans="1:25">
      <c r="A357" s="72"/>
      <c r="B357" s="72"/>
      <c r="C357" s="72"/>
      <c r="D357" s="72"/>
      <c r="E357" s="72"/>
      <c r="F357" s="72"/>
      <c r="G357" s="72"/>
      <c r="H357" s="72"/>
      <c r="I357" s="72"/>
      <c r="J357" s="72"/>
      <c r="K357" s="72"/>
      <c r="L357" s="93"/>
      <c r="M357" s="93"/>
      <c r="N357" s="93"/>
      <c r="O357" s="93"/>
      <c r="P357" s="93"/>
      <c r="Q357" s="93"/>
      <c r="R357" s="93"/>
      <c r="S357" s="93"/>
      <c r="T357" s="93"/>
      <c r="U357" s="93"/>
      <c r="V357" s="93"/>
      <c r="W357" s="93"/>
      <c r="X357" s="93"/>
      <c r="Y357" s="93"/>
    </row>
    <row r="358" spans="1:25">
      <c r="A358" s="72"/>
      <c r="B358" s="72"/>
      <c r="C358" s="72"/>
      <c r="D358" s="72"/>
      <c r="E358" s="72"/>
      <c r="F358" s="72"/>
      <c r="G358" s="72"/>
      <c r="H358" s="72"/>
      <c r="I358" s="72"/>
      <c r="J358" s="72"/>
      <c r="K358" s="72"/>
      <c r="L358" s="93"/>
      <c r="M358" s="93"/>
      <c r="N358" s="93"/>
      <c r="O358" s="93"/>
      <c r="P358" s="93"/>
      <c r="Q358" s="93"/>
      <c r="R358" s="93"/>
      <c r="S358" s="93"/>
      <c r="T358" s="93"/>
      <c r="U358" s="93"/>
      <c r="V358" s="93"/>
      <c r="W358" s="93"/>
      <c r="X358" s="93"/>
      <c r="Y358" s="93"/>
    </row>
    <row r="359" spans="1:25">
      <c r="A359" s="72"/>
      <c r="B359" s="72"/>
      <c r="C359" s="72"/>
      <c r="D359" s="72"/>
      <c r="E359" s="72"/>
      <c r="F359" s="72"/>
      <c r="G359" s="72"/>
      <c r="H359" s="72"/>
      <c r="I359" s="72"/>
      <c r="J359" s="72"/>
      <c r="K359" s="72"/>
      <c r="L359" s="93"/>
      <c r="M359" s="93"/>
      <c r="N359" s="93"/>
      <c r="O359" s="93"/>
      <c r="P359" s="93"/>
      <c r="Q359" s="93"/>
      <c r="R359" s="93"/>
      <c r="S359" s="93"/>
      <c r="T359" s="93"/>
      <c r="U359" s="93"/>
      <c r="V359" s="93"/>
      <c r="W359" s="93"/>
      <c r="X359" s="93"/>
      <c r="Y359" s="93"/>
    </row>
    <row r="360" spans="1:25">
      <c r="A360" s="72"/>
      <c r="B360" s="72"/>
      <c r="C360" s="72"/>
      <c r="D360" s="72"/>
      <c r="E360" s="72"/>
      <c r="F360" s="72"/>
      <c r="G360" s="72"/>
      <c r="H360" s="72"/>
      <c r="I360" s="72"/>
      <c r="J360" s="72"/>
      <c r="K360" s="72"/>
      <c r="L360" s="93"/>
      <c r="M360" s="93"/>
      <c r="N360" s="93"/>
      <c r="O360" s="93"/>
      <c r="P360" s="93"/>
      <c r="Q360" s="93"/>
      <c r="R360" s="93"/>
      <c r="S360" s="93"/>
      <c r="T360" s="93"/>
      <c r="U360" s="93"/>
      <c r="V360" s="93"/>
      <c r="W360" s="93"/>
      <c r="X360" s="93"/>
      <c r="Y360" s="93"/>
    </row>
    <row r="361" spans="1:25">
      <c r="A361" s="72"/>
      <c r="B361" s="72"/>
      <c r="C361" s="72"/>
      <c r="D361" s="72"/>
      <c r="E361" s="72"/>
      <c r="F361" s="72"/>
      <c r="G361" s="72"/>
      <c r="H361" s="72"/>
      <c r="I361" s="72"/>
      <c r="J361" s="72"/>
      <c r="K361" s="72"/>
      <c r="L361" s="93"/>
      <c r="M361" s="93"/>
      <c r="N361" s="93"/>
      <c r="O361" s="93"/>
      <c r="P361" s="93"/>
      <c r="Q361" s="93"/>
      <c r="R361" s="93"/>
      <c r="S361" s="93"/>
      <c r="T361" s="93"/>
      <c r="U361" s="93"/>
      <c r="V361" s="93"/>
      <c r="W361" s="93"/>
      <c r="X361" s="93"/>
      <c r="Y361" s="93"/>
    </row>
    <row r="362" spans="1:25">
      <c r="A362" s="72"/>
      <c r="B362" s="72"/>
      <c r="C362" s="72"/>
      <c r="D362" s="72"/>
      <c r="E362" s="72"/>
      <c r="F362" s="72"/>
      <c r="G362" s="72"/>
      <c r="H362" s="72"/>
      <c r="I362" s="72"/>
      <c r="J362" s="72"/>
      <c r="K362" s="72"/>
      <c r="L362" s="93"/>
      <c r="M362" s="93"/>
      <c r="N362" s="93"/>
      <c r="O362" s="93"/>
      <c r="P362" s="93"/>
      <c r="Q362" s="93"/>
      <c r="R362" s="93"/>
      <c r="S362" s="93"/>
      <c r="T362" s="93"/>
      <c r="U362" s="93"/>
      <c r="V362" s="93"/>
      <c r="W362" s="93"/>
      <c r="X362" s="93"/>
      <c r="Y362" s="93"/>
    </row>
    <row r="363" spans="1:25">
      <c r="A363" s="72"/>
      <c r="B363" s="72"/>
      <c r="C363" s="72"/>
      <c r="D363" s="72"/>
      <c r="E363" s="72"/>
      <c r="F363" s="72"/>
      <c r="G363" s="72"/>
      <c r="H363" s="72"/>
      <c r="I363" s="72"/>
      <c r="J363" s="72"/>
      <c r="K363" s="72"/>
      <c r="L363" s="93"/>
      <c r="M363" s="93"/>
      <c r="N363" s="93"/>
      <c r="O363" s="93"/>
      <c r="P363" s="93"/>
      <c r="Q363" s="93"/>
      <c r="R363" s="93"/>
      <c r="S363" s="93"/>
      <c r="T363" s="93"/>
      <c r="U363" s="93"/>
      <c r="V363" s="93"/>
      <c r="W363" s="93"/>
      <c r="X363" s="93"/>
      <c r="Y363" s="93"/>
    </row>
    <row r="364" spans="1:25">
      <c r="A364" s="72"/>
      <c r="B364" s="72"/>
      <c r="C364" s="72"/>
      <c r="D364" s="72"/>
      <c r="E364" s="72"/>
      <c r="F364" s="72"/>
      <c r="G364" s="72"/>
      <c r="H364" s="72"/>
      <c r="I364" s="72"/>
      <c r="J364" s="72"/>
      <c r="K364" s="72"/>
      <c r="L364" s="93"/>
      <c r="M364" s="93"/>
      <c r="N364" s="93"/>
      <c r="O364" s="93"/>
      <c r="P364" s="93"/>
      <c r="Q364" s="93"/>
      <c r="R364" s="93"/>
      <c r="S364" s="93"/>
      <c r="T364" s="93"/>
      <c r="U364" s="93"/>
      <c r="V364" s="93"/>
      <c r="W364" s="93"/>
      <c r="X364" s="93"/>
      <c r="Y364" s="93"/>
    </row>
    <row r="365" spans="1:25">
      <c r="A365" s="72"/>
      <c r="B365" s="72"/>
      <c r="C365" s="72"/>
      <c r="D365" s="72"/>
      <c r="E365" s="72"/>
      <c r="F365" s="72"/>
      <c r="G365" s="72"/>
      <c r="H365" s="72"/>
      <c r="I365" s="72"/>
      <c r="J365" s="72"/>
      <c r="K365" s="72"/>
      <c r="L365" s="93"/>
      <c r="M365" s="93"/>
      <c r="N365" s="93"/>
      <c r="O365" s="93"/>
      <c r="P365" s="93"/>
      <c r="Q365" s="93"/>
      <c r="R365" s="93"/>
      <c r="S365" s="93"/>
      <c r="T365" s="93"/>
      <c r="U365" s="93"/>
      <c r="V365" s="93"/>
      <c r="W365" s="93"/>
      <c r="X365" s="93"/>
      <c r="Y365" s="93"/>
    </row>
    <row r="366" spans="1:25">
      <c r="A366" s="72"/>
      <c r="B366" s="72"/>
      <c r="C366" s="72"/>
      <c r="D366" s="72"/>
      <c r="E366" s="72"/>
      <c r="F366" s="72"/>
      <c r="G366" s="72"/>
      <c r="H366" s="72"/>
      <c r="I366" s="72"/>
      <c r="J366" s="72"/>
      <c r="K366" s="72"/>
      <c r="L366" s="93"/>
      <c r="M366" s="93"/>
      <c r="N366" s="93"/>
      <c r="O366" s="93"/>
      <c r="P366" s="93"/>
      <c r="Q366" s="93"/>
      <c r="R366" s="93"/>
      <c r="S366" s="93"/>
      <c r="T366" s="93"/>
      <c r="U366" s="93"/>
      <c r="V366" s="93"/>
      <c r="W366" s="93"/>
      <c r="X366" s="93"/>
      <c r="Y366" s="93"/>
    </row>
    <row r="367" spans="1:25">
      <c r="A367" s="72"/>
      <c r="B367" s="72"/>
      <c r="C367" s="72"/>
      <c r="D367" s="72"/>
      <c r="E367" s="72"/>
      <c r="F367" s="72"/>
      <c r="G367" s="72"/>
      <c r="H367" s="72"/>
      <c r="I367" s="72"/>
      <c r="J367" s="72"/>
      <c r="K367" s="72"/>
      <c r="L367" s="93"/>
      <c r="M367" s="93"/>
      <c r="N367" s="93"/>
      <c r="O367" s="93"/>
      <c r="P367" s="93"/>
      <c r="Q367" s="93"/>
      <c r="R367" s="93"/>
      <c r="S367" s="93"/>
      <c r="T367" s="93"/>
      <c r="U367" s="93"/>
      <c r="V367" s="93"/>
      <c r="W367" s="93"/>
      <c r="X367" s="93"/>
      <c r="Y367" s="93"/>
    </row>
    <row r="368" spans="1:25">
      <c r="A368" s="72"/>
      <c r="B368" s="72"/>
      <c r="C368" s="72"/>
      <c r="D368" s="72"/>
      <c r="E368" s="72"/>
      <c r="F368" s="72"/>
      <c r="G368" s="72"/>
      <c r="H368" s="72"/>
      <c r="I368" s="72"/>
      <c r="J368" s="72"/>
      <c r="K368" s="72"/>
      <c r="L368" s="93"/>
      <c r="M368" s="93"/>
      <c r="N368" s="93"/>
      <c r="O368" s="93"/>
      <c r="P368" s="93"/>
      <c r="Q368" s="93"/>
      <c r="R368" s="93"/>
      <c r="S368" s="93"/>
      <c r="T368" s="93"/>
      <c r="U368" s="93"/>
      <c r="V368" s="93"/>
      <c r="W368" s="93"/>
      <c r="X368" s="93"/>
      <c r="Y368" s="93"/>
    </row>
    <row r="369" spans="1:25">
      <c r="A369" s="72"/>
      <c r="B369" s="72"/>
      <c r="C369" s="72"/>
      <c r="D369" s="72"/>
      <c r="E369" s="72"/>
      <c r="F369" s="72"/>
      <c r="G369" s="72"/>
      <c r="H369" s="72"/>
      <c r="I369" s="72"/>
      <c r="J369" s="72"/>
      <c r="K369" s="72"/>
      <c r="L369" s="93"/>
      <c r="M369" s="93"/>
      <c r="N369" s="93"/>
      <c r="O369" s="93"/>
      <c r="P369" s="93"/>
      <c r="Q369" s="93"/>
      <c r="R369" s="93"/>
      <c r="S369" s="93"/>
      <c r="T369" s="93"/>
      <c r="U369" s="93"/>
      <c r="V369" s="93"/>
      <c r="W369" s="93"/>
      <c r="X369" s="93"/>
      <c r="Y369" s="93"/>
    </row>
    <row r="370" spans="1:25">
      <c r="A370" s="72"/>
      <c r="B370" s="72"/>
      <c r="C370" s="72"/>
      <c r="D370" s="72"/>
      <c r="E370" s="72"/>
      <c r="F370" s="72"/>
      <c r="G370" s="72"/>
      <c r="H370" s="72"/>
      <c r="I370" s="72"/>
      <c r="J370" s="72"/>
      <c r="K370" s="72"/>
      <c r="L370" s="93"/>
      <c r="M370" s="93"/>
      <c r="N370" s="93"/>
      <c r="O370" s="93"/>
      <c r="P370" s="93"/>
      <c r="Q370" s="93"/>
      <c r="R370" s="93"/>
      <c r="S370" s="93"/>
      <c r="T370" s="93"/>
      <c r="U370" s="93"/>
      <c r="V370" s="93"/>
      <c r="W370" s="93"/>
      <c r="X370" s="93"/>
      <c r="Y370" s="93"/>
    </row>
    <row r="371" spans="1:25">
      <c r="A371" s="72"/>
      <c r="B371" s="72"/>
      <c r="C371" s="72"/>
      <c r="D371" s="72"/>
      <c r="E371" s="72"/>
      <c r="F371" s="72"/>
      <c r="G371" s="72"/>
      <c r="H371" s="72"/>
      <c r="I371" s="72"/>
      <c r="J371" s="72"/>
      <c r="K371" s="72"/>
      <c r="L371" s="93"/>
      <c r="M371" s="93"/>
      <c r="N371" s="93"/>
      <c r="O371" s="93"/>
      <c r="P371" s="93"/>
      <c r="Q371" s="93"/>
      <c r="R371" s="93"/>
      <c r="S371" s="93"/>
      <c r="T371" s="93"/>
      <c r="U371" s="93"/>
      <c r="V371" s="93"/>
      <c r="W371" s="93"/>
      <c r="X371" s="93"/>
      <c r="Y371" s="93"/>
    </row>
    <row r="372" spans="1:25">
      <c r="A372" s="72"/>
      <c r="B372" s="72"/>
      <c r="C372" s="72"/>
      <c r="D372" s="72"/>
      <c r="E372" s="72"/>
      <c r="F372" s="72"/>
      <c r="G372" s="72"/>
      <c r="H372" s="72"/>
      <c r="I372" s="72"/>
      <c r="J372" s="72"/>
      <c r="K372" s="72"/>
      <c r="L372" s="93"/>
      <c r="M372" s="93"/>
      <c r="N372" s="93"/>
      <c r="O372" s="93"/>
      <c r="P372" s="93"/>
      <c r="Q372" s="93"/>
      <c r="R372" s="93"/>
      <c r="S372" s="93"/>
      <c r="T372" s="93"/>
      <c r="U372" s="93"/>
      <c r="V372" s="93"/>
      <c r="W372" s="93"/>
      <c r="X372" s="93"/>
      <c r="Y372" s="93"/>
    </row>
    <row r="373" spans="1:25">
      <c r="A373" s="72"/>
      <c r="B373" s="72"/>
      <c r="C373" s="72"/>
      <c r="D373" s="72"/>
      <c r="E373" s="72"/>
      <c r="F373" s="72"/>
      <c r="G373" s="72"/>
      <c r="H373" s="72"/>
      <c r="I373" s="72"/>
      <c r="J373" s="72"/>
      <c r="K373" s="72"/>
      <c r="L373" s="93"/>
      <c r="M373" s="93"/>
      <c r="N373" s="93"/>
      <c r="O373" s="93"/>
      <c r="P373" s="93"/>
      <c r="Q373" s="93"/>
      <c r="R373" s="93"/>
      <c r="S373" s="93"/>
      <c r="T373" s="93"/>
      <c r="U373" s="93"/>
      <c r="V373" s="93"/>
      <c r="W373" s="93"/>
      <c r="X373" s="93"/>
      <c r="Y373" s="93"/>
    </row>
    <row r="374" spans="1:25">
      <c r="A374" s="72"/>
      <c r="B374" s="72"/>
      <c r="C374" s="72"/>
      <c r="D374" s="72"/>
      <c r="E374" s="72"/>
      <c r="F374" s="72"/>
      <c r="G374" s="72"/>
      <c r="H374" s="72"/>
      <c r="I374" s="72"/>
      <c r="J374" s="72"/>
      <c r="K374" s="72"/>
      <c r="L374" s="93"/>
      <c r="M374" s="93"/>
      <c r="N374" s="93"/>
      <c r="O374" s="93"/>
      <c r="P374" s="93"/>
      <c r="Q374" s="93"/>
      <c r="R374" s="93"/>
      <c r="S374" s="93"/>
      <c r="T374" s="93"/>
      <c r="U374" s="93"/>
      <c r="V374" s="93"/>
      <c r="W374" s="93"/>
      <c r="X374" s="93"/>
      <c r="Y374" s="93"/>
    </row>
    <row r="375" spans="1:25">
      <c r="A375" s="72"/>
      <c r="B375" s="72"/>
      <c r="C375" s="72"/>
      <c r="D375" s="72"/>
      <c r="E375" s="72"/>
      <c r="F375" s="72"/>
      <c r="G375" s="72"/>
      <c r="H375" s="72"/>
      <c r="I375" s="72"/>
      <c r="J375" s="72"/>
      <c r="K375" s="72"/>
      <c r="L375" s="93"/>
      <c r="M375" s="93"/>
      <c r="N375" s="93"/>
      <c r="O375" s="93"/>
      <c r="P375" s="93"/>
      <c r="Q375" s="93"/>
      <c r="R375" s="93"/>
      <c r="S375" s="93"/>
      <c r="T375" s="93"/>
      <c r="U375" s="93"/>
      <c r="V375" s="93"/>
      <c r="W375" s="93"/>
      <c r="X375" s="93"/>
      <c r="Y375" s="93"/>
    </row>
    <row r="376" spans="1:25">
      <c r="A376" s="72"/>
      <c r="B376" s="72"/>
      <c r="C376" s="72"/>
      <c r="D376" s="72"/>
      <c r="E376" s="72"/>
      <c r="F376" s="72"/>
      <c r="G376" s="72"/>
      <c r="H376" s="72"/>
      <c r="I376" s="72"/>
      <c r="J376" s="72"/>
      <c r="K376" s="72"/>
      <c r="L376" s="93"/>
      <c r="M376" s="93"/>
      <c r="N376" s="93"/>
      <c r="O376" s="93"/>
      <c r="P376" s="93"/>
      <c r="Q376" s="93"/>
      <c r="R376" s="93"/>
      <c r="S376" s="93"/>
      <c r="T376" s="93"/>
      <c r="U376" s="93"/>
      <c r="V376" s="93"/>
      <c r="W376" s="93"/>
      <c r="X376" s="93"/>
      <c r="Y376" s="93"/>
    </row>
    <row r="377" spans="1:25">
      <c r="A377" s="72"/>
      <c r="B377" s="72"/>
      <c r="C377" s="72"/>
      <c r="D377" s="72"/>
      <c r="E377" s="72"/>
      <c r="F377" s="72"/>
      <c r="G377" s="72"/>
      <c r="H377" s="72"/>
      <c r="I377" s="72"/>
      <c r="J377" s="72"/>
      <c r="K377" s="72"/>
      <c r="L377" s="93"/>
      <c r="M377" s="93"/>
      <c r="N377" s="93"/>
      <c r="O377" s="93"/>
      <c r="P377" s="93"/>
      <c r="Q377" s="93"/>
      <c r="R377" s="93"/>
      <c r="S377" s="93"/>
      <c r="T377" s="93"/>
      <c r="U377" s="93"/>
      <c r="V377" s="93"/>
      <c r="W377" s="93"/>
      <c r="X377" s="93"/>
      <c r="Y377" s="93"/>
    </row>
    <row r="378" spans="1:25">
      <c r="A378" s="72"/>
      <c r="B378" s="72"/>
      <c r="C378" s="72"/>
      <c r="D378" s="72"/>
      <c r="E378" s="72"/>
      <c r="F378" s="72"/>
      <c r="G378" s="72"/>
      <c r="H378" s="72"/>
      <c r="I378" s="72"/>
      <c r="J378" s="72"/>
      <c r="K378" s="72"/>
      <c r="L378" s="93"/>
      <c r="M378" s="93"/>
      <c r="N378" s="93"/>
      <c r="O378" s="93"/>
      <c r="P378" s="93"/>
      <c r="Q378" s="93"/>
      <c r="R378" s="93"/>
      <c r="S378" s="93"/>
      <c r="T378" s="93"/>
      <c r="U378" s="93"/>
      <c r="V378" s="93"/>
      <c r="W378" s="93"/>
      <c r="X378" s="93"/>
      <c r="Y378" s="93"/>
    </row>
    <row r="379" spans="1:25">
      <c r="A379" s="72"/>
      <c r="B379" s="72"/>
      <c r="C379" s="72"/>
      <c r="D379" s="72"/>
      <c r="E379" s="72"/>
      <c r="F379" s="72"/>
      <c r="G379" s="72"/>
      <c r="H379" s="72"/>
      <c r="I379" s="72"/>
      <c r="J379" s="72"/>
      <c r="K379" s="72"/>
      <c r="L379" s="93"/>
      <c r="M379" s="93"/>
      <c r="N379" s="93"/>
      <c r="O379" s="93"/>
      <c r="P379" s="93"/>
      <c r="Q379" s="93"/>
      <c r="R379" s="93"/>
      <c r="S379" s="93"/>
      <c r="T379" s="93"/>
      <c r="U379" s="93"/>
      <c r="V379" s="93"/>
      <c r="W379" s="93"/>
      <c r="X379" s="93"/>
      <c r="Y379" s="93"/>
    </row>
    <row r="380" spans="1:25">
      <c r="A380" s="72"/>
      <c r="B380" s="72"/>
      <c r="C380" s="72"/>
      <c r="D380" s="72"/>
      <c r="E380" s="72"/>
      <c r="F380" s="72"/>
      <c r="G380" s="72"/>
      <c r="H380" s="72"/>
      <c r="I380" s="72"/>
      <c r="J380" s="72"/>
      <c r="K380" s="72"/>
      <c r="L380" s="93"/>
      <c r="M380" s="93"/>
      <c r="N380" s="93"/>
      <c r="O380" s="93"/>
      <c r="P380" s="93"/>
      <c r="Q380" s="93"/>
      <c r="R380" s="93"/>
      <c r="S380" s="93"/>
      <c r="T380" s="93"/>
      <c r="U380" s="93"/>
      <c r="V380" s="93"/>
      <c r="W380" s="93"/>
      <c r="X380" s="93"/>
      <c r="Y380" s="93"/>
    </row>
    <row r="381" spans="1:25">
      <c r="A381" s="72"/>
      <c r="B381" s="72"/>
      <c r="C381" s="72"/>
      <c r="D381" s="72"/>
      <c r="E381" s="72"/>
      <c r="F381" s="72"/>
      <c r="G381" s="72"/>
      <c r="H381" s="72"/>
      <c r="I381" s="72"/>
      <c r="J381" s="72"/>
      <c r="K381" s="72"/>
      <c r="L381" s="93"/>
      <c r="M381" s="93"/>
      <c r="N381" s="93"/>
      <c r="O381" s="93"/>
      <c r="P381" s="93"/>
      <c r="Q381" s="93"/>
      <c r="R381" s="93"/>
      <c r="S381" s="93"/>
      <c r="T381" s="93"/>
      <c r="U381" s="93"/>
      <c r="V381" s="93"/>
      <c r="W381" s="93"/>
      <c r="X381" s="93"/>
      <c r="Y381" s="93"/>
    </row>
    <row r="382" spans="1:25">
      <c r="A382" s="72"/>
      <c r="B382" s="72"/>
      <c r="C382" s="72"/>
      <c r="D382" s="72"/>
      <c r="E382" s="72"/>
      <c r="F382" s="72"/>
      <c r="G382" s="72"/>
      <c r="H382" s="72"/>
      <c r="I382" s="72"/>
      <c r="J382" s="72"/>
      <c r="K382" s="72"/>
      <c r="L382" s="93"/>
      <c r="M382" s="93"/>
      <c r="N382" s="93"/>
      <c r="O382" s="93"/>
      <c r="P382" s="93"/>
      <c r="Q382" s="93"/>
      <c r="R382" s="93"/>
      <c r="S382" s="93"/>
      <c r="T382" s="93"/>
      <c r="U382" s="93"/>
      <c r="V382" s="93"/>
      <c r="W382" s="93"/>
      <c r="X382" s="93"/>
      <c r="Y382" s="93"/>
    </row>
    <row r="383" spans="1:25">
      <c r="A383" s="72"/>
      <c r="B383" s="72"/>
      <c r="C383" s="72"/>
      <c r="D383" s="72"/>
      <c r="E383" s="72"/>
      <c r="F383" s="72"/>
      <c r="G383" s="72"/>
      <c r="H383" s="72"/>
      <c r="I383" s="72"/>
      <c r="J383" s="72"/>
      <c r="K383" s="72"/>
      <c r="L383" s="93"/>
      <c r="M383" s="93"/>
      <c r="N383" s="93"/>
      <c r="O383" s="93"/>
      <c r="P383" s="93"/>
      <c r="Q383" s="93"/>
      <c r="R383" s="93"/>
      <c r="S383" s="93"/>
      <c r="T383" s="93"/>
      <c r="U383" s="93"/>
      <c r="V383" s="93"/>
      <c r="W383" s="93"/>
      <c r="X383" s="93"/>
      <c r="Y383" s="93"/>
    </row>
    <row r="384" spans="1:25">
      <c r="A384" s="72"/>
      <c r="B384" s="72"/>
      <c r="C384" s="72"/>
      <c r="D384" s="72"/>
      <c r="E384" s="72"/>
      <c r="F384" s="72"/>
      <c r="G384" s="72"/>
      <c r="H384" s="72"/>
      <c r="I384" s="72"/>
      <c r="J384" s="72"/>
      <c r="K384" s="72"/>
      <c r="L384" s="93"/>
      <c r="M384" s="93"/>
      <c r="N384" s="93"/>
      <c r="O384" s="93"/>
      <c r="P384" s="93"/>
      <c r="Q384" s="93"/>
      <c r="R384" s="93"/>
      <c r="S384" s="93"/>
      <c r="T384" s="93"/>
      <c r="U384" s="93"/>
      <c r="V384" s="93"/>
      <c r="W384" s="93"/>
      <c r="X384" s="93"/>
      <c r="Y384" s="93"/>
    </row>
    <row r="385" spans="1:25">
      <c r="A385" s="72"/>
      <c r="B385" s="72"/>
      <c r="C385" s="72"/>
      <c r="D385" s="72"/>
      <c r="E385" s="72"/>
      <c r="F385" s="72"/>
      <c r="G385" s="72"/>
      <c r="H385" s="72"/>
      <c r="I385" s="72"/>
      <c r="J385" s="72"/>
      <c r="K385" s="72"/>
      <c r="L385" s="93"/>
      <c r="M385" s="93"/>
      <c r="N385" s="93"/>
      <c r="O385" s="93"/>
      <c r="P385" s="93"/>
      <c r="Q385" s="93"/>
      <c r="R385" s="93"/>
      <c r="S385" s="93"/>
      <c r="T385" s="93"/>
      <c r="U385" s="93"/>
      <c r="V385" s="93"/>
      <c r="W385" s="93"/>
      <c r="X385" s="93"/>
      <c r="Y385" s="93"/>
    </row>
    <row r="386" spans="1:25">
      <c r="A386" s="72"/>
      <c r="B386" s="72"/>
      <c r="C386" s="72"/>
      <c r="D386" s="72"/>
      <c r="E386" s="72"/>
      <c r="F386" s="72"/>
      <c r="G386" s="72"/>
      <c r="H386" s="72"/>
      <c r="I386" s="72"/>
      <c r="J386" s="72"/>
      <c r="K386" s="72"/>
      <c r="L386" s="93"/>
      <c r="M386" s="93"/>
      <c r="N386" s="93"/>
      <c r="O386" s="93"/>
      <c r="P386" s="93"/>
      <c r="Q386" s="93"/>
      <c r="R386" s="93"/>
      <c r="S386" s="93"/>
      <c r="T386" s="93"/>
      <c r="U386" s="93"/>
      <c r="V386" s="93"/>
      <c r="W386" s="93"/>
      <c r="X386" s="93"/>
      <c r="Y386" s="93"/>
    </row>
    <row r="387" spans="1:25">
      <c r="A387" s="72"/>
      <c r="B387" s="72"/>
      <c r="C387" s="72"/>
      <c r="D387" s="72"/>
      <c r="E387" s="72"/>
      <c r="F387" s="72"/>
      <c r="G387" s="72"/>
      <c r="H387" s="72"/>
      <c r="I387" s="72"/>
      <c r="J387" s="72"/>
      <c r="K387" s="72"/>
      <c r="L387" s="93"/>
      <c r="M387" s="93"/>
      <c r="N387" s="93"/>
      <c r="O387" s="93"/>
      <c r="P387" s="93"/>
      <c r="Q387" s="93"/>
      <c r="R387" s="93"/>
      <c r="S387" s="93"/>
      <c r="T387" s="93"/>
      <c r="U387" s="93"/>
      <c r="V387" s="93"/>
      <c r="W387" s="93"/>
      <c r="X387" s="93"/>
      <c r="Y387" s="93"/>
    </row>
    <row r="388" spans="1:25">
      <c r="A388" s="72"/>
      <c r="B388" s="72"/>
      <c r="C388" s="72"/>
      <c r="D388" s="72"/>
      <c r="E388" s="72"/>
      <c r="F388" s="72"/>
      <c r="G388" s="72"/>
      <c r="H388" s="72"/>
      <c r="I388" s="72"/>
      <c r="J388" s="72"/>
      <c r="K388" s="72"/>
      <c r="L388" s="93"/>
      <c r="M388" s="93"/>
      <c r="N388" s="93"/>
      <c r="O388" s="93"/>
      <c r="P388" s="93"/>
      <c r="Q388" s="93"/>
      <c r="R388" s="93"/>
      <c r="S388" s="93"/>
      <c r="T388" s="93"/>
      <c r="U388" s="93"/>
      <c r="V388" s="93"/>
      <c r="W388" s="93"/>
      <c r="X388" s="93"/>
      <c r="Y388" s="93"/>
    </row>
    <row r="389" spans="1:25">
      <c r="A389" s="72"/>
      <c r="B389" s="72"/>
      <c r="C389" s="72"/>
      <c r="D389" s="72"/>
      <c r="E389" s="72"/>
      <c r="F389" s="72"/>
      <c r="G389" s="72"/>
      <c r="H389" s="72"/>
      <c r="I389" s="72"/>
      <c r="J389" s="72"/>
      <c r="K389" s="72"/>
      <c r="L389" s="93"/>
      <c r="M389" s="93"/>
      <c r="N389" s="93"/>
      <c r="O389" s="93"/>
      <c r="P389" s="93"/>
      <c r="Q389" s="93"/>
      <c r="R389" s="93"/>
      <c r="S389" s="93"/>
      <c r="T389" s="93"/>
      <c r="U389" s="93"/>
      <c r="V389" s="93"/>
      <c r="W389" s="93"/>
      <c r="X389" s="93"/>
      <c r="Y389" s="93"/>
    </row>
    <row r="390" spans="1:25">
      <c r="A390" s="72"/>
      <c r="B390" s="72"/>
      <c r="C390" s="72"/>
      <c r="D390" s="72"/>
      <c r="E390" s="72"/>
      <c r="F390" s="72"/>
      <c r="G390" s="72"/>
      <c r="H390" s="72"/>
      <c r="I390" s="72"/>
      <c r="J390" s="72"/>
      <c r="K390" s="72"/>
      <c r="L390" s="93"/>
      <c r="M390" s="93"/>
      <c r="N390" s="93"/>
      <c r="O390" s="93"/>
      <c r="P390" s="93"/>
      <c r="Q390" s="93"/>
      <c r="R390" s="93"/>
      <c r="S390" s="93"/>
      <c r="T390" s="93"/>
      <c r="U390" s="93"/>
      <c r="V390" s="93"/>
      <c r="W390" s="93"/>
      <c r="X390" s="93"/>
      <c r="Y390" s="93"/>
    </row>
    <row r="391" spans="1:25">
      <c r="A391" s="72"/>
      <c r="B391" s="72"/>
      <c r="C391" s="72"/>
      <c r="D391" s="72"/>
      <c r="E391" s="72"/>
      <c r="F391" s="72"/>
      <c r="G391" s="72"/>
      <c r="H391" s="72"/>
      <c r="I391" s="72"/>
      <c r="J391" s="72"/>
      <c r="K391" s="72"/>
      <c r="L391" s="93"/>
      <c r="M391" s="93"/>
      <c r="N391" s="93"/>
      <c r="O391" s="93"/>
      <c r="P391" s="93"/>
      <c r="Q391" s="93"/>
      <c r="R391" s="93"/>
      <c r="S391" s="93"/>
      <c r="T391" s="93"/>
      <c r="U391" s="93"/>
      <c r="V391" s="93"/>
      <c r="W391" s="93"/>
      <c r="X391" s="93"/>
      <c r="Y391" s="93"/>
    </row>
    <row r="392" spans="1:25">
      <c r="A392" s="72"/>
      <c r="B392" s="72"/>
      <c r="C392" s="72"/>
      <c r="D392" s="72"/>
      <c r="E392" s="72"/>
      <c r="F392" s="72"/>
      <c r="G392" s="72"/>
      <c r="H392" s="72"/>
      <c r="I392" s="72"/>
      <c r="J392" s="72"/>
      <c r="K392" s="72"/>
      <c r="L392" s="93"/>
      <c r="M392" s="93"/>
      <c r="N392" s="93"/>
      <c r="O392" s="93"/>
      <c r="P392" s="93"/>
      <c r="Q392" s="93"/>
      <c r="R392" s="93"/>
      <c r="S392" s="93"/>
      <c r="T392" s="93"/>
      <c r="U392" s="93"/>
      <c r="V392" s="93"/>
      <c r="W392" s="93"/>
      <c r="X392" s="93"/>
      <c r="Y392" s="93"/>
    </row>
    <row r="393" spans="1:25">
      <c r="A393" s="72"/>
      <c r="B393" s="72"/>
      <c r="C393" s="72"/>
      <c r="D393" s="72"/>
      <c r="E393" s="72"/>
      <c r="F393" s="72"/>
      <c r="G393" s="72"/>
      <c r="H393" s="72"/>
      <c r="I393" s="72"/>
      <c r="J393" s="72"/>
      <c r="K393" s="72"/>
      <c r="L393" s="93"/>
      <c r="M393" s="93"/>
      <c r="N393" s="93"/>
      <c r="O393" s="93"/>
      <c r="P393" s="93"/>
      <c r="Q393" s="93"/>
      <c r="R393" s="93"/>
      <c r="S393" s="93"/>
      <c r="T393" s="93"/>
      <c r="U393" s="93"/>
      <c r="V393" s="93"/>
      <c r="W393" s="93"/>
      <c r="X393" s="93"/>
      <c r="Y393" s="93"/>
    </row>
    <row r="394" spans="1:25">
      <c r="A394" s="72"/>
      <c r="B394" s="72"/>
      <c r="C394" s="72"/>
      <c r="D394" s="72"/>
      <c r="E394" s="72"/>
      <c r="F394" s="72"/>
      <c r="G394" s="72"/>
      <c r="H394" s="72"/>
      <c r="I394" s="72"/>
      <c r="J394" s="72"/>
      <c r="K394" s="72"/>
      <c r="L394" s="93"/>
      <c r="M394" s="93"/>
      <c r="N394" s="93"/>
      <c r="O394" s="93"/>
      <c r="P394" s="93"/>
      <c r="Q394" s="93"/>
      <c r="R394" s="93"/>
      <c r="S394" s="93"/>
      <c r="T394" s="93"/>
      <c r="U394" s="93"/>
      <c r="V394" s="93"/>
      <c r="W394" s="93"/>
      <c r="X394" s="93"/>
      <c r="Y394" s="93"/>
    </row>
    <row r="395" spans="1:25">
      <c r="A395" s="72"/>
      <c r="B395" s="72"/>
      <c r="C395" s="72"/>
      <c r="D395" s="72"/>
      <c r="E395" s="72"/>
      <c r="F395" s="72"/>
      <c r="G395" s="72"/>
      <c r="H395" s="72"/>
      <c r="I395" s="72"/>
      <c r="J395" s="72"/>
      <c r="K395" s="72"/>
      <c r="L395" s="93"/>
      <c r="M395" s="93"/>
      <c r="N395" s="93"/>
      <c r="O395" s="93"/>
      <c r="P395" s="93"/>
      <c r="Q395" s="93"/>
      <c r="R395" s="93"/>
      <c r="S395" s="93"/>
      <c r="T395" s="93"/>
      <c r="U395" s="93"/>
      <c r="V395" s="93"/>
      <c r="W395" s="93"/>
      <c r="X395" s="93"/>
      <c r="Y395" s="93"/>
    </row>
    <row r="396" spans="1:25">
      <c r="A396" s="72"/>
      <c r="B396" s="72"/>
      <c r="C396" s="72"/>
      <c r="D396" s="72"/>
      <c r="E396" s="72"/>
      <c r="F396" s="72"/>
      <c r="G396" s="72"/>
      <c r="H396" s="72"/>
      <c r="I396" s="72"/>
      <c r="J396" s="72"/>
      <c r="K396" s="72"/>
      <c r="L396" s="93"/>
      <c r="M396" s="93"/>
      <c r="N396" s="93"/>
      <c r="O396" s="93"/>
      <c r="P396" s="93"/>
      <c r="Q396" s="93"/>
      <c r="R396" s="93"/>
      <c r="S396" s="93"/>
      <c r="T396" s="93"/>
      <c r="U396" s="93"/>
      <c r="V396" s="93"/>
      <c r="W396" s="93"/>
      <c r="X396" s="93"/>
      <c r="Y396" s="93"/>
    </row>
    <row r="397" spans="1:25">
      <c r="A397" s="72"/>
      <c r="B397" s="72"/>
      <c r="C397" s="72"/>
      <c r="D397" s="72"/>
      <c r="E397" s="72"/>
      <c r="F397" s="72"/>
      <c r="G397" s="72"/>
      <c r="H397" s="72"/>
      <c r="I397" s="72"/>
      <c r="J397" s="72"/>
      <c r="K397" s="72"/>
      <c r="L397" s="93"/>
      <c r="M397" s="93"/>
      <c r="N397" s="93"/>
      <c r="O397" s="93"/>
      <c r="P397" s="93"/>
      <c r="Q397" s="93"/>
      <c r="R397" s="93"/>
      <c r="S397" s="93"/>
      <c r="T397" s="93"/>
      <c r="U397" s="93"/>
      <c r="V397" s="93"/>
      <c r="W397" s="93"/>
      <c r="X397" s="93"/>
      <c r="Y397" s="93"/>
    </row>
    <row r="398" spans="1:25">
      <c r="A398" s="72"/>
      <c r="B398" s="72"/>
      <c r="C398" s="72"/>
      <c r="D398" s="72"/>
      <c r="E398" s="72"/>
      <c r="F398" s="72"/>
      <c r="G398" s="72"/>
      <c r="H398" s="72"/>
      <c r="I398" s="72"/>
      <c r="J398" s="72"/>
      <c r="K398" s="72"/>
      <c r="L398" s="93"/>
      <c r="M398" s="93"/>
      <c r="N398" s="93"/>
      <c r="O398" s="93"/>
      <c r="P398" s="93"/>
      <c r="Q398" s="93"/>
      <c r="R398" s="93"/>
      <c r="S398" s="93"/>
      <c r="T398" s="93"/>
      <c r="U398" s="93"/>
      <c r="V398" s="93"/>
      <c r="W398" s="93"/>
      <c r="X398" s="93"/>
      <c r="Y398" s="93"/>
    </row>
    <row r="399" spans="1:25">
      <c r="A399" s="72"/>
      <c r="B399" s="72"/>
      <c r="C399" s="72"/>
      <c r="D399" s="72"/>
      <c r="E399" s="72"/>
      <c r="F399" s="72"/>
      <c r="G399" s="72"/>
      <c r="H399" s="72"/>
      <c r="I399" s="72"/>
      <c r="J399" s="72"/>
      <c r="K399" s="72"/>
      <c r="L399" s="93"/>
      <c r="M399" s="93"/>
      <c r="N399" s="93"/>
      <c r="O399" s="93"/>
      <c r="P399" s="93"/>
      <c r="Q399" s="93"/>
      <c r="R399" s="93"/>
      <c r="S399" s="93"/>
      <c r="T399" s="93"/>
      <c r="U399" s="93"/>
      <c r="V399" s="93"/>
      <c r="W399" s="93"/>
      <c r="X399" s="93"/>
      <c r="Y399" s="93"/>
    </row>
    <row r="400" spans="1:25">
      <c r="A400" s="72"/>
      <c r="B400" s="72"/>
      <c r="C400" s="72"/>
      <c r="D400" s="72"/>
      <c r="E400" s="72"/>
      <c r="F400" s="72"/>
      <c r="G400" s="72"/>
      <c r="H400" s="72"/>
      <c r="I400" s="72"/>
      <c r="J400" s="72"/>
      <c r="K400" s="72"/>
      <c r="L400" s="93"/>
      <c r="M400" s="93"/>
      <c r="N400" s="93"/>
      <c r="O400" s="93"/>
      <c r="P400" s="93"/>
      <c r="Q400" s="93"/>
      <c r="R400" s="93"/>
      <c r="S400" s="93"/>
      <c r="T400" s="93"/>
      <c r="U400" s="93"/>
      <c r="V400" s="93"/>
      <c r="W400" s="93"/>
      <c r="X400" s="93"/>
      <c r="Y400" s="93"/>
    </row>
    <row r="401" spans="1:25">
      <c r="A401" s="72"/>
      <c r="B401" s="72"/>
      <c r="C401" s="72"/>
      <c r="D401" s="72"/>
      <c r="E401" s="72"/>
      <c r="F401" s="72"/>
      <c r="G401" s="72"/>
      <c r="H401" s="72"/>
      <c r="I401" s="72"/>
      <c r="J401" s="72"/>
      <c r="K401" s="72"/>
      <c r="L401" s="93"/>
      <c r="M401" s="93"/>
      <c r="N401" s="93"/>
      <c r="O401" s="93"/>
      <c r="P401" s="93"/>
      <c r="Q401" s="93"/>
      <c r="R401" s="93"/>
      <c r="S401" s="93"/>
      <c r="T401" s="93"/>
      <c r="U401" s="93"/>
      <c r="V401" s="93"/>
      <c r="W401" s="93"/>
      <c r="X401" s="93"/>
      <c r="Y401" s="93"/>
    </row>
    <row r="402" spans="1:25">
      <c r="A402" s="72"/>
      <c r="B402" s="72"/>
      <c r="C402" s="72"/>
      <c r="D402" s="72"/>
      <c r="E402" s="72"/>
      <c r="F402" s="72"/>
      <c r="G402" s="72"/>
      <c r="H402" s="72"/>
      <c r="I402" s="72"/>
      <c r="J402" s="72"/>
      <c r="K402" s="72"/>
      <c r="L402" s="93"/>
      <c r="M402" s="93"/>
      <c r="N402" s="93"/>
      <c r="O402" s="93"/>
      <c r="P402" s="93"/>
      <c r="Q402" s="93"/>
      <c r="R402" s="93"/>
      <c r="S402" s="93"/>
      <c r="T402" s="93"/>
      <c r="U402" s="93"/>
      <c r="V402" s="93"/>
      <c r="W402" s="93"/>
      <c r="X402" s="93"/>
      <c r="Y402" s="93"/>
    </row>
    <row r="403" spans="1:25">
      <c r="A403" s="72"/>
      <c r="B403" s="72"/>
      <c r="C403" s="72"/>
      <c r="D403" s="72"/>
      <c r="E403" s="72"/>
      <c r="F403" s="72"/>
      <c r="G403" s="72"/>
      <c r="H403" s="72"/>
      <c r="I403" s="72"/>
      <c r="J403" s="72"/>
      <c r="K403" s="72"/>
      <c r="L403" s="93"/>
      <c r="M403" s="93"/>
      <c r="N403" s="93"/>
      <c r="O403" s="93"/>
      <c r="P403" s="93"/>
      <c r="Q403" s="93"/>
      <c r="R403" s="93"/>
      <c r="S403" s="93"/>
      <c r="T403" s="93"/>
      <c r="U403" s="93"/>
      <c r="V403" s="93"/>
      <c r="W403" s="93"/>
      <c r="X403" s="93"/>
      <c r="Y403" s="93"/>
    </row>
    <row r="404" spans="1:25">
      <c r="A404" s="72"/>
      <c r="B404" s="72"/>
      <c r="C404" s="72"/>
      <c r="D404" s="72"/>
      <c r="E404" s="72"/>
      <c r="F404" s="72"/>
      <c r="G404" s="72"/>
      <c r="H404" s="72"/>
      <c r="I404" s="72"/>
      <c r="J404" s="72"/>
      <c r="K404" s="72"/>
      <c r="L404" s="93"/>
      <c r="M404" s="93"/>
      <c r="N404" s="93"/>
      <c r="O404" s="93"/>
      <c r="P404" s="93"/>
      <c r="Q404" s="93"/>
      <c r="R404" s="93"/>
      <c r="S404" s="93"/>
      <c r="T404" s="93"/>
      <c r="U404" s="93"/>
      <c r="V404" s="93"/>
      <c r="W404" s="93"/>
      <c r="X404" s="93"/>
      <c r="Y404" s="93"/>
    </row>
    <row r="405" spans="1:25">
      <c r="A405" s="72"/>
      <c r="B405" s="72"/>
      <c r="C405" s="72"/>
      <c r="D405" s="72"/>
      <c r="E405" s="72"/>
      <c r="F405" s="72"/>
      <c r="G405" s="72"/>
      <c r="H405" s="72"/>
      <c r="I405" s="72"/>
      <c r="J405" s="72"/>
      <c r="K405" s="72"/>
      <c r="L405" s="93"/>
      <c r="M405" s="93"/>
      <c r="N405" s="93"/>
      <c r="O405" s="93"/>
      <c r="P405" s="93"/>
      <c r="Q405" s="93"/>
      <c r="R405" s="93"/>
      <c r="S405" s="93"/>
      <c r="T405" s="93"/>
      <c r="U405" s="93"/>
      <c r="V405" s="93"/>
      <c r="W405" s="93"/>
      <c r="X405" s="93"/>
      <c r="Y405" s="93"/>
    </row>
    <row r="406" spans="1:25">
      <c r="A406" s="72"/>
      <c r="B406" s="72"/>
      <c r="C406" s="72"/>
      <c r="D406" s="72"/>
      <c r="E406" s="72"/>
      <c r="F406" s="72"/>
      <c r="G406" s="72"/>
      <c r="H406" s="72"/>
      <c r="I406" s="72"/>
      <c r="J406" s="72"/>
      <c r="K406" s="72"/>
      <c r="L406" s="93"/>
      <c r="M406" s="93"/>
      <c r="N406" s="93"/>
      <c r="O406" s="93"/>
      <c r="P406" s="93"/>
      <c r="Q406" s="93"/>
      <c r="R406" s="93"/>
      <c r="S406" s="93"/>
      <c r="T406" s="93"/>
      <c r="U406" s="93"/>
      <c r="V406" s="93"/>
      <c r="W406" s="93"/>
      <c r="X406" s="93"/>
      <c r="Y406" s="93"/>
    </row>
    <row r="407" spans="1:25">
      <c r="A407" s="72"/>
      <c r="B407" s="72"/>
      <c r="C407" s="72"/>
      <c r="D407" s="72"/>
      <c r="E407" s="72"/>
      <c r="F407" s="72"/>
      <c r="G407" s="72"/>
      <c r="H407" s="72"/>
      <c r="I407" s="72"/>
      <c r="J407" s="72"/>
      <c r="K407" s="72"/>
      <c r="L407" s="93"/>
      <c r="M407" s="93"/>
      <c r="N407" s="93"/>
      <c r="O407" s="93"/>
      <c r="P407" s="93"/>
      <c r="Q407" s="93"/>
      <c r="R407" s="93"/>
      <c r="S407" s="93"/>
      <c r="T407" s="93"/>
      <c r="U407" s="93"/>
      <c r="V407" s="93"/>
      <c r="W407" s="93"/>
      <c r="X407" s="93"/>
      <c r="Y407" s="93"/>
    </row>
    <row r="408" spans="1:25">
      <c r="A408" s="72"/>
      <c r="B408" s="72"/>
      <c r="C408" s="72"/>
      <c r="D408" s="72"/>
      <c r="E408" s="72"/>
      <c r="F408" s="72"/>
      <c r="G408" s="72"/>
      <c r="H408" s="72"/>
      <c r="I408" s="72"/>
      <c r="J408" s="72"/>
      <c r="K408" s="72"/>
      <c r="L408" s="93"/>
      <c r="M408" s="93"/>
      <c r="N408" s="93"/>
      <c r="O408" s="93"/>
      <c r="P408" s="93"/>
      <c r="Q408" s="93"/>
      <c r="R408" s="93"/>
      <c r="S408" s="93"/>
      <c r="T408" s="93"/>
      <c r="U408" s="93"/>
      <c r="V408" s="93"/>
      <c r="W408" s="93"/>
      <c r="X408" s="93"/>
      <c r="Y408" s="93"/>
    </row>
    <row r="409" spans="1:25">
      <c r="A409" s="72"/>
      <c r="B409" s="72"/>
      <c r="C409" s="72"/>
      <c r="D409" s="72"/>
      <c r="E409" s="72"/>
      <c r="F409" s="72"/>
      <c r="G409" s="72"/>
      <c r="H409" s="72"/>
      <c r="I409" s="72"/>
      <c r="J409" s="72"/>
      <c r="K409" s="72"/>
      <c r="L409" s="93"/>
      <c r="M409" s="93"/>
      <c r="N409" s="93"/>
      <c r="O409" s="93"/>
      <c r="P409" s="93"/>
      <c r="Q409" s="93"/>
      <c r="R409" s="93"/>
      <c r="S409" s="93"/>
      <c r="T409" s="93"/>
      <c r="U409" s="93"/>
      <c r="V409" s="93"/>
      <c r="W409" s="93"/>
      <c r="X409" s="93"/>
      <c r="Y409" s="93"/>
    </row>
    <row r="410" spans="1:25">
      <c r="A410" s="72"/>
      <c r="B410" s="72"/>
      <c r="C410" s="72"/>
      <c r="D410" s="72"/>
      <c r="E410" s="72"/>
      <c r="F410" s="72"/>
      <c r="G410" s="72"/>
      <c r="H410" s="72"/>
      <c r="I410" s="72"/>
      <c r="J410" s="72"/>
      <c r="K410" s="72"/>
      <c r="L410" s="93"/>
      <c r="M410" s="93"/>
      <c r="N410" s="93"/>
      <c r="O410" s="93"/>
      <c r="P410" s="93"/>
      <c r="Q410" s="93"/>
      <c r="R410" s="93"/>
      <c r="S410" s="93"/>
      <c r="T410" s="93"/>
      <c r="U410" s="93"/>
      <c r="V410" s="93"/>
      <c r="W410" s="93"/>
      <c r="X410" s="93"/>
      <c r="Y410" s="93"/>
    </row>
    <row r="411" spans="1:25">
      <c r="A411" s="72"/>
      <c r="B411" s="72"/>
      <c r="C411" s="72"/>
      <c r="D411" s="72"/>
      <c r="E411" s="72"/>
      <c r="F411" s="72"/>
      <c r="G411" s="72"/>
      <c r="H411" s="72"/>
      <c r="I411" s="72"/>
      <c r="J411" s="72"/>
      <c r="K411" s="72"/>
      <c r="L411" s="93"/>
      <c r="M411" s="93"/>
      <c r="N411" s="93"/>
      <c r="O411" s="93"/>
      <c r="P411" s="93"/>
      <c r="Q411" s="93"/>
      <c r="R411" s="93"/>
      <c r="S411" s="93"/>
      <c r="T411" s="93"/>
      <c r="U411" s="93"/>
      <c r="V411" s="93"/>
      <c r="W411" s="93"/>
      <c r="X411" s="93"/>
      <c r="Y411" s="93"/>
    </row>
    <row r="412" spans="1:25">
      <c r="A412" s="72"/>
      <c r="B412" s="72"/>
      <c r="C412" s="72"/>
      <c r="D412" s="72"/>
      <c r="E412" s="72"/>
      <c r="F412" s="72"/>
      <c r="G412" s="72"/>
      <c r="H412" s="72"/>
      <c r="I412" s="72"/>
      <c r="J412" s="72"/>
      <c r="K412" s="72"/>
      <c r="L412" s="93"/>
      <c r="M412" s="93"/>
      <c r="N412" s="93"/>
      <c r="O412" s="93"/>
      <c r="P412" s="93"/>
      <c r="Q412" s="93"/>
      <c r="R412" s="93"/>
      <c r="S412" s="93"/>
      <c r="T412" s="93"/>
      <c r="U412" s="93"/>
      <c r="V412" s="93"/>
      <c r="W412" s="93"/>
      <c r="X412" s="93"/>
      <c r="Y412" s="93"/>
    </row>
    <row r="413" spans="1:25">
      <c r="A413" s="72"/>
      <c r="B413" s="72"/>
      <c r="C413" s="72"/>
      <c r="D413" s="72"/>
      <c r="E413" s="72"/>
      <c r="F413" s="72"/>
      <c r="G413" s="72"/>
      <c r="H413" s="72"/>
      <c r="I413" s="72"/>
      <c r="J413" s="72"/>
      <c r="K413" s="72"/>
      <c r="L413" s="93"/>
      <c r="M413" s="93"/>
      <c r="N413" s="93"/>
      <c r="O413" s="93"/>
      <c r="P413" s="93"/>
      <c r="Q413" s="93"/>
      <c r="R413" s="93"/>
      <c r="S413" s="93"/>
      <c r="T413" s="93"/>
      <c r="U413" s="93"/>
      <c r="V413" s="93"/>
      <c r="W413" s="93"/>
      <c r="X413" s="93"/>
      <c r="Y413" s="93"/>
    </row>
    <row r="414" spans="1:25">
      <c r="A414" s="72"/>
      <c r="B414" s="72"/>
      <c r="C414" s="72"/>
      <c r="D414" s="72"/>
      <c r="E414" s="72"/>
      <c r="F414" s="72"/>
      <c r="G414" s="72"/>
      <c r="H414" s="72"/>
      <c r="I414" s="72"/>
      <c r="J414" s="72"/>
      <c r="K414" s="72"/>
      <c r="L414" s="93"/>
      <c r="M414" s="93"/>
      <c r="N414" s="93"/>
      <c r="O414" s="93"/>
      <c r="P414" s="93"/>
      <c r="Q414" s="93"/>
      <c r="R414" s="93"/>
      <c r="S414" s="93"/>
      <c r="T414" s="93"/>
      <c r="U414" s="93"/>
      <c r="V414" s="93"/>
      <c r="W414" s="93"/>
      <c r="X414" s="93"/>
      <c r="Y414" s="93"/>
    </row>
    <row r="415" spans="1:25">
      <c r="A415" s="72"/>
      <c r="B415" s="72"/>
      <c r="C415" s="72"/>
      <c r="D415" s="72"/>
      <c r="E415" s="72"/>
      <c r="F415" s="72"/>
      <c r="G415" s="72"/>
      <c r="H415" s="72"/>
      <c r="I415" s="72"/>
      <c r="J415" s="72"/>
      <c r="K415" s="72"/>
      <c r="L415" s="93"/>
      <c r="M415" s="93"/>
      <c r="N415" s="93"/>
      <c r="O415" s="93"/>
      <c r="P415" s="93"/>
      <c r="Q415" s="93"/>
      <c r="R415" s="93"/>
      <c r="S415" s="93"/>
      <c r="T415" s="93"/>
      <c r="U415" s="93"/>
      <c r="V415" s="93"/>
      <c r="W415" s="93"/>
      <c r="X415" s="93"/>
      <c r="Y415" s="93"/>
    </row>
    <row r="416" spans="1:25">
      <c r="A416" s="72"/>
      <c r="B416" s="72"/>
      <c r="C416" s="72"/>
      <c r="D416" s="72"/>
      <c r="E416" s="72"/>
      <c r="F416" s="72"/>
      <c r="G416" s="72"/>
      <c r="H416" s="72"/>
      <c r="I416" s="72"/>
      <c r="J416" s="72"/>
      <c r="K416" s="72"/>
      <c r="L416" s="93"/>
      <c r="M416" s="93"/>
      <c r="N416" s="93"/>
      <c r="O416" s="93"/>
      <c r="P416" s="93"/>
      <c r="Q416" s="93"/>
      <c r="R416" s="93"/>
      <c r="S416" s="93"/>
      <c r="T416" s="93"/>
      <c r="U416" s="93"/>
      <c r="V416" s="93"/>
      <c r="W416" s="93"/>
      <c r="X416" s="93"/>
      <c r="Y416" s="93"/>
    </row>
    <row r="417" spans="1:25">
      <c r="A417" s="72"/>
      <c r="B417" s="72"/>
      <c r="C417" s="72"/>
      <c r="D417" s="72"/>
      <c r="E417" s="72"/>
      <c r="F417" s="72"/>
      <c r="G417" s="72"/>
      <c r="H417" s="72"/>
      <c r="I417" s="72"/>
      <c r="J417" s="72"/>
      <c r="K417" s="72"/>
      <c r="L417" s="93"/>
      <c r="M417" s="93"/>
      <c r="N417" s="93"/>
      <c r="O417" s="93"/>
      <c r="P417" s="93"/>
      <c r="Q417" s="93"/>
      <c r="R417" s="93"/>
      <c r="S417" s="93"/>
      <c r="T417" s="93"/>
      <c r="U417" s="93"/>
      <c r="V417" s="93"/>
      <c r="W417" s="93"/>
      <c r="X417" s="93"/>
      <c r="Y417" s="93"/>
    </row>
    <row r="418" spans="1:25">
      <c r="A418" s="72"/>
      <c r="B418" s="72"/>
      <c r="C418" s="72"/>
      <c r="D418" s="72"/>
      <c r="E418" s="72"/>
      <c r="F418" s="72"/>
      <c r="G418" s="72"/>
      <c r="H418" s="72"/>
      <c r="I418" s="72"/>
      <c r="J418" s="72"/>
      <c r="K418" s="72"/>
      <c r="L418" s="93"/>
      <c r="M418" s="93"/>
      <c r="N418" s="93"/>
      <c r="O418" s="93"/>
      <c r="P418" s="93"/>
      <c r="Q418" s="93"/>
      <c r="R418" s="93"/>
      <c r="S418" s="93"/>
      <c r="T418" s="93"/>
      <c r="U418" s="93"/>
      <c r="V418" s="93"/>
      <c r="W418" s="93"/>
      <c r="X418" s="93"/>
      <c r="Y418" s="93"/>
    </row>
    <row r="419" spans="1:25">
      <c r="A419" s="72"/>
      <c r="B419" s="72"/>
      <c r="C419" s="72"/>
      <c r="D419" s="72"/>
      <c r="E419" s="72"/>
      <c r="F419" s="72"/>
      <c r="G419" s="72"/>
      <c r="H419" s="72"/>
      <c r="I419" s="72"/>
      <c r="J419" s="72"/>
      <c r="K419" s="72"/>
      <c r="L419" s="93"/>
      <c r="M419" s="93"/>
      <c r="N419" s="93"/>
      <c r="O419" s="93"/>
      <c r="P419" s="93"/>
      <c r="Q419" s="93"/>
      <c r="R419" s="93"/>
      <c r="S419" s="93"/>
      <c r="T419" s="93"/>
      <c r="U419" s="93"/>
      <c r="V419" s="93"/>
      <c r="W419" s="93"/>
      <c r="X419" s="93"/>
      <c r="Y419" s="93"/>
    </row>
    <row r="420" spans="1:25">
      <c r="A420" s="72"/>
      <c r="B420" s="72"/>
      <c r="C420" s="72"/>
      <c r="D420" s="72"/>
      <c r="E420" s="72"/>
      <c r="F420" s="72"/>
      <c r="G420" s="72"/>
      <c r="H420" s="72"/>
      <c r="I420" s="72"/>
      <c r="J420" s="72"/>
      <c r="K420" s="72"/>
      <c r="L420" s="93"/>
      <c r="M420" s="93"/>
      <c r="N420" s="93"/>
      <c r="O420" s="93"/>
      <c r="P420" s="93"/>
      <c r="Q420" s="93"/>
      <c r="R420" s="93"/>
      <c r="S420" s="93"/>
      <c r="T420" s="93"/>
      <c r="U420" s="93"/>
      <c r="V420" s="93"/>
      <c r="W420" s="93"/>
      <c r="X420" s="93"/>
      <c r="Y420" s="93"/>
    </row>
    <row r="421" spans="1:25">
      <c r="A421" s="72"/>
      <c r="B421" s="72"/>
      <c r="C421" s="72"/>
      <c r="D421" s="72"/>
      <c r="E421" s="72"/>
      <c r="F421" s="72"/>
      <c r="G421" s="72"/>
      <c r="H421" s="72"/>
      <c r="I421" s="72"/>
      <c r="J421" s="72"/>
      <c r="K421" s="72"/>
      <c r="L421" s="93"/>
      <c r="M421" s="93"/>
      <c r="N421" s="93"/>
      <c r="O421" s="93"/>
      <c r="P421" s="93"/>
      <c r="Q421" s="93"/>
      <c r="R421" s="93"/>
      <c r="S421" s="93"/>
      <c r="T421" s="93"/>
      <c r="U421" s="93"/>
      <c r="V421" s="93"/>
      <c r="W421" s="93"/>
      <c r="X421" s="93"/>
      <c r="Y421" s="93"/>
    </row>
    <row r="422" spans="1:25">
      <c r="A422" s="72"/>
      <c r="B422" s="72"/>
      <c r="C422" s="72"/>
      <c r="D422" s="72"/>
      <c r="E422" s="72"/>
      <c r="F422" s="72"/>
      <c r="G422" s="72"/>
      <c r="H422" s="72"/>
      <c r="I422" s="72"/>
      <c r="J422" s="72"/>
      <c r="K422" s="72"/>
      <c r="L422" s="93"/>
      <c r="M422" s="93"/>
      <c r="N422" s="93"/>
      <c r="O422" s="93"/>
      <c r="P422" s="93"/>
      <c r="Q422" s="93"/>
      <c r="R422" s="93"/>
      <c r="S422" s="93"/>
      <c r="T422" s="93"/>
      <c r="U422" s="93"/>
      <c r="V422" s="93"/>
      <c r="W422" s="93"/>
      <c r="X422" s="93"/>
      <c r="Y422" s="93"/>
    </row>
    <row r="423" spans="1:25">
      <c r="A423" s="72"/>
      <c r="B423" s="72"/>
      <c r="C423" s="72"/>
      <c r="D423" s="72"/>
      <c r="E423" s="72"/>
      <c r="F423" s="72"/>
      <c r="G423" s="72"/>
      <c r="H423" s="72"/>
      <c r="I423" s="72"/>
      <c r="J423" s="72"/>
      <c r="K423" s="72"/>
      <c r="L423" s="93"/>
      <c r="M423" s="93"/>
      <c r="N423" s="93"/>
      <c r="O423" s="93"/>
      <c r="P423" s="93"/>
      <c r="Q423" s="93"/>
      <c r="R423" s="93"/>
      <c r="S423" s="93"/>
      <c r="T423" s="93"/>
      <c r="U423" s="93"/>
      <c r="V423" s="93"/>
      <c r="W423" s="93"/>
      <c r="X423" s="93"/>
      <c r="Y423" s="93"/>
    </row>
    <row r="424" spans="1:25">
      <c r="A424" s="72"/>
      <c r="B424" s="72"/>
      <c r="C424" s="72"/>
      <c r="D424" s="72"/>
      <c r="E424" s="72"/>
      <c r="F424" s="72"/>
      <c r="G424" s="72"/>
      <c r="H424" s="72"/>
      <c r="I424" s="72"/>
      <c r="J424" s="72"/>
      <c r="K424" s="72"/>
      <c r="L424" s="93"/>
      <c r="M424" s="93"/>
      <c r="N424" s="93"/>
      <c r="O424" s="93"/>
      <c r="P424" s="93"/>
      <c r="Q424" s="93"/>
      <c r="R424" s="93"/>
      <c r="S424" s="93"/>
      <c r="T424" s="93"/>
      <c r="U424" s="93"/>
      <c r="V424" s="93"/>
      <c r="W424" s="93"/>
      <c r="X424" s="93"/>
      <c r="Y424" s="93"/>
    </row>
    <row r="425" spans="1:25">
      <c r="A425" s="72"/>
      <c r="B425" s="72"/>
      <c r="C425" s="72"/>
      <c r="D425" s="72"/>
      <c r="E425" s="72"/>
      <c r="F425" s="72"/>
      <c r="G425" s="72"/>
      <c r="H425" s="72"/>
      <c r="I425" s="72"/>
      <c r="J425" s="72"/>
      <c r="K425" s="72"/>
      <c r="L425" s="93"/>
      <c r="M425" s="93"/>
      <c r="N425" s="93"/>
      <c r="O425" s="93"/>
      <c r="P425" s="93"/>
      <c r="Q425" s="93"/>
      <c r="R425" s="93"/>
      <c r="S425" s="93"/>
      <c r="T425" s="93"/>
      <c r="U425" s="93"/>
      <c r="V425" s="93"/>
      <c r="W425" s="93"/>
      <c r="X425" s="93"/>
      <c r="Y425" s="93"/>
    </row>
    <row r="426" spans="1:25">
      <c r="A426" s="72"/>
      <c r="B426" s="72"/>
      <c r="C426" s="72"/>
      <c r="D426" s="72"/>
      <c r="E426" s="72"/>
      <c r="F426" s="72"/>
      <c r="G426" s="72"/>
      <c r="H426" s="72"/>
      <c r="I426" s="72"/>
      <c r="J426" s="72"/>
      <c r="K426" s="72"/>
      <c r="L426" s="93"/>
      <c r="M426" s="93"/>
      <c r="N426" s="93"/>
      <c r="O426" s="93"/>
      <c r="P426" s="93"/>
      <c r="Q426" s="93"/>
      <c r="R426" s="93"/>
      <c r="S426" s="93"/>
      <c r="T426" s="93"/>
      <c r="U426" s="93"/>
      <c r="V426" s="93"/>
      <c r="W426" s="93"/>
      <c r="X426" s="93"/>
      <c r="Y426" s="93"/>
    </row>
    <row r="427" spans="1:25">
      <c r="A427" s="72"/>
      <c r="B427" s="72"/>
      <c r="C427" s="72"/>
      <c r="D427" s="72"/>
      <c r="E427" s="72"/>
      <c r="F427" s="72"/>
      <c r="G427" s="72"/>
      <c r="H427" s="72"/>
      <c r="I427" s="72"/>
      <c r="J427" s="72"/>
      <c r="K427" s="72"/>
      <c r="L427" s="93"/>
      <c r="M427" s="93"/>
      <c r="N427" s="93"/>
      <c r="O427" s="93"/>
      <c r="P427" s="93"/>
      <c r="Q427" s="93"/>
      <c r="R427" s="93"/>
      <c r="S427" s="93"/>
      <c r="T427" s="93"/>
      <c r="U427" s="93"/>
      <c r="V427" s="93"/>
      <c r="W427" s="93"/>
      <c r="X427" s="93"/>
      <c r="Y427" s="93"/>
    </row>
    <row r="428" spans="1:25">
      <c r="A428" s="72"/>
      <c r="B428" s="72"/>
      <c r="C428" s="72"/>
      <c r="D428" s="72"/>
      <c r="E428" s="72"/>
      <c r="F428" s="72"/>
      <c r="G428" s="72"/>
      <c r="H428" s="72"/>
      <c r="I428" s="72"/>
      <c r="J428" s="72"/>
      <c r="K428" s="72"/>
      <c r="L428" s="93"/>
      <c r="M428" s="93"/>
      <c r="N428" s="93"/>
      <c r="O428" s="93"/>
      <c r="P428" s="93"/>
      <c r="Q428" s="93"/>
      <c r="R428" s="93"/>
      <c r="S428" s="93"/>
      <c r="T428" s="93"/>
      <c r="U428" s="93"/>
      <c r="V428" s="93"/>
      <c r="W428" s="93"/>
      <c r="X428" s="93"/>
      <c r="Y428" s="93"/>
    </row>
    <row r="429" spans="1:25">
      <c r="A429" s="72"/>
      <c r="B429" s="72"/>
      <c r="C429" s="72"/>
      <c r="D429" s="72"/>
      <c r="E429" s="72"/>
      <c r="F429" s="72"/>
      <c r="G429" s="72"/>
      <c r="H429" s="72"/>
      <c r="I429" s="72"/>
      <c r="J429" s="72"/>
      <c r="K429" s="72"/>
      <c r="L429" s="93"/>
      <c r="M429" s="93"/>
      <c r="N429" s="93"/>
      <c r="O429" s="93"/>
      <c r="P429" s="93"/>
      <c r="Q429" s="93"/>
      <c r="R429" s="93"/>
      <c r="S429" s="93"/>
      <c r="T429" s="93"/>
      <c r="U429" s="93"/>
      <c r="V429" s="93"/>
      <c r="W429" s="93"/>
      <c r="X429" s="93"/>
      <c r="Y429" s="93"/>
    </row>
    <row r="430" spans="1:25">
      <c r="A430" s="72"/>
      <c r="B430" s="72"/>
      <c r="C430" s="72"/>
      <c r="D430" s="72"/>
      <c r="E430" s="72"/>
      <c r="F430" s="72"/>
      <c r="G430" s="72"/>
      <c r="H430" s="72"/>
      <c r="I430" s="72"/>
      <c r="J430" s="72"/>
      <c r="K430" s="72"/>
      <c r="L430" s="93"/>
      <c r="M430" s="93"/>
      <c r="N430" s="93"/>
      <c r="O430" s="93"/>
      <c r="P430" s="93"/>
      <c r="Q430" s="93"/>
      <c r="R430" s="93"/>
      <c r="S430" s="93"/>
      <c r="T430" s="93"/>
      <c r="U430" s="93"/>
      <c r="V430" s="93"/>
      <c r="W430" s="93"/>
      <c r="X430" s="93"/>
      <c r="Y430" s="93"/>
    </row>
    <row r="431" spans="1:25">
      <c r="A431" s="72"/>
      <c r="B431" s="72"/>
      <c r="C431" s="72"/>
      <c r="D431" s="72"/>
      <c r="E431" s="72"/>
      <c r="F431" s="72"/>
      <c r="G431" s="72"/>
      <c r="H431" s="72"/>
      <c r="I431" s="72"/>
      <c r="J431" s="72"/>
      <c r="K431" s="72"/>
      <c r="L431" s="93"/>
      <c r="M431" s="93"/>
      <c r="N431" s="93"/>
      <c r="O431" s="93"/>
      <c r="P431" s="93"/>
      <c r="Q431" s="93"/>
      <c r="R431" s="93"/>
      <c r="S431" s="93"/>
      <c r="T431" s="93"/>
      <c r="U431" s="93"/>
      <c r="V431" s="93"/>
      <c r="W431" s="93"/>
      <c r="X431" s="93"/>
      <c r="Y431" s="93"/>
    </row>
    <row r="432" spans="1:25">
      <c r="A432" s="72"/>
      <c r="B432" s="72"/>
      <c r="C432" s="72"/>
      <c r="D432" s="72"/>
      <c r="E432" s="72"/>
      <c r="F432" s="72"/>
      <c r="G432" s="72"/>
      <c r="H432" s="72"/>
      <c r="I432" s="72"/>
      <c r="J432" s="72"/>
      <c r="K432" s="72"/>
      <c r="L432" s="93"/>
      <c r="M432" s="93"/>
      <c r="N432" s="93"/>
      <c r="O432" s="93"/>
      <c r="P432" s="93"/>
      <c r="Q432" s="93"/>
      <c r="R432" s="93"/>
      <c r="S432" s="93"/>
      <c r="T432" s="93"/>
      <c r="U432" s="93"/>
      <c r="V432" s="93"/>
      <c r="W432" s="93"/>
      <c r="X432" s="93"/>
      <c r="Y432" s="93"/>
    </row>
    <row r="433" spans="1:25">
      <c r="A433" s="72"/>
      <c r="B433" s="72"/>
      <c r="C433" s="72"/>
      <c r="D433" s="72"/>
      <c r="E433" s="72"/>
      <c r="F433" s="72"/>
      <c r="G433" s="72"/>
      <c r="H433" s="72"/>
      <c r="I433" s="72"/>
      <c r="J433" s="72"/>
      <c r="K433" s="72"/>
      <c r="L433" s="93"/>
      <c r="M433" s="93"/>
      <c r="N433" s="93"/>
      <c r="O433" s="93"/>
      <c r="P433" s="93"/>
      <c r="Q433" s="93"/>
      <c r="R433" s="93"/>
      <c r="S433" s="93"/>
      <c r="T433" s="93"/>
      <c r="U433" s="93"/>
      <c r="V433" s="93"/>
      <c r="W433" s="93"/>
      <c r="X433" s="93"/>
      <c r="Y433" s="93"/>
    </row>
    <row r="434" spans="1:25">
      <c r="A434" s="72"/>
      <c r="B434" s="72"/>
      <c r="C434" s="72"/>
      <c r="D434" s="72"/>
      <c r="E434" s="72"/>
      <c r="F434" s="72"/>
      <c r="G434" s="72"/>
      <c r="H434" s="72"/>
      <c r="I434" s="72"/>
      <c r="J434" s="72"/>
      <c r="K434" s="72"/>
      <c r="L434" s="93"/>
      <c r="M434" s="93"/>
      <c r="N434" s="93"/>
      <c r="O434" s="93"/>
      <c r="P434" s="93"/>
      <c r="Q434" s="93"/>
      <c r="R434" s="93"/>
      <c r="S434" s="93"/>
      <c r="T434" s="93"/>
      <c r="U434" s="93"/>
      <c r="V434" s="93"/>
      <c r="W434" s="93"/>
      <c r="X434" s="93"/>
      <c r="Y434" s="93"/>
    </row>
    <row r="435" spans="1:25">
      <c r="A435" s="72"/>
      <c r="B435" s="72"/>
      <c r="C435" s="72"/>
      <c r="D435" s="72"/>
      <c r="E435" s="72"/>
      <c r="F435" s="72"/>
      <c r="G435" s="72"/>
      <c r="H435" s="72"/>
      <c r="I435" s="72"/>
      <c r="J435" s="72"/>
      <c r="K435" s="72"/>
      <c r="L435" s="93"/>
      <c r="M435" s="93"/>
      <c r="N435" s="93"/>
      <c r="O435" s="93"/>
      <c r="P435" s="93"/>
      <c r="Q435" s="93"/>
      <c r="R435" s="93"/>
      <c r="S435" s="93"/>
      <c r="T435" s="93"/>
      <c r="U435" s="93"/>
      <c r="V435" s="93"/>
      <c r="W435" s="93"/>
      <c r="X435" s="93"/>
      <c r="Y435" s="93"/>
    </row>
    <row r="436" spans="1:25">
      <c r="A436" s="72"/>
      <c r="B436" s="72"/>
      <c r="C436" s="72"/>
      <c r="D436" s="72"/>
      <c r="E436" s="72"/>
      <c r="F436" s="72"/>
      <c r="G436" s="72"/>
      <c r="H436" s="72"/>
      <c r="I436" s="72"/>
      <c r="J436" s="72"/>
      <c r="K436" s="72"/>
      <c r="L436" s="93"/>
      <c r="M436" s="93"/>
      <c r="N436" s="93"/>
      <c r="O436" s="93"/>
      <c r="P436" s="93"/>
      <c r="Q436" s="93"/>
      <c r="R436" s="93"/>
      <c r="S436" s="93"/>
      <c r="T436" s="93"/>
      <c r="U436" s="93"/>
      <c r="V436" s="93"/>
      <c r="W436" s="93"/>
      <c r="X436" s="93"/>
      <c r="Y436" s="93"/>
    </row>
    <row r="437" spans="1:25">
      <c r="A437" s="72"/>
      <c r="B437" s="72"/>
      <c r="C437" s="72"/>
      <c r="D437" s="72"/>
      <c r="E437" s="72"/>
      <c r="F437" s="72"/>
      <c r="G437" s="72"/>
      <c r="H437" s="72"/>
      <c r="I437" s="72"/>
      <c r="J437" s="72"/>
      <c r="K437" s="72"/>
      <c r="L437" s="93"/>
      <c r="M437" s="93"/>
      <c r="N437" s="93"/>
      <c r="O437" s="93"/>
      <c r="P437" s="93"/>
      <c r="Q437" s="93"/>
      <c r="R437" s="93"/>
      <c r="S437" s="93"/>
      <c r="T437" s="93"/>
      <c r="U437" s="93"/>
      <c r="V437" s="93"/>
      <c r="W437" s="93"/>
      <c r="X437" s="93"/>
      <c r="Y437" s="93"/>
    </row>
    <row r="438" spans="1:25">
      <c r="A438" s="72"/>
      <c r="B438" s="72"/>
      <c r="C438" s="72"/>
      <c r="D438" s="72"/>
      <c r="E438" s="72"/>
      <c r="F438" s="72"/>
      <c r="G438" s="72"/>
      <c r="H438" s="72"/>
      <c r="I438" s="72"/>
      <c r="J438" s="72"/>
      <c r="K438" s="72"/>
      <c r="L438" s="93"/>
      <c r="M438" s="93"/>
      <c r="N438" s="93"/>
      <c r="O438" s="93"/>
      <c r="P438" s="93"/>
      <c r="Q438" s="93"/>
      <c r="R438" s="93"/>
      <c r="S438" s="93"/>
      <c r="T438" s="93"/>
      <c r="U438" s="93"/>
      <c r="V438" s="93"/>
      <c r="W438" s="93"/>
      <c r="X438" s="93"/>
      <c r="Y438" s="93"/>
    </row>
    <row r="439" spans="1:25">
      <c r="A439" s="72"/>
      <c r="B439" s="72"/>
      <c r="C439" s="72"/>
      <c r="D439" s="72"/>
      <c r="E439" s="72"/>
      <c r="F439" s="72"/>
      <c r="G439" s="72"/>
      <c r="H439" s="72"/>
      <c r="I439" s="72"/>
      <c r="J439" s="72"/>
      <c r="K439" s="72"/>
      <c r="L439" s="93"/>
      <c r="M439" s="93"/>
      <c r="N439" s="93"/>
      <c r="O439" s="93"/>
      <c r="P439" s="93"/>
      <c r="Q439" s="93"/>
      <c r="R439" s="93"/>
      <c r="S439" s="93"/>
      <c r="T439" s="93"/>
      <c r="U439" s="93"/>
      <c r="V439" s="93"/>
      <c r="W439" s="93"/>
      <c r="X439" s="93"/>
      <c r="Y439" s="93"/>
    </row>
    <row r="440" spans="1:25">
      <c r="A440" s="72"/>
      <c r="B440" s="72"/>
      <c r="C440" s="72"/>
      <c r="D440" s="72"/>
      <c r="E440" s="72"/>
      <c r="F440" s="72"/>
      <c r="G440" s="72"/>
      <c r="H440" s="72"/>
      <c r="I440" s="72"/>
      <c r="J440" s="72"/>
      <c r="K440" s="72"/>
      <c r="L440" s="93"/>
      <c r="M440" s="93"/>
      <c r="N440" s="93"/>
      <c r="O440" s="93"/>
      <c r="P440" s="93"/>
      <c r="Q440" s="93"/>
      <c r="R440" s="93"/>
      <c r="S440" s="93"/>
      <c r="T440" s="93"/>
      <c r="U440" s="93"/>
      <c r="V440" s="93"/>
      <c r="W440" s="93"/>
      <c r="X440" s="93"/>
      <c r="Y440" s="93"/>
    </row>
    <row r="441" spans="1:25">
      <c r="A441" s="72"/>
      <c r="B441" s="72"/>
      <c r="C441" s="72"/>
      <c r="D441" s="72"/>
      <c r="E441" s="72"/>
      <c r="F441" s="72"/>
      <c r="G441" s="72"/>
      <c r="H441" s="72"/>
      <c r="I441" s="72"/>
      <c r="J441" s="72"/>
      <c r="K441" s="72"/>
      <c r="L441" s="93"/>
      <c r="M441" s="93"/>
      <c r="N441" s="93"/>
      <c r="O441" s="93"/>
      <c r="P441" s="93"/>
      <c r="Q441" s="93"/>
      <c r="R441" s="93"/>
      <c r="S441" s="93"/>
      <c r="T441" s="93"/>
      <c r="U441" s="93"/>
      <c r="V441" s="93"/>
      <c r="W441" s="93"/>
      <c r="X441" s="93"/>
      <c r="Y441" s="93"/>
    </row>
    <row r="442" spans="1:25">
      <c r="A442" s="72"/>
      <c r="B442" s="72"/>
      <c r="C442" s="72"/>
      <c r="D442" s="72"/>
      <c r="E442" s="72"/>
      <c r="F442" s="72"/>
      <c r="G442" s="72"/>
      <c r="H442" s="72"/>
      <c r="I442" s="72"/>
      <c r="J442" s="72"/>
      <c r="K442" s="72"/>
      <c r="L442" s="93"/>
      <c r="M442" s="93"/>
      <c r="N442" s="93"/>
      <c r="O442" s="93"/>
      <c r="P442" s="93"/>
      <c r="Q442" s="93"/>
      <c r="R442" s="93"/>
      <c r="S442" s="93"/>
      <c r="T442" s="93"/>
      <c r="U442" s="93"/>
      <c r="V442" s="93"/>
      <c r="W442" s="93"/>
      <c r="X442" s="93"/>
      <c r="Y442" s="93"/>
    </row>
    <row r="443" spans="1:25">
      <c r="A443" s="72"/>
      <c r="B443" s="72"/>
      <c r="C443" s="72"/>
      <c r="D443" s="72"/>
      <c r="E443" s="72"/>
      <c r="F443" s="72"/>
      <c r="G443" s="72"/>
      <c r="H443" s="72"/>
      <c r="I443" s="72"/>
      <c r="J443" s="72"/>
      <c r="K443" s="72"/>
      <c r="L443" s="93"/>
      <c r="M443" s="93"/>
      <c r="N443" s="93"/>
      <c r="O443" s="93"/>
      <c r="P443" s="93"/>
      <c r="Q443" s="93"/>
      <c r="R443" s="93"/>
      <c r="S443" s="93"/>
      <c r="T443" s="93"/>
      <c r="U443" s="93"/>
      <c r="V443" s="93"/>
      <c r="W443" s="93"/>
      <c r="X443" s="93"/>
      <c r="Y443" s="93"/>
    </row>
    <row r="444" spans="1:25">
      <c r="A444" s="72"/>
      <c r="B444" s="72"/>
      <c r="C444" s="72"/>
      <c r="D444" s="72"/>
      <c r="E444" s="72"/>
      <c r="F444" s="72"/>
      <c r="G444" s="72"/>
      <c r="H444" s="72"/>
      <c r="I444" s="72"/>
      <c r="J444" s="72"/>
      <c r="K444" s="72"/>
      <c r="L444" s="93"/>
      <c r="M444" s="93"/>
      <c r="N444" s="93"/>
      <c r="O444" s="93"/>
      <c r="P444" s="93"/>
      <c r="Q444" s="93"/>
      <c r="R444" s="93"/>
      <c r="S444" s="93"/>
      <c r="T444" s="93"/>
      <c r="U444" s="93"/>
      <c r="V444" s="93"/>
      <c r="W444" s="93"/>
      <c r="X444" s="93"/>
      <c r="Y444" s="93"/>
    </row>
    <row r="445" spans="1:25">
      <c r="A445" s="72"/>
      <c r="B445" s="72"/>
      <c r="C445" s="72"/>
      <c r="D445" s="72"/>
      <c r="E445" s="72"/>
      <c r="F445" s="72"/>
      <c r="G445" s="72"/>
      <c r="H445" s="72"/>
      <c r="I445" s="72"/>
      <c r="J445" s="72"/>
      <c r="K445" s="72"/>
      <c r="L445" s="93"/>
      <c r="M445" s="93"/>
      <c r="N445" s="93"/>
      <c r="O445" s="93"/>
      <c r="P445" s="93"/>
      <c r="Q445" s="93"/>
      <c r="R445" s="93"/>
      <c r="S445" s="93"/>
      <c r="T445" s="93"/>
      <c r="U445" s="93"/>
      <c r="V445" s="93"/>
      <c r="W445" s="93"/>
      <c r="X445" s="93"/>
      <c r="Y445" s="93"/>
    </row>
    <row r="446" spans="1:25">
      <c r="A446" s="72"/>
      <c r="B446" s="72"/>
      <c r="C446" s="72"/>
      <c r="D446" s="72"/>
      <c r="E446" s="72"/>
      <c r="F446" s="72"/>
      <c r="G446" s="72"/>
      <c r="H446" s="72"/>
      <c r="I446" s="72"/>
      <c r="J446" s="72"/>
      <c r="K446" s="72"/>
      <c r="L446" s="93"/>
      <c r="M446" s="93"/>
      <c r="N446" s="93"/>
      <c r="O446" s="93"/>
      <c r="P446" s="93"/>
      <c r="Q446" s="93"/>
      <c r="R446" s="93"/>
      <c r="S446" s="93"/>
      <c r="T446" s="93"/>
      <c r="U446" s="93"/>
      <c r="V446" s="93"/>
      <c r="W446" s="93"/>
      <c r="X446" s="93"/>
      <c r="Y446" s="93"/>
    </row>
    <row r="447" spans="1:25">
      <c r="A447" s="72"/>
      <c r="B447" s="72"/>
      <c r="C447" s="72"/>
      <c r="D447" s="72"/>
      <c r="E447" s="72"/>
      <c r="F447" s="72"/>
      <c r="G447" s="72"/>
      <c r="H447" s="72"/>
      <c r="I447" s="72"/>
      <c r="J447" s="72"/>
      <c r="K447" s="72"/>
      <c r="L447" s="93"/>
      <c r="M447" s="93"/>
      <c r="N447" s="93"/>
      <c r="O447" s="93"/>
      <c r="P447" s="93"/>
      <c r="Q447" s="93"/>
      <c r="R447" s="93"/>
      <c r="S447" s="93"/>
      <c r="T447" s="93"/>
      <c r="U447" s="93"/>
      <c r="V447" s="93"/>
      <c r="W447" s="93"/>
      <c r="X447" s="93"/>
      <c r="Y447" s="93"/>
    </row>
    <row r="448" spans="1:25">
      <c r="A448" s="72"/>
      <c r="B448" s="72"/>
      <c r="C448" s="72"/>
      <c r="D448" s="72"/>
      <c r="E448" s="72"/>
      <c r="F448" s="72"/>
      <c r="G448" s="72"/>
      <c r="H448" s="72"/>
      <c r="I448" s="72"/>
      <c r="J448" s="72"/>
      <c r="K448" s="72"/>
      <c r="L448" s="93"/>
      <c r="M448" s="93"/>
      <c r="N448" s="93"/>
      <c r="O448" s="93"/>
      <c r="P448" s="93"/>
      <c r="Q448" s="93"/>
      <c r="R448" s="93"/>
      <c r="S448" s="93"/>
      <c r="T448" s="93"/>
      <c r="U448" s="93"/>
      <c r="V448" s="93"/>
      <c r="W448" s="93"/>
      <c r="X448" s="93"/>
      <c r="Y448" s="93"/>
    </row>
    <row r="449" spans="1:25">
      <c r="A449" s="72"/>
      <c r="B449" s="72"/>
      <c r="C449" s="72"/>
      <c r="D449" s="72"/>
      <c r="E449" s="72"/>
      <c r="F449" s="72"/>
      <c r="G449" s="72"/>
      <c r="H449" s="72"/>
      <c r="I449" s="72"/>
      <c r="J449" s="72"/>
      <c r="K449" s="72"/>
      <c r="L449" s="93"/>
      <c r="M449" s="93"/>
      <c r="N449" s="93"/>
      <c r="O449" s="93"/>
      <c r="P449" s="93"/>
      <c r="Q449" s="93"/>
      <c r="R449" s="93"/>
      <c r="S449" s="93"/>
      <c r="T449" s="93"/>
      <c r="U449" s="93"/>
      <c r="V449" s="93"/>
      <c r="W449" s="93"/>
      <c r="X449" s="93"/>
      <c r="Y449" s="93"/>
    </row>
    <row r="450" spans="1:25">
      <c r="A450" s="72"/>
      <c r="B450" s="72"/>
      <c r="C450" s="72"/>
      <c r="D450" s="72"/>
      <c r="E450" s="72"/>
      <c r="F450" s="72"/>
      <c r="G450" s="72"/>
      <c r="H450" s="72"/>
      <c r="I450" s="72"/>
      <c r="J450" s="72"/>
      <c r="K450" s="72"/>
      <c r="L450" s="93"/>
      <c r="M450" s="93"/>
      <c r="N450" s="93"/>
      <c r="O450" s="93"/>
      <c r="P450" s="93"/>
      <c r="Q450" s="93"/>
      <c r="R450" s="93"/>
      <c r="S450" s="93"/>
      <c r="T450" s="93"/>
      <c r="U450" s="93"/>
      <c r="V450" s="93"/>
      <c r="W450" s="93"/>
      <c r="X450" s="93"/>
      <c r="Y450" s="93"/>
    </row>
    <row r="451" spans="1:25">
      <c r="A451" s="72"/>
      <c r="B451" s="72"/>
      <c r="C451" s="72"/>
      <c r="D451" s="72"/>
      <c r="E451" s="72"/>
      <c r="F451" s="72"/>
      <c r="G451" s="72"/>
      <c r="H451" s="72"/>
      <c r="I451" s="72"/>
      <c r="J451" s="72"/>
      <c r="K451" s="72"/>
      <c r="L451" s="93"/>
      <c r="M451" s="93"/>
      <c r="N451" s="93"/>
      <c r="O451" s="93"/>
      <c r="P451" s="93"/>
      <c r="Q451" s="93"/>
      <c r="R451" s="93"/>
      <c r="S451" s="93"/>
      <c r="T451" s="93"/>
      <c r="U451" s="93"/>
      <c r="V451" s="93"/>
      <c r="W451" s="93"/>
      <c r="X451" s="93"/>
      <c r="Y451" s="93"/>
    </row>
    <row r="452" spans="1:25">
      <c r="A452" s="72"/>
      <c r="B452" s="72"/>
      <c r="C452" s="72"/>
      <c r="D452" s="72"/>
      <c r="E452" s="72"/>
      <c r="F452" s="72"/>
      <c r="G452" s="72"/>
      <c r="H452" s="72"/>
      <c r="I452" s="72"/>
      <c r="J452" s="72"/>
      <c r="K452" s="72"/>
      <c r="L452" s="93"/>
      <c r="M452" s="93"/>
      <c r="N452" s="93"/>
      <c r="O452" s="93"/>
      <c r="P452" s="93"/>
      <c r="Q452" s="93"/>
      <c r="R452" s="93"/>
      <c r="S452" s="93"/>
      <c r="T452" s="93"/>
      <c r="U452" s="93"/>
      <c r="V452" s="93"/>
      <c r="W452" s="93"/>
      <c r="X452" s="93"/>
      <c r="Y452" s="93"/>
    </row>
    <row r="453" spans="1:25">
      <c r="A453" s="72"/>
      <c r="B453" s="72"/>
      <c r="C453" s="72"/>
      <c r="D453" s="72"/>
      <c r="E453" s="72"/>
      <c r="F453" s="72"/>
      <c r="G453" s="72"/>
      <c r="H453" s="72"/>
      <c r="I453" s="72"/>
      <c r="J453" s="72"/>
      <c r="K453" s="72"/>
      <c r="L453" s="93"/>
      <c r="M453" s="93"/>
      <c r="N453" s="93"/>
      <c r="O453" s="93"/>
      <c r="P453" s="93"/>
      <c r="Q453" s="93"/>
      <c r="R453" s="93"/>
      <c r="S453" s="93"/>
      <c r="T453" s="93"/>
      <c r="U453" s="93"/>
      <c r="V453" s="93"/>
      <c r="W453" s="93"/>
      <c r="X453" s="93"/>
      <c r="Y453" s="93"/>
    </row>
    <row r="454" spans="1:25">
      <c r="A454" s="72"/>
      <c r="B454" s="72"/>
      <c r="C454" s="72"/>
      <c r="D454" s="72"/>
      <c r="E454" s="72"/>
      <c r="F454" s="72"/>
      <c r="G454" s="72"/>
      <c r="H454" s="72"/>
      <c r="I454" s="72"/>
      <c r="J454" s="72"/>
      <c r="K454" s="72"/>
      <c r="L454" s="93"/>
      <c r="M454" s="93"/>
      <c r="N454" s="93"/>
      <c r="O454" s="93"/>
      <c r="P454" s="93"/>
      <c r="Q454" s="93"/>
      <c r="R454" s="93"/>
      <c r="S454" s="93"/>
      <c r="T454" s="93"/>
      <c r="U454" s="93"/>
      <c r="V454" s="93"/>
      <c r="W454" s="93"/>
      <c r="X454" s="93"/>
      <c r="Y454" s="93"/>
    </row>
    <row r="455" spans="1:25">
      <c r="A455" s="72"/>
      <c r="B455" s="72"/>
      <c r="C455" s="72"/>
      <c r="D455" s="72"/>
      <c r="E455" s="72"/>
      <c r="F455" s="72"/>
      <c r="G455" s="72"/>
      <c r="H455" s="72"/>
      <c r="I455" s="72"/>
      <c r="J455" s="72"/>
      <c r="K455" s="72"/>
      <c r="L455" s="93"/>
      <c r="M455" s="93"/>
      <c r="N455" s="93"/>
      <c r="O455" s="93"/>
      <c r="P455" s="93"/>
      <c r="Q455" s="93"/>
      <c r="R455" s="93"/>
      <c r="S455" s="93"/>
      <c r="T455" s="93"/>
      <c r="U455" s="93"/>
      <c r="V455" s="93"/>
      <c r="W455" s="93"/>
      <c r="X455" s="93"/>
      <c r="Y455" s="93"/>
    </row>
    <row r="456" spans="1:25">
      <c r="A456" s="72"/>
      <c r="B456" s="72"/>
      <c r="C456" s="72"/>
      <c r="D456" s="72"/>
      <c r="E456" s="72"/>
      <c r="F456" s="72"/>
      <c r="G456" s="72"/>
      <c r="H456" s="72"/>
      <c r="I456" s="72"/>
      <c r="J456" s="72"/>
      <c r="K456" s="72"/>
      <c r="L456" s="93"/>
      <c r="M456" s="93"/>
      <c r="N456" s="93"/>
      <c r="O456" s="93"/>
      <c r="P456" s="93"/>
      <c r="Q456" s="93"/>
      <c r="R456" s="93"/>
      <c r="S456" s="93"/>
      <c r="T456" s="93"/>
      <c r="U456" s="93"/>
      <c r="V456" s="93"/>
      <c r="W456" s="93"/>
      <c r="X456" s="93"/>
      <c r="Y456" s="93"/>
    </row>
    <row r="457" spans="1:25">
      <c r="A457" s="72"/>
      <c r="B457" s="72"/>
      <c r="C457" s="72"/>
      <c r="D457" s="72"/>
      <c r="E457" s="72"/>
      <c r="F457" s="72"/>
      <c r="G457" s="72"/>
      <c r="H457" s="72"/>
      <c r="I457" s="72"/>
      <c r="J457" s="72"/>
      <c r="K457" s="72"/>
      <c r="L457" s="93"/>
      <c r="M457" s="93"/>
      <c r="N457" s="93"/>
      <c r="O457" s="93"/>
      <c r="P457" s="93"/>
      <c r="Q457" s="93"/>
      <c r="R457" s="93"/>
      <c r="S457" s="93"/>
      <c r="T457" s="93"/>
      <c r="U457" s="93"/>
      <c r="V457" s="93"/>
      <c r="W457" s="93"/>
      <c r="X457" s="93"/>
      <c r="Y457" s="93"/>
    </row>
    <row r="458" spans="1:25">
      <c r="A458" s="72"/>
      <c r="B458" s="72"/>
      <c r="C458" s="72"/>
      <c r="D458" s="72"/>
      <c r="E458" s="72"/>
      <c r="F458" s="72"/>
      <c r="G458" s="72"/>
      <c r="H458" s="72"/>
      <c r="I458" s="72"/>
      <c r="J458" s="72"/>
      <c r="K458" s="72"/>
      <c r="L458" s="93"/>
      <c r="M458" s="93"/>
      <c r="N458" s="93"/>
      <c r="O458" s="93"/>
      <c r="P458" s="93"/>
      <c r="Q458" s="93"/>
      <c r="R458" s="93"/>
      <c r="S458" s="93"/>
      <c r="T458" s="93"/>
      <c r="U458" s="93"/>
      <c r="V458" s="93"/>
      <c r="W458" s="93"/>
      <c r="X458" s="93"/>
      <c r="Y458" s="93"/>
    </row>
    <row r="459" spans="1:25">
      <c r="A459" s="72"/>
      <c r="B459" s="72"/>
      <c r="C459" s="72"/>
      <c r="D459" s="72"/>
      <c r="E459" s="72"/>
      <c r="F459" s="72"/>
      <c r="G459" s="72"/>
      <c r="H459" s="72"/>
      <c r="I459" s="72"/>
      <c r="J459" s="72"/>
      <c r="K459" s="72"/>
      <c r="L459" s="93"/>
      <c r="M459" s="93"/>
      <c r="N459" s="93"/>
      <c r="O459" s="93"/>
      <c r="P459" s="93"/>
      <c r="Q459" s="93"/>
      <c r="R459" s="93"/>
      <c r="S459" s="93"/>
      <c r="T459" s="93"/>
      <c r="U459" s="93"/>
      <c r="V459" s="93"/>
      <c r="W459" s="93"/>
      <c r="X459" s="93"/>
      <c r="Y459" s="93"/>
    </row>
    <row r="460" spans="1:25">
      <c r="A460" s="72"/>
      <c r="B460" s="72"/>
      <c r="C460" s="72"/>
      <c r="D460" s="72"/>
      <c r="E460" s="72"/>
      <c r="F460" s="72"/>
      <c r="G460" s="72"/>
      <c r="H460" s="72"/>
      <c r="I460" s="72"/>
      <c r="J460" s="72"/>
      <c r="K460" s="72"/>
      <c r="L460" s="93"/>
      <c r="M460" s="93"/>
      <c r="N460" s="93"/>
      <c r="O460" s="93"/>
      <c r="P460" s="93"/>
      <c r="Q460" s="93"/>
      <c r="R460" s="93"/>
      <c r="S460" s="93"/>
      <c r="T460" s="93"/>
      <c r="U460" s="93"/>
      <c r="V460" s="93"/>
      <c r="W460" s="93"/>
      <c r="X460" s="93"/>
      <c r="Y460" s="93"/>
    </row>
    <row r="461" spans="1:25">
      <c r="A461" s="72"/>
      <c r="B461" s="72"/>
      <c r="C461" s="72"/>
      <c r="D461" s="72"/>
      <c r="E461" s="72"/>
      <c r="F461" s="72"/>
      <c r="G461" s="72"/>
      <c r="H461" s="72"/>
      <c r="I461" s="72"/>
      <c r="J461" s="72"/>
      <c r="K461" s="72"/>
      <c r="L461" s="93"/>
      <c r="M461" s="93"/>
      <c r="N461" s="93"/>
      <c r="O461" s="93"/>
      <c r="P461" s="93"/>
      <c r="Q461" s="93"/>
      <c r="R461" s="93"/>
      <c r="S461" s="93"/>
      <c r="T461" s="93"/>
      <c r="U461" s="93"/>
      <c r="V461" s="93"/>
      <c r="W461" s="93"/>
      <c r="X461" s="93"/>
      <c r="Y461" s="93"/>
    </row>
    <row r="462" spans="1:25">
      <c r="A462" s="72"/>
      <c r="B462" s="72"/>
      <c r="C462" s="72"/>
      <c r="D462" s="72"/>
      <c r="E462" s="72"/>
      <c r="F462" s="72"/>
      <c r="G462" s="72"/>
      <c r="H462" s="72"/>
      <c r="I462" s="72"/>
      <c r="J462" s="72"/>
      <c r="K462" s="72"/>
      <c r="L462" s="93"/>
      <c r="M462" s="93"/>
      <c r="N462" s="93"/>
      <c r="O462" s="93"/>
      <c r="P462" s="93"/>
      <c r="Q462" s="93"/>
      <c r="R462" s="93"/>
      <c r="S462" s="93"/>
      <c r="T462" s="93"/>
      <c r="U462" s="93"/>
      <c r="V462" s="93"/>
      <c r="W462" s="93"/>
      <c r="X462" s="93"/>
      <c r="Y462" s="93"/>
    </row>
    <row r="463" spans="1:25">
      <c r="A463" s="72"/>
      <c r="B463" s="72"/>
      <c r="C463" s="72"/>
      <c r="D463" s="72"/>
      <c r="E463" s="72"/>
      <c r="F463" s="72"/>
      <c r="G463" s="72"/>
      <c r="H463" s="72"/>
      <c r="I463" s="72"/>
      <c r="J463" s="72"/>
      <c r="K463" s="72"/>
      <c r="L463" s="93"/>
      <c r="M463" s="93"/>
      <c r="N463" s="93"/>
      <c r="O463" s="93"/>
      <c r="P463" s="93"/>
      <c r="Q463" s="93"/>
      <c r="R463" s="93"/>
      <c r="S463" s="93"/>
      <c r="T463" s="93"/>
      <c r="U463" s="93"/>
      <c r="V463" s="93"/>
      <c r="W463" s="93"/>
      <c r="X463" s="93"/>
      <c r="Y463" s="93"/>
    </row>
    <row r="464" spans="1:25">
      <c r="A464" s="72"/>
      <c r="B464" s="72"/>
      <c r="C464" s="72"/>
      <c r="D464" s="72"/>
      <c r="E464" s="72"/>
      <c r="F464" s="72"/>
      <c r="G464" s="72"/>
      <c r="H464" s="72"/>
      <c r="I464" s="72"/>
      <c r="J464" s="72"/>
      <c r="K464" s="72"/>
      <c r="L464" s="93"/>
      <c r="M464" s="93"/>
      <c r="N464" s="93"/>
      <c r="O464" s="93"/>
      <c r="P464" s="93"/>
      <c r="Q464" s="93"/>
      <c r="R464" s="93"/>
      <c r="S464" s="93"/>
      <c r="T464" s="93"/>
      <c r="U464" s="93"/>
      <c r="V464" s="93"/>
      <c r="W464" s="93"/>
      <c r="X464" s="93"/>
      <c r="Y464" s="93"/>
    </row>
    <row r="465" spans="1:25">
      <c r="A465" s="72"/>
      <c r="B465" s="72"/>
      <c r="C465" s="72"/>
      <c r="D465" s="72"/>
      <c r="E465" s="72"/>
      <c r="F465" s="72"/>
      <c r="G465" s="72"/>
      <c r="H465" s="72"/>
      <c r="I465" s="72"/>
      <c r="J465" s="72"/>
      <c r="K465" s="72"/>
      <c r="L465" s="93"/>
      <c r="M465" s="93"/>
      <c r="N465" s="93"/>
      <c r="O465" s="93"/>
      <c r="P465" s="93"/>
      <c r="Q465" s="93"/>
      <c r="R465" s="93"/>
      <c r="S465" s="93"/>
      <c r="T465" s="93"/>
      <c r="U465" s="93"/>
      <c r="V465" s="93"/>
      <c r="W465" s="93"/>
      <c r="X465" s="93"/>
      <c r="Y465" s="93"/>
    </row>
    <row r="466" spans="1:25">
      <c r="A466" s="72"/>
      <c r="B466" s="72"/>
      <c r="C466" s="72"/>
      <c r="D466" s="72"/>
      <c r="E466" s="72"/>
      <c r="F466" s="72"/>
      <c r="G466" s="72"/>
      <c r="H466" s="72"/>
      <c r="I466" s="72"/>
      <c r="J466" s="72"/>
      <c r="K466" s="72"/>
      <c r="L466" s="93"/>
      <c r="M466" s="93"/>
      <c r="N466" s="93"/>
      <c r="O466" s="93"/>
      <c r="P466" s="93"/>
      <c r="Q466" s="93"/>
      <c r="R466" s="93"/>
      <c r="S466" s="93"/>
      <c r="T466" s="93"/>
      <c r="U466" s="93"/>
      <c r="V466" s="93"/>
      <c r="W466" s="93"/>
      <c r="X466" s="93"/>
      <c r="Y466" s="93"/>
    </row>
    <row r="467" spans="1:25">
      <c r="A467" s="72"/>
      <c r="B467" s="72"/>
      <c r="C467" s="72"/>
      <c r="D467" s="72"/>
      <c r="E467" s="72"/>
      <c r="F467" s="72"/>
      <c r="G467" s="72"/>
      <c r="H467" s="72"/>
      <c r="I467" s="72"/>
      <c r="J467" s="72"/>
      <c r="K467" s="72"/>
      <c r="L467" s="93"/>
      <c r="M467" s="93"/>
      <c r="N467" s="93"/>
      <c r="O467" s="93"/>
      <c r="P467" s="93"/>
      <c r="Q467" s="93"/>
      <c r="R467" s="93"/>
      <c r="S467" s="93"/>
      <c r="T467" s="93"/>
      <c r="U467" s="93"/>
      <c r="V467" s="93"/>
      <c r="W467" s="93"/>
      <c r="X467" s="93"/>
      <c r="Y467" s="93"/>
    </row>
    <row r="468" spans="1:25">
      <c r="A468" s="72"/>
      <c r="B468" s="72"/>
      <c r="C468" s="72"/>
      <c r="D468" s="72"/>
      <c r="E468" s="72"/>
      <c r="F468" s="72"/>
      <c r="G468" s="72"/>
      <c r="H468" s="72"/>
      <c r="I468" s="72"/>
      <c r="J468" s="72"/>
      <c r="K468" s="72"/>
      <c r="L468" s="93"/>
      <c r="M468" s="93"/>
      <c r="N468" s="93"/>
      <c r="O468" s="93"/>
      <c r="P468" s="93"/>
      <c r="Q468" s="93"/>
      <c r="R468" s="93"/>
      <c r="S468" s="93"/>
      <c r="T468" s="93"/>
      <c r="U468" s="93"/>
      <c r="V468" s="93"/>
      <c r="W468" s="93"/>
      <c r="X468" s="93"/>
      <c r="Y468" s="93"/>
    </row>
    <row r="469" spans="1:25">
      <c r="A469" s="72"/>
      <c r="B469" s="72"/>
      <c r="C469" s="72"/>
      <c r="D469" s="72"/>
      <c r="E469" s="72"/>
      <c r="F469" s="72"/>
      <c r="G469" s="72"/>
      <c r="H469" s="72"/>
      <c r="I469" s="72"/>
      <c r="J469" s="72"/>
      <c r="K469" s="72"/>
      <c r="L469" s="93"/>
      <c r="M469" s="93"/>
      <c r="N469" s="93"/>
      <c r="O469" s="93"/>
      <c r="P469" s="93"/>
      <c r="Q469" s="93"/>
      <c r="R469" s="93"/>
      <c r="S469" s="93"/>
      <c r="T469" s="93"/>
      <c r="U469" s="93"/>
      <c r="V469" s="93"/>
      <c r="W469" s="93"/>
      <c r="X469" s="93"/>
      <c r="Y469" s="93"/>
    </row>
    <row r="470" spans="1:25">
      <c r="A470" s="72"/>
      <c r="B470" s="72"/>
      <c r="C470" s="72"/>
      <c r="D470" s="72"/>
      <c r="E470" s="72"/>
      <c r="F470" s="72"/>
      <c r="G470" s="72"/>
      <c r="H470" s="72"/>
      <c r="I470" s="72"/>
      <c r="J470" s="72"/>
      <c r="K470" s="72"/>
      <c r="L470" s="93"/>
      <c r="M470" s="93"/>
      <c r="N470" s="93"/>
      <c r="O470" s="93"/>
      <c r="P470" s="93"/>
      <c r="Q470" s="93"/>
      <c r="R470" s="93"/>
      <c r="S470" s="93"/>
      <c r="T470" s="93"/>
      <c r="U470" s="93"/>
      <c r="V470" s="93"/>
      <c r="W470" s="93"/>
      <c r="X470" s="93"/>
      <c r="Y470" s="93"/>
    </row>
    <row r="471" spans="1:25">
      <c r="A471" s="72"/>
      <c r="B471" s="72"/>
      <c r="C471" s="72"/>
      <c r="D471" s="72"/>
      <c r="E471" s="72"/>
      <c r="F471" s="72"/>
      <c r="G471" s="72"/>
      <c r="H471" s="72"/>
      <c r="I471" s="72"/>
      <c r="J471" s="72"/>
      <c r="K471" s="72"/>
      <c r="L471" s="93"/>
      <c r="M471" s="93"/>
      <c r="N471" s="93"/>
      <c r="O471" s="93"/>
      <c r="P471" s="93"/>
      <c r="Q471" s="93"/>
      <c r="R471" s="93"/>
      <c r="S471" s="93"/>
      <c r="T471" s="93"/>
      <c r="U471" s="93"/>
      <c r="V471" s="93"/>
      <c r="W471" s="93"/>
      <c r="X471" s="93"/>
      <c r="Y471" s="93"/>
    </row>
    <row r="472" spans="1:25">
      <c r="A472" s="72"/>
      <c r="B472" s="72"/>
      <c r="C472" s="72"/>
      <c r="D472" s="72"/>
      <c r="E472" s="72"/>
      <c r="F472" s="72"/>
      <c r="G472" s="72"/>
      <c r="H472" s="72"/>
      <c r="I472" s="72"/>
      <c r="J472" s="72"/>
      <c r="K472" s="72"/>
      <c r="L472" s="93"/>
      <c r="M472" s="93"/>
      <c r="N472" s="93"/>
      <c r="O472" s="93"/>
      <c r="P472" s="93"/>
      <c r="Q472" s="93"/>
      <c r="R472" s="93"/>
      <c r="S472" s="93"/>
      <c r="T472" s="93"/>
      <c r="U472" s="93"/>
      <c r="V472" s="93"/>
      <c r="W472" s="93"/>
      <c r="X472" s="93"/>
      <c r="Y472" s="93"/>
    </row>
    <row r="473" spans="1:25">
      <c r="A473" s="72"/>
      <c r="B473" s="72"/>
      <c r="C473" s="72"/>
      <c r="D473" s="72"/>
      <c r="E473" s="72"/>
      <c r="F473" s="72"/>
      <c r="G473" s="72"/>
      <c r="H473" s="72"/>
      <c r="I473" s="72"/>
      <c r="J473" s="72"/>
      <c r="K473" s="72"/>
      <c r="L473" s="93"/>
      <c r="M473" s="93"/>
      <c r="N473" s="93"/>
      <c r="O473" s="93"/>
      <c r="P473" s="93"/>
      <c r="Q473" s="93"/>
      <c r="R473" s="93"/>
      <c r="S473" s="93"/>
      <c r="T473" s="93"/>
      <c r="U473" s="93"/>
      <c r="V473" s="93"/>
      <c r="W473" s="93"/>
      <c r="X473" s="93"/>
      <c r="Y473" s="93"/>
    </row>
    <row r="474" spans="1:25">
      <c r="A474" s="72"/>
      <c r="B474" s="72"/>
      <c r="C474" s="72"/>
      <c r="D474" s="72"/>
      <c r="E474" s="72"/>
      <c r="F474" s="72"/>
      <c r="G474" s="72"/>
      <c r="H474" s="72"/>
      <c r="I474" s="72"/>
      <c r="J474" s="72"/>
      <c r="K474" s="72"/>
      <c r="L474" s="93"/>
      <c r="M474" s="93"/>
      <c r="N474" s="93"/>
      <c r="O474" s="93"/>
      <c r="P474" s="93"/>
      <c r="Q474" s="93"/>
      <c r="R474" s="93"/>
      <c r="S474" s="93"/>
      <c r="T474" s="93"/>
      <c r="U474" s="93"/>
      <c r="V474" s="93"/>
      <c r="W474" s="93"/>
      <c r="X474" s="93"/>
      <c r="Y474" s="93"/>
    </row>
    <row r="475" spans="1:25">
      <c r="A475" s="72"/>
      <c r="B475" s="72"/>
      <c r="C475" s="72"/>
      <c r="D475" s="72"/>
      <c r="E475" s="72"/>
      <c r="F475" s="72"/>
      <c r="G475" s="72"/>
      <c r="H475" s="72"/>
      <c r="I475" s="72"/>
      <c r="J475" s="72"/>
      <c r="K475" s="72"/>
      <c r="L475" s="93"/>
      <c r="M475" s="93"/>
      <c r="N475" s="93"/>
      <c r="O475" s="93"/>
      <c r="P475" s="93"/>
      <c r="Q475" s="93"/>
      <c r="R475" s="93"/>
      <c r="S475" s="93"/>
      <c r="T475" s="93"/>
      <c r="U475" s="93"/>
      <c r="V475" s="93"/>
      <c r="W475" s="93"/>
      <c r="X475" s="93"/>
      <c r="Y475" s="93"/>
    </row>
    <row r="476" spans="1:25">
      <c r="A476" s="72"/>
      <c r="B476" s="72"/>
      <c r="C476" s="72"/>
      <c r="D476" s="72"/>
      <c r="E476" s="72"/>
      <c r="F476" s="72"/>
      <c r="G476" s="72"/>
      <c r="H476" s="72"/>
      <c r="I476" s="72"/>
      <c r="J476" s="72"/>
      <c r="K476" s="72"/>
      <c r="L476" s="93"/>
      <c r="M476" s="93"/>
      <c r="N476" s="93"/>
      <c r="O476" s="93"/>
      <c r="P476" s="93"/>
      <c r="Q476" s="93"/>
      <c r="R476" s="93"/>
      <c r="S476" s="93"/>
      <c r="T476" s="93"/>
      <c r="U476" s="93"/>
      <c r="V476" s="93"/>
      <c r="W476" s="93"/>
      <c r="X476" s="93"/>
      <c r="Y476" s="93"/>
    </row>
    <row r="477" spans="1:25">
      <c r="A477" s="72"/>
      <c r="B477" s="72"/>
      <c r="C477" s="72"/>
      <c r="D477" s="72"/>
      <c r="E477" s="72"/>
      <c r="F477" s="72"/>
      <c r="G477" s="72"/>
      <c r="H477" s="72"/>
      <c r="I477" s="72"/>
      <c r="J477" s="72"/>
      <c r="K477" s="72"/>
      <c r="L477" s="93"/>
      <c r="M477" s="93"/>
      <c r="N477" s="93"/>
      <c r="O477" s="93"/>
      <c r="P477" s="93"/>
      <c r="Q477" s="93"/>
      <c r="R477" s="93"/>
      <c r="S477" s="93"/>
      <c r="T477" s="93"/>
      <c r="U477" s="93"/>
      <c r="V477" s="93"/>
      <c r="W477" s="93"/>
      <c r="X477" s="93"/>
      <c r="Y477" s="93"/>
    </row>
    <row r="478" spans="1:25">
      <c r="A478" s="72"/>
      <c r="B478" s="72"/>
      <c r="C478" s="72"/>
      <c r="D478" s="72"/>
      <c r="E478" s="72"/>
      <c r="F478" s="72"/>
      <c r="G478" s="72"/>
      <c r="H478" s="72"/>
      <c r="I478" s="72"/>
      <c r="J478" s="72"/>
      <c r="K478" s="72"/>
      <c r="L478" s="93"/>
      <c r="M478" s="93"/>
      <c r="N478" s="93"/>
      <c r="O478" s="93"/>
      <c r="P478" s="93"/>
      <c r="Q478" s="93"/>
      <c r="R478" s="93"/>
      <c r="S478" s="93"/>
      <c r="T478" s="93"/>
      <c r="U478" s="93"/>
      <c r="V478" s="93"/>
      <c r="W478" s="93"/>
      <c r="X478" s="93"/>
      <c r="Y478" s="93"/>
    </row>
    <row r="479" spans="1:25">
      <c r="A479" s="72"/>
      <c r="B479" s="72"/>
      <c r="C479" s="72"/>
      <c r="D479" s="72"/>
      <c r="E479" s="72"/>
      <c r="F479" s="72"/>
      <c r="G479" s="72"/>
      <c r="H479" s="72"/>
      <c r="I479" s="72"/>
      <c r="J479" s="72"/>
      <c r="K479" s="72"/>
      <c r="L479" s="93"/>
      <c r="M479" s="93"/>
      <c r="N479" s="93"/>
      <c r="O479" s="93"/>
      <c r="P479" s="93"/>
      <c r="Q479" s="93"/>
      <c r="R479" s="93"/>
      <c r="S479" s="93"/>
      <c r="T479" s="93"/>
      <c r="U479" s="93"/>
      <c r="V479" s="93"/>
      <c r="W479" s="93"/>
      <c r="X479" s="93"/>
      <c r="Y479" s="93"/>
    </row>
    <row r="480" spans="1:25">
      <c r="A480" s="72"/>
      <c r="B480" s="72"/>
      <c r="C480" s="72"/>
      <c r="D480" s="72"/>
      <c r="E480" s="72"/>
      <c r="F480" s="72"/>
      <c r="G480" s="72"/>
      <c r="H480" s="72"/>
      <c r="I480" s="72"/>
      <c r="J480" s="72"/>
      <c r="K480" s="72"/>
      <c r="L480" s="93"/>
      <c r="M480" s="93"/>
      <c r="N480" s="93"/>
      <c r="O480" s="93"/>
      <c r="P480" s="93"/>
      <c r="Q480" s="93"/>
      <c r="R480" s="93"/>
      <c r="S480" s="93"/>
      <c r="T480" s="93"/>
      <c r="U480" s="93"/>
      <c r="V480" s="93"/>
      <c r="W480" s="93"/>
      <c r="X480" s="93"/>
      <c r="Y480" s="93"/>
    </row>
    <row r="481" spans="1:25">
      <c r="A481" s="72"/>
      <c r="B481" s="72"/>
      <c r="C481" s="72"/>
      <c r="D481" s="72"/>
      <c r="E481" s="72"/>
      <c r="F481" s="72"/>
      <c r="G481" s="72"/>
      <c r="H481" s="72"/>
      <c r="I481" s="72"/>
      <c r="J481" s="72"/>
      <c r="K481" s="72"/>
      <c r="L481" s="93"/>
      <c r="M481" s="93"/>
      <c r="N481" s="93"/>
      <c r="O481" s="93"/>
      <c r="P481" s="93"/>
      <c r="Q481" s="93"/>
      <c r="R481" s="93"/>
      <c r="S481" s="93"/>
      <c r="T481" s="93"/>
      <c r="U481" s="93"/>
      <c r="V481" s="93"/>
      <c r="W481" s="93"/>
      <c r="X481" s="93"/>
      <c r="Y481" s="93"/>
    </row>
    <row r="482" spans="1:25">
      <c r="A482" s="72"/>
      <c r="B482" s="72"/>
      <c r="C482" s="72"/>
      <c r="D482" s="72"/>
      <c r="E482" s="72"/>
      <c r="F482" s="72"/>
      <c r="G482" s="72"/>
      <c r="H482" s="72"/>
      <c r="I482" s="72"/>
      <c r="J482" s="72"/>
      <c r="K482" s="72"/>
      <c r="L482" s="93"/>
      <c r="M482" s="93"/>
      <c r="N482" s="93"/>
      <c r="O482" s="93"/>
      <c r="P482" s="93"/>
      <c r="Q482" s="93"/>
      <c r="R482" s="93"/>
      <c r="S482" s="93"/>
      <c r="T482" s="93"/>
      <c r="U482" s="93"/>
      <c r="V482" s="93"/>
      <c r="W482" s="93"/>
      <c r="X482" s="93"/>
      <c r="Y482" s="93"/>
    </row>
    <row r="483" spans="1:25">
      <c r="A483" s="72"/>
      <c r="B483" s="72"/>
      <c r="C483" s="72"/>
      <c r="D483" s="72"/>
      <c r="E483" s="72"/>
      <c r="F483" s="72"/>
      <c r="G483" s="72"/>
      <c r="H483" s="72"/>
      <c r="I483" s="72"/>
      <c r="J483" s="72"/>
      <c r="K483" s="72"/>
      <c r="L483" s="93"/>
      <c r="M483" s="93"/>
      <c r="N483" s="93"/>
      <c r="O483" s="93"/>
      <c r="P483" s="93"/>
      <c r="Q483" s="93"/>
      <c r="R483" s="93"/>
      <c r="S483" s="93"/>
      <c r="T483" s="93"/>
      <c r="U483" s="93"/>
      <c r="V483" s="93"/>
      <c r="W483" s="93"/>
      <c r="X483" s="93"/>
      <c r="Y483" s="93"/>
    </row>
    <row r="484" spans="1:25">
      <c r="A484" s="72"/>
      <c r="B484" s="72"/>
      <c r="C484" s="72"/>
      <c r="D484" s="72"/>
      <c r="E484" s="72"/>
      <c r="F484" s="72"/>
      <c r="G484" s="72"/>
      <c r="H484" s="72"/>
      <c r="I484" s="72"/>
      <c r="J484" s="72"/>
      <c r="K484" s="72"/>
      <c r="L484" s="93"/>
      <c r="M484" s="93"/>
      <c r="N484" s="93"/>
      <c r="O484" s="93"/>
      <c r="P484" s="93"/>
      <c r="Q484" s="93"/>
      <c r="R484" s="93"/>
      <c r="S484" s="93"/>
      <c r="T484" s="93"/>
      <c r="U484" s="93"/>
      <c r="V484" s="93"/>
      <c r="W484" s="93"/>
      <c r="X484" s="93"/>
      <c r="Y484" s="93"/>
    </row>
    <row r="485" spans="1:25">
      <c r="A485" s="72"/>
      <c r="B485" s="72"/>
      <c r="C485" s="72"/>
      <c r="D485" s="72"/>
      <c r="E485" s="72"/>
      <c r="F485" s="72"/>
      <c r="G485" s="72"/>
      <c r="H485" s="72"/>
      <c r="I485" s="72"/>
      <c r="J485" s="72"/>
      <c r="K485" s="72"/>
      <c r="L485" s="93"/>
      <c r="M485" s="93"/>
      <c r="N485" s="93"/>
      <c r="O485" s="93"/>
      <c r="P485" s="93"/>
      <c r="Q485" s="93"/>
      <c r="R485" s="93"/>
      <c r="S485" s="93"/>
      <c r="T485" s="93"/>
      <c r="U485" s="93"/>
      <c r="V485" s="93"/>
      <c r="W485" s="93"/>
      <c r="X485" s="93"/>
      <c r="Y485" s="93"/>
    </row>
    <row r="486" spans="1:25">
      <c r="A486" s="72"/>
      <c r="B486" s="72"/>
      <c r="C486" s="72"/>
      <c r="D486" s="72"/>
      <c r="E486" s="72"/>
      <c r="F486" s="72"/>
      <c r="G486" s="72"/>
      <c r="H486" s="72"/>
      <c r="I486" s="72"/>
      <c r="J486" s="72"/>
      <c r="K486" s="72"/>
      <c r="L486" s="93"/>
      <c r="M486" s="93"/>
      <c r="N486" s="93"/>
      <c r="O486" s="93"/>
      <c r="P486" s="93"/>
      <c r="Q486" s="93"/>
      <c r="R486" s="93"/>
      <c r="S486" s="93"/>
      <c r="T486" s="93"/>
      <c r="U486" s="93"/>
      <c r="V486" s="93"/>
      <c r="W486" s="93"/>
      <c r="X486" s="93"/>
      <c r="Y486" s="93"/>
    </row>
    <row r="487" spans="1:25">
      <c r="A487" s="72"/>
      <c r="B487" s="72"/>
      <c r="C487" s="72"/>
      <c r="D487" s="72"/>
      <c r="E487" s="72"/>
      <c r="F487" s="72"/>
      <c r="G487" s="72"/>
      <c r="H487" s="72"/>
      <c r="I487" s="72"/>
      <c r="J487" s="72"/>
      <c r="K487" s="72"/>
      <c r="L487" s="93"/>
      <c r="M487" s="93"/>
      <c r="N487" s="93"/>
      <c r="O487" s="93"/>
      <c r="P487" s="93"/>
      <c r="Q487" s="93"/>
      <c r="R487" s="93"/>
      <c r="S487" s="93"/>
      <c r="T487" s="93"/>
      <c r="U487" s="93"/>
      <c r="V487" s="93"/>
      <c r="W487" s="93"/>
      <c r="X487" s="93"/>
      <c r="Y487" s="93"/>
    </row>
    <row r="488" spans="1:25">
      <c r="A488" s="72"/>
      <c r="B488" s="72"/>
      <c r="C488" s="72"/>
      <c r="D488" s="72"/>
      <c r="E488" s="72"/>
      <c r="F488" s="72"/>
      <c r="G488" s="72"/>
      <c r="H488" s="72"/>
      <c r="I488" s="72"/>
      <c r="J488" s="72"/>
      <c r="K488" s="72"/>
      <c r="L488" s="93"/>
      <c r="M488" s="93"/>
      <c r="N488" s="93"/>
      <c r="O488" s="93"/>
      <c r="P488" s="93"/>
      <c r="Q488" s="93"/>
      <c r="R488" s="93"/>
      <c r="S488" s="93"/>
      <c r="T488" s="93"/>
      <c r="U488" s="93"/>
      <c r="V488" s="93"/>
      <c r="W488" s="93"/>
      <c r="X488" s="93"/>
      <c r="Y488" s="93"/>
    </row>
    <row r="489" spans="1:25">
      <c r="A489" s="72"/>
      <c r="B489" s="72"/>
      <c r="C489" s="72"/>
      <c r="D489" s="72"/>
      <c r="E489" s="72"/>
      <c r="F489" s="72"/>
      <c r="G489" s="72"/>
      <c r="H489" s="72"/>
      <c r="I489" s="72"/>
      <c r="J489" s="72"/>
      <c r="K489" s="72"/>
      <c r="L489" s="93"/>
      <c r="M489" s="93"/>
      <c r="N489" s="93"/>
      <c r="O489" s="93"/>
      <c r="P489" s="93"/>
      <c r="Q489" s="93"/>
      <c r="R489" s="93"/>
      <c r="S489" s="93"/>
      <c r="T489" s="93"/>
      <c r="U489" s="93"/>
      <c r="V489" s="93"/>
      <c r="W489" s="93"/>
      <c r="X489" s="93"/>
      <c r="Y489" s="93"/>
    </row>
    <row r="490" spans="1:25">
      <c r="A490" s="72"/>
      <c r="B490" s="72"/>
      <c r="C490" s="72"/>
      <c r="D490" s="72"/>
      <c r="E490" s="72"/>
      <c r="F490" s="72"/>
      <c r="G490" s="72"/>
      <c r="H490" s="72"/>
      <c r="I490" s="72"/>
      <c r="J490" s="72"/>
      <c r="K490" s="72"/>
      <c r="L490" s="93"/>
      <c r="M490" s="93"/>
      <c r="N490" s="93"/>
      <c r="O490" s="93"/>
      <c r="P490" s="93"/>
      <c r="Q490" s="93"/>
      <c r="R490" s="93"/>
      <c r="S490" s="93"/>
      <c r="T490" s="93"/>
      <c r="U490" s="93"/>
      <c r="V490" s="93"/>
      <c r="W490" s="93"/>
      <c r="X490" s="93"/>
      <c r="Y490" s="93"/>
    </row>
    <row r="491" spans="1:25">
      <c r="A491" s="72"/>
      <c r="B491" s="72"/>
      <c r="C491" s="72"/>
      <c r="D491" s="72"/>
      <c r="E491" s="72"/>
      <c r="F491" s="72"/>
      <c r="G491" s="72"/>
      <c r="H491" s="72"/>
      <c r="I491" s="72"/>
      <c r="J491" s="72"/>
      <c r="K491" s="72"/>
      <c r="L491" s="93"/>
      <c r="M491" s="93"/>
      <c r="N491" s="93"/>
      <c r="O491" s="93"/>
      <c r="P491" s="93"/>
      <c r="Q491" s="93"/>
      <c r="R491" s="93"/>
      <c r="S491" s="93"/>
      <c r="T491" s="93"/>
      <c r="U491" s="93"/>
      <c r="V491" s="93"/>
      <c r="W491" s="93"/>
      <c r="X491" s="93"/>
      <c r="Y491" s="93"/>
    </row>
    <row r="492" spans="1:25">
      <c r="A492" s="72"/>
      <c r="B492" s="72"/>
      <c r="C492" s="72"/>
      <c r="D492" s="72"/>
      <c r="E492" s="72"/>
      <c r="F492" s="72"/>
      <c r="G492" s="72"/>
      <c r="H492" s="72"/>
      <c r="I492" s="72"/>
      <c r="J492" s="72"/>
      <c r="K492" s="72"/>
      <c r="L492" s="93"/>
      <c r="M492" s="93"/>
      <c r="N492" s="93"/>
      <c r="O492" s="93"/>
      <c r="P492" s="93"/>
      <c r="Q492" s="93"/>
      <c r="R492" s="93"/>
      <c r="S492" s="93"/>
      <c r="T492" s="93"/>
      <c r="U492" s="93"/>
      <c r="V492" s="93"/>
      <c r="W492" s="93"/>
      <c r="X492" s="93"/>
      <c r="Y492" s="93"/>
    </row>
    <row r="493" spans="1:25">
      <c r="A493" s="72"/>
      <c r="B493" s="72"/>
      <c r="C493" s="72"/>
      <c r="D493" s="72"/>
      <c r="E493" s="72"/>
      <c r="F493" s="72"/>
      <c r="G493" s="72"/>
      <c r="H493" s="72"/>
      <c r="I493" s="72"/>
      <c r="J493" s="72"/>
      <c r="K493" s="72"/>
      <c r="L493" s="93"/>
      <c r="M493" s="93"/>
      <c r="N493" s="93"/>
      <c r="O493" s="93"/>
      <c r="P493" s="93"/>
      <c r="Q493" s="93"/>
      <c r="R493" s="93"/>
      <c r="S493" s="93"/>
      <c r="T493" s="93"/>
      <c r="U493" s="93"/>
      <c r="V493" s="93"/>
      <c r="W493" s="93"/>
      <c r="X493" s="93"/>
      <c r="Y493" s="93"/>
    </row>
    <row r="494" spans="1:25">
      <c r="A494" s="72"/>
      <c r="B494" s="72"/>
      <c r="C494" s="72"/>
      <c r="D494" s="72"/>
      <c r="E494" s="72"/>
      <c r="F494" s="72"/>
      <c r="G494" s="72"/>
      <c r="H494" s="72"/>
      <c r="I494" s="72"/>
      <c r="J494" s="72"/>
      <c r="K494" s="72"/>
      <c r="L494" s="93"/>
      <c r="M494" s="93"/>
      <c r="N494" s="93"/>
      <c r="O494" s="93"/>
      <c r="P494" s="93"/>
      <c r="Q494" s="93"/>
      <c r="R494" s="93"/>
      <c r="S494" s="93"/>
      <c r="T494" s="93"/>
      <c r="U494" s="93"/>
      <c r="V494" s="93"/>
      <c r="W494" s="93"/>
      <c r="X494" s="93"/>
      <c r="Y494" s="93"/>
    </row>
    <row r="495" spans="1:25">
      <c r="A495" s="72"/>
      <c r="B495" s="72"/>
      <c r="C495" s="72"/>
      <c r="D495" s="72"/>
      <c r="E495" s="72"/>
      <c r="F495" s="72"/>
      <c r="G495" s="72"/>
      <c r="H495" s="72"/>
      <c r="I495" s="72"/>
      <c r="J495" s="72"/>
      <c r="K495" s="72"/>
      <c r="L495" s="93"/>
      <c r="M495" s="93"/>
      <c r="N495" s="93"/>
      <c r="O495" s="93"/>
      <c r="P495" s="93"/>
      <c r="Q495" s="93"/>
      <c r="R495" s="93"/>
      <c r="S495" s="93"/>
      <c r="T495" s="93"/>
      <c r="U495" s="93"/>
      <c r="V495" s="93"/>
      <c r="W495" s="93"/>
      <c r="X495" s="93"/>
      <c r="Y495" s="93"/>
    </row>
    <row r="496" spans="1:25">
      <c r="A496" s="72"/>
      <c r="B496" s="72"/>
      <c r="C496" s="72"/>
      <c r="D496" s="72"/>
      <c r="E496" s="72"/>
      <c r="F496" s="72"/>
      <c r="G496" s="72"/>
      <c r="H496" s="72"/>
      <c r="I496" s="72"/>
      <c r="J496" s="72"/>
      <c r="K496" s="72"/>
      <c r="L496" s="93"/>
      <c r="M496" s="93"/>
      <c r="N496" s="93"/>
      <c r="O496" s="93"/>
      <c r="P496" s="93"/>
      <c r="Q496" s="93"/>
      <c r="R496" s="93"/>
      <c r="S496" s="93"/>
      <c r="T496" s="93"/>
      <c r="U496" s="93"/>
      <c r="V496" s="93"/>
      <c r="W496" s="93"/>
      <c r="X496" s="93"/>
      <c r="Y496" s="93"/>
    </row>
    <row r="497" spans="1:25">
      <c r="A497" s="72"/>
      <c r="B497" s="72"/>
      <c r="C497" s="72"/>
      <c r="D497" s="72"/>
      <c r="E497" s="72"/>
      <c r="F497" s="72"/>
      <c r="G497" s="72"/>
      <c r="H497" s="72"/>
      <c r="I497" s="72"/>
      <c r="J497" s="72"/>
      <c r="K497" s="72"/>
      <c r="L497" s="93"/>
      <c r="M497" s="93"/>
      <c r="N497" s="93"/>
      <c r="O497" s="93"/>
      <c r="P497" s="93"/>
      <c r="Q497" s="93"/>
      <c r="R497" s="93"/>
      <c r="S497" s="93"/>
      <c r="T497" s="93"/>
      <c r="U497" s="93"/>
      <c r="V497" s="93"/>
      <c r="W497" s="93"/>
      <c r="X497" s="93"/>
      <c r="Y497" s="93"/>
    </row>
    <row r="498" spans="1:25">
      <c r="A498" s="72"/>
      <c r="B498" s="72"/>
      <c r="C498" s="72"/>
      <c r="D498" s="72"/>
      <c r="E498" s="72"/>
      <c r="F498" s="72"/>
      <c r="G498" s="72"/>
      <c r="H498" s="72"/>
      <c r="I498" s="72"/>
      <c r="J498" s="72"/>
      <c r="K498" s="72"/>
      <c r="L498" s="93"/>
      <c r="M498" s="93"/>
      <c r="N498" s="93"/>
      <c r="O498" s="93"/>
      <c r="P498" s="93"/>
      <c r="Q498" s="93"/>
      <c r="R498" s="93"/>
      <c r="S498" s="93"/>
      <c r="T498" s="93"/>
      <c r="U498" s="93"/>
      <c r="V498" s="93"/>
      <c r="W498" s="93"/>
      <c r="X498" s="93"/>
      <c r="Y498" s="93"/>
    </row>
    <row r="499" spans="1:25">
      <c r="A499" s="72"/>
      <c r="B499" s="72"/>
      <c r="C499" s="72"/>
      <c r="D499" s="72"/>
      <c r="E499" s="72"/>
      <c r="F499" s="72"/>
      <c r="G499" s="72"/>
      <c r="H499" s="72"/>
      <c r="I499" s="72"/>
      <c r="J499" s="72"/>
      <c r="K499" s="72"/>
      <c r="L499" s="93"/>
      <c r="M499" s="93"/>
      <c r="N499" s="93"/>
      <c r="O499" s="93"/>
      <c r="P499" s="93"/>
      <c r="Q499" s="93"/>
      <c r="R499" s="93"/>
      <c r="S499" s="93"/>
      <c r="T499" s="93"/>
      <c r="U499" s="93"/>
      <c r="V499" s="93"/>
      <c r="W499" s="93"/>
      <c r="X499" s="93"/>
      <c r="Y499" s="93"/>
    </row>
    <row r="500" spans="1:25">
      <c r="A500" s="72"/>
      <c r="B500" s="72"/>
      <c r="C500" s="72"/>
      <c r="D500" s="72"/>
      <c r="E500" s="72"/>
      <c r="F500" s="72"/>
      <c r="G500" s="72"/>
      <c r="H500" s="72"/>
      <c r="I500" s="72"/>
      <c r="J500" s="72"/>
      <c r="K500" s="72"/>
      <c r="L500" s="93"/>
      <c r="M500" s="93"/>
      <c r="N500" s="93"/>
      <c r="O500" s="93"/>
      <c r="P500" s="93"/>
      <c r="Q500" s="93"/>
      <c r="R500" s="93"/>
      <c r="S500" s="93"/>
      <c r="T500" s="93"/>
      <c r="U500" s="93"/>
      <c r="V500" s="93"/>
      <c r="W500" s="93"/>
      <c r="X500" s="93"/>
      <c r="Y500" s="93"/>
    </row>
    <row r="501" spans="1:25">
      <c r="A501" s="72"/>
      <c r="B501" s="72"/>
      <c r="C501" s="72"/>
      <c r="D501" s="72"/>
      <c r="E501" s="72"/>
      <c r="F501" s="72"/>
      <c r="G501" s="72"/>
      <c r="H501" s="72"/>
      <c r="I501" s="72"/>
      <c r="J501" s="72"/>
      <c r="K501" s="72"/>
      <c r="L501" s="93"/>
      <c r="M501" s="93"/>
      <c r="N501" s="93"/>
      <c r="O501" s="93"/>
      <c r="P501" s="93"/>
      <c r="Q501" s="93"/>
      <c r="R501" s="93"/>
      <c r="S501" s="93"/>
      <c r="T501" s="93"/>
      <c r="U501" s="93"/>
      <c r="V501" s="93"/>
      <c r="W501" s="93"/>
      <c r="X501" s="93"/>
      <c r="Y501" s="93"/>
    </row>
    <row r="502" spans="1:25">
      <c r="A502" s="72"/>
      <c r="B502" s="72"/>
      <c r="C502" s="72"/>
      <c r="D502" s="72"/>
      <c r="E502" s="72"/>
      <c r="F502" s="72"/>
      <c r="G502" s="72"/>
      <c r="H502" s="72"/>
      <c r="I502" s="72"/>
      <c r="J502" s="72"/>
      <c r="K502" s="72"/>
      <c r="L502" s="93"/>
      <c r="M502" s="93"/>
      <c r="N502" s="93"/>
      <c r="O502" s="93"/>
      <c r="P502" s="93"/>
      <c r="Q502" s="93"/>
      <c r="R502" s="93"/>
      <c r="S502" s="93"/>
      <c r="T502" s="93"/>
      <c r="U502" s="93"/>
      <c r="V502" s="93"/>
      <c r="W502" s="93"/>
      <c r="X502" s="93"/>
      <c r="Y502" s="93"/>
    </row>
    <row r="503" spans="1:25">
      <c r="A503" s="72"/>
      <c r="B503" s="72"/>
      <c r="C503" s="72"/>
      <c r="D503" s="72"/>
      <c r="E503" s="72"/>
      <c r="F503" s="72"/>
      <c r="G503" s="72"/>
      <c r="H503" s="72"/>
      <c r="I503" s="72"/>
      <c r="J503" s="72"/>
      <c r="K503" s="72"/>
      <c r="L503" s="93"/>
      <c r="M503" s="93"/>
      <c r="N503" s="93"/>
      <c r="O503" s="93"/>
      <c r="P503" s="93"/>
      <c r="Q503" s="93"/>
      <c r="R503" s="93"/>
      <c r="S503" s="93"/>
      <c r="T503" s="93"/>
      <c r="U503" s="93"/>
      <c r="V503" s="93"/>
      <c r="W503" s="93"/>
      <c r="X503" s="93"/>
      <c r="Y503" s="93"/>
    </row>
    <row r="504" spans="1:25">
      <c r="A504" s="72"/>
      <c r="B504" s="72"/>
      <c r="C504" s="72"/>
      <c r="D504" s="72"/>
      <c r="E504" s="72"/>
      <c r="F504" s="72"/>
      <c r="G504" s="72"/>
      <c r="H504" s="72"/>
      <c r="I504" s="72"/>
      <c r="J504" s="72"/>
      <c r="K504" s="72"/>
      <c r="L504" s="93"/>
      <c r="M504" s="93"/>
      <c r="N504" s="93"/>
      <c r="O504" s="93"/>
      <c r="P504" s="93"/>
      <c r="Q504" s="93"/>
      <c r="R504" s="93"/>
      <c r="S504" s="93"/>
      <c r="T504" s="93"/>
      <c r="U504" s="93"/>
      <c r="V504" s="93"/>
      <c r="W504" s="93"/>
      <c r="X504" s="93"/>
      <c r="Y504" s="93"/>
    </row>
    <row r="505" spans="1:25">
      <c r="A505" s="72"/>
      <c r="B505" s="72"/>
      <c r="C505" s="72"/>
      <c r="D505" s="72"/>
      <c r="E505" s="72"/>
      <c r="F505" s="72"/>
      <c r="G505" s="72"/>
      <c r="H505" s="72"/>
      <c r="I505" s="72"/>
      <c r="J505" s="72"/>
      <c r="K505" s="72"/>
      <c r="L505" s="93"/>
      <c r="M505" s="93"/>
      <c r="N505" s="93"/>
      <c r="O505" s="93"/>
      <c r="P505" s="93"/>
      <c r="Q505" s="93"/>
      <c r="R505" s="93"/>
      <c r="S505" s="93"/>
      <c r="T505" s="93"/>
      <c r="U505" s="93"/>
      <c r="V505" s="93"/>
      <c r="W505" s="93"/>
      <c r="X505" s="93"/>
      <c r="Y505" s="93"/>
    </row>
    <row r="506" spans="1:25">
      <c r="A506" s="72"/>
      <c r="B506" s="72"/>
      <c r="C506" s="72"/>
      <c r="D506" s="72"/>
      <c r="E506" s="72"/>
      <c r="F506" s="72"/>
      <c r="G506" s="72"/>
      <c r="H506" s="72"/>
      <c r="I506" s="72"/>
      <c r="J506" s="72"/>
      <c r="K506" s="72"/>
      <c r="L506" s="93"/>
      <c r="M506" s="93"/>
      <c r="N506" s="93"/>
      <c r="O506" s="93"/>
      <c r="P506" s="93"/>
      <c r="Q506" s="93"/>
      <c r="R506" s="93"/>
      <c r="S506" s="93"/>
      <c r="T506" s="93"/>
      <c r="U506" s="93"/>
      <c r="V506" s="93"/>
      <c r="W506" s="93"/>
      <c r="X506" s="93"/>
      <c r="Y506" s="93"/>
    </row>
    <row r="507" spans="1:25">
      <c r="A507" s="72"/>
      <c r="B507" s="72"/>
      <c r="C507" s="72"/>
      <c r="D507" s="72"/>
      <c r="E507" s="72"/>
      <c r="F507" s="72"/>
      <c r="G507" s="72"/>
      <c r="H507" s="72"/>
      <c r="I507" s="72"/>
      <c r="J507" s="72"/>
      <c r="K507" s="72"/>
      <c r="L507" s="93"/>
      <c r="M507" s="93"/>
      <c r="N507" s="93"/>
      <c r="O507" s="93"/>
      <c r="P507" s="93"/>
      <c r="Q507" s="93"/>
      <c r="R507" s="93"/>
      <c r="S507" s="93"/>
      <c r="T507" s="93"/>
      <c r="U507" s="93"/>
      <c r="V507" s="93"/>
      <c r="W507" s="93"/>
      <c r="X507" s="93"/>
      <c r="Y507" s="93"/>
    </row>
    <row r="508" spans="1:25">
      <c r="A508" s="72"/>
      <c r="B508" s="72"/>
      <c r="C508" s="72"/>
      <c r="D508" s="72"/>
      <c r="E508" s="72"/>
      <c r="F508" s="72"/>
      <c r="G508" s="72"/>
      <c r="H508" s="72"/>
      <c r="I508" s="72"/>
      <c r="J508" s="72"/>
      <c r="K508" s="72"/>
      <c r="L508" s="93"/>
      <c r="M508" s="93"/>
      <c r="N508" s="93"/>
      <c r="O508" s="93"/>
      <c r="P508" s="93"/>
      <c r="Q508" s="93"/>
      <c r="R508" s="93"/>
      <c r="S508" s="93"/>
      <c r="T508" s="93"/>
      <c r="U508" s="93"/>
      <c r="V508" s="93"/>
      <c r="W508" s="93"/>
      <c r="X508" s="93"/>
      <c r="Y508" s="93"/>
    </row>
    <row r="509" spans="1:25">
      <c r="A509" s="72"/>
      <c r="B509" s="72"/>
      <c r="C509" s="72"/>
      <c r="D509" s="72"/>
      <c r="E509" s="72"/>
      <c r="F509" s="72"/>
      <c r="G509" s="72"/>
      <c r="H509" s="72"/>
      <c r="I509" s="72"/>
      <c r="J509" s="72"/>
      <c r="K509" s="72"/>
      <c r="L509" s="93"/>
      <c r="M509" s="93"/>
      <c r="N509" s="93"/>
      <c r="O509" s="93"/>
      <c r="P509" s="93"/>
      <c r="Q509" s="93"/>
      <c r="R509" s="93"/>
      <c r="S509" s="93"/>
      <c r="T509" s="93"/>
      <c r="U509" s="93"/>
      <c r="V509" s="93"/>
      <c r="W509" s="93"/>
      <c r="X509" s="93"/>
      <c r="Y509" s="93"/>
    </row>
    <row r="510" spans="1:25">
      <c r="A510" s="72"/>
      <c r="B510" s="72"/>
      <c r="C510" s="72"/>
      <c r="D510" s="72"/>
      <c r="E510" s="72"/>
      <c r="F510" s="72"/>
      <c r="G510" s="72"/>
      <c r="H510" s="72"/>
      <c r="I510" s="72"/>
      <c r="J510" s="72"/>
      <c r="K510" s="72"/>
      <c r="L510" s="93"/>
      <c r="M510" s="93"/>
      <c r="N510" s="93"/>
      <c r="O510" s="93"/>
      <c r="P510" s="93"/>
      <c r="Q510" s="93"/>
      <c r="R510" s="93"/>
      <c r="S510" s="93"/>
      <c r="T510" s="93"/>
      <c r="U510" s="93"/>
      <c r="V510" s="93"/>
      <c r="W510" s="93"/>
      <c r="X510" s="93"/>
      <c r="Y510" s="93"/>
    </row>
    <row r="511" spans="1:25">
      <c r="A511" s="72"/>
      <c r="B511" s="72"/>
      <c r="C511" s="72"/>
      <c r="D511" s="72"/>
      <c r="E511" s="72"/>
      <c r="F511" s="72"/>
      <c r="G511" s="72"/>
      <c r="H511" s="72"/>
      <c r="I511" s="72"/>
      <c r="J511" s="72"/>
      <c r="K511" s="72"/>
      <c r="L511" s="93"/>
      <c r="M511" s="93"/>
      <c r="N511" s="93"/>
      <c r="O511" s="93"/>
      <c r="P511" s="93"/>
      <c r="Q511" s="93"/>
      <c r="R511" s="93"/>
      <c r="S511" s="93"/>
      <c r="T511" s="93"/>
      <c r="U511" s="93"/>
      <c r="V511" s="93"/>
      <c r="W511" s="93"/>
      <c r="X511" s="93"/>
      <c r="Y511" s="93"/>
    </row>
    <row r="512" spans="1:25">
      <c r="A512" s="72"/>
      <c r="B512" s="72"/>
      <c r="C512" s="72"/>
      <c r="D512" s="72"/>
      <c r="E512" s="72"/>
      <c r="F512" s="72"/>
      <c r="G512" s="72"/>
      <c r="H512" s="72"/>
      <c r="I512" s="72"/>
      <c r="J512" s="72"/>
      <c r="K512" s="72"/>
      <c r="L512" s="93"/>
      <c r="M512" s="93"/>
      <c r="N512" s="93"/>
      <c r="O512" s="93"/>
      <c r="P512" s="93"/>
      <c r="Q512" s="93"/>
      <c r="R512" s="93"/>
      <c r="S512" s="93"/>
      <c r="T512" s="93"/>
      <c r="U512" s="93"/>
      <c r="V512" s="93"/>
      <c r="W512" s="93"/>
      <c r="X512" s="93"/>
      <c r="Y512" s="93"/>
    </row>
    <row r="513" spans="1:25">
      <c r="A513" s="72"/>
      <c r="B513" s="72"/>
      <c r="C513" s="72"/>
      <c r="D513" s="72"/>
      <c r="E513" s="72"/>
      <c r="F513" s="72"/>
      <c r="G513" s="72"/>
      <c r="H513" s="72"/>
      <c r="I513" s="72"/>
      <c r="J513" s="72"/>
      <c r="K513" s="72"/>
      <c r="L513" s="93"/>
      <c r="M513" s="93"/>
      <c r="N513" s="93"/>
      <c r="O513" s="93"/>
      <c r="P513" s="93"/>
      <c r="Q513" s="93"/>
      <c r="R513" s="93"/>
      <c r="S513" s="93"/>
      <c r="T513" s="93"/>
      <c r="U513" s="93"/>
      <c r="V513" s="93"/>
      <c r="W513" s="93"/>
      <c r="X513" s="93"/>
      <c r="Y513" s="93"/>
    </row>
    <row r="514" spans="1:25">
      <c r="A514" s="72"/>
      <c r="B514" s="72"/>
      <c r="C514" s="72"/>
      <c r="D514" s="72"/>
      <c r="E514" s="72"/>
      <c r="F514" s="72"/>
      <c r="G514" s="72"/>
      <c r="H514" s="72"/>
      <c r="I514" s="72"/>
      <c r="J514" s="72"/>
      <c r="K514" s="72"/>
      <c r="L514" s="93"/>
      <c r="M514" s="93"/>
      <c r="N514" s="93"/>
      <c r="O514" s="93"/>
      <c r="P514" s="93"/>
      <c r="Q514" s="93"/>
      <c r="R514" s="93"/>
      <c r="S514" s="93"/>
      <c r="T514" s="93"/>
      <c r="U514" s="93"/>
      <c r="V514" s="93"/>
      <c r="W514" s="93"/>
      <c r="X514" s="93"/>
      <c r="Y514" s="93"/>
    </row>
    <row r="515" spans="1:25">
      <c r="A515" s="72"/>
      <c r="B515" s="72"/>
      <c r="C515" s="72"/>
      <c r="D515" s="72"/>
      <c r="E515" s="72"/>
      <c r="F515" s="72"/>
      <c r="G515" s="72"/>
      <c r="H515" s="72"/>
      <c r="I515" s="72"/>
      <c r="J515" s="72"/>
      <c r="K515" s="72"/>
      <c r="L515" s="93"/>
      <c r="M515" s="93"/>
      <c r="N515" s="93"/>
      <c r="O515" s="93"/>
      <c r="P515" s="93"/>
      <c r="Q515" s="93"/>
      <c r="R515" s="93"/>
      <c r="S515" s="93"/>
      <c r="T515" s="93"/>
      <c r="U515" s="93"/>
      <c r="V515" s="93"/>
      <c r="W515" s="93"/>
      <c r="X515" s="93"/>
      <c r="Y515" s="93"/>
    </row>
    <row r="516" spans="1:25">
      <c r="A516" s="72"/>
      <c r="B516" s="72"/>
      <c r="C516" s="72"/>
      <c r="D516" s="72"/>
      <c r="E516" s="72"/>
      <c r="F516" s="72"/>
      <c r="G516" s="72"/>
      <c r="H516" s="72"/>
      <c r="I516" s="72"/>
      <c r="J516" s="72"/>
      <c r="K516" s="72"/>
      <c r="L516" s="93"/>
      <c r="M516" s="93"/>
      <c r="N516" s="93"/>
      <c r="O516" s="93"/>
      <c r="P516" s="93"/>
      <c r="Q516" s="93"/>
      <c r="R516" s="93"/>
      <c r="S516" s="93"/>
      <c r="T516" s="93"/>
      <c r="U516" s="93"/>
      <c r="V516" s="93"/>
      <c r="W516" s="93"/>
      <c r="X516" s="93"/>
      <c r="Y516" s="93"/>
    </row>
    <row r="517" spans="1:25">
      <c r="A517" s="72"/>
      <c r="B517" s="72"/>
      <c r="C517" s="72"/>
      <c r="D517" s="72"/>
      <c r="E517" s="72"/>
      <c r="F517" s="72"/>
      <c r="G517" s="72"/>
      <c r="H517" s="72"/>
      <c r="I517" s="72"/>
      <c r="J517" s="72"/>
      <c r="K517" s="72"/>
      <c r="L517" s="93"/>
      <c r="M517" s="93"/>
      <c r="N517" s="93"/>
      <c r="O517" s="93"/>
      <c r="P517" s="93"/>
      <c r="Q517" s="93"/>
      <c r="R517" s="93"/>
      <c r="S517" s="93"/>
      <c r="T517" s="93"/>
      <c r="U517" s="93"/>
      <c r="V517" s="93"/>
      <c r="W517" s="93"/>
      <c r="X517" s="93"/>
      <c r="Y517" s="93"/>
    </row>
    <row r="518" spans="1:25">
      <c r="A518" s="72"/>
      <c r="B518" s="72"/>
      <c r="C518" s="72"/>
      <c r="D518" s="72"/>
      <c r="E518" s="72"/>
      <c r="F518" s="72"/>
      <c r="G518" s="72"/>
      <c r="H518" s="72"/>
      <c r="I518" s="72"/>
      <c r="J518" s="72"/>
      <c r="K518" s="72"/>
      <c r="L518" s="93"/>
      <c r="M518" s="93"/>
      <c r="N518" s="93"/>
      <c r="O518" s="93"/>
      <c r="P518" s="93"/>
      <c r="Q518" s="93"/>
      <c r="R518" s="93"/>
      <c r="S518" s="93"/>
      <c r="T518" s="93"/>
      <c r="U518" s="93"/>
      <c r="V518" s="93"/>
      <c r="W518" s="93"/>
      <c r="X518" s="93"/>
      <c r="Y518" s="93"/>
    </row>
    <row r="519" spans="1:25">
      <c r="A519" s="72"/>
      <c r="B519" s="72"/>
      <c r="C519" s="72"/>
      <c r="D519" s="72"/>
      <c r="E519" s="72"/>
      <c r="F519" s="72"/>
      <c r="G519" s="72"/>
      <c r="H519" s="72"/>
      <c r="I519" s="72"/>
      <c r="J519" s="72"/>
      <c r="K519" s="72"/>
      <c r="L519" s="93"/>
      <c r="M519" s="93"/>
      <c r="N519" s="93"/>
      <c r="O519" s="93"/>
      <c r="P519" s="93"/>
      <c r="Q519" s="93"/>
      <c r="R519" s="93"/>
      <c r="S519" s="93"/>
      <c r="T519" s="93"/>
      <c r="U519" s="93"/>
      <c r="V519" s="93"/>
      <c r="W519" s="93"/>
      <c r="X519" s="93"/>
      <c r="Y519" s="93"/>
    </row>
    <row r="520" spans="1:25">
      <c r="A520" s="72"/>
      <c r="B520" s="72"/>
      <c r="C520" s="72"/>
      <c r="D520" s="72"/>
      <c r="E520" s="72"/>
      <c r="F520" s="72"/>
      <c r="G520" s="72"/>
      <c r="H520" s="72"/>
      <c r="I520" s="72"/>
      <c r="J520" s="72"/>
      <c r="K520" s="72"/>
      <c r="L520" s="93"/>
      <c r="M520" s="93"/>
      <c r="N520" s="93"/>
      <c r="O520" s="93"/>
      <c r="P520" s="93"/>
      <c r="Q520" s="93"/>
      <c r="R520" s="93"/>
      <c r="S520" s="93"/>
      <c r="T520" s="93"/>
      <c r="U520" s="93"/>
      <c r="V520" s="93"/>
      <c r="W520" s="93"/>
      <c r="X520" s="93"/>
      <c r="Y520" s="93"/>
    </row>
    <row r="521" spans="1:25">
      <c r="A521" s="72"/>
      <c r="B521" s="72"/>
      <c r="C521" s="72"/>
      <c r="D521" s="72"/>
      <c r="E521" s="72"/>
      <c r="F521" s="72"/>
      <c r="G521" s="72"/>
      <c r="H521" s="72"/>
      <c r="I521" s="72"/>
      <c r="J521" s="72"/>
      <c r="K521" s="72"/>
      <c r="L521" s="93"/>
      <c r="M521" s="93"/>
      <c r="N521" s="93"/>
      <c r="O521" s="93"/>
      <c r="P521" s="93"/>
      <c r="Q521" s="93"/>
      <c r="R521" s="93"/>
      <c r="S521" s="93"/>
      <c r="T521" s="93"/>
      <c r="U521" s="93"/>
      <c r="V521" s="93"/>
      <c r="W521" s="93"/>
      <c r="X521" s="93"/>
      <c r="Y521" s="93"/>
    </row>
    <row r="522" spans="1:25">
      <c r="A522" s="72"/>
      <c r="B522" s="72"/>
      <c r="C522" s="72"/>
      <c r="D522" s="72"/>
      <c r="E522" s="72"/>
      <c r="F522" s="72"/>
      <c r="G522" s="72"/>
      <c r="H522" s="72"/>
      <c r="I522" s="72"/>
      <c r="J522" s="72"/>
      <c r="K522" s="72"/>
      <c r="L522" s="93"/>
      <c r="M522" s="93"/>
      <c r="N522" s="93"/>
      <c r="O522" s="93"/>
      <c r="P522" s="93"/>
      <c r="Q522" s="93"/>
      <c r="R522" s="93"/>
      <c r="S522" s="93"/>
      <c r="T522" s="93"/>
      <c r="U522" s="93"/>
      <c r="V522" s="93"/>
      <c r="W522" s="93"/>
      <c r="X522" s="93"/>
      <c r="Y522" s="93"/>
    </row>
    <row r="523" spans="1:25">
      <c r="A523" s="72"/>
      <c r="B523" s="72"/>
      <c r="C523" s="72"/>
      <c r="D523" s="72"/>
      <c r="E523" s="72"/>
      <c r="F523" s="72"/>
      <c r="G523" s="72"/>
      <c r="H523" s="72"/>
      <c r="I523" s="72"/>
      <c r="J523" s="72"/>
      <c r="K523" s="72"/>
      <c r="L523" s="93"/>
      <c r="M523" s="93"/>
      <c r="N523" s="93"/>
      <c r="O523" s="93"/>
      <c r="P523" s="93"/>
      <c r="Q523" s="93"/>
      <c r="R523" s="93"/>
      <c r="S523" s="93"/>
      <c r="T523" s="93"/>
      <c r="U523" s="93"/>
      <c r="V523" s="93"/>
      <c r="W523" s="93"/>
      <c r="X523" s="93"/>
      <c r="Y523" s="93"/>
    </row>
    <row r="524" spans="1:25">
      <c r="A524" s="72"/>
      <c r="B524" s="72"/>
      <c r="C524" s="72"/>
      <c r="D524" s="72"/>
      <c r="E524" s="72"/>
      <c r="F524" s="72"/>
      <c r="G524" s="72"/>
      <c r="H524" s="72"/>
      <c r="I524" s="72"/>
      <c r="J524" s="72"/>
      <c r="K524" s="72"/>
      <c r="L524" s="93"/>
      <c r="M524" s="93"/>
      <c r="N524" s="93"/>
      <c r="O524" s="93"/>
      <c r="P524" s="93"/>
      <c r="Q524" s="93"/>
      <c r="R524" s="93"/>
      <c r="S524" s="93"/>
      <c r="T524" s="93"/>
      <c r="U524" s="93"/>
      <c r="V524" s="93"/>
      <c r="W524" s="93"/>
      <c r="X524" s="93"/>
      <c r="Y524" s="93"/>
    </row>
    <row r="525" spans="1:25">
      <c r="A525" s="72"/>
      <c r="B525" s="72"/>
      <c r="C525" s="72"/>
      <c r="D525" s="72"/>
      <c r="E525" s="72"/>
      <c r="F525" s="72"/>
      <c r="G525" s="72"/>
      <c r="H525" s="72"/>
      <c r="I525" s="72"/>
      <c r="J525" s="72"/>
      <c r="K525" s="72"/>
      <c r="L525" s="93"/>
      <c r="M525" s="93"/>
      <c r="N525" s="93"/>
      <c r="O525" s="93"/>
      <c r="P525" s="93"/>
      <c r="Q525" s="93"/>
      <c r="R525" s="93"/>
      <c r="S525" s="93"/>
      <c r="T525" s="93"/>
      <c r="U525" s="93"/>
      <c r="V525" s="93"/>
      <c r="W525" s="93"/>
      <c r="X525" s="93"/>
      <c r="Y525" s="93"/>
    </row>
    <row r="526" spans="1:25">
      <c r="A526" s="72"/>
      <c r="B526" s="72"/>
      <c r="C526" s="72"/>
      <c r="D526" s="72"/>
      <c r="E526" s="72"/>
      <c r="F526" s="72"/>
      <c r="G526" s="72"/>
      <c r="H526" s="72"/>
      <c r="I526" s="72"/>
      <c r="J526" s="72"/>
      <c r="K526" s="72"/>
      <c r="L526" s="93"/>
      <c r="M526" s="93"/>
      <c r="N526" s="93"/>
      <c r="O526" s="93"/>
      <c r="P526" s="93"/>
      <c r="Q526" s="93"/>
      <c r="R526" s="93"/>
      <c r="S526" s="93"/>
      <c r="T526" s="93"/>
      <c r="U526" s="93"/>
      <c r="V526" s="93"/>
      <c r="W526" s="93"/>
      <c r="X526" s="93"/>
      <c r="Y526" s="93"/>
    </row>
    <row r="527" spans="1:25">
      <c r="A527" s="72"/>
      <c r="B527" s="72"/>
      <c r="C527" s="72"/>
      <c r="D527" s="72"/>
      <c r="E527" s="72"/>
      <c r="F527" s="72"/>
      <c r="G527" s="72"/>
      <c r="H527" s="72"/>
      <c r="I527" s="72"/>
      <c r="J527" s="72"/>
      <c r="K527" s="72"/>
      <c r="L527" s="93"/>
      <c r="M527" s="93"/>
      <c r="N527" s="93"/>
      <c r="O527" s="93"/>
      <c r="P527" s="93"/>
      <c r="Q527" s="93"/>
      <c r="R527" s="93"/>
      <c r="S527" s="93"/>
      <c r="T527" s="93"/>
      <c r="U527" s="93"/>
      <c r="V527" s="93"/>
      <c r="W527" s="93"/>
      <c r="X527" s="93"/>
      <c r="Y527" s="93"/>
    </row>
    <row r="528" spans="1:25">
      <c r="A528" s="72"/>
      <c r="B528" s="72"/>
      <c r="C528" s="72"/>
      <c r="D528" s="72"/>
      <c r="E528" s="72"/>
      <c r="F528" s="72"/>
      <c r="G528" s="72"/>
      <c r="H528" s="72"/>
      <c r="I528" s="72"/>
      <c r="J528" s="72"/>
      <c r="K528" s="72"/>
      <c r="L528" s="93"/>
      <c r="M528" s="93"/>
      <c r="N528" s="93"/>
      <c r="O528" s="93"/>
      <c r="P528" s="93"/>
      <c r="Q528" s="93"/>
      <c r="R528" s="93"/>
      <c r="S528" s="93"/>
      <c r="T528" s="93"/>
      <c r="U528" s="93"/>
      <c r="V528" s="93"/>
      <c r="W528" s="93"/>
      <c r="X528" s="93"/>
      <c r="Y528" s="93"/>
    </row>
    <row r="529" spans="1:25">
      <c r="A529" s="72"/>
      <c r="B529" s="72"/>
      <c r="C529" s="72"/>
      <c r="D529" s="72"/>
      <c r="E529" s="72"/>
      <c r="F529" s="72"/>
      <c r="G529" s="72"/>
      <c r="H529" s="72"/>
      <c r="I529" s="72"/>
      <c r="J529" s="72"/>
      <c r="K529" s="72"/>
      <c r="L529" s="93"/>
      <c r="M529" s="93"/>
      <c r="N529" s="93"/>
      <c r="O529" s="93"/>
      <c r="P529" s="93"/>
      <c r="Q529" s="93"/>
      <c r="R529" s="93"/>
      <c r="S529" s="93"/>
      <c r="T529" s="93"/>
      <c r="U529" s="93"/>
      <c r="V529" s="93"/>
      <c r="W529" s="93"/>
      <c r="X529" s="93"/>
      <c r="Y529" s="93"/>
    </row>
    <row r="530" spans="1:25">
      <c r="A530" s="72"/>
      <c r="B530" s="72"/>
      <c r="C530" s="72"/>
      <c r="D530" s="72"/>
      <c r="E530" s="72"/>
      <c r="F530" s="72"/>
      <c r="G530" s="72"/>
      <c r="H530" s="72"/>
      <c r="I530" s="72"/>
      <c r="J530" s="72"/>
      <c r="K530" s="72"/>
      <c r="L530" s="93"/>
      <c r="M530" s="93"/>
      <c r="N530" s="93"/>
      <c r="O530" s="93"/>
      <c r="P530" s="93"/>
      <c r="Q530" s="93"/>
      <c r="R530" s="93"/>
      <c r="S530" s="93"/>
      <c r="T530" s="93"/>
      <c r="U530" s="93"/>
      <c r="V530" s="93"/>
      <c r="W530" s="93"/>
      <c r="X530" s="93"/>
      <c r="Y530" s="93"/>
    </row>
    <row r="531" spans="1:25">
      <c r="A531" s="72"/>
      <c r="B531" s="72"/>
      <c r="C531" s="72"/>
      <c r="D531" s="72"/>
      <c r="E531" s="72"/>
      <c r="F531" s="72"/>
      <c r="G531" s="72"/>
      <c r="H531" s="72"/>
      <c r="I531" s="72"/>
      <c r="J531" s="72"/>
      <c r="K531" s="72"/>
      <c r="L531" s="93"/>
      <c r="M531" s="93"/>
      <c r="N531" s="93"/>
      <c r="O531" s="93"/>
      <c r="P531" s="93"/>
      <c r="Q531" s="93"/>
      <c r="R531" s="93"/>
      <c r="S531" s="93"/>
      <c r="T531" s="93"/>
      <c r="U531" s="93"/>
      <c r="V531" s="93"/>
      <c r="W531" s="93"/>
      <c r="X531" s="93"/>
      <c r="Y531" s="93"/>
    </row>
    <row r="532" spans="1:25">
      <c r="A532" s="72"/>
      <c r="B532" s="72"/>
      <c r="C532" s="72"/>
      <c r="D532" s="72"/>
      <c r="E532" s="72"/>
      <c r="F532" s="72"/>
      <c r="G532" s="72"/>
      <c r="H532" s="72"/>
      <c r="I532" s="72"/>
      <c r="J532" s="72"/>
      <c r="K532" s="72"/>
      <c r="L532" s="93"/>
      <c r="M532" s="93"/>
      <c r="N532" s="93"/>
      <c r="O532" s="93"/>
      <c r="P532" s="93"/>
      <c r="Q532" s="93"/>
      <c r="R532" s="93"/>
      <c r="S532" s="93"/>
      <c r="T532" s="93"/>
      <c r="U532" s="93"/>
      <c r="V532" s="93"/>
      <c r="W532" s="93"/>
      <c r="X532" s="93"/>
      <c r="Y532" s="93"/>
    </row>
    <row r="533" spans="1:25">
      <c r="A533" s="72"/>
      <c r="B533" s="72"/>
      <c r="C533" s="72"/>
      <c r="D533" s="72"/>
      <c r="E533" s="72"/>
      <c r="F533" s="72"/>
      <c r="G533" s="72"/>
      <c r="H533" s="72"/>
      <c r="I533" s="72"/>
      <c r="J533" s="72"/>
      <c r="K533" s="72"/>
      <c r="L533" s="93"/>
      <c r="M533" s="93"/>
      <c r="N533" s="93"/>
      <c r="O533" s="93"/>
      <c r="P533" s="93"/>
      <c r="Q533" s="93"/>
      <c r="R533" s="93"/>
      <c r="S533" s="93"/>
      <c r="T533" s="93"/>
      <c r="U533" s="93"/>
      <c r="V533" s="93"/>
      <c r="W533" s="93"/>
      <c r="X533" s="93"/>
      <c r="Y533" s="93"/>
    </row>
    <row r="534" spans="1:25">
      <c r="A534" s="72"/>
      <c r="B534" s="72"/>
      <c r="C534" s="72"/>
      <c r="D534" s="72"/>
      <c r="E534" s="72"/>
      <c r="F534" s="72"/>
      <c r="G534" s="72"/>
      <c r="H534" s="72"/>
      <c r="I534" s="72"/>
      <c r="J534" s="72"/>
      <c r="K534" s="72"/>
      <c r="L534" s="93"/>
      <c r="M534" s="93"/>
      <c r="N534" s="93"/>
      <c r="O534" s="93"/>
      <c r="P534" s="93"/>
      <c r="Q534" s="93"/>
      <c r="R534" s="93"/>
      <c r="S534" s="93"/>
      <c r="T534" s="93"/>
      <c r="U534" s="93"/>
      <c r="V534" s="93"/>
      <c r="W534" s="93"/>
      <c r="X534" s="93"/>
      <c r="Y534" s="93"/>
    </row>
    <row r="535" spans="1:25">
      <c r="A535" s="72"/>
      <c r="B535" s="72"/>
      <c r="C535" s="72"/>
      <c r="D535" s="72"/>
      <c r="E535" s="72"/>
      <c r="F535" s="72"/>
      <c r="G535" s="72"/>
      <c r="H535" s="72"/>
      <c r="I535" s="72"/>
      <c r="J535" s="72"/>
      <c r="K535" s="72"/>
      <c r="L535" s="93"/>
      <c r="M535" s="93"/>
      <c r="N535" s="93"/>
      <c r="O535" s="93"/>
      <c r="P535" s="93"/>
      <c r="Q535" s="93"/>
      <c r="R535" s="93"/>
      <c r="S535" s="93"/>
      <c r="T535" s="93"/>
      <c r="U535" s="93"/>
      <c r="V535" s="93"/>
      <c r="W535" s="93"/>
      <c r="X535" s="93"/>
      <c r="Y535" s="93"/>
    </row>
    <row r="536" spans="1:25">
      <c r="A536" s="72"/>
      <c r="B536" s="72"/>
      <c r="C536" s="72"/>
      <c r="D536" s="72"/>
      <c r="E536" s="72"/>
      <c r="F536" s="72"/>
      <c r="G536" s="72"/>
      <c r="H536" s="72"/>
      <c r="I536" s="72"/>
      <c r="J536" s="72"/>
      <c r="K536" s="72"/>
      <c r="L536" s="93"/>
      <c r="M536" s="93"/>
      <c r="N536" s="93"/>
      <c r="O536" s="93"/>
      <c r="P536" s="93"/>
      <c r="Q536" s="93"/>
      <c r="R536" s="93"/>
      <c r="S536" s="93"/>
      <c r="T536" s="93"/>
      <c r="U536" s="93"/>
      <c r="V536" s="93"/>
      <c r="W536" s="93"/>
      <c r="X536" s="93"/>
      <c r="Y536" s="93"/>
    </row>
    <row r="537" spans="1:25">
      <c r="A537" s="72"/>
      <c r="B537" s="72"/>
      <c r="C537" s="72"/>
      <c r="D537" s="72"/>
      <c r="E537" s="72"/>
      <c r="F537" s="72"/>
      <c r="G537" s="72"/>
      <c r="H537" s="72"/>
      <c r="I537" s="72"/>
      <c r="J537" s="72"/>
      <c r="K537" s="72"/>
      <c r="L537" s="93"/>
      <c r="M537" s="93"/>
      <c r="N537" s="93"/>
      <c r="O537" s="93"/>
      <c r="P537" s="93"/>
      <c r="Q537" s="93"/>
      <c r="R537" s="93"/>
      <c r="S537" s="93"/>
      <c r="T537" s="93"/>
      <c r="U537" s="93"/>
      <c r="V537" s="93"/>
      <c r="W537" s="93"/>
      <c r="X537" s="93"/>
      <c r="Y537" s="93"/>
    </row>
    <row r="538" spans="1:25">
      <c r="A538" s="72"/>
      <c r="B538" s="72"/>
      <c r="C538" s="72"/>
      <c r="D538" s="72"/>
      <c r="E538" s="72"/>
      <c r="F538" s="72"/>
      <c r="G538" s="72"/>
      <c r="H538" s="72"/>
      <c r="I538" s="72"/>
      <c r="J538" s="72"/>
      <c r="K538" s="72"/>
      <c r="L538" s="93"/>
      <c r="M538" s="93"/>
      <c r="N538" s="93"/>
      <c r="O538" s="93"/>
      <c r="P538" s="93"/>
      <c r="Q538" s="93"/>
      <c r="R538" s="93"/>
      <c r="S538" s="93"/>
      <c r="T538" s="93"/>
      <c r="U538" s="93"/>
      <c r="V538" s="93"/>
      <c r="W538" s="93"/>
      <c r="X538" s="93"/>
      <c r="Y538" s="93"/>
    </row>
    <row r="539" spans="1:25">
      <c r="A539" s="72"/>
      <c r="B539" s="72"/>
      <c r="C539" s="72"/>
      <c r="D539" s="72"/>
      <c r="E539" s="72"/>
      <c r="F539" s="72"/>
      <c r="G539" s="72"/>
      <c r="H539" s="72"/>
      <c r="I539" s="72"/>
      <c r="J539" s="72"/>
      <c r="K539" s="72"/>
      <c r="L539" s="93"/>
      <c r="M539" s="93"/>
      <c r="N539" s="93"/>
      <c r="O539" s="93"/>
      <c r="P539" s="93"/>
      <c r="Q539" s="93"/>
      <c r="R539" s="93"/>
      <c r="S539" s="93"/>
      <c r="T539" s="93"/>
      <c r="U539" s="93"/>
      <c r="V539" s="93"/>
      <c r="W539" s="93"/>
      <c r="X539" s="93"/>
      <c r="Y539" s="93"/>
    </row>
    <row r="540" spans="1:25">
      <c r="A540" s="72"/>
      <c r="B540" s="72"/>
      <c r="C540" s="72"/>
      <c r="D540" s="72"/>
      <c r="E540" s="72"/>
      <c r="F540" s="72"/>
      <c r="G540" s="72"/>
      <c r="H540" s="72"/>
      <c r="I540" s="72"/>
      <c r="J540" s="72"/>
      <c r="K540" s="72"/>
      <c r="L540" s="93"/>
      <c r="M540" s="93"/>
      <c r="N540" s="93"/>
      <c r="O540" s="93"/>
      <c r="P540" s="93"/>
      <c r="Q540" s="93"/>
      <c r="R540" s="93"/>
      <c r="S540" s="93"/>
      <c r="T540" s="93"/>
      <c r="U540" s="93"/>
      <c r="V540" s="93"/>
      <c r="W540" s="93"/>
      <c r="X540" s="93"/>
      <c r="Y540" s="93"/>
    </row>
    <row r="541" spans="1:25">
      <c r="A541" s="72"/>
      <c r="B541" s="72"/>
      <c r="C541" s="72"/>
      <c r="D541" s="72"/>
      <c r="E541" s="72"/>
      <c r="F541" s="72"/>
      <c r="G541" s="72"/>
      <c r="H541" s="72"/>
      <c r="I541" s="72"/>
      <c r="J541" s="72"/>
      <c r="K541" s="72"/>
      <c r="L541" s="93"/>
      <c r="M541" s="93"/>
      <c r="N541" s="93"/>
      <c r="O541" s="93"/>
      <c r="P541" s="93"/>
      <c r="Q541" s="93"/>
      <c r="R541" s="93"/>
      <c r="S541" s="93"/>
      <c r="T541" s="93"/>
      <c r="U541" s="93"/>
      <c r="V541" s="93"/>
      <c r="W541" s="93"/>
      <c r="X541" s="93"/>
      <c r="Y541" s="93"/>
    </row>
    <row r="542" spans="1:25">
      <c r="A542" s="72"/>
      <c r="B542" s="72"/>
      <c r="C542" s="72"/>
      <c r="D542" s="72"/>
      <c r="E542" s="72"/>
      <c r="F542" s="72"/>
      <c r="G542" s="72"/>
      <c r="H542" s="72"/>
      <c r="I542" s="72"/>
      <c r="J542" s="72"/>
      <c r="K542" s="72"/>
      <c r="L542" s="93"/>
      <c r="M542" s="93"/>
      <c r="N542" s="93"/>
      <c r="O542" s="93"/>
      <c r="P542" s="93"/>
      <c r="Q542" s="93"/>
      <c r="R542" s="93"/>
      <c r="S542" s="93"/>
      <c r="T542" s="93"/>
      <c r="U542" s="93"/>
      <c r="V542" s="93"/>
      <c r="W542" s="93"/>
      <c r="X542" s="93"/>
      <c r="Y542" s="93"/>
    </row>
    <row r="543" spans="1:25">
      <c r="A543" s="72"/>
      <c r="B543" s="72"/>
      <c r="C543" s="72"/>
      <c r="D543" s="72"/>
      <c r="E543" s="72"/>
      <c r="F543" s="72"/>
      <c r="G543" s="72"/>
      <c r="H543" s="72"/>
      <c r="I543" s="72"/>
      <c r="J543" s="72"/>
      <c r="K543" s="72"/>
      <c r="L543" s="93"/>
      <c r="M543" s="93"/>
      <c r="N543" s="93"/>
      <c r="O543" s="93"/>
      <c r="P543" s="93"/>
      <c r="Q543" s="93"/>
      <c r="R543" s="93"/>
      <c r="S543" s="93"/>
      <c r="T543" s="93"/>
      <c r="U543" s="93"/>
      <c r="V543" s="93"/>
      <c r="W543" s="93"/>
      <c r="X543" s="93"/>
      <c r="Y543" s="93"/>
    </row>
    <row r="544" spans="1:25">
      <c r="A544" s="72"/>
      <c r="B544" s="72"/>
      <c r="C544" s="72"/>
      <c r="D544" s="72"/>
      <c r="E544" s="72"/>
      <c r="F544" s="72"/>
      <c r="G544" s="72"/>
      <c r="H544" s="72"/>
      <c r="I544" s="72"/>
      <c r="J544" s="72"/>
      <c r="K544" s="72"/>
      <c r="L544" s="93"/>
      <c r="M544" s="93"/>
      <c r="N544" s="93"/>
      <c r="O544" s="93"/>
      <c r="P544" s="93"/>
      <c r="Q544" s="93"/>
      <c r="R544" s="93"/>
      <c r="S544" s="93"/>
      <c r="T544" s="93"/>
      <c r="U544" s="93"/>
      <c r="V544" s="93"/>
      <c r="W544" s="93"/>
      <c r="X544" s="93"/>
      <c r="Y544" s="93"/>
    </row>
    <row r="545" spans="1:25">
      <c r="A545" s="72"/>
      <c r="B545" s="72"/>
      <c r="C545" s="72"/>
      <c r="D545" s="72"/>
      <c r="E545" s="72"/>
      <c r="F545" s="72"/>
      <c r="G545" s="72"/>
      <c r="H545" s="72"/>
      <c r="I545" s="72"/>
      <c r="J545" s="72"/>
      <c r="K545" s="72"/>
      <c r="L545" s="93"/>
      <c r="M545" s="93"/>
      <c r="N545" s="93"/>
      <c r="O545" s="93"/>
      <c r="P545" s="93"/>
      <c r="Q545" s="93"/>
      <c r="R545" s="93"/>
      <c r="S545" s="93"/>
      <c r="T545" s="93"/>
      <c r="U545" s="93"/>
      <c r="V545" s="93"/>
      <c r="W545" s="93"/>
      <c r="X545" s="93"/>
      <c r="Y545" s="93"/>
    </row>
    <row r="546" spans="1:25">
      <c r="A546" s="72"/>
      <c r="B546" s="72"/>
      <c r="C546" s="72"/>
      <c r="D546" s="72"/>
      <c r="E546" s="72"/>
      <c r="F546" s="72"/>
      <c r="G546" s="72"/>
      <c r="H546" s="72"/>
      <c r="I546" s="72"/>
      <c r="J546" s="72"/>
      <c r="K546" s="72"/>
      <c r="L546" s="93"/>
      <c r="M546" s="93"/>
      <c r="N546" s="93"/>
      <c r="O546" s="93"/>
      <c r="P546" s="93"/>
      <c r="Q546" s="93"/>
      <c r="R546" s="93"/>
      <c r="S546" s="93"/>
      <c r="T546" s="93"/>
      <c r="U546" s="93"/>
      <c r="V546" s="93"/>
      <c r="W546" s="93"/>
      <c r="X546" s="93"/>
      <c r="Y546" s="93"/>
    </row>
    <row r="547" spans="1:25">
      <c r="A547" s="72"/>
      <c r="B547" s="72"/>
      <c r="C547" s="72"/>
      <c r="D547" s="72"/>
      <c r="E547" s="72"/>
      <c r="F547" s="72"/>
      <c r="G547" s="72"/>
      <c r="H547" s="72"/>
      <c r="I547" s="72"/>
      <c r="J547" s="72"/>
      <c r="K547" s="72"/>
      <c r="L547" s="93"/>
      <c r="M547" s="93"/>
      <c r="N547" s="93"/>
      <c r="O547" s="93"/>
      <c r="P547" s="93"/>
      <c r="Q547" s="93"/>
      <c r="R547" s="93"/>
      <c r="S547" s="93"/>
      <c r="T547" s="93"/>
      <c r="U547" s="93"/>
      <c r="V547" s="93"/>
      <c r="W547" s="93"/>
      <c r="X547" s="93"/>
      <c r="Y547" s="93"/>
    </row>
    <row r="548" spans="1:25">
      <c r="A548" s="72"/>
      <c r="B548" s="72"/>
      <c r="C548" s="72"/>
      <c r="D548" s="72"/>
      <c r="E548" s="72"/>
      <c r="F548" s="72"/>
      <c r="G548" s="72"/>
      <c r="H548" s="72"/>
      <c r="I548" s="72"/>
      <c r="J548" s="72"/>
      <c r="K548" s="72"/>
      <c r="L548" s="93"/>
      <c r="M548" s="93"/>
      <c r="N548" s="93"/>
      <c r="O548" s="93"/>
      <c r="P548" s="93"/>
      <c r="Q548" s="93"/>
      <c r="R548" s="93"/>
      <c r="S548" s="93"/>
      <c r="T548" s="93"/>
      <c r="U548" s="93"/>
      <c r="V548" s="93"/>
      <c r="W548" s="93"/>
      <c r="X548" s="93"/>
      <c r="Y548" s="93"/>
    </row>
    <row r="549" spans="1:25">
      <c r="A549" s="72"/>
      <c r="B549" s="72"/>
      <c r="C549" s="72"/>
      <c r="D549" s="72"/>
      <c r="E549" s="72"/>
      <c r="F549" s="72"/>
      <c r="G549" s="72"/>
      <c r="H549" s="72"/>
      <c r="I549" s="72"/>
      <c r="J549" s="72"/>
      <c r="K549" s="72"/>
      <c r="L549" s="93"/>
      <c r="M549" s="93"/>
      <c r="N549" s="93"/>
      <c r="O549" s="93"/>
      <c r="P549" s="93"/>
      <c r="Q549" s="93"/>
      <c r="R549" s="93"/>
      <c r="S549" s="93"/>
      <c r="T549" s="93"/>
      <c r="U549" s="93"/>
      <c r="V549" s="93"/>
      <c r="W549" s="93"/>
      <c r="X549" s="93"/>
      <c r="Y549" s="93"/>
    </row>
    <row r="550" spans="1:25">
      <c r="A550" s="72"/>
      <c r="B550" s="72"/>
      <c r="C550" s="72"/>
      <c r="D550" s="72"/>
      <c r="E550" s="72"/>
      <c r="F550" s="72"/>
      <c r="G550" s="72"/>
      <c r="H550" s="72"/>
      <c r="I550" s="72"/>
      <c r="J550" s="72"/>
      <c r="K550" s="72"/>
      <c r="L550" s="93"/>
      <c r="M550" s="93"/>
      <c r="N550" s="93"/>
      <c r="O550" s="93"/>
      <c r="P550" s="93"/>
      <c r="Q550" s="93"/>
      <c r="R550" s="93"/>
      <c r="S550" s="93"/>
      <c r="T550" s="93"/>
      <c r="U550" s="93"/>
      <c r="V550" s="93"/>
      <c r="W550" s="93"/>
      <c r="X550" s="93"/>
      <c r="Y550" s="93"/>
    </row>
    <row r="551" spans="1:25">
      <c r="A551" s="72"/>
      <c r="B551" s="72"/>
      <c r="C551" s="72"/>
      <c r="D551" s="72"/>
      <c r="E551" s="72"/>
      <c r="F551" s="72"/>
      <c r="G551" s="72"/>
      <c r="H551" s="72"/>
      <c r="I551" s="72"/>
      <c r="J551" s="72"/>
      <c r="K551" s="72"/>
      <c r="L551" s="93"/>
      <c r="M551" s="93"/>
      <c r="N551" s="93"/>
      <c r="O551" s="93"/>
      <c r="P551" s="93"/>
      <c r="Q551" s="93"/>
      <c r="R551" s="93"/>
      <c r="S551" s="93"/>
      <c r="T551" s="93"/>
      <c r="U551" s="93"/>
      <c r="V551" s="93"/>
      <c r="W551" s="93"/>
      <c r="X551" s="93"/>
      <c r="Y551" s="93"/>
    </row>
    <row r="552" spans="1:25">
      <c r="A552" s="72"/>
      <c r="B552" s="72"/>
      <c r="C552" s="72"/>
      <c r="D552" s="72"/>
      <c r="E552" s="72"/>
      <c r="F552" s="72"/>
      <c r="G552" s="72"/>
      <c r="H552" s="72"/>
      <c r="I552" s="72"/>
      <c r="J552" s="72"/>
      <c r="K552" s="72"/>
      <c r="L552" s="93"/>
      <c r="M552" s="93"/>
      <c r="N552" s="93"/>
      <c r="O552" s="93"/>
      <c r="P552" s="93"/>
      <c r="Q552" s="93"/>
      <c r="R552" s="93"/>
      <c r="S552" s="93"/>
      <c r="T552" s="93"/>
      <c r="U552" s="93"/>
      <c r="V552" s="93"/>
      <c r="W552" s="93"/>
      <c r="X552" s="93"/>
      <c r="Y552" s="93"/>
    </row>
    <row r="553" spans="1:25">
      <c r="A553" s="72"/>
      <c r="B553" s="72"/>
      <c r="C553" s="72"/>
      <c r="D553" s="72"/>
      <c r="E553" s="72"/>
      <c r="F553" s="72"/>
      <c r="G553" s="72"/>
      <c r="H553" s="72"/>
      <c r="I553" s="72"/>
      <c r="J553" s="72"/>
      <c r="K553" s="72"/>
      <c r="L553" s="93"/>
      <c r="M553" s="93"/>
      <c r="N553" s="93"/>
      <c r="O553" s="93"/>
      <c r="P553" s="93"/>
      <c r="Q553" s="93"/>
      <c r="R553" s="93"/>
      <c r="S553" s="93"/>
      <c r="T553" s="93"/>
      <c r="U553" s="93"/>
      <c r="V553" s="93"/>
      <c r="W553" s="93"/>
      <c r="X553" s="93"/>
      <c r="Y553" s="93"/>
    </row>
    <row r="554" spans="1:25">
      <c r="A554" s="72"/>
      <c r="B554" s="72"/>
      <c r="C554" s="72"/>
      <c r="D554" s="72"/>
      <c r="E554" s="72"/>
      <c r="F554" s="72"/>
      <c r="G554" s="72"/>
      <c r="H554" s="72"/>
      <c r="I554" s="72"/>
      <c r="J554" s="72"/>
      <c r="K554" s="72"/>
      <c r="L554" s="93"/>
      <c r="M554" s="93"/>
      <c r="N554" s="93"/>
      <c r="O554" s="93"/>
      <c r="P554" s="93"/>
      <c r="Q554" s="93"/>
      <c r="R554" s="93"/>
      <c r="S554" s="93"/>
      <c r="T554" s="93"/>
      <c r="U554" s="93"/>
      <c r="V554" s="93"/>
      <c r="W554" s="93"/>
      <c r="X554" s="93"/>
      <c r="Y554" s="93"/>
    </row>
    <row r="555" spans="1:25">
      <c r="A555" s="72"/>
      <c r="B555" s="72"/>
      <c r="C555" s="72"/>
      <c r="D555" s="72"/>
      <c r="E555" s="72"/>
      <c r="F555" s="72"/>
      <c r="G555" s="72"/>
      <c r="H555" s="72"/>
      <c r="I555" s="72"/>
      <c r="J555" s="72"/>
      <c r="K555" s="72"/>
      <c r="L555" s="93"/>
      <c r="M555" s="93"/>
      <c r="N555" s="93"/>
      <c r="O555" s="93"/>
      <c r="P555" s="93"/>
      <c r="Q555" s="93"/>
      <c r="R555" s="93"/>
      <c r="S555" s="93"/>
      <c r="T555" s="93"/>
      <c r="U555" s="93"/>
      <c r="V555" s="93"/>
      <c r="W555" s="93"/>
      <c r="X555" s="93"/>
      <c r="Y555" s="93"/>
    </row>
    <row r="556" spans="1:25">
      <c r="A556" s="72"/>
      <c r="B556" s="72"/>
      <c r="C556" s="72"/>
      <c r="D556" s="72"/>
      <c r="E556" s="72"/>
      <c r="F556" s="72"/>
      <c r="G556" s="72"/>
      <c r="H556" s="72"/>
      <c r="I556" s="72"/>
      <c r="J556" s="72"/>
      <c r="K556" s="72"/>
      <c r="L556" s="93"/>
      <c r="M556" s="93"/>
      <c r="N556" s="93"/>
      <c r="O556" s="93"/>
      <c r="P556" s="93"/>
      <c r="Q556" s="93"/>
      <c r="R556" s="93"/>
      <c r="S556" s="93"/>
      <c r="T556" s="93"/>
      <c r="U556" s="93"/>
      <c r="V556" s="93"/>
      <c r="W556" s="93"/>
      <c r="X556" s="93"/>
      <c r="Y556" s="93"/>
    </row>
    <row r="557" spans="1:25">
      <c r="A557" s="72"/>
      <c r="B557" s="72"/>
      <c r="C557" s="72"/>
      <c r="D557" s="72"/>
      <c r="E557" s="72"/>
      <c r="F557" s="72"/>
      <c r="G557" s="72"/>
      <c r="H557" s="72"/>
      <c r="I557" s="72"/>
      <c r="J557" s="72"/>
      <c r="K557" s="72"/>
      <c r="L557" s="93"/>
      <c r="M557" s="93"/>
      <c r="N557" s="93"/>
      <c r="O557" s="93"/>
      <c r="P557" s="93"/>
      <c r="Q557" s="93"/>
      <c r="R557" s="93"/>
      <c r="S557" s="93"/>
      <c r="T557" s="93"/>
      <c r="U557" s="93"/>
      <c r="V557" s="93"/>
      <c r="W557" s="93"/>
      <c r="X557" s="93"/>
      <c r="Y557" s="93"/>
    </row>
    <row r="558" spans="1:25">
      <c r="A558" s="72"/>
      <c r="B558" s="72"/>
      <c r="C558" s="72"/>
      <c r="D558" s="72"/>
      <c r="E558" s="72"/>
      <c r="F558" s="72"/>
      <c r="G558" s="72"/>
      <c r="H558" s="72"/>
      <c r="I558" s="72"/>
      <c r="J558" s="72"/>
      <c r="K558" s="72"/>
      <c r="L558" s="93"/>
      <c r="M558" s="93"/>
      <c r="N558" s="93"/>
      <c r="O558" s="93"/>
      <c r="P558" s="93"/>
      <c r="Q558" s="93"/>
      <c r="R558" s="93"/>
      <c r="S558" s="93"/>
      <c r="T558" s="93"/>
      <c r="U558" s="93"/>
      <c r="V558" s="93"/>
      <c r="W558" s="93"/>
      <c r="X558" s="93"/>
      <c r="Y558" s="93"/>
    </row>
    <row r="559" spans="1:25">
      <c r="A559" s="72"/>
      <c r="B559" s="72"/>
      <c r="C559" s="72"/>
      <c r="D559" s="72"/>
      <c r="E559" s="72"/>
      <c r="F559" s="72"/>
      <c r="G559" s="72"/>
      <c r="H559" s="72"/>
      <c r="I559" s="72"/>
      <c r="J559" s="72"/>
      <c r="K559" s="72"/>
      <c r="L559" s="93"/>
      <c r="M559" s="93"/>
      <c r="N559" s="93"/>
      <c r="O559" s="93"/>
      <c r="P559" s="93"/>
      <c r="Q559" s="93"/>
      <c r="R559" s="93"/>
      <c r="S559" s="93"/>
      <c r="T559" s="93"/>
      <c r="U559" s="93"/>
      <c r="V559" s="93"/>
      <c r="W559" s="93"/>
      <c r="X559" s="93"/>
      <c r="Y559" s="93"/>
    </row>
    <row r="560" spans="1:25">
      <c r="A560" s="72"/>
      <c r="B560" s="72"/>
      <c r="C560" s="72"/>
      <c r="D560" s="72"/>
      <c r="E560" s="72"/>
      <c r="F560" s="72"/>
      <c r="G560" s="72"/>
      <c r="H560" s="72"/>
      <c r="I560" s="72"/>
      <c r="J560" s="72"/>
      <c r="K560" s="72"/>
      <c r="L560" s="93"/>
      <c r="M560" s="93"/>
      <c r="N560" s="93"/>
      <c r="O560" s="93"/>
      <c r="P560" s="93"/>
      <c r="Q560" s="93"/>
      <c r="R560" s="93"/>
      <c r="S560" s="93"/>
      <c r="T560" s="93"/>
      <c r="U560" s="93"/>
      <c r="V560" s="93"/>
      <c r="W560" s="93"/>
      <c r="X560" s="93"/>
      <c r="Y560" s="93"/>
    </row>
    <row r="561" spans="1:25">
      <c r="A561" s="72"/>
      <c r="B561" s="72"/>
      <c r="C561" s="72"/>
      <c r="D561" s="72"/>
      <c r="E561" s="72"/>
      <c r="F561" s="72"/>
      <c r="G561" s="72"/>
      <c r="H561" s="72"/>
      <c r="I561" s="72"/>
      <c r="J561" s="72"/>
      <c r="K561" s="72"/>
      <c r="L561" s="93"/>
      <c r="M561" s="93"/>
      <c r="N561" s="93"/>
      <c r="O561" s="93"/>
      <c r="P561" s="93"/>
      <c r="Q561" s="93"/>
      <c r="R561" s="93"/>
      <c r="S561" s="93"/>
      <c r="T561" s="93"/>
      <c r="U561" s="93"/>
      <c r="V561" s="93"/>
      <c r="W561" s="93"/>
      <c r="X561" s="93"/>
      <c r="Y561" s="93"/>
    </row>
    <row r="562" spans="1:25">
      <c r="A562" s="72"/>
      <c r="B562" s="72"/>
      <c r="C562" s="72"/>
      <c r="D562" s="72"/>
      <c r="E562" s="72"/>
      <c r="F562" s="72"/>
      <c r="G562" s="72"/>
      <c r="H562" s="72"/>
      <c r="I562" s="72"/>
      <c r="J562" s="72"/>
      <c r="K562" s="72"/>
      <c r="L562" s="93"/>
      <c r="M562" s="93"/>
      <c r="N562" s="93"/>
      <c r="O562" s="93"/>
      <c r="P562" s="93"/>
      <c r="Q562" s="93"/>
      <c r="R562" s="93"/>
      <c r="S562" s="93"/>
      <c r="T562" s="93"/>
      <c r="U562" s="93"/>
      <c r="V562" s="93"/>
      <c r="W562" s="93"/>
      <c r="X562" s="93"/>
      <c r="Y562" s="93"/>
    </row>
    <row r="563" spans="1:25">
      <c r="A563" s="72"/>
      <c r="B563" s="72"/>
      <c r="C563" s="72"/>
      <c r="D563" s="72"/>
      <c r="E563" s="72"/>
      <c r="F563" s="72"/>
      <c r="G563" s="72"/>
      <c r="H563" s="72"/>
      <c r="I563" s="72"/>
      <c r="J563" s="72"/>
      <c r="K563" s="72"/>
      <c r="L563" s="93"/>
      <c r="M563" s="93"/>
      <c r="N563" s="93"/>
      <c r="O563" s="93"/>
      <c r="P563" s="93"/>
      <c r="Q563" s="93"/>
      <c r="R563" s="93"/>
      <c r="S563" s="93"/>
      <c r="T563" s="93"/>
      <c r="U563" s="93"/>
      <c r="V563" s="93"/>
      <c r="W563" s="93"/>
      <c r="X563" s="93"/>
      <c r="Y563" s="93"/>
    </row>
    <row r="564" spans="1:25">
      <c r="A564" s="72"/>
      <c r="B564" s="72"/>
      <c r="C564" s="72"/>
      <c r="D564" s="72"/>
      <c r="E564" s="72"/>
      <c r="F564" s="72"/>
      <c r="G564" s="72"/>
      <c r="H564" s="72"/>
      <c r="I564" s="72"/>
      <c r="J564" s="72"/>
      <c r="K564" s="72"/>
      <c r="L564" s="93"/>
      <c r="M564" s="93"/>
      <c r="N564" s="93"/>
      <c r="O564" s="93"/>
      <c r="P564" s="93"/>
      <c r="Q564" s="93"/>
      <c r="R564" s="93"/>
      <c r="S564" s="93"/>
      <c r="T564" s="93"/>
      <c r="U564" s="93"/>
      <c r="V564" s="93"/>
      <c r="W564" s="93"/>
      <c r="X564" s="93"/>
      <c r="Y564" s="93"/>
    </row>
    <row r="565" spans="1:25">
      <c r="A565" s="72"/>
      <c r="B565" s="72"/>
      <c r="C565" s="72"/>
      <c r="D565" s="72"/>
      <c r="E565" s="72"/>
      <c r="F565" s="72"/>
      <c r="G565" s="72"/>
      <c r="H565" s="72"/>
      <c r="I565" s="72"/>
      <c r="J565" s="72"/>
      <c r="K565" s="72"/>
      <c r="L565" s="93"/>
      <c r="M565" s="93"/>
      <c r="N565" s="93"/>
      <c r="O565" s="93"/>
      <c r="P565" s="93"/>
      <c r="Q565" s="93"/>
      <c r="R565" s="93"/>
      <c r="S565" s="93"/>
      <c r="T565" s="93"/>
      <c r="U565" s="93"/>
      <c r="V565" s="93"/>
      <c r="W565" s="93"/>
      <c r="X565" s="93"/>
      <c r="Y565" s="93"/>
    </row>
    <row r="566" spans="1:25">
      <c r="A566" s="72"/>
      <c r="B566" s="72"/>
      <c r="C566" s="72"/>
      <c r="D566" s="72"/>
      <c r="E566" s="72"/>
      <c r="F566" s="72"/>
      <c r="G566" s="72"/>
      <c r="H566" s="72"/>
      <c r="I566" s="72"/>
      <c r="J566" s="72"/>
      <c r="K566" s="72"/>
      <c r="L566" s="93"/>
      <c r="M566" s="93"/>
      <c r="N566" s="93"/>
      <c r="O566" s="93"/>
      <c r="P566" s="93"/>
      <c r="Q566" s="93"/>
      <c r="R566" s="93"/>
      <c r="S566" s="93"/>
      <c r="T566" s="93"/>
      <c r="U566" s="93"/>
      <c r="V566" s="93"/>
      <c r="W566" s="93"/>
      <c r="X566" s="93"/>
      <c r="Y566" s="93"/>
    </row>
    <row r="567" spans="1:25">
      <c r="A567" s="72"/>
      <c r="B567" s="72"/>
      <c r="C567" s="72"/>
      <c r="D567" s="72"/>
      <c r="E567" s="72"/>
      <c r="F567" s="72"/>
      <c r="G567" s="72"/>
      <c r="H567" s="72"/>
      <c r="I567" s="72"/>
      <c r="J567" s="72"/>
      <c r="K567" s="72"/>
      <c r="L567" s="93"/>
      <c r="M567" s="93"/>
      <c r="N567" s="93"/>
      <c r="O567" s="93"/>
      <c r="P567" s="93"/>
      <c r="Q567" s="93"/>
      <c r="R567" s="93"/>
      <c r="S567" s="93"/>
      <c r="T567" s="93"/>
      <c r="U567" s="93"/>
      <c r="V567" s="93"/>
      <c r="W567" s="93"/>
      <c r="X567" s="93"/>
      <c r="Y567" s="93"/>
    </row>
    <row r="568" spans="1:25">
      <c r="A568" s="72"/>
      <c r="B568" s="72"/>
      <c r="C568" s="72"/>
      <c r="D568" s="72"/>
      <c r="E568" s="72"/>
      <c r="F568" s="72"/>
      <c r="G568" s="72"/>
      <c r="H568" s="72"/>
      <c r="I568" s="72"/>
      <c r="J568" s="72"/>
      <c r="K568" s="72"/>
      <c r="L568" s="93"/>
      <c r="M568" s="93"/>
      <c r="N568" s="93"/>
      <c r="O568" s="93"/>
      <c r="P568" s="93"/>
      <c r="Q568" s="93"/>
      <c r="R568" s="93"/>
      <c r="S568" s="93"/>
      <c r="T568" s="93"/>
      <c r="U568" s="93"/>
      <c r="V568" s="93"/>
      <c r="W568" s="93"/>
      <c r="X568" s="93"/>
      <c r="Y568" s="93"/>
    </row>
    <row r="569" spans="1:25">
      <c r="A569" s="72"/>
      <c r="B569" s="72"/>
      <c r="C569" s="72"/>
      <c r="D569" s="72"/>
      <c r="E569" s="72"/>
      <c r="F569" s="72"/>
      <c r="G569" s="72"/>
      <c r="H569" s="72"/>
      <c r="I569" s="72"/>
      <c r="J569" s="72"/>
      <c r="K569" s="72"/>
      <c r="L569" s="93"/>
      <c r="M569" s="93"/>
      <c r="N569" s="93"/>
      <c r="O569" s="93"/>
      <c r="P569" s="93"/>
      <c r="Q569" s="93"/>
      <c r="R569" s="93"/>
      <c r="S569" s="93"/>
      <c r="T569" s="93"/>
      <c r="U569" s="93"/>
      <c r="V569" s="93"/>
      <c r="W569" s="93"/>
      <c r="X569" s="93"/>
      <c r="Y569" s="93"/>
    </row>
    <row r="570" spans="1:25">
      <c r="A570" s="72"/>
      <c r="B570" s="72"/>
      <c r="C570" s="72"/>
      <c r="D570" s="72"/>
      <c r="E570" s="72"/>
      <c r="F570" s="72"/>
      <c r="G570" s="72"/>
      <c r="H570" s="72"/>
      <c r="I570" s="72"/>
      <c r="J570" s="72"/>
      <c r="K570" s="72"/>
      <c r="L570" s="93"/>
      <c r="M570" s="93"/>
      <c r="N570" s="93"/>
      <c r="O570" s="93"/>
      <c r="P570" s="93"/>
      <c r="Q570" s="93"/>
      <c r="R570" s="93"/>
      <c r="S570" s="93"/>
      <c r="T570" s="93"/>
      <c r="U570" s="93"/>
      <c r="V570" s="93"/>
      <c r="W570" s="93"/>
      <c r="X570" s="93"/>
      <c r="Y570" s="93"/>
    </row>
    <row r="571" spans="1:25">
      <c r="A571" s="72"/>
      <c r="B571" s="72"/>
      <c r="C571" s="72"/>
      <c r="D571" s="72"/>
      <c r="E571" s="72"/>
      <c r="F571" s="72"/>
      <c r="G571" s="72"/>
      <c r="H571" s="72"/>
      <c r="I571" s="72"/>
      <c r="J571" s="72"/>
      <c r="K571" s="72"/>
      <c r="L571" s="93"/>
      <c r="M571" s="93"/>
      <c r="N571" s="93"/>
      <c r="O571" s="93"/>
      <c r="P571" s="93"/>
      <c r="Q571" s="93"/>
      <c r="R571" s="93"/>
      <c r="S571" s="93"/>
      <c r="T571" s="93"/>
      <c r="U571" s="93"/>
      <c r="V571" s="93"/>
      <c r="W571" s="93"/>
      <c r="X571" s="93"/>
      <c r="Y571" s="93"/>
    </row>
    <row r="572" spans="1:25">
      <c r="A572" s="72"/>
      <c r="B572" s="72"/>
      <c r="C572" s="72"/>
      <c r="D572" s="72"/>
      <c r="E572" s="72"/>
      <c r="F572" s="72"/>
      <c r="G572" s="72"/>
      <c r="H572" s="72"/>
      <c r="I572" s="72"/>
      <c r="J572" s="72"/>
      <c r="K572" s="72"/>
      <c r="L572" s="93"/>
      <c r="M572" s="93"/>
      <c r="N572" s="93"/>
      <c r="O572" s="93"/>
      <c r="P572" s="93"/>
      <c r="Q572" s="93"/>
      <c r="R572" s="93"/>
      <c r="S572" s="93"/>
      <c r="T572" s="93"/>
      <c r="U572" s="93"/>
      <c r="V572" s="93"/>
      <c r="W572" s="93"/>
      <c r="X572" s="93"/>
      <c r="Y572" s="93"/>
    </row>
    <row r="573" spans="1:25">
      <c r="A573" s="72"/>
      <c r="B573" s="72"/>
      <c r="C573" s="72"/>
      <c r="D573" s="72"/>
      <c r="E573" s="72"/>
      <c r="F573" s="72"/>
      <c r="G573" s="72"/>
      <c r="H573" s="72"/>
      <c r="I573" s="72"/>
      <c r="J573" s="72"/>
      <c r="K573" s="72"/>
      <c r="L573" s="93"/>
      <c r="M573" s="93"/>
      <c r="N573" s="93"/>
      <c r="O573" s="93"/>
      <c r="P573" s="93"/>
      <c r="Q573" s="93"/>
      <c r="R573" s="93"/>
      <c r="S573" s="93"/>
      <c r="T573" s="93"/>
      <c r="U573" s="93"/>
      <c r="V573" s="93"/>
      <c r="W573" s="93"/>
      <c r="X573" s="93"/>
      <c r="Y573" s="93"/>
    </row>
    <row r="574" spans="1:25">
      <c r="A574" s="72"/>
      <c r="B574" s="72"/>
      <c r="C574" s="72"/>
      <c r="D574" s="72"/>
      <c r="E574" s="72"/>
      <c r="F574" s="72"/>
      <c r="G574" s="72"/>
      <c r="H574" s="72"/>
      <c r="I574" s="72"/>
      <c r="J574" s="72"/>
      <c r="K574" s="72"/>
      <c r="L574" s="93"/>
      <c r="M574" s="93"/>
      <c r="N574" s="93"/>
      <c r="O574" s="93"/>
      <c r="P574" s="93"/>
      <c r="Q574" s="93"/>
      <c r="R574" s="93"/>
      <c r="S574" s="93"/>
      <c r="T574" s="93"/>
      <c r="U574" s="93"/>
      <c r="V574" s="93"/>
      <c r="W574" s="93"/>
      <c r="X574" s="93"/>
      <c r="Y574" s="93"/>
    </row>
    <row r="575" spans="1:25">
      <c r="A575" s="72"/>
      <c r="B575" s="72"/>
      <c r="C575" s="72"/>
      <c r="D575" s="72"/>
      <c r="E575" s="72"/>
      <c r="F575" s="72"/>
      <c r="G575" s="72"/>
      <c r="H575" s="72"/>
      <c r="I575" s="72"/>
      <c r="J575" s="72"/>
      <c r="K575" s="72"/>
      <c r="L575" s="93"/>
      <c r="M575" s="93"/>
      <c r="N575" s="93"/>
      <c r="O575" s="93"/>
      <c r="P575" s="93"/>
      <c r="Q575" s="93"/>
      <c r="R575" s="93"/>
      <c r="S575" s="93"/>
      <c r="T575" s="93"/>
      <c r="U575" s="93"/>
      <c r="V575" s="93"/>
      <c r="W575" s="93"/>
      <c r="X575" s="93"/>
      <c r="Y575" s="93"/>
    </row>
    <row r="576" spans="1:25">
      <c r="A576" s="72"/>
      <c r="B576" s="72"/>
      <c r="C576" s="72"/>
      <c r="D576" s="72"/>
      <c r="E576" s="72"/>
      <c r="F576" s="72"/>
      <c r="G576" s="72"/>
      <c r="H576" s="72"/>
      <c r="I576" s="72"/>
      <c r="J576" s="72"/>
      <c r="K576" s="72"/>
      <c r="L576" s="93"/>
      <c r="M576" s="93"/>
      <c r="N576" s="93"/>
      <c r="O576" s="93"/>
      <c r="P576" s="93"/>
      <c r="Q576" s="93"/>
      <c r="R576" s="93"/>
      <c r="S576" s="93"/>
      <c r="T576" s="93"/>
      <c r="U576" s="93"/>
      <c r="V576" s="93"/>
      <c r="W576" s="93"/>
      <c r="X576" s="93"/>
      <c r="Y576" s="93"/>
    </row>
    <row r="577" spans="1:25">
      <c r="A577" s="72"/>
      <c r="B577" s="72"/>
      <c r="C577" s="72"/>
      <c r="D577" s="72"/>
      <c r="E577" s="72"/>
      <c r="F577" s="72"/>
      <c r="G577" s="72"/>
      <c r="H577" s="72"/>
      <c r="I577" s="72"/>
      <c r="J577" s="72"/>
      <c r="K577" s="72"/>
      <c r="L577" s="93"/>
      <c r="M577" s="93"/>
      <c r="N577" s="93"/>
      <c r="O577" s="93"/>
      <c r="P577" s="93"/>
      <c r="Q577" s="93"/>
      <c r="R577" s="93"/>
      <c r="S577" s="93"/>
      <c r="T577" s="93"/>
      <c r="U577" s="93"/>
      <c r="V577" s="93"/>
      <c r="W577" s="93"/>
      <c r="X577" s="93"/>
      <c r="Y577" s="93"/>
    </row>
    <row r="578" spans="1:25">
      <c r="A578" s="72"/>
      <c r="B578" s="72"/>
      <c r="C578" s="72"/>
      <c r="D578" s="72"/>
      <c r="E578" s="72"/>
      <c r="F578" s="72"/>
      <c r="G578" s="72"/>
      <c r="H578" s="72"/>
      <c r="I578" s="72"/>
      <c r="J578" s="72"/>
      <c r="K578" s="72"/>
      <c r="L578" s="93"/>
      <c r="M578" s="93"/>
      <c r="N578" s="93"/>
      <c r="O578" s="93"/>
      <c r="P578" s="93"/>
      <c r="Q578" s="93"/>
      <c r="R578" s="93"/>
      <c r="S578" s="93"/>
      <c r="T578" s="93"/>
      <c r="U578" s="93"/>
      <c r="V578" s="93"/>
      <c r="W578" s="93"/>
      <c r="X578" s="93"/>
      <c r="Y578" s="93"/>
    </row>
    <row r="579" spans="1:25">
      <c r="A579" s="72"/>
      <c r="B579" s="72"/>
      <c r="C579" s="72"/>
      <c r="D579" s="72"/>
      <c r="E579" s="72"/>
      <c r="F579" s="72"/>
      <c r="G579" s="72"/>
      <c r="H579" s="72"/>
      <c r="I579" s="72"/>
      <c r="J579" s="72"/>
      <c r="K579" s="72"/>
      <c r="L579" s="93"/>
      <c r="M579" s="93"/>
      <c r="N579" s="93"/>
      <c r="O579" s="93"/>
      <c r="P579" s="93"/>
      <c r="Q579" s="93"/>
      <c r="R579" s="93"/>
      <c r="S579" s="93"/>
      <c r="T579" s="93"/>
      <c r="U579" s="93"/>
      <c r="V579" s="93"/>
      <c r="W579" s="93"/>
      <c r="X579" s="93"/>
      <c r="Y579" s="93"/>
    </row>
    <row r="580" spans="1:25">
      <c r="A580" s="72"/>
      <c r="B580" s="72"/>
      <c r="C580" s="72"/>
      <c r="D580" s="72"/>
      <c r="E580" s="72"/>
      <c r="F580" s="72"/>
      <c r="G580" s="72"/>
      <c r="H580" s="72"/>
      <c r="I580" s="72"/>
      <c r="J580" s="72"/>
      <c r="K580" s="72"/>
      <c r="L580" s="93"/>
      <c r="M580" s="93"/>
      <c r="N580" s="93"/>
      <c r="O580" s="93"/>
      <c r="P580" s="93"/>
      <c r="Q580" s="93"/>
      <c r="R580" s="93"/>
      <c r="S580" s="93"/>
      <c r="T580" s="93"/>
      <c r="U580" s="93"/>
      <c r="V580" s="93"/>
      <c r="W580" s="93"/>
      <c r="X580" s="93"/>
      <c r="Y580" s="93"/>
    </row>
    <row r="581" spans="1:25">
      <c r="A581" s="72"/>
      <c r="B581" s="72"/>
      <c r="C581" s="72"/>
      <c r="D581" s="72"/>
      <c r="E581" s="72"/>
      <c r="F581" s="72"/>
      <c r="G581" s="72"/>
      <c r="H581" s="72"/>
      <c r="I581" s="72"/>
      <c r="J581" s="72"/>
      <c r="K581" s="72"/>
      <c r="L581" s="93"/>
      <c r="M581" s="93"/>
      <c r="N581" s="93"/>
      <c r="O581" s="93"/>
      <c r="P581" s="93"/>
      <c r="Q581" s="93"/>
      <c r="R581" s="93"/>
      <c r="S581" s="93"/>
      <c r="T581" s="93"/>
      <c r="U581" s="93"/>
      <c r="V581" s="93"/>
      <c r="W581" s="93"/>
      <c r="X581" s="93"/>
      <c r="Y581" s="93"/>
    </row>
    <row r="582" spans="1:25">
      <c r="A582" s="72"/>
      <c r="B582" s="72"/>
      <c r="C582" s="72"/>
      <c r="D582" s="72"/>
      <c r="E582" s="72"/>
      <c r="F582" s="72"/>
      <c r="G582" s="72"/>
      <c r="H582" s="72"/>
      <c r="I582" s="72"/>
      <c r="J582" s="72"/>
      <c r="K582" s="72"/>
      <c r="L582" s="93"/>
      <c r="M582" s="93"/>
      <c r="N582" s="93"/>
      <c r="O582" s="93"/>
      <c r="P582" s="93"/>
      <c r="Q582" s="93"/>
      <c r="R582" s="93"/>
      <c r="S582" s="93"/>
      <c r="T582" s="93"/>
      <c r="U582" s="93"/>
      <c r="V582" s="93"/>
      <c r="W582" s="93"/>
      <c r="X582" s="93"/>
      <c r="Y582" s="93"/>
    </row>
    <row r="583" spans="1:25">
      <c r="A583" s="72"/>
      <c r="B583" s="72"/>
      <c r="C583" s="72"/>
      <c r="D583" s="72"/>
      <c r="E583" s="72"/>
      <c r="F583" s="72"/>
      <c r="G583" s="72"/>
      <c r="H583" s="72"/>
      <c r="I583" s="72"/>
      <c r="J583" s="72"/>
      <c r="K583" s="72"/>
      <c r="L583" s="93"/>
      <c r="M583" s="93"/>
      <c r="N583" s="93"/>
      <c r="O583" s="93"/>
      <c r="P583" s="93"/>
      <c r="Q583" s="93"/>
      <c r="R583" s="93"/>
      <c r="S583" s="93"/>
      <c r="T583" s="93"/>
      <c r="U583" s="93"/>
      <c r="V583" s="93"/>
      <c r="W583" s="93"/>
      <c r="X583" s="93"/>
      <c r="Y583" s="93"/>
    </row>
    <row r="584" spans="1:25">
      <c r="A584" s="72"/>
      <c r="B584" s="72"/>
      <c r="C584" s="72"/>
      <c r="D584" s="72"/>
      <c r="E584" s="72"/>
      <c r="F584" s="72"/>
      <c r="G584" s="72"/>
      <c r="H584" s="72"/>
      <c r="I584" s="72"/>
      <c r="J584" s="72"/>
      <c r="K584" s="72"/>
      <c r="L584" s="93"/>
      <c r="M584" s="93"/>
      <c r="N584" s="93"/>
      <c r="O584" s="93"/>
      <c r="P584" s="93"/>
      <c r="Q584" s="93"/>
      <c r="R584" s="93"/>
      <c r="S584" s="93"/>
      <c r="T584" s="93"/>
      <c r="U584" s="93"/>
      <c r="V584" s="93"/>
      <c r="W584" s="93"/>
      <c r="X584" s="93"/>
      <c r="Y584" s="93"/>
    </row>
    <row r="585" spans="1:25">
      <c r="A585" s="72"/>
      <c r="B585" s="72"/>
      <c r="C585" s="72"/>
      <c r="D585" s="72"/>
      <c r="E585" s="72"/>
      <c r="F585" s="72"/>
      <c r="G585" s="72"/>
      <c r="H585" s="72"/>
      <c r="I585" s="72"/>
      <c r="J585" s="72"/>
      <c r="K585" s="72"/>
      <c r="L585" s="93"/>
      <c r="M585" s="93"/>
      <c r="N585" s="93"/>
      <c r="O585" s="93"/>
      <c r="P585" s="93"/>
      <c r="Q585" s="93"/>
      <c r="R585" s="93"/>
      <c r="S585" s="93"/>
      <c r="T585" s="93"/>
      <c r="U585" s="93"/>
      <c r="V585" s="93"/>
      <c r="W585" s="93"/>
      <c r="X585" s="93"/>
      <c r="Y585" s="93"/>
    </row>
    <row r="586" spans="1:25">
      <c r="A586" s="72"/>
      <c r="B586" s="72"/>
      <c r="C586" s="72"/>
      <c r="D586" s="72"/>
      <c r="E586" s="72"/>
      <c r="F586" s="72"/>
      <c r="G586" s="72"/>
      <c r="H586" s="72"/>
      <c r="I586" s="72"/>
      <c r="J586" s="72"/>
      <c r="K586" s="72"/>
      <c r="L586" s="93"/>
      <c r="M586" s="93"/>
      <c r="N586" s="93"/>
      <c r="O586" s="93"/>
      <c r="P586" s="93"/>
      <c r="Q586" s="93"/>
      <c r="R586" s="93"/>
      <c r="S586" s="93"/>
      <c r="T586" s="93"/>
      <c r="U586" s="93"/>
      <c r="V586" s="93"/>
      <c r="W586" s="93"/>
      <c r="X586" s="93"/>
      <c r="Y586" s="93"/>
    </row>
    <row r="587" spans="1:25">
      <c r="A587" s="72"/>
      <c r="B587" s="72"/>
      <c r="C587" s="72"/>
      <c r="D587" s="72"/>
      <c r="E587" s="72"/>
      <c r="F587" s="72"/>
      <c r="G587" s="72"/>
      <c r="H587" s="72"/>
      <c r="I587" s="72"/>
      <c r="J587" s="72"/>
      <c r="K587" s="72"/>
      <c r="L587" s="93"/>
      <c r="M587" s="93"/>
      <c r="N587" s="93"/>
      <c r="O587" s="93"/>
      <c r="P587" s="93"/>
      <c r="Q587" s="93"/>
      <c r="R587" s="93"/>
      <c r="S587" s="93"/>
      <c r="T587" s="93"/>
      <c r="U587" s="93"/>
      <c r="V587" s="93"/>
      <c r="W587" s="93"/>
      <c r="X587" s="93"/>
      <c r="Y587" s="93"/>
    </row>
    <row r="588" spans="1:25">
      <c r="A588" s="72"/>
      <c r="B588" s="72"/>
      <c r="C588" s="72"/>
      <c r="D588" s="72"/>
      <c r="E588" s="72"/>
      <c r="F588" s="72"/>
      <c r="G588" s="72"/>
      <c r="H588" s="72"/>
      <c r="I588" s="72"/>
      <c r="J588" s="72"/>
      <c r="K588" s="72"/>
      <c r="L588" s="93"/>
      <c r="M588" s="93"/>
      <c r="N588" s="93"/>
      <c r="O588" s="93"/>
      <c r="P588" s="93"/>
      <c r="Q588" s="93"/>
      <c r="R588" s="93"/>
      <c r="S588" s="93"/>
      <c r="T588" s="93"/>
      <c r="U588" s="93"/>
      <c r="V588" s="93"/>
      <c r="W588" s="93"/>
      <c r="X588" s="93"/>
      <c r="Y588" s="93"/>
    </row>
    <row r="589" spans="1:25">
      <c r="A589" s="72"/>
      <c r="B589" s="72"/>
      <c r="C589" s="72"/>
      <c r="D589" s="72"/>
      <c r="E589" s="72"/>
      <c r="F589" s="72"/>
      <c r="G589" s="72"/>
      <c r="H589" s="72"/>
      <c r="I589" s="72"/>
      <c r="J589" s="72"/>
      <c r="K589" s="72"/>
      <c r="L589" s="93"/>
      <c r="M589" s="93"/>
      <c r="N589" s="93"/>
      <c r="O589" s="93"/>
      <c r="P589" s="93"/>
      <c r="Q589" s="93"/>
      <c r="R589" s="93"/>
      <c r="S589" s="93"/>
      <c r="T589" s="93"/>
      <c r="U589" s="93"/>
      <c r="V589" s="93"/>
      <c r="W589" s="93"/>
      <c r="X589" s="93"/>
      <c r="Y589" s="93"/>
    </row>
    <row r="590" spans="1:25">
      <c r="A590" s="72"/>
      <c r="B590" s="72"/>
      <c r="C590" s="72"/>
      <c r="D590" s="72"/>
      <c r="E590" s="72"/>
      <c r="F590" s="72"/>
      <c r="G590" s="72"/>
      <c r="H590" s="72"/>
      <c r="I590" s="72"/>
      <c r="J590" s="72"/>
      <c r="K590" s="72"/>
      <c r="L590" s="93"/>
      <c r="M590" s="93"/>
      <c r="N590" s="93"/>
      <c r="O590" s="93"/>
      <c r="P590" s="93"/>
      <c r="Q590" s="93"/>
      <c r="R590" s="93"/>
      <c r="S590" s="93"/>
      <c r="T590" s="93"/>
      <c r="U590" s="93"/>
      <c r="V590" s="93"/>
      <c r="W590" s="93"/>
      <c r="X590" s="93"/>
      <c r="Y590" s="93"/>
    </row>
    <row r="591" spans="1:25">
      <c r="A591" s="72"/>
      <c r="B591" s="72"/>
      <c r="C591" s="72"/>
      <c r="D591" s="72"/>
      <c r="E591" s="72"/>
      <c r="F591" s="72"/>
      <c r="G591" s="72"/>
      <c r="H591" s="72"/>
      <c r="I591" s="72"/>
      <c r="J591" s="72"/>
      <c r="K591" s="72"/>
      <c r="L591" s="93"/>
      <c r="M591" s="93"/>
      <c r="N591" s="93"/>
      <c r="O591" s="93"/>
      <c r="P591" s="93"/>
      <c r="Q591" s="93"/>
      <c r="R591" s="93"/>
      <c r="S591" s="93"/>
      <c r="T591" s="93"/>
      <c r="U591" s="93"/>
      <c r="V591" s="93"/>
      <c r="W591" s="93"/>
      <c r="X591" s="93"/>
      <c r="Y591" s="93"/>
    </row>
    <row r="592" spans="1:25">
      <c r="A592" s="72"/>
      <c r="B592" s="72"/>
      <c r="C592" s="72"/>
      <c r="D592" s="72"/>
      <c r="E592" s="72"/>
      <c r="F592" s="72"/>
      <c r="G592" s="72"/>
      <c r="H592" s="72"/>
      <c r="I592" s="72"/>
      <c r="J592" s="72"/>
      <c r="K592" s="72"/>
      <c r="L592" s="93"/>
      <c r="M592" s="93"/>
      <c r="N592" s="93"/>
      <c r="O592" s="93"/>
      <c r="P592" s="93"/>
      <c r="Q592" s="93"/>
      <c r="R592" s="93"/>
      <c r="S592" s="93"/>
      <c r="T592" s="93"/>
      <c r="U592" s="93"/>
      <c r="V592" s="93"/>
      <c r="W592" s="93"/>
      <c r="X592" s="93"/>
      <c r="Y592" s="93"/>
    </row>
    <row r="593" spans="1:25">
      <c r="A593" s="72"/>
      <c r="B593" s="72"/>
      <c r="C593" s="72"/>
      <c r="D593" s="72"/>
      <c r="E593" s="72"/>
      <c r="F593" s="72"/>
      <c r="G593" s="72"/>
      <c r="H593" s="72"/>
      <c r="I593" s="72"/>
      <c r="J593" s="72"/>
      <c r="K593" s="72"/>
      <c r="L593" s="93"/>
      <c r="M593" s="93"/>
      <c r="N593" s="93"/>
      <c r="O593" s="93"/>
      <c r="P593" s="93"/>
      <c r="Q593" s="93"/>
      <c r="R593" s="93"/>
      <c r="S593" s="93"/>
      <c r="T593" s="93"/>
      <c r="U593" s="93"/>
      <c r="V593" s="93"/>
      <c r="W593" s="93"/>
      <c r="X593" s="93"/>
      <c r="Y593" s="93"/>
    </row>
    <row r="594" spans="1:25">
      <c r="A594" s="72"/>
      <c r="B594" s="72"/>
      <c r="C594" s="72"/>
      <c r="D594" s="72"/>
      <c r="E594" s="72"/>
      <c r="F594" s="72"/>
      <c r="G594" s="72"/>
      <c r="H594" s="72"/>
      <c r="I594" s="72"/>
      <c r="J594" s="72"/>
      <c r="K594" s="72"/>
      <c r="L594" s="93"/>
      <c r="M594" s="93"/>
      <c r="N594" s="93"/>
      <c r="O594" s="93"/>
      <c r="P594" s="93"/>
      <c r="Q594" s="93"/>
      <c r="R594" s="93"/>
      <c r="S594" s="93"/>
      <c r="T594" s="93"/>
      <c r="U594" s="93"/>
      <c r="V594" s="93"/>
      <c r="W594" s="93"/>
      <c r="X594" s="93"/>
      <c r="Y594" s="93"/>
    </row>
    <row r="595" spans="1:25">
      <c r="A595" s="72"/>
      <c r="B595" s="72"/>
      <c r="C595" s="72"/>
      <c r="D595" s="72"/>
      <c r="E595" s="72"/>
      <c r="F595" s="72"/>
      <c r="G595" s="72"/>
      <c r="H595" s="72"/>
      <c r="I595" s="72"/>
      <c r="J595" s="72"/>
      <c r="K595" s="72"/>
      <c r="L595" s="93"/>
      <c r="M595" s="93"/>
      <c r="N595" s="93"/>
      <c r="O595" s="93"/>
      <c r="P595" s="93"/>
      <c r="Q595" s="93"/>
      <c r="R595" s="93"/>
      <c r="S595" s="93"/>
      <c r="T595" s="93"/>
      <c r="U595" s="93"/>
      <c r="V595" s="93"/>
      <c r="W595" s="93"/>
      <c r="X595" s="93"/>
      <c r="Y595" s="93"/>
    </row>
    <row r="596" spans="1:25">
      <c r="A596" s="72"/>
      <c r="B596" s="72"/>
      <c r="C596" s="72"/>
      <c r="D596" s="72"/>
      <c r="E596" s="72"/>
      <c r="F596" s="72"/>
      <c r="G596" s="72"/>
      <c r="H596" s="72"/>
      <c r="I596" s="72"/>
      <c r="J596" s="72"/>
      <c r="K596" s="72"/>
      <c r="L596" s="93"/>
      <c r="M596" s="93"/>
      <c r="N596" s="93"/>
      <c r="O596" s="93"/>
      <c r="P596" s="93"/>
      <c r="Q596" s="93"/>
      <c r="R596" s="93"/>
      <c r="S596" s="93"/>
      <c r="T596" s="93"/>
      <c r="U596" s="93"/>
      <c r="V596" s="93"/>
      <c r="W596" s="93"/>
      <c r="X596" s="93"/>
      <c r="Y596" s="93"/>
    </row>
    <row r="597" spans="1:25">
      <c r="A597" s="72"/>
      <c r="B597" s="72"/>
      <c r="C597" s="72"/>
      <c r="D597" s="72"/>
      <c r="E597" s="72"/>
      <c r="F597" s="72"/>
      <c r="G597" s="72"/>
      <c r="H597" s="72"/>
      <c r="I597" s="72"/>
      <c r="J597" s="72"/>
      <c r="K597" s="72"/>
      <c r="L597" s="93"/>
      <c r="M597" s="93"/>
      <c r="N597" s="93"/>
      <c r="O597" s="93"/>
      <c r="P597" s="93"/>
      <c r="Q597" s="93"/>
      <c r="R597" s="93"/>
      <c r="S597" s="93"/>
      <c r="T597" s="93"/>
      <c r="U597" s="93"/>
      <c r="V597" s="93"/>
      <c r="W597" s="93"/>
      <c r="X597" s="93"/>
      <c r="Y597" s="93"/>
    </row>
    <row r="598" spans="1:25">
      <c r="A598" s="72"/>
      <c r="B598" s="72"/>
      <c r="C598" s="72"/>
      <c r="D598" s="72"/>
      <c r="E598" s="72"/>
      <c r="F598" s="72"/>
      <c r="G598" s="72"/>
      <c r="H598" s="72"/>
      <c r="I598" s="72"/>
      <c r="J598" s="72"/>
      <c r="K598" s="72"/>
      <c r="L598" s="93"/>
      <c r="M598" s="93"/>
      <c r="N598" s="93"/>
      <c r="O598" s="93"/>
      <c r="P598" s="93"/>
      <c r="Q598" s="93"/>
      <c r="R598" s="93"/>
      <c r="S598" s="93"/>
      <c r="T598" s="93"/>
      <c r="U598" s="93"/>
      <c r="V598" s="93"/>
      <c r="W598" s="93"/>
      <c r="X598" s="93"/>
      <c r="Y598" s="93"/>
    </row>
    <row r="599" spans="1:25">
      <c r="A599" s="72"/>
      <c r="B599" s="72"/>
      <c r="C599" s="72"/>
      <c r="D599" s="72"/>
      <c r="E599" s="72"/>
      <c r="F599" s="72"/>
      <c r="G599" s="72"/>
      <c r="H599" s="72"/>
      <c r="I599" s="72"/>
      <c r="J599" s="72"/>
      <c r="K599" s="72"/>
      <c r="L599" s="93"/>
      <c r="M599" s="93"/>
      <c r="N599" s="93"/>
      <c r="O599" s="93"/>
      <c r="P599" s="93"/>
      <c r="Q599" s="93"/>
      <c r="R599" s="93"/>
      <c r="S599" s="93"/>
      <c r="T599" s="93"/>
      <c r="U599" s="93"/>
      <c r="V599" s="93"/>
      <c r="W599" s="93"/>
      <c r="X599" s="93"/>
      <c r="Y599" s="93"/>
    </row>
    <row r="600" spans="1:25">
      <c r="A600" s="72"/>
      <c r="B600" s="72"/>
      <c r="C600" s="72"/>
      <c r="D600" s="72"/>
      <c r="E600" s="72"/>
      <c r="F600" s="72"/>
      <c r="G600" s="72"/>
      <c r="H600" s="72"/>
      <c r="I600" s="72"/>
      <c r="J600" s="72"/>
      <c r="K600" s="72"/>
      <c r="L600" s="93"/>
      <c r="M600" s="93"/>
      <c r="N600" s="93"/>
      <c r="O600" s="93"/>
      <c r="P600" s="93"/>
      <c r="Q600" s="93"/>
      <c r="R600" s="93"/>
      <c r="S600" s="93"/>
      <c r="T600" s="93"/>
      <c r="U600" s="93"/>
      <c r="V600" s="93"/>
      <c r="W600" s="93"/>
      <c r="X600" s="93"/>
      <c r="Y600" s="93"/>
    </row>
    <row r="601" spans="1:25">
      <c r="A601" s="72"/>
      <c r="B601" s="72"/>
      <c r="C601" s="72"/>
      <c r="D601" s="72"/>
      <c r="E601" s="72"/>
      <c r="F601" s="72"/>
      <c r="G601" s="72"/>
      <c r="H601" s="72"/>
      <c r="I601" s="72"/>
      <c r="J601" s="72"/>
      <c r="K601" s="72"/>
      <c r="L601" s="93"/>
      <c r="M601" s="93"/>
      <c r="N601" s="93"/>
      <c r="O601" s="93"/>
      <c r="P601" s="93"/>
      <c r="Q601" s="93"/>
      <c r="R601" s="93"/>
      <c r="S601" s="93"/>
      <c r="T601" s="93"/>
      <c r="U601" s="93"/>
      <c r="V601" s="93"/>
      <c r="W601" s="93"/>
      <c r="X601" s="93"/>
      <c r="Y601" s="93"/>
    </row>
    <row r="602" spans="1:25">
      <c r="A602" s="72"/>
      <c r="B602" s="72"/>
      <c r="C602" s="72"/>
      <c r="D602" s="72"/>
      <c r="E602" s="72"/>
      <c r="F602" s="72"/>
      <c r="G602" s="72"/>
      <c r="H602" s="72"/>
      <c r="I602" s="72"/>
      <c r="J602" s="72"/>
      <c r="K602" s="72"/>
      <c r="L602" s="93"/>
      <c r="M602" s="93"/>
      <c r="N602" s="93"/>
      <c r="O602" s="93"/>
      <c r="P602" s="93"/>
      <c r="Q602" s="93"/>
      <c r="R602" s="93"/>
      <c r="S602" s="93"/>
      <c r="T602" s="93"/>
      <c r="U602" s="93"/>
      <c r="V602" s="93"/>
      <c r="W602" s="93"/>
      <c r="X602" s="93"/>
      <c r="Y602" s="93"/>
    </row>
    <row r="603" spans="1:25">
      <c r="A603" s="72"/>
      <c r="B603" s="72"/>
      <c r="C603" s="72"/>
      <c r="D603" s="72"/>
      <c r="E603" s="72"/>
      <c r="F603" s="72"/>
      <c r="G603" s="72"/>
      <c r="H603" s="72"/>
      <c r="I603" s="72"/>
      <c r="J603" s="72"/>
      <c r="K603" s="72"/>
      <c r="L603" s="93"/>
      <c r="M603" s="93"/>
      <c r="N603" s="93"/>
      <c r="O603" s="93"/>
      <c r="P603" s="93"/>
      <c r="Q603" s="93"/>
      <c r="R603" s="93"/>
      <c r="S603" s="93"/>
      <c r="T603" s="93"/>
      <c r="U603" s="93"/>
      <c r="V603" s="93"/>
      <c r="W603" s="93"/>
      <c r="X603" s="93"/>
      <c r="Y603" s="93"/>
    </row>
    <row r="604" spans="1:25">
      <c r="A604" s="72"/>
      <c r="B604" s="72"/>
      <c r="C604" s="72"/>
      <c r="D604" s="72"/>
      <c r="E604" s="72"/>
      <c r="F604" s="72"/>
      <c r="G604" s="72"/>
      <c r="H604" s="72"/>
      <c r="I604" s="72"/>
      <c r="J604" s="72"/>
      <c r="K604" s="72"/>
      <c r="L604" s="93"/>
      <c r="M604" s="93"/>
      <c r="N604" s="93"/>
      <c r="O604" s="93"/>
      <c r="P604" s="93"/>
      <c r="Q604" s="93"/>
      <c r="R604" s="93"/>
      <c r="S604" s="93"/>
      <c r="T604" s="93"/>
      <c r="U604" s="93"/>
      <c r="V604" s="93"/>
      <c r="W604" s="93"/>
      <c r="X604" s="93"/>
      <c r="Y604" s="93"/>
    </row>
    <row r="605" spans="1:25">
      <c r="A605" s="72"/>
      <c r="B605" s="72"/>
      <c r="C605" s="72"/>
      <c r="D605" s="72"/>
      <c r="E605" s="72"/>
      <c r="F605" s="72"/>
      <c r="G605" s="72"/>
      <c r="H605" s="72"/>
      <c r="I605" s="72"/>
      <c r="J605" s="72"/>
      <c r="K605" s="72"/>
      <c r="L605" s="93"/>
      <c r="M605" s="93"/>
      <c r="N605" s="93"/>
      <c r="O605" s="93"/>
      <c r="P605" s="93"/>
      <c r="Q605" s="93"/>
      <c r="R605" s="93"/>
      <c r="S605" s="93"/>
      <c r="T605" s="93"/>
      <c r="U605" s="93"/>
      <c r="V605" s="93"/>
      <c r="W605" s="93"/>
      <c r="X605" s="93"/>
      <c r="Y605" s="93"/>
    </row>
    <row r="606" spans="1:25">
      <c r="A606" s="72"/>
      <c r="B606" s="72"/>
      <c r="C606" s="72"/>
      <c r="D606" s="72"/>
      <c r="E606" s="72"/>
      <c r="F606" s="72"/>
      <c r="G606" s="72"/>
      <c r="H606" s="72"/>
      <c r="I606" s="72"/>
      <c r="J606" s="72"/>
      <c r="K606" s="72"/>
      <c r="L606" s="93"/>
      <c r="M606" s="93"/>
      <c r="N606" s="93"/>
      <c r="O606" s="93"/>
      <c r="P606" s="93"/>
      <c r="Q606" s="93"/>
      <c r="R606" s="93"/>
      <c r="S606" s="93"/>
      <c r="T606" s="93"/>
      <c r="U606" s="93"/>
      <c r="V606" s="93"/>
      <c r="W606" s="93"/>
      <c r="X606" s="93"/>
      <c r="Y606" s="93"/>
    </row>
    <row r="607" spans="1:25">
      <c r="A607" s="72"/>
      <c r="B607" s="72"/>
      <c r="C607" s="72"/>
      <c r="D607" s="72"/>
      <c r="E607" s="72"/>
      <c r="F607" s="72"/>
      <c r="G607" s="72"/>
      <c r="H607" s="72"/>
      <c r="I607" s="72"/>
      <c r="J607" s="72"/>
      <c r="K607" s="72"/>
      <c r="L607" s="93"/>
      <c r="M607" s="93"/>
      <c r="N607" s="93"/>
      <c r="O607" s="93"/>
      <c r="P607" s="93"/>
      <c r="Q607" s="93"/>
      <c r="R607" s="93"/>
      <c r="S607" s="93"/>
      <c r="T607" s="93"/>
      <c r="U607" s="93"/>
      <c r="V607" s="93"/>
      <c r="W607" s="93"/>
      <c r="X607" s="93"/>
      <c r="Y607" s="93"/>
    </row>
    <row r="608" spans="1:25">
      <c r="A608" s="72"/>
      <c r="B608" s="72"/>
      <c r="C608" s="72"/>
      <c r="D608" s="72"/>
      <c r="E608" s="72"/>
      <c r="F608" s="72"/>
      <c r="G608" s="72"/>
      <c r="H608" s="72"/>
      <c r="I608" s="72"/>
      <c r="J608" s="72"/>
      <c r="K608" s="72"/>
      <c r="L608" s="93"/>
      <c r="M608" s="93"/>
      <c r="N608" s="93"/>
      <c r="O608" s="93"/>
      <c r="P608" s="93"/>
      <c r="Q608" s="93"/>
      <c r="R608" s="93"/>
      <c r="S608" s="93"/>
      <c r="T608" s="93"/>
      <c r="U608" s="93"/>
      <c r="V608" s="93"/>
      <c r="W608" s="93"/>
      <c r="X608" s="93"/>
      <c r="Y608" s="93"/>
    </row>
    <row r="609" spans="1:25">
      <c r="A609" s="72"/>
      <c r="B609" s="72"/>
      <c r="C609" s="72"/>
      <c r="D609" s="72"/>
      <c r="E609" s="72"/>
      <c r="F609" s="72"/>
      <c r="G609" s="72"/>
      <c r="H609" s="72"/>
      <c r="I609" s="72"/>
      <c r="J609" s="72"/>
      <c r="K609" s="72"/>
      <c r="L609" s="93"/>
      <c r="M609" s="93"/>
      <c r="N609" s="93"/>
      <c r="O609" s="93"/>
      <c r="P609" s="93"/>
      <c r="Q609" s="93"/>
      <c r="R609" s="93"/>
      <c r="S609" s="93"/>
      <c r="T609" s="93"/>
      <c r="U609" s="93"/>
      <c r="V609" s="93"/>
      <c r="W609" s="93"/>
      <c r="X609" s="93"/>
      <c r="Y609" s="93"/>
    </row>
    <row r="610" spans="1:25">
      <c r="A610" s="72"/>
      <c r="B610" s="72"/>
      <c r="C610" s="72"/>
      <c r="D610" s="72"/>
      <c r="E610" s="72"/>
      <c r="F610" s="72"/>
      <c r="G610" s="72"/>
      <c r="H610" s="72"/>
      <c r="I610" s="72"/>
      <c r="J610" s="72"/>
      <c r="K610" s="72"/>
      <c r="L610" s="93"/>
      <c r="M610" s="93"/>
      <c r="N610" s="93"/>
      <c r="O610" s="93"/>
      <c r="P610" s="93"/>
      <c r="Q610" s="93"/>
      <c r="R610" s="93"/>
      <c r="S610" s="93"/>
      <c r="T610" s="93"/>
      <c r="U610" s="93"/>
      <c r="V610" s="93"/>
      <c r="W610" s="93"/>
      <c r="X610" s="93"/>
      <c r="Y610" s="93"/>
    </row>
    <row r="611" spans="1:25">
      <c r="A611" s="72"/>
      <c r="B611" s="72"/>
      <c r="C611" s="72"/>
      <c r="D611" s="72"/>
      <c r="E611" s="72"/>
      <c r="F611" s="72"/>
      <c r="G611" s="72"/>
      <c r="H611" s="72"/>
      <c r="I611" s="72"/>
      <c r="J611" s="72"/>
      <c r="K611" s="72"/>
      <c r="L611" s="93"/>
      <c r="M611" s="93"/>
      <c r="N611" s="93"/>
      <c r="O611" s="93"/>
      <c r="P611" s="93"/>
      <c r="Q611" s="93"/>
      <c r="R611" s="93"/>
      <c r="S611" s="93"/>
      <c r="T611" s="93"/>
      <c r="U611" s="93"/>
      <c r="V611" s="93"/>
      <c r="W611" s="93"/>
      <c r="X611" s="93"/>
      <c r="Y611" s="93"/>
    </row>
    <row r="612" spans="1:25">
      <c r="A612" s="72"/>
      <c r="B612" s="72"/>
      <c r="C612" s="72"/>
      <c r="D612" s="72"/>
      <c r="E612" s="72"/>
      <c r="F612" s="72"/>
      <c r="G612" s="72"/>
      <c r="H612" s="72"/>
      <c r="I612" s="72"/>
      <c r="J612" s="72"/>
      <c r="K612" s="72"/>
      <c r="L612" s="93"/>
      <c r="M612" s="93"/>
      <c r="N612" s="93"/>
      <c r="O612" s="93"/>
      <c r="P612" s="93"/>
      <c r="Q612" s="93"/>
      <c r="R612" s="93"/>
      <c r="S612" s="93"/>
      <c r="T612" s="93"/>
      <c r="U612" s="93"/>
      <c r="V612" s="93"/>
      <c r="W612" s="93"/>
      <c r="X612" s="93"/>
      <c r="Y612" s="93"/>
    </row>
    <row r="613" spans="1:25">
      <c r="A613" s="72"/>
      <c r="B613" s="72"/>
      <c r="C613" s="72"/>
      <c r="D613" s="72"/>
      <c r="E613" s="72"/>
      <c r="F613" s="72"/>
      <c r="G613" s="72"/>
      <c r="H613" s="72"/>
      <c r="I613" s="72"/>
      <c r="J613" s="72"/>
      <c r="K613" s="72"/>
      <c r="L613" s="93"/>
      <c r="M613" s="93"/>
      <c r="N613" s="93"/>
      <c r="O613" s="93"/>
      <c r="P613" s="93"/>
      <c r="Q613" s="93"/>
      <c r="R613" s="93"/>
      <c r="S613" s="93"/>
      <c r="T613" s="93"/>
      <c r="U613" s="93"/>
      <c r="V613" s="93"/>
      <c r="W613" s="93"/>
      <c r="X613" s="93"/>
      <c r="Y613" s="93"/>
    </row>
    <row r="614" spans="1:25">
      <c r="A614" s="72"/>
      <c r="B614" s="72"/>
      <c r="C614" s="72"/>
      <c r="D614" s="72"/>
      <c r="E614" s="72"/>
      <c r="F614" s="72"/>
      <c r="G614" s="72"/>
      <c r="H614" s="72"/>
      <c r="I614" s="72"/>
      <c r="J614" s="72"/>
      <c r="K614" s="72"/>
      <c r="L614" s="93"/>
      <c r="M614" s="93"/>
      <c r="N614" s="93"/>
      <c r="O614" s="93"/>
      <c r="P614" s="93"/>
      <c r="Q614" s="93"/>
      <c r="R614" s="93"/>
      <c r="S614" s="93"/>
      <c r="T614" s="93"/>
      <c r="U614" s="93"/>
      <c r="V614" s="93"/>
      <c r="W614" s="93"/>
      <c r="X614" s="93"/>
      <c r="Y614" s="93"/>
    </row>
    <row r="615" spans="1:25">
      <c r="A615" s="72"/>
      <c r="B615" s="72"/>
      <c r="C615" s="72"/>
      <c r="D615" s="72"/>
      <c r="E615" s="72"/>
      <c r="F615" s="72"/>
      <c r="G615" s="72"/>
      <c r="H615" s="72"/>
      <c r="I615" s="72"/>
      <c r="J615" s="72"/>
      <c r="K615" s="72"/>
      <c r="L615" s="93"/>
      <c r="M615" s="93"/>
      <c r="N615" s="93"/>
      <c r="O615" s="93"/>
      <c r="P615" s="93"/>
      <c r="Q615" s="93"/>
      <c r="R615" s="93"/>
      <c r="S615" s="93"/>
      <c r="T615" s="93"/>
      <c r="U615" s="93"/>
      <c r="V615" s="93"/>
      <c r="W615" s="93"/>
      <c r="X615" s="93"/>
      <c r="Y615" s="93"/>
    </row>
    <row r="616" spans="1:25">
      <c r="A616" s="72"/>
      <c r="B616" s="72"/>
      <c r="C616" s="72"/>
      <c r="D616" s="72"/>
      <c r="E616" s="72"/>
      <c r="F616" s="72"/>
      <c r="G616" s="72"/>
      <c r="H616" s="72"/>
      <c r="I616" s="72"/>
      <c r="J616" s="72"/>
      <c r="K616" s="72"/>
      <c r="L616" s="93"/>
      <c r="M616" s="93"/>
      <c r="N616" s="93"/>
      <c r="O616" s="93"/>
      <c r="P616" s="93"/>
      <c r="Q616" s="93"/>
      <c r="R616" s="93"/>
      <c r="S616" s="93"/>
      <c r="T616" s="93"/>
      <c r="U616" s="93"/>
      <c r="V616" s="93"/>
      <c r="W616" s="93"/>
      <c r="X616" s="93"/>
      <c r="Y616" s="93"/>
    </row>
    <row r="617" spans="1:25">
      <c r="A617" s="72"/>
      <c r="B617" s="72"/>
      <c r="C617" s="72"/>
      <c r="D617" s="72"/>
      <c r="E617" s="72"/>
      <c r="F617" s="72"/>
      <c r="G617" s="72"/>
      <c r="H617" s="72"/>
      <c r="I617" s="72"/>
      <c r="J617" s="72"/>
      <c r="K617" s="72"/>
      <c r="L617" s="93"/>
      <c r="M617" s="93"/>
      <c r="N617" s="93"/>
      <c r="O617" s="93"/>
      <c r="P617" s="93"/>
      <c r="Q617" s="93"/>
      <c r="R617" s="93"/>
      <c r="S617" s="93"/>
      <c r="T617" s="93"/>
      <c r="U617" s="93"/>
      <c r="V617" s="93"/>
      <c r="W617" s="93"/>
      <c r="X617" s="93"/>
      <c r="Y617" s="93"/>
    </row>
    <row r="618" spans="1:25">
      <c r="A618" s="72"/>
      <c r="B618" s="72"/>
      <c r="C618" s="72"/>
      <c r="D618" s="72"/>
      <c r="E618" s="72"/>
      <c r="F618" s="72"/>
      <c r="G618" s="72"/>
      <c r="H618" s="72"/>
      <c r="I618" s="72"/>
      <c r="J618" s="72"/>
      <c r="K618" s="72"/>
      <c r="L618" s="93"/>
      <c r="M618" s="93"/>
      <c r="N618" s="93"/>
      <c r="O618" s="93"/>
      <c r="P618" s="93"/>
      <c r="Q618" s="93"/>
      <c r="R618" s="93"/>
      <c r="S618" s="93"/>
      <c r="T618" s="93"/>
      <c r="U618" s="93"/>
      <c r="V618" s="93"/>
      <c r="W618" s="93"/>
      <c r="X618" s="93"/>
      <c r="Y618" s="93"/>
    </row>
    <row r="619" spans="1:25">
      <c r="A619" s="72"/>
      <c r="B619" s="72"/>
      <c r="C619" s="72"/>
      <c r="D619" s="72"/>
      <c r="E619" s="72"/>
      <c r="F619" s="72"/>
      <c r="G619" s="72"/>
      <c r="H619" s="72"/>
      <c r="I619" s="72"/>
      <c r="J619" s="72"/>
      <c r="K619" s="72"/>
      <c r="L619" s="93"/>
      <c r="M619" s="93"/>
      <c r="N619" s="93"/>
      <c r="O619" s="93"/>
      <c r="P619" s="93"/>
      <c r="Q619" s="93"/>
      <c r="R619" s="93"/>
      <c r="S619" s="93"/>
      <c r="T619" s="93"/>
      <c r="U619" s="93"/>
      <c r="V619" s="93"/>
      <c r="W619" s="93"/>
      <c r="X619" s="93"/>
      <c r="Y619" s="93"/>
    </row>
    <row r="620" spans="1:25">
      <c r="A620" s="72"/>
      <c r="B620" s="72"/>
      <c r="C620" s="72"/>
      <c r="D620" s="72"/>
      <c r="E620" s="72"/>
      <c r="F620" s="72"/>
      <c r="G620" s="72"/>
      <c r="H620" s="72"/>
      <c r="I620" s="72"/>
      <c r="J620" s="72"/>
      <c r="K620" s="72"/>
      <c r="L620" s="93"/>
      <c r="M620" s="93"/>
      <c r="N620" s="93"/>
      <c r="O620" s="93"/>
      <c r="P620" s="93"/>
      <c r="Q620" s="93"/>
      <c r="R620" s="93"/>
      <c r="S620" s="93"/>
      <c r="T620" s="93"/>
      <c r="U620" s="93"/>
      <c r="V620" s="93"/>
      <c r="W620" s="93"/>
      <c r="X620" s="93"/>
      <c r="Y620" s="93"/>
    </row>
    <row r="621" spans="1:25">
      <c r="A621" s="72"/>
      <c r="B621" s="72"/>
      <c r="C621" s="72"/>
      <c r="D621" s="72"/>
      <c r="E621" s="72"/>
      <c r="F621" s="72"/>
      <c r="G621" s="72"/>
      <c r="H621" s="72"/>
      <c r="I621" s="72"/>
      <c r="J621" s="72"/>
      <c r="K621" s="72"/>
      <c r="L621" s="93"/>
      <c r="M621" s="93"/>
      <c r="N621" s="93"/>
      <c r="O621" s="93"/>
      <c r="P621" s="93"/>
      <c r="Q621" s="93"/>
      <c r="R621" s="93"/>
      <c r="S621" s="93"/>
      <c r="T621" s="93"/>
      <c r="U621" s="93"/>
      <c r="V621" s="93"/>
      <c r="W621" s="93"/>
      <c r="X621" s="93"/>
      <c r="Y621" s="93"/>
    </row>
    <row r="622" spans="1:25">
      <c r="A622" s="72"/>
      <c r="B622" s="72"/>
      <c r="C622" s="72"/>
      <c r="D622" s="72"/>
      <c r="E622" s="72"/>
      <c r="F622" s="72"/>
      <c r="G622" s="72"/>
      <c r="H622" s="72"/>
      <c r="I622" s="72"/>
      <c r="J622" s="72"/>
      <c r="K622" s="72"/>
      <c r="L622" s="93"/>
      <c r="M622" s="93"/>
      <c r="N622" s="93"/>
      <c r="O622" s="93"/>
      <c r="P622" s="93"/>
      <c r="Q622" s="93"/>
      <c r="R622" s="93"/>
      <c r="S622" s="93"/>
      <c r="T622" s="93"/>
      <c r="U622" s="93"/>
      <c r="V622" s="93"/>
      <c r="W622" s="93"/>
      <c r="X622" s="93"/>
      <c r="Y622" s="93"/>
    </row>
    <row r="623" spans="1:25">
      <c r="A623" s="72"/>
      <c r="B623" s="72"/>
      <c r="C623" s="72"/>
      <c r="D623" s="72"/>
      <c r="E623" s="72"/>
      <c r="F623" s="72"/>
      <c r="G623" s="72"/>
      <c r="H623" s="72"/>
      <c r="I623" s="72"/>
      <c r="J623" s="72"/>
      <c r="K623" s="72"/>
      <c r="L623" s="93"/>
      <c r="M623" s="93"/>
      <c r="N623" s="93"/>
      <c r="O623" s="93"/>
      <c r="P623" s="93"/>
      <c r="Q623" s="93"/>
      <c r="R623" s="93"/>
      <c r="S623" s="93"/>
      <c r="T623" s="93"/>
      <c r="U623" s="93"/>
      <c r="V623" s="93"/>
      <c r="W623" s="93"/>
      <c r="X623" s="93"/>
      <c r="Y623" s="93"/>
    </row>
    <row r="624" spans="1:25">
      <c r="A624" s="72"/>
      <c r="B624" s="72"/>
      <c r="C624" s="72"/>
      <c r="D624" s="72"/>
      <c r="E624" s="72"/>
      <c r="F624" s="72"/>
      <c r="G624" s="72"/>
      <c r="H624" s="72"/>
      <c r="I624" s="72"/>
      <c r="J624" s="72"/>
      <c r="K624" s="72"/>
      <c r="L624" s="93"/>
      <c r="M624" s="93"/>
      <c r="N624" s="93"/>
      <c r="O624" s="93"/>
      <c r="P624" s="93"/>
      <c r="Q624" s="93"/>
      <c r="R624" s="93"/>
      <c r="S624" s="93"/>
      <c r="T624" s="93"/>
      <c r="U624" s="93"/>
      <c r="V624" s="93"/>
      <c r="W624" s="93"/>
      <c r="X624" s="93"/>
      <c r="Y624" s="93"/>
    </row>
    <row r="625" spans="1:25">
      <c r="A625" s="72"/>
      <c r="B625" s="72"/>
      <c r="C625" s="72"/>
      <c r="D625" s="72"/>
      <c r="E625" s="72"/>
      <c r="F625" s="72"/>
      <c r="G625" s="72"/>
      <c r="H625" s="72"/>
      <c r="I625" s="72"/>
      <c r="J625" s="72"/>
      <c r="K625" s="72"/>
      <c r="L625" s="93"/>
      <c r="M625" s="93"/>
      <c r="N625" s="93"/>
      <c r="O625" s="93"/>
      <c r="P625" s="93"/>
      <c r="Q625" s="93"/>
      <c r="R625" s="93"/>
      <c r="S625" s="93"/>
      <c r="T625" s="93"/>
      <c r="U625" s="93"/>
      <c r="V625" s="93"/>
      <c r="W625" s="93"/>
      <c r="X625" s="93"/>
      <c r="Y625" s="93"/>
    </row>
    <row r="626" spans="1:25">
      <c r="A626" s="72"/>
      <c r="B626" s="72"/>
      <c r="C626" s="72"/>
      <c r="D626" s="72"/>
      <c r="E626" s="72"/>
      <c r="F626" s="72"/>
      <c r="G626" s="72"/>
      <c r="H626" s="72"/>
      <c r="I626" s="72"/>
      <c r="J626" s="72"/>
      <c r="K626" s="72"/>
      <c r="L626" s="93"/>
      <c r="M626" s="93"/>
      <c r="N626" s="93"/>
      <c r="O626" s="93"/>
      <c r="P626" s="93"/>
      <c r="Q626" s="93"/>
      <c r="R626" s="93"/>
      <c r="S626" s="93"/>
      <c r="T626" s="93"/>
      <c r="U626" s="93"/>
      <c r="V626" s="93"/>
      <c r="W626" s="93"/>
      <c r="X626" s="93"/>
      <c r="Y626" s="93"/>
    </row>
    <row r="627" spans="1:25">
      <c r="A627" s="72"/>
      <c r="B627" s="72"/>
      <c r="C627" s="72"/>
      <c r="D627" s="72"/>
      <c r="E627" s="72"/>
      <c r="F627" s="72"/>
      <c r="G627" s="72"/>
      <c r="H627" s="72"/>
      <c r="I627" s="72"/>
      <c r="J627" s="72"/>
      <c r="K627" s="72"/>
      <c r="L627" s="93"/>
      <c r="M627" s="93"/>
      <c r="N627" s="93"/>
      <c r="O627" s="93"/>
      <c r="P627" s="93"/>
      <c r="Q627" s="93"/>
      <c r="R627" s="93"/>
      <c r="S627" s="93"/>
      <c r="T627" s="93"/>
      <c r="U627" s="93"/>
      <c r="V627" s="93"/>
      <c r="W627" s="93"/>
      <c r="X627" s="93"/>
      <c r="Y627" s="93"/>
    </row>
    <row r="628" spans="1:25">
      <c r="A628" s="72"/>
      <c r="B628" s="72"/>
      <c r="C628" s="72"/>
      <c r="D628" s="72"/>
      <c r="E628" s="72"/>
      <c r="F628" s="72"/>
      <c r="G628" s="72"/>
      <c r="H628" s="72"/>
      <c r="I628" s="72"/>
      <c r="J628" s="72"/>
      <c r="K628" s="72"/>
      <c r="L628" s="93"/>
      <c r="M628" s="93"/>
      <c r="N628" s="93"/>
      <c r="O628" s="93"/>
      <c r="P628" s="93"/>
      <c r="Q628" s="93"/>
      <c r="R628" s="93"/>
      <c r="S628" s="93"/>
      <c r="T628" s="93"/>
      <c r="U628" s="93"/>
      <c r="V628" s="93"/>
      <c r="W628" s="93"/>
      <c r="X628" s="93"/>
      <c r="Y628" s="93"/>
    </row>
    <row r="629" spans="1:25">
      <c r="A629" s="72"/>
      <c r="B629" s="72"/>
      <c r="C629" s="72"/>
      <c r="D629" s="72"/>
      <c r="E629" s="72"/>
      <c r="F629" s="72"/>
      <c r="G629" s="72"/>
      <c r="H629" s="72"/>
      <c r="I629" s="72"/>
      <c r="J629" s="72"/>
      <c r="K629" s="72"/>
      <c r="L629" s="93"/>
      <c r="M629" s="93"/>
      <c r="N629" s="93"/>
      <c r="O629" s="93"/>
      <c r="P629" s="93"/>
      <c r="Q629" s="93"/>
      <c r="R629" s="93"/>
      <c r="S629" s="93"/>
      <c r="T629" s="93"/>
      <c r="U629" s="93"/>
      <c r="V629" s="93"/>
      <c r="W629" s="93"/>
      <c r="X629" s="93"/>
      <c r="Y629" s="93"/>
    </row>
    <row r="630" spans="1:25">
      <c r="A630" s="72"/>
      <c r="B630" s="72"/>
      <c r="C630" s="72"/>
      <c r="D630" s="72"/>
      <c r="E630" s="72"/>
      <c r="F630" s="72"/>
      <c r="G630" s="72"/>
      <c r="H630" s="72"/>
      <c r="I630" s="72"/>
      <c r="J630" s="72"/>
      <c r="K630" s="72"/>
      <c r="L630" s="93"/>
      <c r="M630" s="93"/>
      <c r="N630" s="93"/>
      <c r="O630" s="93"/>
      <c r="P630" s="93"/>
      <c r="Q630" s="93"/>
      <c r="R630" s="93"/>
      <c r="S630" s="93"/>
      <c r="T630" s="93"/>
      <c r="U630" s="93"/>
      <c r="V630" s="93"/>
      <c r="W630" s="93"/>
      <c r="X630" s="93"/>
      <c r="Y630" s="93"/>
    </row>
    <row r="631" spans="1:25">
      <c r="A631" s="72"/>
      <c r="B631" s="72"/>
      <c r="C631" s="72"/>
      <c r="D631" s="72"/>
      <c r="E631" s="72"/>
      <c r="F631" s="72"/>
      <c r="G631" s="72"/>
      <c r="H631" s="72"/>
      <c r="I631" s="72"/>
      <c r="J631" s="72"/>
      <c r="K631" s="72"/>
      <c r="L631" s="93"/>
      <c r="M631" s="93"/>
      <c r="N631" s="93"/>
      <c r="O631" s="93"/>
      <c r="P631" s="93"/>
      <c r="Q631" s="93"/>
      <c r="R631" s="93"/>
      <c r="S631" s="93"/>
      <c r="T631" s="93"/>
      <c r="U631" s="93"/>
      <c r="V631" s="93"/>
      <c r="W631" s="93"/>
      <c r="X631" s="93"/>
      <c r="Y631" s="93"/>
    </row>
    <row r="632" spans="1:25">
      <c r="A632" s="72"/>
      <c r="B632" s="72"/>
      <c r="C632" s="72"/>
      <c r="D632" s="72"/>
      <c r="E632" s="72"/>
      <c r="F632" s="72"/>
      <c r="G632" s="72"/>
      <c r="H632" s="72"/>
      <c r="I632" s="72"/>
      <c r="J632" s="72"/>
      <c r="K632" s="72"/>
      <c r="L632" s="93"/>
      <c r="M632" s="93"/>
      <c r="N632" s="93"/>
      <c r="O632" s="93"/>
      <c r="P632" s="93"/>
      <c r="Q632" s="93"/>
      <c r="R632" s="93"/>
      <c r="S632" s="93"/>
      <c r="T632" s="93"/>
      <c r="U632" s="93"/>
      <c r="V632" s="93"/>
      <c r="W632" s="93"/>
      <c r="X632" s="93"/>
      <c r="Y632" s="93"/>
    </row>
    <row r="633" spans="1:25">
      <c r="A633" s="72"/>
      <c r="B633" s="72"/>
      <c r="C633" s="72"/>
      <c r="D633" s="72"/>
      <c r="E633" s="72"/>
      <c r="F633" s="72"/>
      <c r="G633" s="72"/>
      <c r="H633" s="72"/>
      <c r="I633" s="72"/>
      <c r="J633" s="72"/>
      <c r="K633" s="72"/>
      <c r="L633" s="93"/>
      <c r="M633" s="93"/>
      <c r="N633" s="93"/>
      <c r="O633" s="93"/>
      <c r="P633" s="93"/>
      <c r="Q633" s="93"/>
      <c r="R633" s="93"/>
      <c r="S633" s="93"/>
      <c r="T633" s="93"/>
      <c r="U633" s="93"/>
      <c r="V633" s="93"/>
      <c r="W633" s="93"/>
      <c r="X633" s="93"/>
      <c r="Y633" s="93"/>
    </row>
    <row r="634" spans="1:25">
      <c r="A634" s="72"/>
      <c r="B634" s="72"/>
      <c r="C634" s="72"/>
      <c r="D634" s="72"/>
      <c r="E634" s="72"/>
      <c r="F634" s="72"/>
      <c r="G634" s="72"/>
      <c r="H634" s="72"/>
      <c r="I634" s="72"/>
      <c r="J634" s="72"/>
      <c r="K634" s="72"/>
      <c r="L634" s="93"/>
      <c r="M634" s="93"/>
      <c r="N634" s="93"/>
      <c r="O634" s="93"/>
      <c r="P634" s="93"/>
      <c r="Q634" s="93"/>
      <c r="R634" s="93"/>
      <c r="S634" s="93"/>
      <c r="T634" s="93"/>
      <c r="U634" s="93"/>
      <c r="V634" s="93"/>
      <c r="W634" s="93"/>
      <c r="X634" s="93"/>
      <c r="Y634" s="93"/>
    </row>
    <row r="635" spans="1:25">
      <c r="A635" s="72"/>
      <c r="B635" s="72"/>
      <c r="C635" s="72"/>
      <c r="D635" s="72"/>
      <c r="E635" s="72"/>
      <c r="F635" s="72"/>
      <c r="G635" s="72"/>
      <c r="H635" s="72"/>
      <c r="I635" s="72"/>
      <c r="J635" s="72"/>
      <c r="K635" s="72"/>
      <c r="L635" s="93"/>
      <c r="M635" s="93"/>
      <c r="N635" s="93"/>
      <c r="O635" s="93"/>
      <c r="P635" s="93"/>
      <c r="Q635" s="93"/>
      <c r="R635" s="93"/>
      <c r="S635" s="93"/>
      <c r="T635" s="93"/>
      <c r="U635" s="93"/>
      <c r="V635" s="93"/>
      <c r="W635" s="93"/>
      <c r="X635" s="93"/>
      <c r="Y635" s="93"/>
    </row>
    <row r="636" spans="1:25">
      <c r="A636" s="72"/>
      <c r="B636" s="72"/>
      <c r="C636" s="72"/>
      <c r="D636" s="72"/>
      <c r="E636" s="72"/>
      <c r="F636" s="72"/>
      <c r="G636" s="72"/>
      <c r="H636" s="72"/>
      <c r="I636" s="72"/>
      <c r="J636" s="72"/>
      <c r="K636" s="72"/>
      <c r="L636" s="93"/>
      <c r="M636" s="93"/>
      <c r="N636" s="93"/>
      <c r="O636" s="93"/>
      <c r="P636" s="93"/>
      <c r="Q636" s="93"/>
      <c r="R636" s="93"/>
      <c r="S636" s="93"/>
      <c r="T636" s="93"/>
      <c r="U636" s="93"/>
      <c r="V636" s="93"/>
      <c r="W636" s="93"/>
      <c r="X636" s="93"/>
      <c r="Y636" s="93"/>
    </row>
    <row r="637" spans="1:25">
      <c r="A637" s="72"/>
      <c r="B637" s="72"/>
      <c r="C637" s="72"/>
      <c r="D637" s="72"/>
      <c r="E637" s="72"/>
      <c r="F637" s="72"/>
      <c r="G637" s="72"/>
      <c r="H637" s="72"/>
      <c r="I637" s="72"/>
      <c r="J637" s="72"/>
      <c r="K637" s="72"/>
      <c r="L637" s="93"/>
      <c r="M637" s="93"/>
      <c r="N637" s="93"/>
      <c r="O637" s="93"/>
      <c r="P637" s="93"/>
      <c r="Q637" s="93"/>
      <c r="R637" s="93"/>
      <c r="S637" s="93"/>
      <c r="T637" s="93"/>
      <c r="U637" s="93"/>
      <c r="V637" s="93"/>
      <c r="W637" s="93"/>
      <c r="X637" s="93"/>
      <c r="Y637" s="93"/>
    </row>
    <row r="638" spans="1:25">
      <c r="A638" s="72"/>
      <c r="B638" s="72"/>
      <c r="C638" s="72"/>
      <c r="D638" s="72"/>
      <c r="E638" s="72"/>
      <c r="F638" s="72"/>
      <c r="G638" s="72"/>
      <c r="H638" s="72"/>
      <c r="I638" s="72"/>
      <c r="J638" s="72"/>
      <c r="K638" s="72"/>
      <c r="L638" s="93"/>
      <c r="M638" s="93"/>
      <c r="N638" s="93"/>
      <c r="O638" s="93"/>
      <c r="P638" s="93"/>
      <c r="Q638" s="93"/>
      <c r="R638" s="93"/>
      <c r="S638" s="93"/>
      <c r="T638" s="93"/>
      <c r="U638" s="93"/>
      <c r="V638" s="93"/>
      <c r="W638" s="93"/>
      <c r="X638" s="93"/>
      <c r="Y638" s="93"/>
    </row>
    <row r="639" spans="1:25">
      <c r="A639" s="72"/>
      <c r="B639" s="72"/>
      <c r="C639" s="72"/>
      <c r="D639" s="72"/>
      <c r="E639" s="72"/>
      <c r="F639" s="72"/>
      <c r="G639" s="72"/>
      <c r="H639" s="72"/>
      <c r="I639" s="72"/>
      <c r="J639" s="72"/>
      <c r="K639" s="72"/>
      <c r="L639" s="93"/>
      <c r="M639" s="93"/>
      <c r="N639" s="93"/>
      <c r="O639" s="93"/>
      <c r="P639" s="93"/>
      <c r="Q639" s="93"/>
      <c r="R639" s="93"/>
      <c r="S639" s="93"/>
      <c r="T639" s="93"/>
      <c r="U639" s="93"/>
      <c r="V639" s="93"/>
      <c r="W639" s="93"/>
      <c r="X639" s="93"/>
      <c r="Y639" s="93"/>
    </row>
    <row r="640" spans="1:25">
      <c r="A640" s="72"/>
      <c r="B640" s="72"/>
      <c r="C640" s="72"/>
      <c r="D640" s="72"/>
      <c r="E640" s="72"/>
      <c r="F640" s="72"/>
      <c r="G640" s="72"/>
      <c r="H640" s="72"/>
      <c r="I640" s="72"/>
      <c r="J640" s="72"/>
      <c r="K640" s="72"/>
      <c r="L640" s="93"/>
      <c r="M640" s="93"/>
      <c r="N640" s="93"/>
      <c r="O640" s="93"/>
      <c r="P640" s="93"/>
      <c r="Q640" s="93"/>
      <c r="R640" s="93"/>
      <c r="S640" s="93"/>
      <c r="T640" s="93"/>
      <c r="U640" s="93"/>
      <c r="V640" s="93"/>
      <c r="W640" s="93"/>
      <c r="X640" s="93"/>
      <c r="Y640" s="93"/>
    </row>
    <row r="641" spans="1:25">
      <c r="A641" s="72"/>
      <c r="B641" s="72"/>
      <c r="C641" s="72"/>
      <c r="D641" s="72"/>
      <c r="E641" s="72"/>
      <c r="F641" s="72"/>
      <c r="G641" s="72"/>
      <c r="H641" s="72"/>
      <c r="I641" s="72"/>
      <c r="J641" s="72"/>
      <c r="K641" s="72"/>
      <c r="L641" s="93"/>
      <c r="M641" s="93"/>
      <c r="N641" s="93"/>
      <c r="O641" s="93"/>
      <c r="P641" s="93"/>
      <c r="Q641" s="93"/>
      <c r="R641" s="93"/>
      <c r="S641" s="93"/>
      <c r="T641" s="93"/>
      <c r="U641" s="93"/>
      <c r="V641" s="93"/>
      <c r="W641" s="93"/>
      <c r="X641" s="93"/>
      <c r="Y641" s="93"/>
    </row>
    <row r="642" spans="1:25">
      <c r="A642" s="72"/>
      <c r="B642" s="72"/>
      <c r="C642" s="72"/>
      <c r="D642" s="72"/>
      <c r="E642" s="72"/>
      <c r="F642" s="72"/>
      <c r="G642" s="72"/>
      <c r="H642" s="72"/>
      <c r="I642" s="72"/>
      <c r="J642" s="72"/>
      <c r="K642" s="72"/>
      <c r="L642" s="93"/>
      <c r="M642" s="93"/>
      <c r="N642" s="93"/>
      <c r="O642" s="93"/>
      <c r="P642" s="93"/>
      <c r="Q642" s="93"/>
      <c r="R642" s="93"/>
      <c r="S642" s="93"/>
      <c r="T642" s="93"/>
      <c r="U642" s="93"/>
      <c r="V642" s="93"/>
      <c r="W642" s="93"/>
      <c r="X642" s="93"/>
      <c r="Y642" s="93"/>
    </row>
    <row r="643" spans="1:25">
      <c r="A643" s="72"/>
      <c r="B643" s="72"/>
      <c r="C643" s="72"/>
      <c r="D643" s="72"/>
      <c r="E643" s="72"/>
      <c r="F643" s="72"/>
      <c r="G643" s="72"/>
      <c r="H643" s="72"/>
      <c r="I643" s="72"/>
      <c r="J643" s="72"/>
      <c r="K643" s="72"/>
      <c r="L643" s="93"/>
      <c r="M643" s="93"/>
      <c r="N643" s="93"/>
      <c r="O643" s="93"/>
      <c r="P643" s="93"/>
      <c r="Q643" s="93"/>
      <c r="R643" s="93"/>
      <c r="S643" s="93"/>
      <c r="T643" s="93"/>
      <c r="U643" s="93"/>
      <c r="V643" s="93"/>
      <c r="W643" s="93"/>
      <c r="X643" s="93"/>
      <c r="Y643" s="93"/>
    </row>
    <row r="644" spans="1:25">
      <c r="A644" s="72"/>
      <c r="B644" s="72"/>
      <c r="C644" s="72"/>
      <c r="D644" s="72"/>
      <c r="E644" s="72"/>
      <c r="F644" s="72"/>
      <c r="G644" s="72"/>
      <c r="H644" s="72"/>
      <c r="I644" s="72"/>
      <c r="J644" s="72"/>
      <c r="K644" s="72"/>
      <c r="L644" s="93"/>
      <c r="M644" s="93"/>
      <c r="N644" s="93"/>
      <c r="O644" s="93"/>
      <c r="P644" s="93"/>
      <c r="Q644" s="93"/>
      <c r="R644" s="93"/>
      <c r="S644" s="93"/>
      <c r="T644" s="93"/>
      <c r="U644" s="93"/>
      <c r="V644" s="93"/>
      <c r="W644" s="93"/>
      <c r="X644" s="93"/>
      <c r="Y644" s="93"/>
    </row>
    <row r="645" spans="1:25">
      <c r="A645" s="72"/>
      <c r="B645" s="72"/>
      <c r="C645" s="72"/>
      <c r="D645" s="72"/>
      <c r="E645" s="72"/>
      <c r="F645" s="72"/>
      <c r="G645" s="72"/>
      <c r="H645" s="72"/>
      <c r="I645" s="72"/>
      <c r="J645" s="72"/>
      <c r="K645" s="72"/>
      <c r="L645" s="93"/>
      <c r="M645" s="93"/>
      <c r="N645" s="93"/>
      <c r="O645" s="93"/>
      <c r="P645" s="93"/>
      <c r="Q645" s="93"/>
      <c r="R645" s="93"/>
      <c r="S645" s="93"/>
      <c r="T645" s="93"/>
      <c r="U645" s="93"/>
      <c r="V645" s="93"/>
      <c r="W645" s="93"/>
      <c r="X645" s="93"/>
      <c r="Y645" s="93"/>
    </row>
    <row r="646" spans="1:25">
      <c r="A646" s="72"/>
      <c r="B646" s="72"/>
      <c r="C646" s="72"/>
      <c r="D646" s="72"/>
      <c r="E646" s="72"/>
      <c r="F646" s="72"/>
      <c r="G646" s="72"/>
      <c r="H646" s="72"/>
      <c r="I646" s="72"/>
      <c r="J646" s="72"/>
      <c r="K646" s="72"/>
      <c r="L646" s="93"/>
      <c r="M646" s="93"/>
      <c r="N646" s="93"/>
      <c r="O646" s="93"/>
      <c r="P646" s="93"/>
      <c r="Q646" s="93"/>
      <c r="R646" s="93"/>
      <c r="S646" s="93"/>
      <c r="T646" s="93"/>
      <c r="U646" s="93"/>
      <c r="V646" s="93"/>
      <c r="W646" s="93"/>
      <c r="X646" s="93"/>
      <c r="Y646" s="93"/>
    </row>
    <row r="647" spans="1:25">
      <c r="A647" s="72"/>
      <c r="B647" s="72"/>
      <c r="C647" s="72"/>
      <c r="D647" s="72"/>
      <c r="E647" s="72"/>
      <c r="F647" s="72"/>
      <c r="G647" s="72"/>
      <c r="H647" s="72"/>
      <c r="I647" s="72"/>
      <c r="J647" s="72"/>
      <c r="K647" s="72"/>
      <c r="L647" s="93"/>
      <c r="M647" s="93"/>
      <c r="N647" s="93"/>
      <c r="O647" s="93"/>
      <c r="P647" s="93"/>
      <c r="Q647" s="93"/>
      <c r="R647" s="93"/>
      <c r="S647" s="93"/>
      <c r="T647" s="93"/>
      <c r="U647" s="93"/>
      <c r="V647" s="93"/>
      <c r="W647" s="93"/>
      <c r="X647" s="93"/>
      <c r="Y647" s="93"/>
    </row>
    <row r="648" spans="1:25">
      <c r="A648" s="72"/>
      <c r="B648" s="72"/>
      <c r="C648" s="72"/>
      <c r="D648" s="72"/>
      <c r="E648" s="72"/>
      <c r="F648" s="72"/>
      <c r="G648" s="72"/>
      <c r="H648" s="72"/>
      <c r="I648" s="72"/>
      <c r="J648" s="72"/>
      <c r="K648" s="72"/>
      <c r="L648" s="93"/>
      <c r="M648" s="93"/>
      <c r="N648" s="93"/>
      <c r="O648" s="93"/>
      <c r="P648" s="93"/>
      <c r="Q648" s="93"/>
      <c r="R648" s="93"/>
      <c r="S648" s="93"/>
      <c r="T648" s="93"/>
      <c r="U648" s="93"/>
      <c r="V648" s="93"/>
      <c r="W648" s="93"/>
      <c r="X648" s="93"/>
      <c r="Y648" s="93"/>
    </row>
    <row r="649" spans="1:25">
      <c r="A649" s="72"/>
      <c r="B649" s="72"/>
      <c r="C649" s="72"/>
      <c r="D649" s="72"/>
      <c r="E649" s="72"/>
      <c r="F649" s="72"/>
      <c r="G649" s="72"/>
      <c r="H649" s="72"/>
      <c r="I649" s="72"/>
      <c r="J649" s="72"/>
      <c r="K649" s="72"/>
      <c r="L649" s="93"/>
      <c r="M649" s="93"/>
      <c r="N649" s="93"/>
      <c r="O649" s="93"/>
      <c r="P649" s="93"/>
      <c r="Q649" s="93"/>
      <c r="R649" s="93"/>
      <c r="S649" s="93"/>
      <c r="T649" s="93"/>
      <c r="U649" s="93"/>
      <c r="V649" s="93"/>
      <c r="W649" s="93"/>
      <c r="X649" s="93"/>
      <c r="Y649" s="93"/>
    </row>
    <row r="650" spans="1:25">
      <c r="A650" s="72"/>
      <c r="B650" s="72"/>
      <c r="C650" s="72"/>
      <c r="D650" s="72"/>
      <c r="E650" s="72"/>
      <c r="F650" s="72"/>
      <c r="G650" s="72"/>
      <c r="H650" s="72"/>
      <c r="I650" s="72"/>
      <c r="J650" s="72"/>
      <c r="K650" s="72"/>
      <c r="L650" s="93"/>
      <c r="M650" s="93"/>
      <c r="N650" s="93"/>
      <c r="O650" s="93"/>
      <c r="P650" s="93"/>
      <c r="Q650" s="93"/>
      <c r="R650" s="93"/>
      <c r="S650" s="93"/>
      <c r="T650" s="93"/>
      <c r="U650" s="93"/>
      <c r="V650" s="93"/>
      <c r="W650" s="93"/>
      <c r="X650" s="93"/>
      <c r="Y650" s="93"/>
    </row>
    <row r="651" spans="1:25">
      <c r="A651" s="72"/>
      <c r="B651" s="72"/>
      <c r="C651" s="72"/>
      <c r="D651" s="72"/>
      <c r="E651" s="72"/>
      <c r="F651" s="72"/>
      <c r="G651" s="72"/>
      <c r="H651" s="72"/>
      <c r="I651" s="72"/>
      <c r="J651" s="72"/>
      <c r="K651" s="72"/>
      <c r="L651" s="93"/>
      <c r="M651" s="93"/>
      <c r="N651" s="93"/>
      <c r="O651" s="93"/>
      <c r="P651" s="93"/>
      <c r="Q651" s="93"/>
      <c r="R651" s="93"/>
      <c r="S651" s="93"/>
      <c r="T651" s="93"/>
      <c r="U651" s="93"/>
      <c r="V651" s="93"/>
      <c r="W651" s="93"/>
      <c r="X651" s="93"/>
      <c r="Y651" s="93"/>
    </row>
    <row r="652" spans="1:25">
      <c r="A652" s="72"/>
      <c r="B652" s="72"/>
      <c r="C652" s="72"/>
      <c r="D652" s="72"/>
      <c r="E652" s="72"/>
      <c r="F652" s="72"/>
      <c r="G652" s="72"/>
      <c r="H652" s="72"/>
      <c r="I652" s="72"/>
      <c r="J652" s="72"/>
      <c r="K652" s="72"/>
      <c r="L652" s="93"/>
      <c r="M652" s="93"/>
      <c r="N652" s="93"/>
      <c r="O652" s="93"/>
      <c r="P652" s="93"/>
      <c r="Q652" s="93"/>
      <c r="R652" s="93"/>
      <c r="S652" s="93"/>
      <c r="T652" s="93"/>
      <c r="U652" s="93"/>
      <c r="V652" s="93"/>
      <c r="W652" s="93"/>
      <c r="X652" s="93"/>
      <c r="Y652" s="93"/>
    </row>
    <row r="653" spans="1:25">
      <c r="A653" s="72"/>
      <c r="B653" s="72"/>
      <c r="C653" s="72"/>
      <c r="D653" s="72"/>
      <c r="E653" s="72"/>
      <c r="F653" s="72"/>
      <c r="G653" s="72"/>
      <c r="H653" s="72"/>
      <c r="I653" s="72"/>
      <c r="J653" s="72"/>
      <c r="K653" s="72"/>
      <c r="L653" s="93"/>
      <c r="M653" s="93"/>
      <c r="N653" s="93"/>
      <c r="O653" s="93"/>
      <c r="P653" s="93"/>
      <c r="Q653" s="93"/>
      <c r="R653" s="93"/>
      <c r="S653" s="93"/>
      <c r="T653" s="93"/>
      <c r="U653" s="93"/>
      <c r="V653" s="93"/>
      <c r="W653" s="93"/>
      <c r="X653" s="93"/>
      <c r="Y653" s="93"/>
    </row>
    <row r="654" spans="1:25">
      <c r="A654" s="72"/>
      <c r="B654" s="72"/>
      <c r="C654" s="72"/>
      <c r="D654" s="72"/>
      <c r="E654" s="72"/>
      <c r="F654" s="72"/>
      <c r="G654" s="72"/>
      <c r="H654" s="72"/>
      <c r="I654" s="72"/>
      <c r="J654" s="72"/>
      <c r="K654" s="72"/>
      <c r="L654" s="93"/>
      <c r="M654" s="93"/>
      <c r="N654" s="93"/>
      <c r="O654" s="93"/>
      <c r="P654" s="93"/>
      <c r="Q654" s="93"/>
      <c r="R654" s="93"/>
      <c r="S654" s="93"/>
      <c r="T654" s="93"/>
      <c r="U654" s="93"/>
      <c r="V654" s="93"/>
      <c r="W654" s="93"/>
      <c r="X654" s="93"/>
      <c r="Y654" s="93"/>
    </row>
    <row r="655" spans="1:25">
      <c r="A655" s="72"/>
      <c r="B655" s="72"/>
      <c r="C655" s="72"/>
      <c r="D655" s="72"/>
      <c r="E655" s="72"/>
      <c r="F655" s="72"/>
      <c r="G655" s="72"/>
      <c r="H655" s="72"/>
      <c r="I655" s="72"/>
      <c r="J655" s="72"/>
      <c r="K655" s="72"/>
      <c r="L655" s="93"/>
      <c r="M655" s="93"/>
      <c r="N655" s="93"/>
      <c r="O655" s="93"/>
      <c r="P655" s="93"/>
      <c r="Q655" s="93"/>
      <c r="R655" s="93"/>
      <c r="S655" s="93"/>
      <c r="T655" s="93"/>
      <c r="U655" s="93"/>
      <c r="V655" s="93"/>
      <c r="W655" s="93"/>
      <c r="X655" s="93"/>
      <c r="Y655" s="93"/>
    </row>
    <row r="656" spans="1:25">
      <c r="A656" s="72"/>
      <c r="B656" s="72"/>
      <c r="C656" s="72"/>
      <c r="D656" s="72"/>
      <c r="E656" s="72"/>
      <c r="F656" s="72"/>
      <c r="G656" s="72"/>
      <c r="H656" s="72"/>
      <c r="I656" s="72"/>
      <c r="J656" s="72"/>
      <c r="K656" s="72"/>
      <c r="L656" s="93"/>
      <c r="M656" s="93"/>
      <c r="N656" s="93"/>
      <c r="O656" s="93"/>
      <c r="P656" s="93"/>
      <c r="Q656" s="93"/>
      <c r="R656" s="93"/>
      <c r="S656" s="93"/>
      <c r="T656" s="93"/>
      <c r="U656" s="93"/>
      <c r="V656" s="93"/>
      <c r="W656" s="93"/>
      <c r="X656" s="93"/>
      <c r="Y656" s="93"/>
    </row>
    <row r="657" spans="1:25">
      <c r="A657" s="72"/>
      <c r="B657" s="72"/>
      <c r="C657" s="72"/>
      <c r="D657" s="72"/>
      <c r="E657" s="72"/>
      <c r="F657" s="72"/>
      <c r="G657" s="72"/>
      <c r="H657" s="72"/>
      <c r="I657" s="72"/>
      <c r="J657" s="72"/>
      <c r="K657" s="72"/>
      <c r="L657" s="93"/>
      <c r="M657" s="93"/>
      <c r="N657" s="93"/>
      <c r="O657" s="93"/>
      <c r="P657" s="93"/>
      <c r="Q657" s="93"/>
      <c r="R657" s="93"/>
      <c r="S657" s="93"/>
      <c r="T657" s="93"/>
      <c r="U657" s="93"/>
      <c r="V657" s="93"/>
      <c r="W657" s="93"/>
      <c r="X657" s="93"/>
      <c r="Y657" s="93"/>
    </row>
    <row r="658" spans="1:25">
      <c r="A658" s="72"/>
      <c r="B658" s="72"/>
      <c r="C658" s="72"/>
      <c r="D658" s="72"/>
      <c r="E658" s="72"/>
      <c r="F658" s="72"/>
      <c r="G658" s="72"/>
      <c r="H658" s="72"/>
      <c r="I658" s="72"/>
      <c r="J658" s="72"/>
      <c r="K658" s="72"/>
      <c r="L658" s="93"/>
      <c r="M658" s="93"/>
      <c r="N658" s="93"/>
      <c r="O658" s="93"/>
      <c r="P658" s="93"/>
      <c r="Q658" s="93"/>
      <c r="R658" s="93"/>
      <c r="S658" s="93"/>
      <c r="T658" s="93"/>
      <c r="U658" s="93"/>
      <c r="V658" s="93"/>
      <c r="W658" s="93"/>
      <c r="X658" s="93"/>
      <c r="Y658" s="93"/>
    </row>
    <row r="659" spans="1:25">
      <c r="A659" s="72"/>
      <c r="B659" s="72"/>
      <c r="C659" s="72"/>
      <c r="D659" s="72"/>
      <c r="E659" s="72"/>
      <c r="F659" s="72"/>
      <c r="G659" s="72"/>
      <c r="H659" s="72"/>
      <c r="I659" s="72"/>
      <c r="J659" s="72"/>
      <c r="K659" s="72"/>
      <c r="L659" s="93"/>
      <c r="M659" s="93"/>
      <c r="N659" s="93"/>
      <c r="O659" s="93"/>
      <c r="P659" s="93"/>
      <c r="Q659" s="93"/>
      <c r="R659" s="93"/>
      <c r="S659" s="93"/>
      <c r="T659" s="93"/>
      <c r="U659" s="93"/>
      <c r="V659" s="93"/>
      <c r="W659" s="93"/>
      <c r="X659" s="93"/>
      <c r="Y659" s="93"/>
    </row>
    <row r="660" spans="1:25">
      <c r="A660" s="72"/>
      <c r="B660" s="72"/>
      <c r="C660" s="72"/>
      <c r="D660" s="72"/>
      <c r="E660" s="72"/>
      <c r="F660" s="72"/>
      <c r="G660" s="72"/>
      <c r="H660" s="72"/>
      <c r="I660" s="72"/>
      <c r="J660" s="72"/>
      <c r="K660" s="72"/>
      <c r="L660" s="93"/>
      <c r="M660" s="93"/>
      <c r="N660" s="93"/>
      <c r="O660" s="93"/>
      <c r="P660" s="93"/>
      <c r="Q660" s="93"/>
      <c r="R660" s="93"/>
      <c r="S660" s="93"/>
      <c r="T660" s="93"/>
      <c r="U660" s="93"/>
      <c r="V660" s="93"/>
      <c r="W660" s="93"/>
      <c r="X660" s="93"/>
      <c r="Y660" s="93"/>
    </row>
    <row r="661" spans="1:25">
      <c r="A661" s="72"/>
      <c r="B661" s="72"/>
      <c r="C661" s="72"/>
      <c r="D661" s="72"/>
      <c r="E661" s="72"/>
      <c r="F661" s="72"/>
      <c r="G661" s="72"/>
      <c r="H661" s="72"/>
      <c r="I661" s="72"/>
      <c r="J661" s="72"/>
      <c r="K661" s="72"/>
      <c r="L661" s="93"/>
      <c r="M661" s="93"/>
      <c r="N661" s="93"/>
      <c r="O661" s="93"/>
      <c r="P661" s="93"/>
      <c r="Q661" s="93"/>
      <c r="R661" s="93"/>
      <c r="S661" s="93"/>
      <c r="T661" s="93"/>
      <c r="U661" s="93"/>
      <c r="V661" s="93"/>
      <c r="W661" s="93"/>
      <c r="X661" s="93"/>
      <c r="Y661" s="93"/>
    </row>
    <row r="662" spans="1:25">
      <c r="A662" s="72"/>
      <c r="B662" s="72"/>
      <c r="C662" s="72"/>
      <c r="D662" s="72"/>
      <c r="E662" s="72"/>
      <c r="F662" s="72"/>
      <c r="G662" s="72"/>
      <c r="H662" s="72"/>
      <c r="I662" s="72"/>
      <c r="J662" s="72"/>
      <c r="K662" s="72"/>
      <c r="L662" s="93"/>
      <c r="M662" s="93"/>
      <c r="N662" s="93"/>
      <c r="O662" s="93"/>
      <c r="P662" s="93"/>
      <c r="Q662" s="93"/>
      <c r="R662" s="93"/>
      <c r="S662" s="93"/>
      <c r="T662" s="93"/>
      <c r="U662" s="93"/>
      <c r="V662" s="93"/>
      <c r="W662" s="93"/>
      <c r="X662" s="93"/>
      <c r="Y662" s="93"/>
    </row>
    <row r="663" spans="1:25">
      <c r="A663" s="72"/>
      <c r="B663" s="72"/>
      <c r="C663" s="72"/>
      <c r="D663" s="72"/>
      <c r="E663" s="72"/>
      <c r="F663" s="72"/>
      <c r="G663" s="72"/>
      <c r="H663" s="72"/>
      <c r="I663" s="72"/>
      <c r="J663" s="72"/>
      <c r="K663" s="72"/>
      <c r="L663" s="93"/>
      <c r="M663" s="93"/>
      <c r="N663" s="93"/>
      <c r="O663" s="93"/>
      <c r="P663" s="93"/>
      <c r="Q663" s="93"/>
      <c r="R663" s="93"/>
      <c r="S663" s="93"/>
      <c r="T663" s="93"/>
      <c r="U663" s="93"/>
      <c r="V663" s="93"/>
      <c r="W663" s="93"/>
      <c r="X663" s="93"/>
      <c r="Y663" s="93"/>
    </row>
    <row r="664" spans="1:25">
      <c r="A664" s="72"/>
      <c r="B664" s="72"/>
      <c r="C664" s="72"/>
      <c r="D664" s="72"/>
      <c r="E664" s="72"/>
      <c r="F664" s="72"/>
      <c r="G664" s="72"/>
      <c r="H664" s="72"/>
      <c r="I664" s="72"/>
      <c r="J664" s="72"/>
      <c r="K664" s="72"/>
      <c r="L664" s="93"/>
      <c r="M664" s="93"/>
      <c r="N664" s="93"/>
      <c r="O664" s="93"/>
      <c r="P664" s="93"/>
      <c r="Q664" s="93"/>
      <c r="R664" s="93"/>
      <c r="S664" s="93"/>
      <c r="T664" s="93"/>
      <c r="U664" s="93"/>
      <c r="V664" s="93"/>
      <c r="W664" s="93"/>
      <c r="X664" s="93"/>
      <c r="Y664" s="93"/>
    </row>
    <row r="665" spans="1:25">
      <c r="A665" s="72"/>
      <c r="B665" s="72"/>
      <c r="C665" s="72"/>
      <c r="D665" s="72"/>
      <c r="E665" s="72"/>
      <c r="F665" s="72"/>
      <c r="G665" s="72"/>
      <c r="H665" s="72"/>
      <c r="I665" s="72"/>
      <c r="J665" s="72"/>
      <c r="K665" s="72"/>
      <c r="L665" s="93"/>
      <c r="M665" s="93"/>
      <c r="N665" s="93"/>
      <c r="O665" s="93"/>
      <c r="P665" s="93"/>
      <c r="Q665" s="93"/>
      <c r="R665" s="93"/>
      <c r="S665" s="93"/>
      <c r="T665" s="93"/>
      <c r="U665" s="93"/>
      <c r="V665" s="93"/>
      <c r="W665" s="93"/>
      <c r="X665" s="93"/>
      <c r="Y665" s="93"/>
    </row>
    <row r="666" spans="1:25">
      <c r="A666" s="72"/>
      <c r="B666" s="72"/>
      <c r="C666" s="72"/>
      <c r="D666" s="72"/>
      <c r="E666" s="72"/>
      <c r="F666" s="72"/>
      <c r="G666" s="72"/>
      <c r="H666" s="72"/>
      <c r="I666" s="72"/>
      <c r="J666" s="72"/>
      <c r="K666" s="72"/>
      <c r="L666" s="93"/>
      <c r="M666" s="93"/>
      <c r="N666" s="93"/>
      <c r="O666" s="93"/>
      <c r="P666" s="93"/>
      <c r="Q666" s="93"/>
      <c r="R666" s="93"/>
      <c r="S666" s="93"/>
      <c r="T666" s="93"/>
      <c r="U666" s="93"/>
      <c r="V666" s="93"/>
      <c r="W666" s="93"/>
      <c r="X666" s="93"/>
      <c r="Y666" s="93"/>
    </row>
    <row r="667" spans="1:25">
      <c r="A667" s="72"/>
      <c r="B667" s="72"/>
      <c r="C667" s="72"/>
      <c r="D667" s="72"/>
      <c r="E667" s="72"/>
      <c r="F667" s="72"/>
      <c r="G667" s="72"/>
      <c r="H667" s="72"/>
      <c r="I667" s="72"/>
      <c r="J667" s="72"/>
      <c r="K667" s="72"/>
      <c r="L667" s="93"/>
      <c r="M667" s="93"/>
      <c r="N667" s="93"/>
      <c r="O667" s="93"/>
      <c r="P667" s="93"/>
      <c r="Q667" s="93"/>
      <c r="R667" s="93"/>
      <c r="S667" s="93"/>
      <c r="T667" s="93"/>
      <c r="U667" s="93"/>
      <c r="V667" s="93"/>
      <c r="W667" s="93"/>
      <c r="X667" s="93"/>
      <c r="Y667" s="93"/>
    </row>
    <row r="668" spans="1:25">
      <c r="A668" s="72"/>
      <c r="B668" s="72"/>
      <c r="C668" s="72"/>
      <c r="D668" s="72"/>
      <c r="E668" s="72"/>
      <c r="F668" s="72"/>
      <c r="G668" s="72"/>
      <c r="H668" s="72"/>
      <c r="I668" s="72"/>
      <c r="J668" s="72"/>
      <c r="K668" s="72"/>
      <c r="L668" s="93"/>
      <c r="M668" s="93"/>
      <c r="N668" s="93"/>
      <c r="O668" s="93"/>
      <c r="P668" s="93"/>
      <c r="Q668" s="93"/>
      <c r="R668" s="93"/>
      <c r="S668" s="93"/>
      <c r="T668" s="93"/>
      <c r="U668" s="93"/>
      <c r="V668" s="93"/>
      <c r="W668" s="93"/>
      <c r="X668" s="93"/>
      <c r="Y668" s="93"/>
    </row>
    <row r="669" spans="1:25">
      <c r="A669" s="72"/>
      <c r="B669" s="72"/>
      <c r="C669" s="72"/>
      <c r="D669" s="72"/>
      <c r="E669" s="72"/>
      <c r="F669" s="72"/>
      <c r="G669" s="72"/>
      <c r="H669" s="72"/>
      <c r="I669" s="72"/>
      <c r="J669" s="72"/>
      <c r="K669" s="72"/>
      <c r="L669" s="93"/>
      <c r="M669" s="93"/>
      <c r="N669" s="93"/>
      <c r="O669" s="93"/>
      <c r="P669" s="93"/>
      <c r="Q669" s="93"/>
      <c r="R669" s="93"/>
      <c r="S669" s="93"/>
      <c r="T669" s="93"/>
      <c r="U669" s="93"/>
      <c r="V669" s="93"/>
      <c r="W669" s="93"/>
      <c r="X669" s="93"/>
      <c r="Y669" s="93"/>
    </row>
    <row r="670" spans="1:25">
      <c r="A670" s="72"/>
      <c r="B670" s="72"/>
      <c r="C670" s="72"/>
      <c r="D670" s="72"/>
      <c r="E670" s="72"/>
      <c r="F670" s="72"/>
      <c r="G670" s="72"/>
      <c r="H670" s="72"/>
      <c r="I670" s="72"/>
      <c r="J670" s="72"/>
      <c r="K670" s="72"/>
      <c r="L670" s="93"/>
      <c r="M670" s="93"/>
      <c r="N670" s="93"/>
      <c r="O670" s="93"/>
      <c r="P670" s="93"/>
      <c r="Q670" s="93"/>
      <c r="R670" s="93"/>
      <c r="S670" s="93"/>
      <c r="T670" s="93"/>
      <c r="U670" s="93"/>
      <c r="V670" s="93"/>
      <c r="W670" s="93"/>
      <c r="X670" s="93"/>
      <c r="Y670" s="93"/>
    </row>
    <row r="671" spans="1:25">
      <c r="A671" s="72"/>
      <c r="B671" s="72"/>
      <c r="C671" s="72"/>
      <c r="D671" s="72"/>
      <c r="E671" s="72"/>
      <c r="F671" s="72"/>
      <c r="G671" s="72"/>
      <c r="H671" s="72"/>
      <c r="I671" s="72"/>
      <c r="J671" s="72"/>
      <c r="K671" s="72"/>
      <c r="L671" s="93"/>
      <c r="M671" s="93"/>
      <c r="N671" s="93"/>
      <c r="O671" s="93"/>
      <c r="P671" s="93"/>
      <c r="Q671" s="93"/>
      <c r="R671" s="93"/>
      <c r="S671" s="93"/>
      <c r="T671" s="93"/>
      <c r="U671" s="93"/>
      <c r="V671" s="93"/>
      <c r="W671" s="93"/>
      <c r="X671" s="93"/>
      <c r="Y671" s="93"/>
    </row>
    <row r="672" spans="1:25">
      <c r="A672" s="72"/>
      <c r="B672" s="72"/>
      <c r="C672" s="72"/>
      <c r="D672" s="72"/>
      <c r="E672" s="72"/>
      <c r="F672" s="72"/>
      <c r="G672" s="72"/>
      <c r="H672" s="72"/>
      <c r="I672" s="72"/>
      <c r="J672" s="72"/>
      <c r="K672" s="72"/>
      <c r="L672" s="93"/>
      <c r="M672" s="93"/>
      <c r="N672" s="93"/>
      <c r="O672" s="93"/>
      <c r="P672" s="93"/>
      <c r="Q672" s="93"/>
      <c r="R672" s="93"/>
      <c r="S672" s="93"/>
      <c r="T672" s="93"/>
      <c r="U672" s="93"/>
      <c r="V672" s="93"/>
      <c r="W672" s="93"/>
      <c r="X672" s="93"/>
      <c r="Y672" s="93"/>
    </row>
    <row r="673" spans="1:25">
      <c r="A673" s="72"/>
      <c r="B673" s="72"/>
      <c r="C673" s="72"/>
      <c r="D673" s="72"/>
      <c r="E673" s="72"/>
      <c r="F673" s="72"/>
      <c r="G673" s="72"/>
      <c r="H673" s="72"/>
      <c r="I673" s="72"/>
      <c r="J673" s="72"/>
      <c r="K673" s="72"/>
      <c r="L673" s="93"/>
      <c r="M673" s="93"/>
      <c r="N673" s="93"/>
      <c r="O673" s="93"/>
      <c r="P673" s="93"/>
      <c r="Q673" s="93"/>
      <c r="R673" s="93"/>
      <c r="S673" s="93"/>
      <c r="T673" s="93"/>
      <c r="U673" s="93"/>
      <c r="V673" s="93"/>
      <c r="W673" s="93"/>
      <c r="X673" s="93"/>
      <c r="Y673" s="93"/>
    </row>
    <row r="674" spans="1:25">
      <c r="A674" s="72"/>
      <c r="B674" s="72"/>
      <c r="C674" s="72"/>
      <c r="D674" s="72"/>
      <c r="E674" s="72"/>
      <c r="F674" s="72"/>
      <c r="G674" s="72"/>
      <c r="H674" s="72"/>
      <c r="I674" s="72"/>
      <c r="J674" s="72"/>
      <c r="K674" s="72"/>
      <c r="L674" s="93"/>
      <c r="M674" s="93"/>
      <c r="N674" s="93"/>
      <c r="O674" s="93"/>
      <c r="P674" s="93"/>
      <c r="Q674" s="93"/>
      <c r="R674" s="93"/>
      <c r="S674" s="93"/>
      <c r="T674" s="93"/>
      <c r="U674" s="93"/>
      <c r="V674" s="93"/>
      <c r="W674" s="93"/>
      <c r="X674" s="93"/>
      <c r="Y674" s="93"/>
    </row>
    <row r="675" spans="1:25">
      <c r="A675" s="72"/>
      <c r="B675" s="72"/>
      <c r="C675" s="72"/>
      <c r="D675" s="72"/>
      <c r="E675" s="72"/>
      <c r="F675" s="72"/>
      <c r="G675" s="72"/>
      <c r="H675" s="72"/>
      <c r="I675" s="72"/>
      <c r="J675" s="72"/>
      <c r="K675" s="72"/>
      <c r="L675" s="93"/>
      <c r="M675" s="93"/>
      <c r="N675" s="93"/>
      <c r="O675" s="93"/>
      <c r="P675" s="93"/>
      <c r="Q675" s="93"/>
      <c r="R675" s="93"/>
      <c r="S675" s="93"/>
      <c r="T675" s="93"/>
      <c r="U675" s="93"/>
      <c r="V675" s="93"/>
      <c r="W675" s="93"/>
      <c r="X675" s="93"/>
      <c r="Y675" s="93"/>
    </row>
    <row r="676" spans="1:25">
      <c r="A676" s="72"/>
      <c r="B676" s="72"/>
      <c r="C676" s="72"/>
      <c r="D676" s="72"/>
      <c r="E676" s="72"/>
      <c r="F676" s="72"/>
      <c r="G676" s="72"/>
      <c r="H676" s="72"/>
      <c r="I676" s="72"/>
      <c r="J676" s="72"/>
      <c r="K676" s="72"/>
      <c r="L676" s="93"/>
      <c r="M676" s="93"/>
      <c r="N676" s="93"/>
      <c r="O676" s="93"/>
      <c r="P676" s="93"/>
      <c r="Q676" s="93"/>
      <c r="R676" s="93"/>
      <c r="S676" s="93"/>
      <c r="T676" s="93"/>
      <c r="U676" s="93"/>
      <c r="V676" s="93"/>
      <c r="W676" s="93"/>
      <c r="X676" s="93"/>
      <c r="Y676" s="93"/>
    </row>
    <row r="677" spans="1:25">
      <c r="A677" s="72"/>
      <c r="B677" s="72"/>
      <c r="C677" s="72"/>
      <c r="D677" s="72"/>
      <c r="E677" s="72"/>
      <c r="F677" s="72"/>
      <c r="G677" s="72"/>
      <c r="H677" s="72"/>
      <c r="I677" s="72"/>
      <c r="J677" s="72"/>
      <c r="K677" s="72"/>
      <c r="L677" s="93"/>
      <c r="M677" s="93"/>
      <c r="N677" s="93"/>
      <c r="O677" s="93"/>
      <c r="P677" s="93"/>
      <c r="Q677" s="93"/>
      <c r="R677" s="93"/>
      <c r="S677" s="93"/>
      <c r="T677" s="93"/>
      <c r="U677" s="93"/>
      <c r="V677" s="93"/>
      <c r="W677" s="93"/>
      <c r="X677" s="93"/>
      <c r="Y677" s="93"/>
    </row>
    <row r="678" spans="1:25">
      <c r="A678" s="72"/>
      <c r="B678" s="72"/>
      <c r="C678" s="72"/>
      <c r="D678" s="72"/>
      <c r="E678" s="72"/>
      <c r="F678" s="72"/>
      <c r="G678" s="72"/>
      <c r="H678" s="72"/>
      <c r="I678" s="72"/>
      <c r="J678" s="72"/>
      <c r="K678" s="72"/>
      <c r="L678" s="93"/>
      <c r="M678" s="93"/>
      <c r="N678" s="93"/>
      <c r="O678" s="93"/>
      <c r="P678" s="93"/>
      <c r="Q678" s="93"/>
      <c r="R678" s="93"/>
      <c r="S678" s="93"/>
      <c r="T678" s="93"/>
      <c r="U678" s="93"/>
      <c r="V678" s="93"/>
      <c r="W678" s="93"/>
      <c r="X678" s="93"/>
      <c r="Y678" s="93"/>
    </row>
    <row r="679" spans="1:25">
      <c r="A679" s="72"/>
      <c r="B679" s="72"/>
      <c r="C679" s="72"/>
      <c r="D679" s="72"/>
      <c r="E679" s="72"/>
      <c r="F679" s="72"/>
      <c r="G679" s="72"/>
      <c r="H679" s="72"/>
      <c r="I679" s="72"/>
      <c r="J679" s="72"/>
      <c r="K679" s="72"/>
      <c r="L679" s="93"/>
      <c r="M679" s="93"/>
      <c r="N679" s="93"/>
      <c r="O679" s="93"/>
      <c r="P679" s="93"/>
      <c r="Q679" s="93"/>
      <c r="R679" s="93"/>
      <c r="S679" s="93"/>
      <c r="T679" s="93"/>
      <c r="U679" s="93"/>
      <c r="V679" s="93"/>
      <c r="W679" s="93"/>
      <c r="X679" s="93"/>
      <c r="Y679" s="93"/>
    </row>
    <row r="680" spans="1:25">
      <c r="A680" s="72"/>
      <c r="B680" s="72"/>
      <c r="C680" s="72"/>
      <c r="D680" s="72"/>
      <c r="E680" s="72"/>
      <c r="F680" s="72"/>
      <c r="G680" s="72"/>
      <c r="H680" s="72"/>
      <c r="I680" s="72"/>
      <c r="J680" s="72"/>
      <c r="K680" s="72"/>
      <c r="L680" s="93"/>
      <c r="M680" s="93"/>
      <c r="N680" s="93"/>
      <c r="O680" s="93"/>
      <c r="P680" s="93"/>
      <c r="Q680" s="93"/>
      <c r="R680" s="93"/>
      <c r="S680" s="93"/>
      <c r="T680" s="93"/>
      <c r="U680" s="93"/>
      <c r="V680" s="93"/>
      <c r="W680" s="93"/>
      <c r="X680" s="93"/>
      <c r="Y680" s="93"/>
    </row>
    <row r="681" spans="1:25">
      <c r="A681" s="72"/>
      <c r="B681" s="72"/>
      <c r="C681" s="72"/>
      <c r="D681" s="72"/>
      <c r="E681" s="72"/>
      <c r="F681" s="72"/>
      <c r="G681" s="72"/>
      <c r="H681" s="72"/>
      <c r="I681" s="72"/>
      <c r="J681" s="72"/>
      <c r="K681" s="72"/>
      <c r="L681" s="93"/>
      <c r="M681" s="93"/>
      <c r="N681" s="93"/>
      <c r="O681" s="93"/>
      <c r="P681" s="93"/>
      <c r="Q681" s="93"/>
      <c r="R681" s="93"/>
      <c r="S681" s="93"/>
      <c r="T681" s="93"/>
      <c r="U681" s="93"/>
      <c r="V681" s="93"/>
      <c r="W681" s="93"/>
      <c r="X681" s="93"/>
      <c r="Y681" s="93"/>
    </row>
    <row r="682" spans="1:25">
      <c r="A682" s="72"/>
      <c r="B682" s="72"/>
      <c r="C682" s="72"/>
      <c r="D682" s="72"/>
      <c r="E682" s="72"/>
      <c r="F682" s="72"/>
      <c r="G682" s="72"/>
      <c r="H682" s="72"/>
      <c r="I682" s="72"/>
      <c r="J682" s="72"/>
      <c r="K682" s="72"/>
      <c r="L682" s="93"/>
      <c r="M682" s="93"/>
      <c r="N682" s="93"/>
      <c r="O682" s="93"/>
      <c r="P682" s="93"/>
      <c r="Q682" s="93"/>
      <c r="R682" s="93"/>
      <c r="S682" s="93"/>
      <c r="T682" s="93"/>
      <c r="U682" s="93"/>
      <c r="V682" s="93"/>
      <c r="W682" s="93"/>
      <c r="X682" s="93"/>
      <c r="Y682" s="93"/>
    </row>
    <row r="683" spans="1:25">
      <c r="A683" s="72"/>
      <c r="B683" s="72"/>
      <c r="C683" s="72"/>
      <c r="D683" s="72"/>
      <c r="E683" s="72"/>
      <c r="F683" s="72"/>
      <c r="G683" s="72"/>
      <c r="H683" s="72"/>
      <c r="I683" s="72"/>
      <c r="J683" s="72"/>
      <c r="K683" s="72"/>
      <c r="L683" s="93"/>
      <c r="M683" s="93"/>
      <c r="N683" s="93"/>
      <c r="O683" s="93"/>
      <c r="P683" s="93"/>
      <c r="Q683" s="93"/>
      <c r="R683" s="93"/>
      <c r="S683" s="93"/>
      <c r="T683" s="93"/>
      <c r="U683" s="93"/>
      <c r="V683" s="93"/>
      <c r="W683" s="93"/>
      <c r="X683" s="93"/>
      <c r="Y683" s="93"/>
    </row>
    <row r="684" spans="1:25">
      <c r="A684" s="72"/>
      <c r="B684" s="72"/>
      <c r="C684" s="72"/>
      <c r="D684" s="72"/>
      <c r="E684" s="72"/>
      <c r="F684" s="72"/>
      <c r="G684" s="72"/>
      <c r="H684" s="72"/>
      <c r="I684" s="72"/>
      <c r="J684" s="72"/>
      <c r="K684" s="72"/>
      <c r="L684" s="93"/>
      <c r="M684" s="93"/>
      <c r="N684" s="93"/>
      <c r="O684" s="93"/>
      <c r="P684" s="93"/>
      <c r="Q684" s="93"/>
      <c r="R684" s="93"/>
      <c r="S684" s="93"/>
      <c r="T684" s="93"/>
      <c r="U684" s="93"/>
      <c r="V684" s="93"/>
      <c r="W684" s="93"/>
      <c r="X684" s="93"/>
      <c r="Y684" s="93"/>
    </row>
    <row r="685" spans="1:25">
      <c r="A685" s="72"/>
      <c r="B685" s="72"/>
      <c r="C685" s="72"/>
      <c r="D685" s="72"/>
      <c r="E685" s="72"/>
      <c r="F685" s="72"/>
      <c r="G685" s="72"/>
      <c r="H685" s="72"/>
      <c r="I685" s="72"/>
      <c r="J685" s="72"/>
      <c r="K685" s="72"/>
      <c r="L685" s="93"/>
      <c r="M685" s="93"/>
      <c r="N685" s="93"/>
      <c r="O685" s="93"/>
      <c r="P685" s="93"/>
      <c r="Q685" s="93"/>
      <c r="R685" s="93"/>
      <c r="S685" s="93"/>
      <c r="T685" s="93"/>
      <c r="U685" s="93"/>
      <c r="V685" s="93"/>
      <c r="W685" s="93"/>
      <c r="X685" s="93"/>
      <c r="Y685" s="93"/>
    </row>
    <row r="686" spans="1:25">
      <c r="A686" s="72"/>
      <c r="B686" s="72"/>
      <c r="C686" s="72"/>
      <c r="D686" s="72"/>
      <c r="E686" s="72"/>
      <c r="F686" s="72"/>
      <c r="G686" s="72"/>
      <c r="H686" s="72"/>
      <c r="I686" s="72"/>
      <c r="J686" s="72"/>
      <c r="K686" s="72"/>
      <c r="L686" s="93"/>
      <c r="M686" s="93"/>
      <c r="N686" s="93"/>
      <c r="O686" s="93"/>
      <c r="P686" s="93"/>
      <c r="Q686" s="93"/>
      <c r="R686" s="93"/>
      <c r="S686" s="93"/>
      <c r="T686" s="93"/>
      <c r="U686" s="93"/>
      <c r="V686" s="93"/>
      <c r="W686" s="93"/>
      <c r="X686" s="93"/>
      <c r="Y686" s="93"/>
    </row>
    <row r="687" spans="1:25">
      <c r="A687" s="72"/>
      <c r="B687" s="72"/>
      <c r="C687" s="72"/>
      <c r="D687" s="72"/>
      <c r="E687" s="72"/>
      <c r="F687" s="72"/>
      <c r="G687" s="72"/>
      <c r="H687" s="72"/>
      <c r="I687" s="72"/>
      <c r="J687" s="72"/>
      <c r="K687" s="72"/>
      <c r="L687" s="93"/>
      <c r="M687" s="93"/>
      <c r="N687" s="93"/>
      <c r="O687" s="93"/>
      <c r="P687" s="93"/>
      <c r="Q687" s="93"/>
      <c r="R687" s="93"/>
      <c r="S687" s="93"/>
      <c r="T687" s="93"/>
      <c r="U687" s="93"/>
      <c r="V687" s="93"/>
      <c r="W687" s="93"/>
      <c r="X687" s="93"/>
      <c r="Y687" s="93"/>
    </row>
    <row r="688" spans="1:25">
      <c r="A688" s="72"/>
      <c r="B688" s="72"/>
      <c r="C688" s="72"/>
      <c r="D688" s="72"/>
      <c r="E688" s="72"/>
      <c r="F688" s="72"/>
      <c r="G688" s="72"/>
      <c r="H688" s="72"/>
      <c r="I688" s="72"/>
      <c r="J688" s="72"/>
      <c r="K688" s="72"/>
      <c r="L688" s="93"/>
      <c r="M688" s="93"/>
      <c r="N688" s="93"/>
      <c r="O688" s="93"/>
      <c r="P688" s="93"/>
      <c r="Q688" s="93"/>
      <c r="R688" s="93"/>
      <c r="S688" s="93"/>
      <c r="T688" s="93"/>
      <c r="U688" s="93"/>
      <c r="V688" s="93"/>
      <c r="W688" s="93"/>
      <c r="X688" s="93"/>
      <c r="Y688" s="93"/>
    </row>
    <row r="689" spans="1:25">
      <c r="A689" s="72"/>
      <c r="B689" s="72"/>
      <c r="C689" s="72"/>
      <c r="D689" s="72"/>
      <c r="E689" s="72"/>
      <c r="F689" s="72"/>
      <c r="G689" s="72"/>
      <c r="H689" s="72"/>
      <c r="I689" s="72"/>
      <c r="J689" s="72"/>
      <c r="K689" s="72"/>
      <c r="L689" s="93"/>
      <c r="M689" s="93"/>
      <c r="N689" s="93"/>
      <c r="O689" s="93"/>
      <c r="P689" s="93"/>
      <c r="Q689" s="93"/>
      <c r="R689" s="93"/>
      <c r="S689" s="93"/>
      <c r="T689" s="93"/>
      <c r="U689" s="93"/>
      <c r="V689" s="93"/>
      <c r="W689" s="93"/>
      <c r="X689" s="93"/>
      <c r="Y689" s="93"/>
    </row>
    <row r="690" spans="1:25">
      <c r="A690" s="72"/>
      <c r="B690" s="72"/>
      <c r="C690" s="72"/>
      <c r="D690" s="72"/>
      <c r="E690" s="72"/>
      <c r="F690" s="72"/>
      <c r="G690" s="72"/>
      <c r="H690" s="72"/>
      <c r="I690" s="72"/>
      <c r="J690" s="72"/>
      <c r="K690" s="72"/>
      <c r="L690" s="93"/>
      <c r="M690" s="93"/>
      <c r="N690" s="93"/>
      <c r="O690" s="93"/>
      <c r="P690" s="93"/>
      <c r="Q690" s="93"/>
      <c r="R690" s="93"/>
      <c r="S690" s="93"/>
      <c r="T690" s="93"/>
      <c r="U690" s="93"/>
      <c r="V690" s="93"/>
      <c r="W690" s="93"/>
      <c r="X690" s="93"/>
      <c r="Y690" s="93"/>
    </row>
    <row r="691" spans="1:25">
      <c r="A691" s="72"/>
      <c r="B691" s="72"/>
      <c r="C691" s="72"/>
      <c r="D691" s="72"/>
      <c r="E691" s="72"/>
      <c r="F691" s="72"/>
      <c r="G691" s="72"/>
      <c r="H691" s="72"/>
      <c r="I691" s="72"/>
      <c r="J691" s="72"/>
      <c r="K691" s="72"/>
      <c r="L691" s="93"/>
      <c r="M691" s="93"/>
      <c r="N691" s="93"/>
      <c r="O691" s="93"/>
      <c r="P691" s="93"/>
      <c r="Q691" s="93"/>
      <c r="R691" s="93"/>
      <c r="S691" s="93"/>
      <c r="T691" s="93"/>
      <c r="U691" s="93"/>
      <c r="V691" s="93"/>
      <c r="W691" s="93"/>
      <c r="X691" s="93"/>
      <c r="Y691" s="93"/>
    </row>
    <row r="692" spans="1:25">
      <c r="A692" s="72"/>
      <c r="B692" s="72"/>
      <c r="C692" s="72"/>
      <c r="D692" s="72"/>
      <c r="E692" s="72"/>
      <c r="F692" s="72"/>
      <c r="G692" s="72"/>
      <c r="H692" s="72"/>
      <c r="I692" s="72"/>
      <c r="J692" s="72"/>
      <c r="K692" s="72"/>
      <c r="L692" s="93"/>
      <c r="M692" s="93"/>
      <c r="N692" s="93"/>
      <c r="O692" s="93"/>
      <c r="P692" s="93"/>
      <c r="Q692" s="93"/>
      <c r="R692" s="93"/>
      <c r="S692" s="93"/>
      <c r="T692" s="93"/>
      <c r="U692" s="93"/>
      <c r="V692" s="93"/>
      <c r="W692" s="93"/>
      <c r="X692" s="93"/>
      <c r="Y692" s="93"/>
    </row>
    <row r="693" spans="1:25">
      <c r="A693" s="72"/>
      <c r="B693" s="72"/>
      <c r="C693" s="72"/>
      <c r="D693" s="72"/>
      <c r="E693" s="72"/>
      <c r="F693" s="72"/>
      <c r="G693" s="72"/>
      <c r="H693" s="72"/>
      <c r="I693" s="72"/>
      <c r="J693" s="72"/>
      <c r="K693" s="72"/>
      <c r="L693" s="93"/>
      <c r="M693" s="93"/>
      <c r="N693" s="93"/>
      <c r="O693" s="93"/>
      <c r="P693" s="93"/>
      <c r="Q693" s="93"/>
      <c r="R693" s="93"/>
      <c r="S693" s="93"/>
      <c r="T693" s="93"/>
      <c r="U693" s="93"/>
      <c r="V693" s="93"/>
      <c r="W693" s="93"/>
      <c r="X693" s="93"/>
      <c r="Y693" s="93"/>
    </row>
    <row r="694" spans="1:25">
      <c r="A694" s="72"/>
      <c r="B694" s="72"/>
      <c r="C694" s="72"/>
      <c r="D694" s="72"/>
      <c r="E694" s="72"/>
      <c r="F694" s="72"/>
      <c r="G694" s="72"/>
      <c r="H694" s="72"/>
      <c r="I694" s="72"/>
      <c r="J694" s="72"/>
      <c r="K694" s="72"/>
      <c r="L694" s="93"/>
      <c r="M694" s="93"/>
      <c r="N694" s="93"/>
      <c r="O694" s="93"/>
      <c r="P694" s="93"/>
      <c r="Q694" s="93"/>
      <c r="R694" s="93"/>
      <c r="S694" s="93"/>
      <c r="T694" s="93"/>
      <c r="U694" s="93"/>
      <c r="V694" s="93"/>
      <c r="W694" s="93"/>
      <c r="X694" s="93"/>
      <c r="Y694" s="93"/>
    </row>
    <row r="695" spans="1:25">
      <c r="A695" s="72"/>
      <c r="B695" s="72"/>
      <c r="C695" s="72"/>
      <c r="D695" s="72"/>
      <c r="E695" s="72"/>
      <c r="F695" s="72"/>
      <c r="G695" s="72"/>
      <c r="H695" s="72"/>
      <c r="I695" s="72"/>
      <c r="J695" s="72"/>
      <c r="K695" s="72"/>
      <c r="L695" s="93"/>
      <c r="M695" s="93"/>
      <c r="N695" s="93"/>
      <c r="O695" s="93"/>
      <c r="P695" s="93"/>
      <c r="Q695" s="93"/>
      <c r="R695" s="93"/>
      <c r="S695" s="93"/>
      <c r="T695" s="93"/>
      <c r="U695" s="93"/>
      <c r="V695" s="93"/>
      <c r="W695" s="93"/>
      <c r="X695" s="93"/>
      <c r="Y695" s="93"/>
    </row>
    <row r="696" spans="1:25">
      <c r="A696" s="72"/>
      <c r="B696" s="72"/>
      <c r="C696" s="72"/>
      <c r="D696" s="72"/>
      <c r="E696" s="72"/>
      <c r="F696" s="72"/>
      <c r="G696" s="72"/>
      <c r="H696" s="72"/>
      <c r="I696" s="72"/>
      <c r="J696" s="72"/>
      <c r="K696" s="72"/>
      <c r="L696" s="93"/>
      <c r="M696" s="93"/>
      <c r="N696" s="93"/>
      <c r="O696" s="93"/>
      <c r="P696" s="93"/>
      <c r="Q696" s="93"/>
      <c r="R696" s="93"/>
      <c r="S696" s="93"/>
      <c r="T696" s="93"/>
      <c r="U696" s="93"/>
      <c r="V696" s="93"/>
      <c r="W696" s="93"/>
      <c r="X696" s="93"/>
      <c r="Y696" s="93"/>
    </row>
    <row r="697" spans="1:25">
      <c r="A697" s="72"/>
      <c r="B697" s="72"/>
      <c r="C697" s="72"/>
      <c r="D697" s="72"/>
      <c r="E697" s="72"/>
      <c r="F697" s="72"/>
      <c r="G697" s="72"/>
      <c r="H697" s="72"/>
      <c r="I697" s="72"/>
      <c r="J697" s="72"/>
      <c r="K697" s="72"/>
      <c r="L697" s="93"/>
      <c r="M697" s="93"/>
      <c r="N697" s="93"/>
      <c r="O697" s="93"/>
      <c r="P697" s="93"/>
      <c r="Q697" s="93"/>
      <c r="R697" s="93"/>
      <c r="S697" s="93"/>
      <c r="T697" s="93"/>
      <c r="U697" s="93"/>
      <c r="V697" s="93"/>
      <c r="W697" s="93"/>
      <c r="X697" s="93"/>
      <c r="Y697" s="93"/>
    </row>
    <row r="698" spans="1:25">
      <c r="A698" s="72"/>
      <c r="B698" s="72"/>
      <c r="C698" s="72"/>
      <c r="D698" s="72"/>
      <c r="E698" s="72"/>
      <c r="F698" s="72"/>
      <c r="G698" s="72"/>
      <c r="H698" s="72"/>
      <c r="I698" s="72"/>
      <c r="J698" s="72"/>
      <c r="K698" s="72"/>
      <c r="L698" s="93"/>
      <c r="M698" s="93"/>
      <c r="N698" s="93"/>
      <c r="O698" s="93"/>
      <c r="P698" s="93"/>
      <c r="Q698" s="93"/>
      <c r="R698" s="93"/>
      <c r="S698" s="93"/>
      <c r="T698" s="93"/>
      <c r="U698" s="93"/>
      <c r="V698" s="93"/>
      <c r="W698" s="93"/>
      <c r="X698" s="93"/>
      <c r="Y698" s="93"/>
    </row>
    <row r="699" spans="1:25">
      <c r="A699" s="72"/>
      <c r="B699" s="72"/>
      <c r="C699" s="72"/>
      <c r="D699" s="72"/>
      <c r="E699" s="72"/>
      <c r="F699" s="72"/>
      <c r="G699" s="72"/>
      <c r="H699" s="72"/>
      <c r="I699" s="72"/>
      <c r="J699" s="72"/>
      <c r="K699" s="72"/>
      <c r="L699" s="93"/>
      <c r="M699" s="93"/>
      <c r="N699" s="93"/>
      <c r="O699" s="93"/>
      <c r="P699" s="93"/>
      <c r="Q699" s="93"/>
      <c r="R699" s="93"/>
      <c r="S699" s="93"/>
      <c r="T699" s="93"/>
      <c r="U699" s="93"/>
      <c r="V699" s="93"/>
      <c r="W699" s="93"/>
      <c r="X699" s="93"/>
      <c r="Y699" s="93"/>
    </row>
    <row r="700" spans="1:25">
      <c r="A700" s="72"/>
      <c r="B700" s="72"/>
      <c r="C700" s="72"/>
      <c r="D700" s="72"/>
      <c r="E700" s="72"/>
      <c r="F700" s="72"/>
      <c r="G700" s="72"/>
      <c r="H700" s="72"/>
      <c r="I700" s="72"/>
      <c r="J700" s="72"/>
      <c r="K700" s="72"/>
      <c r="L700" s="93"/>
      <c r="M700" s="93"/>
      <c r="N700" s="93"/>
      <c r="O700" s="93"/>
      <c r="P700" s="93"/>
      <c r="Q700" s="93"/>
      <c r="R700" s="93"/>
      <c r="S700" s="93"/>
      <c r="T700" s="93"/>
      <c r="U700" s="93"/>
      <c r="V700" s="93"/>
      <c r="W700" s="93"/>
      <c r="X700" s="93"/>
      <c r="Y700" s="93"/>
    </row>
    <row r="701" spans="1:25">
      <c r="A701" s="72"/>
      <c r="B701" s="72"/>
      <c r="C701" s="72"/>
      <c r="D701" s="72"/>
      <c r="E701" s="72"/>
      <c r="F701" s="72"/>
      <c r="G701" s="72"/>
      <c r="H701" s="72"/>
      <c r="I701" s="72"/>
      <c r="J701" s="72"/>
      <c r="K701" s="72"/>
      <c r="L701" s="93"/>
      <c r="M701" s="93"/>
      <c r="N701" s="93"/>
      <c r="O701" s="93"/>
      <c r="P701" s="93"/>
      <c r="Q701" s="93"/>
      <c r="R701" s="93"/>
      <c r="S701" s="93"/>
      <c r="T701" s="93"/>
      <c r="U701" s="93"/>
      <c r="V701" s="93"/>
      <c r="W701" s="93"/>
      <c r="X701" s="93"/>
      <c r="Y701" s="93"/>
    </row>
    <row r="702" spans="1:25">
      <c r="A702" s="72"/>
      <c r="B702" s="72"/>
      <c r="C702" s="72"/>
      <c r="D702" s="72"/>
      <c r="E702" s="72"/>
      <c r="F702" s="72"/>
      <c r="G702" s="72"/>
      <c r="H702" s="72"/>
      <c r="I702" s="72"/>
      <c r="J702" s="72"/>
      <c r="K702" s="72"/>
      <c r="L702" s="93"/>
      <c r="M702" s="93"/>
      <c r="N702" s="93"/>
      <c r="O702" s="93"/>
      <c r="P702" s="93"/>
      <c r="Q702" s="93"/>
      <c r="R702" s="93"/>
      <c r="S702" s="93"/>
      <c r="T702" s="93"/>
      <c r="U702" s="93"/>
      <c r="V702" s="93"/>
      <c r="W702" s="93"/>
      <c r="X702" s="93"/>
      <c r="Y702" s="93"/>
    </row>
    <row r="703" spans="1:25">
      <c r="A703" s="72"/>
      <c r="B703" s="72"/>
      <c r="C703" s="72"/>
      <c r="D703" s="72"/>
      <c r="E703" s="72"/>
      <c r="F703" s="72"/>
      <c r="G703" s="72"/>
      <c r="H703" s="72"/>
      <c r="I703" s="72"/>
      <c r="J703" s="72"/>
      <c r="K703" s="72"/>
      <c r="L703" s="93"/>
      <c r="M703" s="93"/>
      <c r="N703" s="93"/>
      <c r="O703" s="93"/>
      <c r="P703" s="93"/>
      <c r="Q703" s="93"/>
      <c r="R703" s="93"/>
      <c r="S703" s="93"/>
      <c r="T703" s="93"/>
      <c r="U703" s="93"/>
      <c r="V703" s="93"/>
      <c r="W703" s="93"/>
      <c r="X703" s="93"/>
      <c r="Y703" s="93"/>
    </row>
    <row r="704" spans="1:25">
      <c r="A704" s="72"/>
      <c r="B704" s="72"/>
      <c r="C704" s="72"/>
      <c r="D704" s="72"/>
      <c r="E704" s="72"/>
      <c r="F704" s="72"/>
      <c r="G704" s="72"/>
      <c r="H704" s="72"/>
      <c r="I704" s="72"/>
      <c r="J704" s="72"/>
      <c r="K704" s="72"/>
      <c r="L704" s="93"/>
      <c r="M704" s="93"/>
      <c r="N704" s="93"/>
      <c r="O704" s="93"/>
      <c r="P704" s="93"/>
      <c r="Q704" s="93"/>
      <c r="R704" s="93"/>
      <c r="S704" s="93"/>
      <c r="T704" s="93"/>
      <c r="U704" s="93"/>
      <c r="V704" s="93"/>
      <c r="W704" s="93"/>
      <c r="X704" s="93"/>
      <c r="Y704" s="93"/>
    </row>
    <row r="705" spans="1:25">
      <c r="A705" s="72"/>
      <c r="B705" s="72"/>
      <c r="C705" s="72"/>
      <c r="D705" s="72"/>
      <c r="E705" s="72"/>
      <c r="F705" s="72"/>
      <c r="G705" s="72"/>
      <c r="H705" s="72"/>
      <c r="I705" s="72"/>
      <c r="J705" s="72"/>
      <c r="K705" s="72"/>
      <c r="L705" s="93"/>
      <c r="M705" s="93"/>
      <c r="N705" s="93"/>
      <c r="O705" s="93"/>
      <c r="P705" s="93"/>
      <c r="Q705" s="93"/>
      <c r="R705" s="93"/>
      <c r="S705" s="93"/>
      <c r="T705" s="93"/>
      <c r="U705" s="93"/>
      <c r="V705" s="93"/>
      <c r="W705" s="93"/>
      <c r="X705" s="93"/>
      <c r="Y705" s="93"/>
    </row>
    <row r="706" spans="1:25">
      <c r="A706" s="72"/>
      <c r="B706" s="72"/>
      <c r="C706" s="72"/>
      <c r="D706" s="72"/>
      <c r="E706" s="72"/>
      <c r="F706" s="72"/>
      <c r="G706" s="72"/>
      <c r="H706" s="72"/>
      <c r="I706" s="72"/>
      <c r="J706" s="72"/>
      <c r="K706" s="72"/>
      <c r="L706" s="93"/>
      <c r="M706" s="93"/>
      <c r="N706" s="93"/>
      <c r="O706" s="93"/>
      <c r="P706" s="93"/>
      <c r="Q706" s="93"/>
      <c r="R706" s="93"/>
      <c r="S706" s="93"/>
      <c r="T706" s="93"/>
      <c r="U706" s="93"/>
      <c r="V706" s="93"/>
      <c r="W706" s="93"/>
      <c r="X706" s="93"/>
      <c r="Y706" s="93"/>
    </row>
    <row r="707" spans="1:25">
      <c r="A707" s="72"/>
      <c r="B707" s="72"/>
      <c r="C707" s="72"/>
      <c r="D707" s="72"/>
      <c r="E707" s="72"/>
      <c r="F707" s="72"/>
      <c r="G707" s="72"/>
      <c r="H707" s="72"/>
      <c r="I707" s="72"/>
      <c r="J707" s="72"/>
      <c r="K707" s="72"/>
      <c r="L707" s="93"/>
      <c r="M707" s="93"/>
      <c r="N707" s="93"/>
      <c r="O707" s="93"/>
      <c r="P707" s="93"/>
      <c r="Q707" s="93"/>
      <c r="R707" s="93"/>
      <c r="S707" s="93"/>
      <c r="T707" s="93"/>
      <c r="U707" s="93"/>
      <c r="V707" s="93"/>
      <c r="W707" s="93"/>
      <c r="X707" s="93"/>
      <c r="Y707" s="93"/>
    </row>
    <row r="708" spans="1:25">
      <c r="A708" s="72"/>
      <c r="B708" s="72"/>
      <c r="C708" s="72"/>
      <c r="D708" s="72"/>
      <c r="E708" s="72"/>
      <c r="F708" s="72"/>
      <c r="G708" s="72"/>
      <c r="H708" s="72"/>
      <c r="I708" s="72"/>
      <c r="J708" s="72"/>
      <c r="K708" s="72"/>
      <c r="L708" s="93"/>
      <c r="M708" s="93"/>
      <c r="N708" s="93"/>
      <c r="O708" s="93"/>
      <c r="P708" s="93"/>
      <c r="Q708" s="93"/>
      <c r="R708" s="93"/>
      <c r="S708" s="93"/>
      <c r="T708" s="93"/>
      <c r="U708" s="93"/>
      <c r="V708" s="93"/>
      <c r="W708" s="93"/>
      <c r="X708" s="93"/>
      <c r="Y708" s="93"/>
    </row>
    <row r="709" spans="1:25">
      <c r="A709" s="72"/>
      <c r="B709" s="72"/>
      <c r="C709" s="72"/>
      <c r="D709" s="72"/>
      <c r="E709" s="72"/>
      <c r="F709" s="72"/>
      <c r="G709" s="72"/>
      <c r="H709" s="72"/>
      <c r="I709" s="72"/>
      <c r="J709" s="72"/>
      <c r="K709" s="72"/>
      <c r="L709" s="93"/>
      <c r="M709" s="93"/>
      <c r="N709" s="93"/>
      <c r="O709" s="93"/>
      <c r="P709" s="93"/>
      <c r="Q709" s="93"/>
      <c r="R709" s="93"/>
      <c r="S709" s="93"/>
      <c r="T709" s="93"/>
      <c r="U709" s="93"/>
      <c r="V709" s="93"/>
      <c r="W709" s="93"/>
      <c r="X709" s="93"/>
      <c r="Y709" s="93"/>
    </row>
    <row r="710" spans="1:25">
      <c r="A710" s="72"/>
      <c r="B710" s="72"/>
      <c r="C710" s="72"/>
      <c r="D710" s="72"/>
      <c r="E710" s="72"/>
      <c r="F710" s="72"/>
      <c r="G710" s="72"/>
      <c r="H710" s="72"/>
      <c r="I710" s="72"/>
      <c r="J710" s="72"/>
      <c r="K710" s="72"/>
      <c r="L710" s="93"/>
      <c r="M710" s="93"/>
      <c r="N710" s="93"/>
      <c r="O710" s="93"/>
      <c r="P710" s="93"/>
      <c r="Q710" s="93"/>
      <c r="R710" s="93"/>
      <c r="S710" s="93"/>
      <c r="T710" s="93"/>
      <c r="U710" s="93"/>
      <c r="V710" s="93"/>
      <c r="W710" s="93"/>
      <c r="X710" s="93"/>
      <c r="Y710" s="93"/>
    </row>
    <row r="711" spans="1:25">
      <c r="A711" s="72"/>
      <c r="B711" s="72"/>
      <c r="C711" s="72"/>
      <c r="D711" s="72"/>
      <c r="E711" s="72"/>
      <c r="F711" s="72"/>
      <c r="G711" s="72"/>
      <c r="H711" s="72"/>
      <c r="I711" s="72"/>
      <c r="J711" s="72"/>
      <c r="K711" s="72"/>
      <c r="L711" s="93"/>
      <c r="M711" s="93"/>
      <c r="N711" s="93"/>
      <c r="O711" s="93"/>
      <c r="P711" s="93"/>
      <c r="Q711" s="93"/>
      <c r="R711" s="93"/>
      <c r="S711" s="93"/>
      <c r="T711" s="93"/>
      <c r="U711" s="93"/>
      <c r="V711" s="93"/>
      <c r="W711" s="93"/>
      <c r="X711" s="93"/>
      <c r="Y711" s="93"/>
    </row>
    <row r="712" spans="1:25">
      <c r="A712" s="72"/>
      <c r="B712" s="72"/>
      <c r="C712" s="72"/>
      <c r="D712" s="72"/>
      <c r="E712" s="72"/>
      <c r="F712" s="72"/>
      <c r="G712" s="72"/>
      <c r="H712" s="72"/>
      <c r="I712" s="72"/>
      <c r="J712" s="72"/>
      <c r="K712" s="72"/>
      <c r="L712" s="93"/>
      <c r="M712" s="93"/>
      <c r="N712" s="93"/>
      <c r="O712" s="93"/>
      <c r="P712" s="93"/>
      <c r="Q712" s="93"/>
      <c r="R712" s="93"/>
      <c r="S712" s="93"/>
      <c r="T712" s="93"/>
      <c r="U712" s="93"/>
      <c r="V712" s="93"/>
      <c r="W712" s="93"/>
      <c r="X712" s="93"/>
      <c r="Y712" s="93"/>
    </row>
    <row r="713" spans="1:25">
      <c r="A713" s="72"/>
      <c r="B713" s="72"/>
      <c r="C713" s="72"/>
      <c r="D713" s="72"/>
      <c r="E713" s="72"/>
      <c r="F713" s="72"/>
      <c r="G713" s="72"/>
      <c r="H713" s="72"/>
      <c r="I713" s="72"/>
      <c r="J713" s="72"/>
      <c r="K713" s="72"/>
      <c r="L713" s="93"/>
      <c r="M713" s="93"/>
      <c r="N713" s="93"/>
      <c r="O713" s="93"/>
      <c r="P713" s="93"/>
      <c r="Q713" s="93"/>
      <c r="R713" s="93"/>
      <c r="S713" s="93"/>
      <c r="T713" s="93"/>
      <c r="U713" s="93"/>
      <c r="V713" s="93"/>
      <c r="W713" s="93"/>
      <c r="X713" s="93"/>
      <c r="Y713" s="93"/>
    </row>
    <row r="714" spans="1:25">
      <c r="A714" s="72"/>
      <c r="B714" s="72"/>
      <c r="C714" s="72"/>
      <c r="D714" s="72"/>
      <c r="E714" s="72"/>
      <c r="F714" s="72"/>
      <c r="G714" s="72"/>
      <c r="H714" s="72"/>
      <c r="I714" s="72"/>
      <c r="J714" s="72"/>
      <c r="K714" s="72"/>
      <c r="L714" s="93"/>
      <c r="M714" s="93"/>
      <c r="N714" s="93"/>
      <c r="O714" s="93"/>
      <c r="P714" s="93"/>
      <c r="Q714" s="93"/>
      <c r="R714" s="93"/>
      <c r="S714" s="93"/>
      <c r="T714" s="93"/>
      <c r="U714" s="93"/>
      <c r="V714" s="93"/>
      <c r="W714" s="93"/>
      <c r="X714" s="93"/>
      <c r="Y714" s="93"/>
    </row>
    <row r="715" spans="1:25">
      <c r="A715" s="72"/>
      <c r="B715" s="72"/>
      <c r="C715" s="72"/>
      <c r="D715" s="72"/>
      <c r="E715" s="72"/>
      <c r="F715" s="72"/>
      <c r="G715" s="72"/>
      <c r="H715" s="72"/>
      <c r="I715" s="72"/>
      <c r="J715" s="72"/>
      <c r="K715" s="72"/>
      <c r="L715" s="93"/>
      <c r="M715" s="93"/>
      <c r="N715" s="93"/>
      <c r="O715" s="93"/>
      <c r="P715" s="93"/>
      <c r="Q715" s="93"/>
      <c r="R715" s="93"/>
      <c r="S715" s="93"/>
      <c r="T715" s="93"/>
      <c r="U715" s="93"/>
      <c r="V715" s="93"/>
      <c r="W715" s="93"/>
      <c r="X715" s="93"/>
      <c r="Y715" s="93"/>
    </row>
    <row r="716" spans="1:25">
      <c r="A716" s="72"/>
      <c r="B716" s="72"/>
      <c r="C716" s="72"/>
      <c r="D716" s="72"/>
      <c r="E716" s="72"/>
      <c r="F716" s="72"/>
      <c r="G716" s="72"/>
      <c r="H716" s="72"/>
      <c r="I716" s="72"/>
      <c r="J716" s="72"/>
      <c r="K716" s="72"/>
      <c r="L716" s="93"/>
      <c r="M716" s="93"/>
      <c r="N716" s="93"/>
      <c r="O716" s="93"/>
      <c r="P716" s="93"/>
      <c r="Q716" s="93"/>
      <c r="R716" s="93"/>
      <c r="S716" s="93"/>
      <c r="T716" s="93"/>
      <c r="U716" s="93"/>
      <c r="V716" s="93"/>
      <c r="W716" s="93"/>
      <c r="X716" s="93"/>
      <c r="Y716" s="93"/>
    </row>
    <row r="717" spans="1:25">
      <c r="A717" s="72"/>
      <c r="B717" s="72"/>
      <c r="C717" s="72"/>
      <c r="D717" s="72"/>
      <c r="E717" s="72"/>
      <c r="F717" s="72"/>
      <c r="G717" s="72"/>
      <c r="H717" s="72"/>
      <c r="I717" s="72"/>
      <c r="J717" s="72"/>
      <c r="K717" s="72"/>
      <c r="L717" s="93"/>
      <c r="M717" s="93"/>
      <c r="N717" s="93"/>
      <c r="O717" s="93"/>
      <c r="P717" s="93"/>
      <c r="Q717" s="93"/>
      <c r="R717" s="93"/>
      <c r="S717" s="93"/>
      <c r="T717" s="93"/>
      <c r="U717" s="93"/>
      <c r="V717" s="93"/>
      <c r="W717" s="93"/>
      <c r="X717" s="93"/>
      <c r="Y717" s="93"/>
    </row>
    <row r="718" spans="1:25">
      <c r="A718" s="72"/>
      <c r="B718" s="72"/>
      <c r="C718" s="72"/>
      <c r="D718" s="72"/>
      <c r="E718" s="72"/>
      <c r="F718" s="72"/>
      <c r="G718" s="72"/>
      <c r="H718" s="72"/>
      <c r="I718" s="72"/>
      <c r="J718" s="72"/>
      <c r="K718" s="72"/>
      <c r="L718" s="93"/>
      <c r="M718" s="93"/>
      <c r="N718" s="93"/>
      <c r="O718" s="93"/>
      <c r="P718" s="93"/>
      <c r="Q718" s="93"/>
      <c r="R718" s="93"/>
      <c r="S718" s="93"/>
      <c r="T718" s="93"/>
      <c r="U718" s="93"/>
      <c r="V718" s="93"/>
      <c r="W718" s="93"/>
      <c r="X718" s="93"/>
      <c r="Y718" s="93"/>
    </row>
    <row r="719" spans="1:25">
      <c r="A719" s="72"/>
      <c r="B719" s="72"/>
      <c r="C719" s="72"/>
      <c r="D719" s="72"/>
      <c r="E719" s="72"/>
      <c r="F719" s="72"/>
      <c r="G719" s="72"/>
      <c r="H719" s="72"/>
      <c r="I719" s="72"/>
      <c r="J719" s="72"/>
      <c r="K719" s="72"/>
      <c r="L719" s="93"/>
      <c r="M719" s="93"/>
      <c r="N719" s="93"/>
      <c r="O719" s="93"/>
      <c r="P719" s="93"/>
      <c r="Q719" s="93"/>
      <c r="R719" s="93"/>
      <c r="S719" s="93"/>
      <c r="T719" s="93"/>
      <c r="U719" s="93"/>
      <c r="V719" s="93"/>
      <c r="W719" s="93"/>
      <c r="X719" s="93"/>
      <c r="Y719" s="93"/>
    </row>
    <row r="720" spans="1:25">
      <c r="A720" s="72"/>
      <c r="B720" s="72"/>
      <c r="C720" s="72"/>
      <c r="D720" s="72"/>
      <c r="E720" s="72"/>
      <c r="F720" s="72"/>
      <c r="G720" s="72"/>
      <c r="H720" s="72"/>
      <c r="I720" s="72"/>
      <c r="J720" s="72"/>
      <c r="K720" s="72"/>
      <c r="L720" s="93"/>
      <c r="M720" s="93"/>
      <c r="N720" s="93"/>
      <c r="O720" s="93"/>
      <c r="P720" s="93"/>
      <c r="Q720" s="93"/>
      <c r="R720" s="93"/>
      <c r="S720" s="93"/>
      <c r="T720" s="93"/>
      <c r="U720" s="93"/>
      <c r="V720" s="93"/>
      <c r="W720" s="93"/>
      <c r="X720" s="93"/>
      <c r="Y720" s="93"/>
    </row>
    <row r="721" spans="1:25">
      <c r="A721" s="72"/>
      <c r="B721" s="72"/>
      <c r="C721" s="72"/>
      <c r="D721" s="72"/>
      <c r="E721" s="72"/>
      <c r="F721" s="72"/>
      <c r="G721" s="72"/>
      <c r="H721" s="72"/>
      <c r="I721" s="72"/>
      <c r="J721" s="72"/>
      <c r="K721" s="72"/>
      <c r="L721" s="93"/>
      <c r="M721" s="93"/>
      <c r="N721" s="93"/>
      <c r="O721" s="93"/>
      <c r="P721" s="93"/>
      <c r="Q721" s="93"/>
      <c r="R721" s="93"/>
      <c r="S721" s="93"/>
      <c r="T721" s="93"/>
      <c r="U721" s="93"/>
      <c r="V721" s="93"/>
      <c r="W721" s="93"/>
      <c r="X721" s="93"/>
      <c r="Y721" s="93"/>
    </row>
    <row r="722" spans="1:25">
      <c r="A722" s="72"/>
      <c r="B722" s="72"/>
      <c r="C722" s="72"/>
      <c r="D722" s="72"/>
      <c r="E722" s="72"/>
      <c r="F722" s="72"/>
      <c r="G722" s="72"/>
      <c r="H722" s="72"/>
      <c r="I722" s="72"/>
      <c r="J722" s="72"/>
      <c r="K722" s="72"/>
      <c r="L722" s="93"/>
      <c r="M722" s="93"/>
      <c r="N722" s="93"/>
      <c r="O722" s="93"/>
      <c r="P722" s="93"/>
      <c r="Q722" s="93"/>
      <c r="R722" s="93"/>
      <c r="S722" s="93"/>
      <c r="T722" s="93"/>
      <c r="U722" s="93"/>
      <c r="V722" s="93"/>
      <c r="W722" s="93"/>
      <c r="X722" s="93"/>
      <c r="Y722" s="93"/>
    </row>
    <row r="723" spans="1:25">
      <c r="A723" s="72"/>
      <c r="B723" s="72"/>
      <c r="C723" s="72"/>
      <c r="D723" s="72"/>
      <c r="E723" s="72"/>
      <c r="F723" s="72"/>
      <c r="G723" s="72"/>
      <c r="H723" s="72"/>
      <c r="I723" s="72"/>
      <c r="J723" s="72"/>
      <c r="K723" s="72"/>
      <c r="L723" s="93"/>
      <c r="M723" s="93"/>
      <c r="N723" s="93"/>
      <c r="O723" s="93"/>
      <c r="P723" s="93"/>
      <c r="Q723" s="93"/>
      <c r="R723" s="93"/>
      <c r="S723" s="93"/>
      <c r="T723" s="93"/>
      <c r="U723" s="93"/>
      <c r="V723" s="93"/>
      <c r="W723" s="93"/>
      <c r="X723" s="93"/>
      <c r="Y723" s="93"/>
    </row>
    <row r="724" spans="1:25">
      <c r="A724" s="72"/>
      <c r="B724" s="72"/>
      <c r="C724" s="72"/>
      <c r="D724" s="72"/>
      <c r="E724" s="72"/>
      <c r="F724" s="72"/>
      <c r="G724" s="72"/>
      <c r="H724" s="72"/>
      <c r="I724" s="72"/>
      <c r="J724" s="72"/>
      <c r="K724" s="72"/>
      <c r="L724" s="93"/>
      <c r="M724" s="93"/>
      <c r="N724" s="93"/>
      <c r="O724" s="93"/>
      <c r="P724" s="93"/>
      <c r="Q724" s="93"/>
      <c r="R724" s="93"/>
      <c r="S724" s="93"/>
      <c r="T724" s="93"/>
      <c r="U724" s="93"/>
      <c r="V724" s="93"/>
      <c r="W724" s="93"/>
      <c r="X724" s="93"/>
      <c r="Y724" s="93"/>
    </row>
    <row r="725" spans="1:25">
      <c r="A725" s="72"/>
      <c r="B725" s="72"/>
      <c r="C725" s="72"/>
      <c r="D725" s="72"/>
      <c r="E725" s="72"/>
      <c r="F725" s="72"/>
      <c r="G725" s="72"/>
      <c r="H725" s="72"/>
      <c r="I725" s="72"/>
      <c r="J725" s="72"/>
      <c r="K725" s="72"/>
      <c r="L725" s="93"/>
      <c r="M725" s="93"/>
      <c r="N725" s="93"/>
      <c r="O725" s="93"/>
      <c r="P725" s="93"/>
      <c r="Q725" s="93"/>
      <c r="R725" s="93"/>
      <c r="S725" s="93"/>
      <c r="T725" s="93"/>
      <c r="U725" s="93"/>
      <c r="V725" s="93"/>
      <c r="W725" s="93"/>
      <c r="X725" s="93"/>
      <c r="Y725" s="93"/>
    </row>
    <row r="726" spans="1:25">
      <c r="A726" s="72"/>
      <c r="B726" s="72"/>
      <c r="C726" s="72"/>
      <c r="D726" s="72"/>
      <c r="E726" s="72"/>
      <c r="F726" s="72"/>
      <c r="G726" s="72"/>
      <c r="H726" s="72"/>
      <c r="I726" s="72"/>
      <c r="J726" s="72"/>
      <c r="K726" s="72"/>
      <c r="L726" s="93"/>
      <c r="M726" s="93"/>
      <c r="N726" s="93"/>
      <c r="O726" s="93"/>
      <c r="P726" s="93"/>
      <c r="Q726" s="93"/>
      <c r="R726" s="93"/>
      <c r="S726" s="93"/>
      <c r="T726" s="93"/>
      <c r="U726" s="93"/>
      <c r="V726" s="93"/>
      <c r="W726" s="93"/>
      <c r="X726" s="93"/>
      <c r="Y726" s="93"/>
    </row>
    <row r="727" spans="1:25">
      <c r="A727" s="72"/>
      <c r="B727" s="72"/>
      <c r="C727" s="72"/>
      <c r="D727" s="72"/>
      <c r="E727" s="72"/>
      <c r="F727" s="72"/>
      <c r="G727" s="72"/>
      <c r="H727" s="72"/>
      <c r="I727" s="72"/>
      <c r="J727" s="72"/>
      <c r="K727" s="72"/>
      <c r="L727" s="93"/>
      <c r="M727" s="93"/>
      <c r="N727" s="93"/>
      <c r="O727" s="93"/>
      <c r="P727" s="93"/>
      <c r="Q727" s="93"/>
      <c r="R727" s="93"/>
      <c r="S727" s="93"/>
      <c r="T727" s="93"/>
      <c r="U727" s="93"/>
      <c r="V727" s="93"/>
      <c r="W727" s="93"/>
      <c r="X727" s="93"/>
      <c r="Y727" s="93"/>
    </row>
    <row r="728" spans="1:25">
      <c r="A728" s="72"/>
      <c r="B728" s="72"/>
      <c r="C728" s="72"/>
      <c r="D728" s="72"/>
      <c r="E728" s="72"/>
      <c r="F728" s="72"/>
      <c r="G728" s="72"/>
      <c r="H728" s="72"/>
      <c r="I728" s="72"/>
      <c r="J728" s="72"/>
      <c r="K728" s="72"/>
      <c r="L728" s="93"/>
      <c r="M728" s="93"/>
      <c r="N728" s="93"/>
      <c r="O728" s="93"/>
      <c r="P728" s="93"/>
      <c r="Q728" s="93"/>
      <c r="R728" s="93"/>
      <c r="S728" s="93"/>
      <c r="T728" s="93"/>
      <c r="U728" s="93"/>
      <c r="V728" s="93"/>
      <c r="W728" s="93"/>
      <c r="X728" s="93"/>
      <c r="Y728" s="93"/>
    </row>
    <row r="729" spans="1:25">
      <c r="A729" s="72"/>
      <c r="B729" s="72"/>
      <c r="C729" s="72"/>
      <c r="D729" s="72"/>
      <c r="E729" s="72"/>
      <c r="F729" s="72"/>
      <c r="G729" s="72"/>
      <c r="H729" s="72"/>
      <c r="I729" s="72"/>
      <c r="J729" s="72"/>
      <c r="K729" s="72"/>
      <c r="L729" s="93"/>
      <c r="M729" s="93"/>
      <c r="N729" s="93"/>
      <c r="O729" s="93"/>
      <c r="P729" s="93"/>
      <c r="Q729" s="93"/>
      <c r="R729" s="93"/>
      <c r="S729" s="93"/>
      <c r="T729" s="93"/>
      <c r="U729" s="93"/>
      <c r="V729" s="93"/>
      <c r="W729" s="93"/>
      <c r="X729" s="93"/>
      <c r="Y729" s="93"/>
    </row>
    <row r="730" spans="1:25">
      <c r="A730" s="72"/>
      <c r="B730" s="72"/>
      <c r="C730" s="72"/>
      <c r="D730" s="72"/>
      <c r="E730" s="72"/>
      <c r="F730" s="72"/>
      <c r="G730" s="72"/>
      <c r="H730" s="72"/>
      <c r="I730" s="72"/>
      <c r="J730" s="72"/>
      <c r="K730" s="72"/>
      <c r="L730" s="93"/>
      <c r="M730" s="93"/>
      <c r="N730" s="93"/>
      <c r="O730" s="93"/>
      <c r="P730" s="93"/>
      <c r="Q730" s="93"/>
      <c r="R730" s="93"/>
      <c r="S730" s="93"/>
      <c r="T730" s="93"/>
      <c r="U730" s="93"/>
      <c r="V730" s="93"/>
      <c r="W730" s="93"/>
      <c r="X730" s="93"/>
      <c r="Y730" s="93"/>
    </row>
    <row r="731" spans="1:25">
      <c r="A731" s="72"/>
      <c r="B731" s="72"/>
      <c r="C731" s="72"/>
      <c r="D731" s="72"/>
      <c r="E731" s="72"/>
      <c r="F731" s="72"/>
      <c r="G731" s="72"/>
      <c r="H731" s="72"/>
      <c r="I731" s="72"/>
      <c r="J731" s="72"/>
      <c r="K731" s="72"/>
      <c r="L731" s="93"/>
      <c r="M731" s="93"/>
      <c r="N731" s="93"/>
      <c r="O731" s="93"/>
      <c r="P731" s="93"/>
      <c r="Q731" s="93"/>
      <c r="R731" s="93"/>
      <c r="S731" s="93"/>
      <c r="T731" s="93"/>
      <c r="U731" s="93"/>
      <c r="V731" s="93"/>
      <c r="W731" s="93"/>
      <c r="X731" s="93"/>
      <c r="Y731" s="93"/>
    </row>
    <row r="732" spans="1:25">
      <c r="A732" s="72"/>
      <c r="B732" s="72"/>
      <c r="C732" s="72"/>
      <c r="D732" s="72"/>
      <c r="E732" s="72"/>
      <c r="F732" s="72"/>
      <c r="G732" s="72"/>
      <c r="H732" s="72"/>
      <c r="I732" s="72"/>
      <c r="J732" s="72"/>
      <c r="K732" s="72"/>
      <c r="L732" s="93"/>
      <c r="M732" s="93"/>
      <c r="N732" s="93"/>
      <c r="O732" s="93"/>
      <c r="P732" s="93"/>
      <c r="Q732" s="93"/>
      <c r="R732" s="93"/>
      <c r="S732" s="93"/>
      <c r="T732" s="93"/>
      <c r="U732" s="93"/>
      <c r="V732" s="93"/>
      <c r="W732" s="93"/>
      <c r="X732" s="93"/>
      <c r="Y732" s="93"/>
    </row>
    <row r="733" spans="1:25">
      <c r="A733" s="72"/>
      <c r="B733" s="72"/>
      <c r="C733" s="72"/>
      <c r="D733" s="72"/>
      <c r="E733" s="72"/>
      <c r="F733" s="72"/>
      <c r="G733" s="72"/>
      <c r="H733" s="72"/>
      <c r="I733" s="72"/>
      <c r="J733" s="72"/>
      <c r="K733" s="72"/>
      <c r="L733" s="93"/>
      <c r="M733" s="93"/>
      <c r="N733" s="93"/>
      <c r="O733" s="93"/>
      <c r="P733" s="93"/>
      <c r="Q733" s="93"/>
      <c r="R733" s="93"/>
      <c r="S733" s="93"/>
      <c r="T733" s="93"/>
      <c r="U733" s="93"/>
      <c r="V733" s="93"/>
      <c r="W733" s="93"/>
      <c r="X733" s="93"/>
      <c r="Y733" s="93"/>
    </row>
    <row r="734" spans="1:25">
      <c r="A734" s="72"/>
      <c r="B734" s="72"/>
      <c r="C734" s="72"/>
      <c r="D734" s="72"/>
      <c r="E734" s="72"/>
      <c r="F734" s="72"/>
      <c r="G734" s="72"/>
      <c r="H734" s="72"/>
      <c r="I734" s="72"/>
      <c r="J734" s="72"/>
      <c r="K734" s="72"/>
      <c r="L734" s="93"/>
      <c r="M734" s="93"/>
      <c r="N734" s="93"/>
      <c r="O734" s="93"/>
      <c r="P734" s="93"/>
      <c r="Q734" s="93"/>
      <c r="R734" s="93"/>
      <c r="S734" s="93"/>
      <c r="T734" s="93"/>
      <c r="U734" s="93"/>
      <c r="V734" s="93"/>
      <c r="W734" s="93"/>
      <c r="X734" s="93"/>
      <c r="Y734" s="93"/>
    </row>
    <row r="735" spans="1:25">
      <c r="A735" s="72"/>
      <c r="B735" s="72"/>
      <c r="C735" s="72"/>
      <c r="D735" s="72"/>
      <c r="E735" s="72"/>
      <c r="F735" s="72"/>
      <c r="G735" s="72"/>
      <c r="H735" s="72"/>
      <c r="I735" s="72"/>
      <c r="J735" s="72"/>
      <c r="K735" s="72"/>
      <c r="L735" s="93"/>
      <c r="M735" s="93"/>
      <c r="N735" s="93"/>
      <c r="O735" s="93"/>
      <c r="P735" s="93"/>
      <c r="Q735" s="93"/>
      <c r="R735" s="93"/>
      <c r="S735" s="93"/>
      <c r="T735" s="93"/>
      <c r="U735" s="93"/>
      <c r="V735" s="93"/>
      <c r="W735" s="93"/>
      <c r="X735" s="93"/>
      <c r="Y735" s="93"/>
    </row>
    <row r="736" spans="1:25">
      <c r="A736" s="72"/>
      <c r="B736" s="72"/>
      <c r="C736" s="72"/>
      <c r="D736" s="72"/>
      <c r="E736" s="72"/>
      <c r="F736" s="72"/>
      <c r="G736" s="72"/>
      <c r="H736" s="72"/>
      <c r="I736" s="72"/>
      <c r="J736" s="72"/>
      <c r="K736" s="72"/>
      <c r="L736" s="93"/>
      <c r="M736" s="93"/>
      <c r="N736" s="93"/>
      <c r="O736" s="93"/>
      <c r="P736" s="93"/>
      <c r="Q736" s="93"/>
      <c r="R736" s="93"/>
      <c r="S736" s="93"/>
      <c r="T736" s="93"/>
      <c r="U736" s="93"/>
      <c r="V736" s="93"/>
      <c r="W736" s="93"/>
      <c r="X736" s="93"/>
      <c r="Y736" s="93"/>
    </row>
    <row r="737" spans="1:25">
      <c r="A737" s="72"/>
      <c r="B737" s="72"/>
      <c r="C737" s="72"/>
      <c r="D737" s="72"/>
      <c r="E737" s="72"/>
      <c r="F737" s="72"/>
      <c r="G737" s="72"/>
      <c r="H737" s="72"/>
      <c r="I737" s="72"/>
      <c r="J737" s="72"/>
      <c r="K737" s="72"/>
      <c r="L737" s="93"/>
      <c r="M737" s="93"/>
      <c r="N737" s="93"/>
      <c r="O737" s="93"/>
      <c r="P737" s="93"/>
      <c r="Q737" s="93"/>
      <c r="R737" s="93"/>
      <c r="S737" s="93"/>
      <c r="T737" s="93"/>
      <c r="U737" s="93"/>
      <c r="V737" s="93"/>
      <c r="W737" s="93"/>
      <c r="X737" s="93"/>
      <c r="Y737" s="93"/>
    </row>
    <row r="738" spans="1:25">
      <c r="A738" s="72"/>
      <c r="B738" s="72"/>
      <c r="C738" s="72"/>
      <c r="D738" s="72"/>
      <c r="E738" s="72"/>
      <c r="F738" s="72"/>
      <c r="G738" s="72"/>
      <c r="H738" s="72"/>
      <c r="I738" s="72"/>
      <c r="J738" s="72"/>
      <c r="K738" s="72"/>
      <c r="L738" s="93"/>
      <c r="M738" s="93"/>
      <c r="N738" s="93"/>
      <c r="O738" s="93"/>
      <c r="P738" s="93"/>
      <c r="Q738" s="93"/>
      <c r="R738" s="93"/>
      <c r="S738" s="93"/>
      <c r="T738" s="93"/>
      <c r="U738" s="93"/>
      <c r="V738" s="93"/>
      <c r="W738" s="93"/>
      <c r="X738" s="93"/>
      <c r="Y738" s="93"/>
    </row>
    <row r="739" spans="1:25">
      <c r="A739" s="72"/>
      <c r="B739" s="72"/>
      <c r="C739" s="72"/>
      <c r="D739" s="72"/>
      <c r="E739" s="72"/>
      <c r="F739" s="72"/>
      <c r="G739" s="72"/>
      <c r="H739" s="72"/>
      <c r="I739" s="72"/>
      <c r="J739" s="72"/>
      <c r="K739" s="72"/>
      <c r="L739" s="93"/>
      <c r="M739" s="93"/>
      <c r="N739" s="93"/>
      <c r="O739" s="93"/>
      <c r="P739" s="93"/>
      <c r="Q739" s="93"/>
      <c r="R739" s="93"/>
      <c r="S739" s="93"/>
      <c r="T739" s="93"/>
      <c r="U739" s="93"/>
      <c r="V739" s="93"/>
      <c r="W739" s="93"/>
      <c r="X739" s="93"/>
      <c r="Y739" s="93"/>
    </row>
    <row r="740" spans="1:25">
      <c r="A740" s="72"/>
      <c r="B740" s="72"/>
      <c r="C740" s="72"/>
      <c r="D740" s="72"/>
      <c r="E740" s="72"/>
      <c r="F740" s="72"/>
      <c r="G740" s="72"/>
      <c r="H740" s="72"/>
      <c r="I740" s="72"/>
      <c r="J740" s="72"/>
      <c r="K740" s="72"/>
      <c r="L740" s="93"/>
      <c r="M740" s="93"/>
      <c r="N740" s="93"/>
      <c r="O740" s="93"/>
      <c r="P740" s="93"/>
      <c r="Q740" s="93"/>
      <c r="R740" s="93"/>
      <c r="S740" s="93"/>
      <c r="T740" s="93"/>
      <c r="U740" s="93"/>
      <c r="V740" s="93"/>
      <c r="W740" s="93"/>
      <c r="X740" s="93"/>
      <c r="Y740" s="93"/>
    </row>
    <row r="741" spans="1:25">
      <c r="A741" s="72"/>
      <c r="B741" s="72"/>
      <c r="C741" s="72"/>
      <c r="D741" s="72"/>
      <c r="E741" s="72"/>
      <c r="F741" s="72"/>
      <c r="G741" s="72"/>
      <c r="H741" s="72"/>
      <c r="I741" s="72"/>
      <c r="J741" s="72"/>
      <c r="K741" s="72"/>
      <c r="L741" s="93"/>
      <c r="M741" s="93"/>
      <c r="N741" s="93"/>
      <c r="O741" s="93"/>
      <c r="P741" s="93"/>
      <c r="Q741" s="93"/>
      <c r="R741" s="93"/>
      <c r="S741" s="93"/>
      <c r="T741" s="93"/>
      <c r="U741" s="93"/>
      <c r="V741" s="93"/>
      <c r="W741" s="93"/>
      <c r="X741" s="93"/>
      <c r="Y741" s="93"/>
    </row>
    <row r="742" spans="1:25">
      <c r="A742" s="72"/>
      <c r="B742" s="72"/>
      <c r="C742" s="72"/>
      <c r="D742" s="72"/>
      <c r="E742" s="72"/>
      <c r="F742" s="72"/>
      <c r="G742" s="72"/>
      <c r="H742" s="72"/>
      <c r="I742" s="72"/>
      <c r="J742" s="72"/>
      <c r="K742" s="72"/>
      <c r="L742" s="93"/>
      <c r="M742" s="93"/>
      <c r="N742" s="93"/>
      <c r="O742" s="93"/>
      <c r="P742" s="93"/>
      <c r="Q742" s="93"/>
      <c r="R742" s="93"/>
      <c r="S742" s="93"/>
      <c r="T742" s="93"/>
      <c r="U742" s="93"/>
      <c r="V742" s="93"/>
      <c r="W742" s="93"/>
      <c r="X742" s="93"/>
      <c r="Y742" s="93"/>
    </row>
    <row r="743" spans="1:25">
      <c r="A743" s="72"/>
      <c r="B743" s="72"/>
      <c r="C743" s="72"/>
      <c r="D743" s="72"/>
      <c r="E743" s="72"/>
      <c r="F743" s="72"/>
      <c r="G743" s="72"/>
      <c r="H743" s="72"/>
      <c r="I743" s="72"/>
      <c r="J743" s="72"/>
      <c r="K743" s="72"/>
      <c r="L743" s="93"/>
      <c r="M743" s="93"/>
      <c r="N743" s="93"/>
      <c r="O743" s="93"/>
      <c r="P743" s="93"/>
      <c r="Q743" s="93"/>
      <c r="R743" s="93"/>
      <c r="S743" s="93"/>
      <c r="T743" s="93"/>
      <c r="U743" s="93"/>
      <c r="V743" s="93"/>
      <c r="W743" s="93"/>
      <c r="X743" s="93"/>
      <c r="Y743" s="93"/>
    </row>
    <row r="744" spans="1:25">
      <c r="A744" s="72"/>
      <c r="B744" s="72"/>
      <c r="C744" s="72"/>
      <c r="D744" s="72"/>
      <c r="E744" s="72"/>
      <c r="F744" s="72"/>
      <c r="G744" s="72"/>
      <c r="H744" s="72"/>
      <c r="I744" s="72"/>
      <c r="J744" s="72"/>
      <c r="K744" s="72"/>
      <c r="L744" s="93"/>
      <c r="M744" s="93"/>
      <c r="N744" s="93"/>
      <c r="O744" s="93"/>
      <c r="P744" s="93"/>
      <c r="Q744" s="93"/>
      <c r="R744" s="93"/>
      <c r="S744" s="93"/>
      <c r="T744" s="93"/>
      <c r="U744" s="93"/>
      <c r="V744" s="93"/>
      <c r="W744" s="93"/>
      <c r="X744" s="93"/>
      <c r="Y744" s="93"/>
    </row>
    <row r="745" spans="1:25">
      <c r="A745" s="72"/>
      <c r="B745" s="72"/>
      <c r="C745" s="72"/>
      <c r="D745" s="72"/>
      <c r="E745" s="72"/>
      <c r="F745" s="72"/>
      <c r="G745" s="72"/>
      <c r="H745" s="72"/>
      <c r="I745" s="72"/>
      <c r="J745" s="72"/>
      <c r="K745" s="72"/>
      <c r="L745" s="93"/>
      <c r="M745" s="93"/>
      <c r="N745" s="93"/>
      <c r="O745" s="93"/>
      <c r="P745" s="93"/>
      <c r="Q745" s="93"/>
      <c r="R745" s="93"/>
      <c r="S745" s="93"/>
      <c r="T745" s="93"/>
      <c r="U745" s="93"/>
      <c r="V745" s="93"/>
      <c r="W745" s="93"/>
      <c r="X745" s="93"/>
      <c r="Y745" s="93"/>
    </row>
    <row r="746" spans="1:25">
      <c r="A746" s="72"/>
      <c r="B746" s="72"/>
      <c r="C746" s="72"/>
      <c r="D746" s="72"/>
      <c r="E746" s="72"/>
      <c r="F746" s="72"/>
      <c r="G746" s="72"/>
      <c r="H746" s="72"/>
      <c r="I746" s="72"/>
      <c r="J746" s="72"/>
      <c r="K746" s="72"/>
      <c r="L746" s="93"/>
      <c r="M746" s="93"/>
      <c r="N746" s="93"/>
      <c r="O746" s="93"/>
      <c r="P746" s="93"/>
      <c r="Q746" s="93"/>
      <c r="R746" s="93"/>
      <c r="S746" s="93"/>
      <c r="T746" s="93"/>
      <c r="U746" s="93"/>
      <c r="V746" s="93"/>
      <c r="W746" s="93"/>
      <c r="X746" s="93"/>
      <c r="Y746" s="93"/>
    </row>
    <row r="747" spans="1:25">
      <c r="A747" s="72"/>
      <c r="B747" s="72"/>
      <c r="C747" s="72"/>
      <c r="D747" s="72"/>
      <c r="E747" s="72"/>
      <c r="F747" s="72"/>
      <c r="G747" s="72"/>
      <c r="H747" s="72"/>
      <c r="I747" s="72"/>
      <c r="J747" s="72"/>
      <c r="K747" s="72"/>
      <c r="L747" s="93"/>
      <c r="M747" s="93"/>
      <c r="N747" s="93"/>
      <c r="O747" s="93"/>
      <c r="P747" s="93"/>
      <c r="Q747" s="93"/>
      <c r="R747" s="93"/>
      <c r="S747" s="93"/>
      <c r="T747" s="93"/>
      <c r="U747" s="93"/>
      <c r="V747" s="93"/>
      <c r="W747" s="93"/>
      <c r="X747" s="93"/>
      <c r="Y747" s="93"/>
    </row>
    <row r="748" spans="1:25">
      <c r="A748" s="72"/>
      <c r="B748" s="72"/>
      <c r="C748" s="72"/>
      <c r="D748" s="72"/>
      <c r="E748" s="72"/>
      <c r="F748" s="72"/>
      <c r="G748" s="72"/>
      <c r="H748" s="72"/>
      <c r="I748" s="72"/>
      <c r="J748" s="72"/>
      <c r="K748" s="72"/>
      <c r="L748" s="93"/>
      <c r="M748" s="93"/>
      <c r="N748" s="93"/>
      <c r="O748" s="93"/>
      <c r="P748" s="93"/>
      <c r="Q748" s="93"/>
      <c r="R748" s="93"/>
      <c r="S748" s="93"/>
      <c r="T748" s="93"/>
      <c r="U748" s="93"/>
      <c r="V748" s="93"/>
      <c r="W748" s="93"/>
      <c r="X748" s="93"/>
      <c r="Y748" s="93"/>
    </row>
    <row r="749" spans="1:25">
      <c r="A749" s="72"/>
      <c r="B749" s="72"/>
      <c r="C749" s="72"/>
      <c r="D749" s="72"/>
      <c r="E749" s="72"/>
      <c r="F749" s="72"/>
      <c r="G749" s="72"/>
      <c r="H749" s="72"/>
      <c r="I749" s="72"/>
      <c r="J749" s="72"/>
      <c r="K749" s="72"/>
      <c r="L749" s="93"/>
      <c r="M749" s="93"/>
      <c r="N749" s="93"/>
      <c r="O749" s="93"/>
      <c r="P749" s="93"/>
      <c r="Q749" s="93"/>
      <c r="R749" s="93"/>
      <c r="S749" s="93"/>
      <c r="T749" s="93"/>
      <c r="U749" s="93"/>
      <c r="V749" s="93"/>
      <c r="W749" s="93"/>
      <c r="X749" s="93"/>
      <c r="Y749" s="93"/>
    </row>
    <row r="750" spans="1:25">
      <c r="A750" s="72"/>
      <c r="B750" s="72"/>
      <c r="C750" s="72"/>
      <c r="D750" s="72"/>
      <c r="E750" s="72"/>
      <c r="F750" s="72"/>
      <c r="G750" s="72"/>
      <c r="H750" s="72"/>
      <c r="I750" s="72"/>
      <c r="J750" s="72"/>
      <c r="K750" s="72"/>
      <c r="L750" s="93"/>
      <c r="M750" s="93"/>
      <c r="N750" s="93"/>
      <c r="O750" s="93"/>
      <c r="P750" s="93"/>
      <c r="Q750" s="93"/>
      <c r="R750" s="93"/>
      <c r="S750" s="93"/>
      <c r="T750" s="93"/>
      <c r="U750" s="93"/>
      <c r="V750" s="93"/>
      <c r="W750" s="93"/>
      <c r="X750" s="93"/>
      <c r="Y750" s="93"/>
    </row>
    <row r="751" spans="1:25">
      <c r="A751" s="72"/>
      <c r="B751" s="72"/>
      <c r="C751" s="72"/>
      <c r="D751" s="72"/>
      <c r="E751" s="72"/>
      <c r="F751" s="72"/>
      <c r="G751" s="72"/>
      <c r="H751" s="72"/>
      <c r="I751" s="72"/>
      <c r="J751" s="72"/>
      <c r="K751" s="72"/>
      <c r="L751" s="93"/>
      <c r="M751" s="93"/>
      <c r="N751" s="93"/>
      <c r="O751" s="93"/>
      <c r="P751" s="93"/>
      <c r="Q751" s="93"/>
      <c r="R751" s="93"/>
      <c r="S751" s="93"/>
      <c r="T751" s="93"/>
      <c r="U751" s="93"/>
      <c r="V751" s="93"/>
      <c r="W751" s="93"/>
      <c r="X751" s="93"/>
      <c r="Y751" s="93"/>
    </row>
    <row r="752" spans="1:25">
      <c r="A752" s="72"/>
      <c r="B752" s="72"/>
      <c r="C752" s="72"/>
      <c r="D752" s="72"/>
      <c r="E752" s="72"/>
      <c r="F752" s="72"/>
      <c r="G752" s="72"/>
      <c r="H752" s="72"/>
      <c r="I752" s="72"/>
      <c r="J752" s="72"/>
      <c r="K752" s="72"/>
      <c r="L752" s="93"/>
      <c r="M752" s="93"/>
      <c r="N752" s="93"/>
      <c r="O752" s="93"/>
      <c r="P752" s="93"/>
      <c r="Q752" s="93"/>
      <c r="R752" s="93"/>
      <c r="S752" s="93"/>
      <c r="T752" s="93"/>
      <c r="U752" s="93"/>
      <c r="V752" s="93"/>
      <c r="W752" s="93"/>
      <c r="X752" s="93"/>
      <c r="Y752" s="93"/>
    </row>
    <row r="753" spans="1:25">
      <c r="A753" s="72"/>
      <c r="B753" s="72"/>
      <c r="C753" s="72"/>
      <c r="D753" s="72"/>
      <c r="E753" s="72"/>
      <c r="F753" s="72"/>
      <c r="G753" s="72"/>
      <c r="H753" s="72"/>
      <c r="I753" s="72"/>
      <c r="J753" s="72"/>
      <c r="K753" s="72"/>
      <c r="L753" s="93"/>
      <c r="M753" s="93"/>
      <c r="N753" s="93"/>
      <c r="O753" s="93"/>
      <c r="P753" s="93"/>
      <c r="Q753" s="93"/>
      <c r="R753" s="93"/>
      <c r="S753" s="93"/>
      <c r="T753" s="93"/>
      <c r="U753" s="93"/>
      <c r="V753" s="93"/>
      <c r="W753" s="93"/>
      <c r="X753" s="93"/>
      <c r="Y753" s="93"/>
    </row>
    <row r="754" spans="1:25">
      <c r="A754" s="72"/>
      <c r="B754" s="72"/>
      <c r="C754" s="72"/>
      <c r="D754" s="72"/>
      <c r="E754" s="72"/>
      <c r="F754" s="72"/>
      <c r="G754" s="72"/>
      <c r="H754" s="72"/>
      <c r="I754" s="72"/>
      <c r="J754" s="72"/>
      <c r="K754" s="72"/>
      <c r="L754" s="93"/>
      <c r="M754" s="93"/>
      <c r="N754" s="93"/>
      <c r="O754" s="93"/>
      <c r="P754" s="93"/>
      <c r="Q754" s="93"/>
      <c r="R754" s="93"/>
      <c r="S754" s="93"/>
      <c r="T754" s="93"/>
      <c r="U754" s="93"/>
      <c r="V754" s="93"/>
      <c r="W754" s="93"/>
      <c r="X754" s="93"/>
      <c r="Y754" s="93"/>
    </row>
    <row r="755" spans="1:25">
      <c r="A755" s="72"/>
      <c r="B755" s="72"/>
      <c r="C755" s="72"/>
      <c r="D755" s="72"/>
      <c r="E755" s="72"/>
      <c r="F755" s="72"/>
      <c r="G755" s="72"/>
      <c r="H755" s="72"/>
      <c r="I755" s="72"/>
      <c r="J755" s="72"/>
      <c r="K755" s="72"/>
      <c r="L755" s="93"/>
      <c r="M755" s="93"/>
      <c r="N755" s="93"/>
      <c r="O755" s="93"/>
      <c r="P755" s="93"/>
      <c r="Q755" s="93"/>
      <c r="R755" s="93"/>
      <c r="S755" s="93"/>
      <c r="T755" s="93"/>
      <c r="U755" s="93"/>
      <c r="V755" s="93"/>
      <c r="W755" s="93"/>
      <c r="X755" s="93"/>
      <c r="Y755" s="93"/>
    </row>
    <row r="756" spans="1:25">
      <c r="A756" s="72"/>
      <c r="B756" s="72"/>
      <c r="C756" s="72"/>
      <c r="D756" s="72"/>
      <c r="E756" s="72"/>
      <c r="F756" s="72"/>
      <c r="G756" s="72"/>
      <c r="H756" s="72"/>
      <c r="I756" s="72"/>
      <c r="J756" s="72"/>
      <c r="K756" s="72"/>
      <c r="L756" s="93"/>
      <c r="M756" s="93"/>
      <c r="N756" s="93"/>
      <c r="O756" s="93"/>
      <c r="P756" s="93"/>
      <c r="Q756" s="93"/>
      <c r="R756" s="93"/>
      <c r="S756" s="93"/>
      <c r="T756" s="93"/>
      <c r="U756" s="93"/>
      <c r="V756" s="93"/>
      <c r="W756" s="93"/>
      <c r="X756" s="93"/>
      <c r="Y756" s="93"/>
    </row>
    <row r="757" spans="1:25">
      <c r="A757" s="72"/>
      <c r="B757" s="72"/>
      <c r="C757" s="72"/>
      <c r="D757" s="72"/>
      <c r="E757" s="72"/>
      <c r="F757" s="72"/>
      <c r="G757" s="72"/>
      <c r="H757" s="72"/>
      <c r="I757" s="72"/>
      <c r="J757" s="72"/>
      <c r="K757" s="72"/>
      <c r="L757" s="93"/>
      <c r="M757" s="93"/>
      <c r="N757" s="93"/>
      <c r="O757" s="93"/>
      <c r="P757" s="93"/>
      <c r="Q757" s="93"/>
      <c r="R757" s="93"/>
      <c r="S757" s="93"/>
      <c r="T757" s="93"/>
      <c r="U757" s="93"/>
      <c r="V757" s="93"/>
      <c r="W757" s="93"/>
      <c r="X757" s="93"/>
      <c r="Y757" s="93"/>
    </row>
    <row r="758" spans="1:25">
      <c r="A758" s="72"/>
      <c r="B758" s="72"/>
      <c r="C758" s="72"/>
      <c r="D758" s="72"/>
      <c r="E758" s="72"/>
      <c r="F758" s="72"/>
      <c r="G758" s="72"/>
      <c r="H758" s="72"/>
      <c r="I758" s="72"/>
      <c r="J758" s="72"/>
      <c r="K758" s="72"/>
      <c r="L758" s="93"/>
      <c r="M758" s="93"/>
      <c r="N758" s="93"/>
      <c r="O758" s="93"/>
      <c r="P758" s="93"/>
      <c r="Q758" s="93"/>
      <c r="R758" s="93"/>
      <c r="S758" s="93"/>
      <c r="T758" s="93"/>
      <c r="U758" s="93"/>
      <c r="V758" s="93"/>
      <c r="W758" s="93"/>
      <c r="X758" s="93"/>
      <c r="Y758" s="93"/>
    </row>
    <row r="759" spans="1:25">
      <c r="A759" s="72"/>
      <c r="B759" s="72"/>
      <c r="C759" s="72"/>
      <c r="D759" s="72"/>
      <c r="E759" s="72"/>
      <c r="F759" s="72"/>
      <c r="G759" s="72"/>
      <c r="H759" s="72"/>
      <c r="I759" s="72"/>
      <c r="J759" s="72"/>
      <c r="K759" s="72"/>
      <c r="L759" s="93"/>
      <c r="M759" s="93"/>
      <c r="N759" s="93"/>
      <c r="O759" s="93"/>
      <c r="P759" s="93"/>
      <c r="Q759" s="93"/>
      <c r="R759" s="93"/>
      <c r="S759" s="93"/>
      <c r="T759" s="93"/>
      <c r="U759" s="93"/>
      <c r="V759" s="93"/>
      <c r="W759" s="93"/>
      <c r="X759" s="93"/>
      <c r="Y759" s="93"/>
    </row>
    <row r="760" spans="1:25">
      <c r="A760" s="72"/>
      <c r="B760" s="72"/>
      <c r="C760" s="72"/>
      <c r="D760" s="72"/>
      <c r="E760" s="72"/>
      <c r="F760" s="72"/>
      <c r="G760" s="72"/>
      <c r="H760" s="72"/>
      <c r="I760" s="72"/>
      <c r="J760" s="72"/>
      <c r="K760" s="72"/>
      <c r="L760" s="93"/>
      <c r="M760" s="93"/>
      <c r="N760" s="93"/>
      <c r="O760" s="93"/>
      <c r="P760" s="93"/>
      <c r="Q760" s="93"/>
      <c r="R760" s="93"/>
      <c r="S760" s="93"/>
      <c r="T760" s="93"/>
      <c r="U760" s="93"/>
      <c r="V760" s="93"/>
      <c r="W760" s="93"/>
      <c r="X760" s="93"/>
      <c r="Y760" s="93"/>
    </row>
    <row r="761" spans="1:25">
      <c r="A761" s="72"/>
      <c r="B761" s="72"/>
      <c r="C761" s="72"/>
      <c r="D761" s="72"/>
      <c r="E761" s="72"/>
      <c r="F761" s="72"/>
      <c r="G761" s="72"/>
      <c r="H761" s="72"/>
      <c r="I761" s="72"/>
      <c r="J761" s="72"/>
      <c r="K761" s="72"/>
      <c r="L761" s="93"/>
      <c r="M761" s="93"/>
      <c r="N761" s="93"/>
      <c r="O761" s="93"/>
      <c r="P761" s="93"/>
      <c r="Q761" s="93"/>
      <c r="R761" s="93"/>
      <c r="S761" s="93"/>
      <c r="T761" s="93"/>
      <c r="U761" s="93"/>
      <c r="V761" s="93"/>
      <c r="W761" s="93"/>
      <c r="X761" s="93"/>
      <c r="Y761" s="93"/>
    </row>
    <row r="762" spans="1:25">
      <c r="A762" s="72"/>
      <c r="B762" s="72"/>
      <c r="C762" s="72"/>
      <c r="D762" s="72"/>
      <c r="E762" s="72"/>
      <c r="F762" s="72"/>
      <c r="G762" s="72"/>
      <c r="H762" s="72"/>
      <c r="I762" s="72"/>
      <c r="J762" s="72"/>
      <c r="K762" s="72"/>
      <c r="L762" s="93"/>
      <c r="M762" s="93"/>
      <c r="N762" s="93"/>
      <c r="O762" s="93"/>
      <c r="P762" s="93"/>
      <c r="Q762" s="93"/>
      <c r="R762" s="93"/>
      <c r="S762" s="93"/>
      <c r="T762" s="93"/>
      <c r="U762" s="93"/>
      <c r="V762" s="93"/>
      <c r="W762" s="93"/>
      <c r="X762" s="93"/>
      <c r="Y762" s="93"/>
    </row>
    <row r="763" spans="1:25">
      <c r="A763" s="72"/>
      <c r="B763" s="72"/>
      <c r="C763" s="72"/>
      <c r="D763" s="72"/>
      <c r="E763" s="72"/>
      <c r="F763" s="72"/>
      <c r="G763" s="72"/>
      <c r="H763" s="72"/>
      <c r="I763" s="72"/>
      <c r="J763" s="72"/>
      <c r="K763" s="72"/>
      <c r="L763" s="93"/>
      <c r="M763" s="93"/>
      <c r="N763" s="93"/>
      <c r="O763" s="93"/>
      <c r="P763" s="93"/>
      <c r="Q763" s="93"/>
      <c r="R763" s="93"/>
      <c r="S763" s="93"/>
      <c r="T763" s="93"/>
      <c r="U763" s="93"/>
      <c r="V763" s="93"/>
      <c r="W763" s="93"/>
      <c r="X763" s="93"/>
      <c r="Y763" s="93"/>
    </row>
    <row r="764" spans="1:25">
      <c r="A764" s="72"/>
      <c r="B764" s="72"/>
      <c r="C764" s="72"/>
      <c r="D764" s="72"/>
      <c r="E764" s="72"/>
      <c r="F764" s="72"/>
      <c r="G764" s="72"/>
      <c r="H764" s="72"/>
      <c r="I764" s="72"/>
      <c r="J764" s="72"/>
      <c r="K764" s="72"/>
      <c r="L764" s="93"/>
      <c r="M764" s="93"/>
      <c r="N764" s="93"/>
      <c r="O764" s="93"/>
      <c r="P764" s="93"/>
      <c r="Q764" s="93"/>
      <c r="R764" s="93"/>
      <c r="S764" s="93"/>
      <c r="T764" s="93"/>
      <c r="U764" s="93"/>
      <c r="V764" s="93"/>
      <c r="W764" s="93"/>
      <c r="X764" s="93"/>
      <c r="Y764" s="93"/>
    </row>
    <row r="765" spans="1:25">
      <c r="A765" s="72"/>
      <c r="B765" s="72"/>
      <c r="C765" s="72"/>
      <c r="D765" s="72"/>
      <c r="E765" s="72"/>
      <c r="F765" s="72"/>
      <c r="G765" s="72"/>
      <c r="H765" s="72"/>
      <c r="I765" s="72"/>
      <c r="J765" s="72"/>
      <c r="K765" s="72"/>
      <c r="L765" s="93"/>
      <c r="M765" s="93"/>
      <c r="N765" s="93"/>
      <c r="O765" s="93"/>
      <c r="P765" s="93"/>
      <c r="Q765" s="93"/>
      <c r="R765" s="93"/>
      <c r="S765" s="93"/>
      <c r="T765" s="93"/>
      <c r="U765" s="93"/>
      <c r="V765" s="93"/>
      <c r="W765" s="93"/>
      <c r="X765" s="93"/>
      <c r="Y765" s="93"/>
    </row>
    <row r="766" spans="1:25">
      <c r="A766" s="72"/>
      <c r="B766" s="72"/>
      <c r="C766" s="72"/>
      <c r="D766" s="72"/>
      <c r="E766" s="72"/>
      <c r="F766" s="72"/>
      <c r="G766" s="72"/>
      <c r="H766" s="72"/>
      <c r="I766" s="72"/>
      <c r="J766" s="72"/>
      <c r="K766" s="72"/>
      <c r="L766" s="93"/>
      <c r="M766" s="93"/>
      <c r="N766" s="93"/>
      <c r="O766" s="93"/>
      <c r="P766" s="93"/>
      <c r="Q766" s="93"/>
      <c r="R766" s="93"/>
      <c r="S766" s="93"/>
      <c r="T766" s="93"/>
      <c r="U766" s="93"/>
      <c r="V766" s="93"/>
      <c r="W766" s="93"/>
      <c r="X766" s="93"/>
      <c r="Y766" s="93"/>
    </row>
    <row r="767" spans="1:25">
      <c r="A767" s="72"/>
      <c r="B767" s="72"/>
      <c r="C767" s="72"/>
      <c r="D767" s="72"/>
      <c r="E767" s="72"/>
      <c r="F767" s="72"/>
      <c r="G767" s="72"/>
      <c r="H767" s="72"/>
      <c r="I767" s="72"/>
      <c r="J767" s="72"/>
      <c r="K767" s="72"/>
      <c r="L767" s="93"/>
      <c r="M767" s="93"/>
      <c r="N767" s="93"/>
      <c r="O767" s="93"/>
      <c r="P767" s="93"/>
      <c r="Q767" s="93"/>
      <c r="R767" s="93"/>
      <c r="S767" s="93"/>
      <c r="T767" s="93"/>
      <c r="U767" s="93"/>
      <c r="V767" s="93"/>
      <c r="W767" s="93"/>
      <c r="X767" s="93"/>
      <c r="Y767" s="93"/>
    </row>
    <row r="768" spans="1:25">
      <c r="A768" s="72"/>
      <c r="B768" s="72"/>
      <c r="C768" s="72"/>
      <c r="D768" s="72"/>
      <c r="E768" s="72"/>
      <c r="F768" s="72"/>
      <c r="G768" s="72"/>
      <c r="H768" s="72"/>
      <c r="I768" s="72"/>
      <c r="J768" s="72"/>
      <c r="K768" s="72"/>
      <c r="L768" s="93"/>
      <c r="M768" s="93"/>
      <c r="N768" s="93"/>
      <c r="O768" s="93"/>
      <c r="P768" s="93"/>
      <c r="Q768" s="93"/>
      <c r="R768" s="93"/>
      <c r="S768" s="93"/>
      <c r="T768" s="93"/>
      <c r="U768" s="93"/>
      <c r="V768" s="93"/>
      <c r="W768" s="93"/>
      <c r="X768" s="93"/>
      <c r="Y768" s="93"/>
    </row>
    <row r="769" spans="1:25">
      <c r="A769" s="72"/>
      <c r="B769" s="72"/>
      <c r="C769" s="72"/>
      <c r="D769" s="72"/>
      <c r="E769" s="72"/>
      <c r="F769" s="72"/>
      <c r="G769" s="72"/>
      <c r="H769" s="72"/>
      <c r="I769" s="72"/>
      <c r="J769" s="72"/>
      <c r="K769" s="72"/>
      <c r="L769" s="93"/>
      <c r="M769" s="93"/>
      <c r="N769" s="93"/>
      <c r="O769" s="93"/>
      <c r="P769" s="93"/>
      <c r="Q769" s="93"/>
      <c r="R769" s="93"/>
      <c r="S769" s="93"/>
      <c r="T769" s="93"/>
      <c r="U769" s="93"/>
      <c r="V769" s="93"/>
      <c r="W769" s="93"/>
      <c r="X769" s="93"/>
      <c r="Y769" s="93"/>
    </row>
    <row r="770" spans="1:25">
      <c r="A770" s="72"/>
      <c r="B770" s="72"/>
      <c r="C770" s="72"/>
      <c r="D770" s="72"/>
      <c r="E770" s="72"/>
      <c r="F770" s="72"/>
      <c r="G770" s="72"/>
      <c r="H770" s="72"/>
      <c r="I770" s="72"/>
      <c r="J770" s="72"/>
      <c r="K770" s="72"/>
      <c r="L770" s="93"/>
      <c r="M770" s="93"/>
      <c r="N770" s="93"/>
      <c r="O770" s="93"/>
      <c r="P770" s="93"/>
      <c r="Q770" s="93"/>
      <c r="R770" s="93"/>
      <c r="S770" s="93"/>
      <c r="T770" s="93"/>
      <c r="U770" s="93"/>
      <c r="V770" s="93"/>
      <c r="W770" s="93"/>
      <c r="X770" s="93"/>
      <c r="Y770" s="93"/>
    </row>
    <row r="771" spans="1:25">
      <c r="A771" s="72"/>
      <c r="B771" s="72"/>
      <c r="C771" s="72"/>
      <c r="D771" s="72"/>
      <c r="E771" s="72"/>
      <c r="F771" s="72"/>
      <c r="G771" s="72"/>
      <c r="H771" s="72"/>
      <c r="I771" s="72"/>
      <c r="J771" s="72"/>
      <c r="K771" s="72"/>
      <c r="L771" s="93"/>
      <c r="M771" s="93"/>
      <c r="N771" s="93"/>
      <c r="O771" s="93"/>
      <c r="P771" s="93"/>
      <c r="Q771" s="93"/>
      <c r="R771" s="93"/>
      <c r="S771" s="93"/>
      <c r="T771" s="93"/>
      <c r="U771" s="93"/>
      <c r="V771" s="93"/>
      <c r="W771" s="93"/>
      <c r="X771" s="93"/>
      <c r="Y771" s="93"/>
    </row>
    <row r="772" spans="1:25">
      <c r="A772" s="72"/>
      <c r="B772" s="72"/>
      <c r="C772" s="72"/>
      <c r="D772" s="72"/>
      <c r="E772" s="72"/>
      <c r="F772" s="72"/>
      <c r="G772" s="72"/>
      <c r="H772" s="72"/>
      <c r="I772" s="72"/>
      <c r="J772" s="72"/>
      <c r="K772" s="72"/>
      <c r="L772" s="93"/>
      <c r="M772" s="93"/>
      <c r="N772" s="93"/>
      <c r="O772" s="93"/>
      <c r="P772" s="93"/>
      <c r="Q772" s="93"/>
      <c r="R772" s="93"/>
      <c r="S772" s="93"/>
      <c r="T772" s="93"/>
      <c r="U772" s="93"/>
      <c r="V772" s="93"/>
      <c r="W772" s="93"/>
      <c r="X772" s="93"/>
      <c r="Y772" s="93"/>
    </row>
    <row r="773" spans="1:25">
      <c r="A773" s="72"/>
      <c r="B773" s="72"/>
      <c r="C773" s="72"/>
      <c r="D773" s="72"/>
      <c r="E773" s="72"/>
      <c r="F773" s="72"/>
      <c r="G773" s="72"/>
      <c r="H773" s="72"/>
      <c r="I773" s="72"/>
      <c r="J773" s="72"/>
      <c r="K773" s="72"/>
      <c r="L773" s="93"/>
      <c r="M773" s="93"/>
      <c r="N773" s="93"/>
      <c r="O773" s="93"/>
      <c r="P773" s="93"/>
      <c r="Q773" s="93"/>
      <c r="R773" s="93"/>
      <c r="S773" s="93"/>
      <c r="T773" s="93"/>
      <c r="U773" s="93"/>
      <c r="V773" s="93"/>
      <c r="W773" s="93"/>
      <c r="X773" s="93"/>
      <c r="Y773" s="93"/>
    </row>
    <row r="774" spans="1:25">
      <c r="A774" s="72"/>
      <c r="B774" s="72"/>
      <c r="C774" s="72"/>
      <c r="D774" s="72"/>
      <c r="E774" s="72"/>
      <c r="F774" s="72"/>
      <c r="G774" s="72"/>
      <c r="H774" s="72"/>
      <c r="I774" s="72"/>
      <c r="J774" s="72"/>
      <c r="K774" s="72"/>
      <c r="L774" s="93"/>
      <c r="M774" s="93"/>
      <c r="N774" s="93"/>
      <c r="O774" s="93"/>
      <c r="P774" s="93"/>
      <c r="Q774" s="93"/>
      <c r="R774" s="93"/>
      <c r="S774" s="93"/>
      <c r="T774" s="93"/>
      <c r="U774" s="93"/>
      <c r="V774" s="93"/>
      <c r="W774" s="93"/>
      <c r="X774" s="93"/>
      <c r="Y774" s="93"/>
    </row>
    <row r="775" spans="1:25">
      <c r="A775" s="72"/>
      <c r="B775" s="72"/>
      <c r="C775" s="72"/>
      <c r="D775" s="72"/>
      <c r="E775" s="72"/>
      <c r="F775" s="72"/>
      <c r="G775" s="72"/>
      <c r="H775" s="72"/>
      <c r="I775" s="72"/>
      <c r="J775" s="72"/>
      <c r="K775" s="72"/>
      <c r="L775" s="93"/>
      <c r="M775" s="93"/>
      <c r="N775" s="93"/>
      <c r="O775" s="93"/>
      <c r="P775" s="93"/>
      <c r="Q775" s="93"/>
      <c r="R775" s="93"/>
      <c r="S775" s="93"/>
      <c r="T775" s="93"/>
      <c r="U775" s="93"/>
      <c r="V775" s="93"/>
      <c r="W775" s="93"/>
      <c r="X775" s="93"/>
      <c r="Y775" s="93"/>
    </row>
    <row r="776" spans="1:25">
      <c r="A776" s="72"/>
      <c r="B776" s="72"/>
      <c r="C776" s="72"/>
      <c r="D776" s="72"/>
      <c r="E776" s="72"/>
      <c r="F776" s="72"/>
      <c r="G776" s="72"/>
      <c r="H776" s="72"/>
      <c r="I776" s="72"/>
      <c r="J776" s="72"/>
      <c r="K776" s="72"/>
      <c r="L776" s="93"/>
      <c r="M776" s="93"/>
      <c r="N776" s="93"/>
      <c r="O776" s="93"/>
      <c r="P776" s="93"/>
      <c r="Q776" s="93"/>
      <c r="R776" s="93"/>
      <c r="S776" s="93"/>
      <c r="T776" s="93"/>
      <c r="U776" s="93"/>
      <c r="V776" s="93"/>
      <c r="W776" s="93"/>
      <c r="X776" s="93"/>
      <c r="Y776" s="93"/>
    </row>
    <row r="777" spans="1:25">
      <c r="A777" s="72"/>
      <c r="B777" s="72"/>
      <c r="C777" s="72"/>
      <c r="D777" s="72"/>
      <c r="E777" s="72"/>
      <c r="F777" s="72"/>
      <c r="G777" s="72"/>
      <c r="H777" s="72"/>
      <c r="I777" s="72"/>
      <c r="J777" s="72"/>
      <c r="K777" s="72"/>
      <c r="L777" s="93"/>
      <c r="M777" s="93"/>
      <c r="N777" s="93"/>
      <c r="O777" s="93"/>
      <c r="P777" s="93"/>
      <c r="Q777" s="93"/>
      <c r="R777" s="93"/>
      <c r="S777" s="93"/>
      <c r="T777" s="93"/>
      <c r="U777" s="93"/>
      <c r="V777" s="93"/>
      <c r="W777" s="93"/>
      <c r="X777" s="93"/>
      <c r="Y777" s="93"/>
    </row>
    <row r="778" spans="1:25">
      <c r="A778" s="72"/>
      <c r="B778" s="72"/>
      <c r="C778" s="72"/>
      <c r="D778" s="72"/>
      <c r="E778" s="72"/>
      <c r="F778" s="72"/>
      <c r="G778" s="72"/>
      <c r="H778" s="72"/>
      <c r="I778" s="72"/>
      <c r="J778" s="72"/>
      <c r="K778" s="72"/>
      <c r="L778" s="93"/>
      <c r="M778" s="93"/>
      <c r="N778" s="93"/>
      <c r="O778" s="93"/>
      <c r="P778" s="93"/>
      <c r="Q778" s="93"/>
      <c r="R778" s="93"/>
      <c r="S778" s="93"/>
      <c r="T778" s="93"/>
      <c r="U778" s="93"/>
      <c r="V778" s="93"/>
      <c r="W778" s="93"/>
      <c r="X778" s="93"/>
      <c r="Y778" s="93"/>
    </row>
    <row r="779" spans="1:25">
      <c r="A779" s="72"/>
      <c r="B779" s="72"/>
      <c r="C779" s="72"/>
      <c r="D779" s="72"/>
      <c r="E779" s="72"/>
      <c r="F779" s="72"/>
      <c r="G779" s="72"/>
      <c r="H779" s="72"/>
      <c r="I779" s="72"/>
      <c r="J779" s="72"/>
      <c r="K779" s="72"/>
      <c r="L779" s="93"/>
      <c r="M779" s="93"/>
      <c r="N779" s="93"/>
      <c r="O779" s="93"/>
      <c r="P779" s="93"/>
      <c r="Q779" s="93"/>
      <c r="R779" s="93"/>
      <c r="S779" s="93"/>
      <c r="T779" s="93"/>
      <c r="U779" s="93"/>
      <c r="V779" s="93"/>
      <c r="W779" s="93"/>
      <c r="X779" s="93"/>
      <c r="Y779" s="93"/>
    </row>
    <row r="780" spans="1:25">
      <c r="A780" s="72"/>
      <c r="B780" s="72"/>
      <c r="C780" s="72"/>
      <c r="D780" s="72"/>
      <c r="E780" s="72"/>
      <c r="F780" s="72"/>
      <c r="G780" s="72"/>
      <c r="H780" s="72"/>
      <c r="I780" s="72"/>
      <c r="J780" s="72"/>
      <c r="K780" s="72"/>
      <c r="L780" s="93"/>
      <c r="M780" s="93"/>
      <c r="N780" s="93"/>
      <c r="O780" s="93"/>
      <c r="P780" s="93"/>
      <c r="Q780" s="93"/>
      <c r="R780" s="93"/>
      <c r="S780" s="93"/>
      <c r="T780" s="93"/>
      <c r="U780" s="93"/>
      <c r="V780" s="93"/>
      <c r="W780" s="93"/>
      <c r="X780" s="93"/>
      <c r="Y780" s="93"/>
    </row>
    <row r="781" spans="1:25">
      <c r="A781" s="72"/>
      <c r="B781" s="72"/>
      <c r="C781" s="72"/>
      <c r="D781" s="72"/>
      <c r="E781" s="72"/>
      <c r="F781" s="72"/>
      <c r="G781" s="72"/>
      <c r="H781" s="72"/>
      <c r="I781" s="72"/>
      <c r="J781" s="72"/>
      <c r="K781" s="72"/>
      <c r="L781" s="93"/>
      <c r="M781" s="93"/>
      <c r="N781" s="93"/>
      <c r="O781" s="93"/>
      <c r="P781" s="93"/>
      <c r="Q781" s="93"/>
      <c r="R781" s="93"/>
      <c r="S781" s="93"/>
      <c r="T781" s="93"/>
      <c r="U781" s="93"/>
      <c r="V781" s="93"/>
      <c r="W781" s="93"/>
      <c r="X781" s="93"/>
      <c r="Y781" s="93"/>
    </row>
    <row r="782" spans="1:25">
      <c r="A782" s="72"/>
      <c r="B782" s="72"/>
      <c r="C782" s="72"/>
      <c r="D782" s="72"/>
      <c r="E782" s="72"/>
      <c r="F782" s="72"/>
      <c r="G782" s="72"/>
      <c r="H782" s="72"/>
      <c r="I782" s="72"/>
      <c r="J782" s="72"/>
      <c r="K782" s="72"/>
      <c r="L782" s="93"/>
      <c r="M782" s="93"/>
      <c r="N782" s="93"/>
      <c r="O782" s="93"/>
      <c r="P782" s="93"/>
      <c r="Q782" s="93"/>
      <c r="R782" s="93"/>
      <c r="S782" s="93"/>
      <c r="T782" s="93"/>
      <c r="U782" s="93"/>
      <c r="V782" s="93"/>
      <c r="W782" s="93"/>
      <c r="X782" s="93"/>
      <c r="Y782" s="93"/>
    </row>
    <row r="783" spans="1:25">
      <c r="A783" s="72"/>
      <c r="B783" s="72"/>
      <c r="C783" s="72"/>
      <c r="D783" s="72"/>
      <c r="E783" s="72"/>
      <c r="F783" s="72"/>
      <c r="G783" s="72"/>
      <c r="H783" s="72"/>
      <c r="I783" s="72"/>
      <c r="J783" s="72"/>
      <c r="K783" s="72"/>
      <c r="L783" s="93"/>
      <c r="M783" s="93"/>
      <c r="N783" s="93"/>
      <c r="O783" s="93"/>
      <c r="P783" s="93"/>
      <c r="Q783" s="93"/>
      <c r="R783" s="93"/>
      <c r="S783" s="93"/>
      <c r="T783" s="93"/>
      <c r="U783" s="93"/>
      <c r="V783" s="93"/>
      <c r="W783" s="93"/>
      <c r="X783" s="93"/>
      <c r="Y783" s="93"/>
    </row>
    <row r="784" spans="1:25">
      <c r="A784" s="72"/>
      <c r="B784" s="72"/>
      <c r="C784" s="72"/>
      <c r="D784" s="72"/>
      <c r="E784" s="72"/>
      <c r="F784" s="72"/>
      <c r="G784" s="72"/>
      <c r="H784" s="72"/>
      <c r="I784" s="72"/>
      <c r="J784" s="72"/>
      <c r="K784" s="72"/>
      <c r="L784" s="93"/>
      <c r="M784" s="93"/>
      <c r="N784" s="93"/>
      <c r="O784" s="93"/>
      <c r="P784" s="93"/>
      <c r="Q784" s="93"/>
      <c r="R784" s="93"/>
      <c r="S784" s="93"/>
      <c r="T784" s="93"/>
      <c r="U784" s="93"/>
      <c r="V784" s="93"/>
      <c r="W784" s="93"/>
      <c r="X784" s="93"/>
      <c r="Y784" s="93"/>
    </row>
    <row r="785" spans="1:25">
      <c r="A785" s="72"/>
      <c r="B785" s="72"/>
      <c r="C785" s="72"/>
      <c r="D785" s="72"/>
      <c r="E785" s="72"/>
      <c r="F785" s="72"/>
      <c r="G785" s="72"/>
      <c r="H785" s="72"/>
      <c r="I785" s="72"/>
      <c r="J785" s="72"/>
      <c r="K785" s="72"/>
      <c r="L785" s="93"/>
      <c r="M785" s="93"/>
      <c r="N785" s="93"/>
      <c r="O785" s="93"/>
      <c r="P785" s="93"/>
      <c r="Q785" s="93"/>
      <c r="R785" s="93"/>
      <c r="S785" s="93"/>
      <c r="T785" s="93"/>
      <c r="U785" s="93"/>
      <c r="V785" s="93"/>
      <c r="W785" s="93"/>
      <c r="X785" s="93"/>
      <c r="Y785" s="93"/>
    </row>
    <row r="786" spans="1:25">
      <c r="A786" s="72"/>
      <c r="B786" s="72"/>
      <c r="C786" s="72"/>
      <c r="D786" s="72"/>
      <c r="E786" s="72"/>
      <c r="F786" s="72"/>
      <c r="G786" s="72"/>
      <c r="H786" s="72"/>
      <c r="I786" s="72"/>
      <c r="J786" s="72"/>
      <c r="K786" s="72"/>
      <c r="L786" s="93"/>
      <c r="M786" s="93"/>
      <c r="N786" s="93"/>
      <c r="O786" s="93"/>
      <c r="P786" s="93"/>
      <c r="Q786" s="93"/>
      <c r="R786" s="93"/>
      <c r="S786" s="93"/>
      <c r="T786" s="93"/>
      <c r="U786" s="93"/>
      <c r="V786" s="93"/>
      <c r="W786" s="93"/>
      <c r="X786" s="93"/>
      <c r="Y786" s="93"/>
    </row>
    <row r="787" spans="1:25">
      <c r="A787" s="72"/>
      <c r="B787" s="72"/>
      <c r="C787" s="72"/>
      <c r="D787" s="72"/>
      <c r="E787" s="72"/>
      <c r="F787" s="72"/>
      <c r="G787" s="72"/>
      <c r="H787" s="72"/>
      <c r="I787" s="72"/>
      <c r="J787" s="72"/>
      <c r="K787" s="72"/>
      <c r="L787" s="93"/>
      <c r="M787" s="93"/>
      <c r="N787" s="93"/>
      <c r="O787" s="93"/>
      <c r="P787" s="93"/>
      <c r="Q787" s="93"/>
      <c r="R787" s="93"/>
      <c r="S787" s="93"/>
      <c r="T787" s="93"/>
      <c r="U787" s="93"/>
      <c r="V787" s="93"/>
      <c r="W787" s="93"/>
      <c r="X787" s="93"/>
      <c r="Y787" s="93"/>
    </row>
    <row r="788" spans="1:25">
      <c r="A788" s="72"/>
      <c r="B788" s="72"/>
      <c r="C788" s="72"/>
      <c r="D788" s="72"/>
      <c r="E788" s="72"/>
      <c r="F788" s="72"/>
      <c r="G788" s="72"/>
      <c r="H788" s="72"/>
      <c r="I788" s="72"/>
      <c r="J788" s="72"/>
      <c r="K788" s="72"/>
      <c r="L788" s="93"/>
      <c r="M788" s="93"/>
      <c r="N788" s="93"/>
      <c r="O788" s="93"/>
      <c r="P788" s="93"/>
      <c r="Q788" s="93"/>
      <c r="R788" s="93"/>
      <c r="S788" s="93"/>
      <c r="T788" s="93"/>
      <c r="U788" s="93"/>
      <c r="V788" s="93"/>
      <c r="W788" s="93"/>
      <c r="X788" s="93"/>
      <c r="Y788" s="93"/>
    </row>
    <row r="789" spans="1:25">
      <c r="A789" s="72"/>
      <c r="B789" s="72"/>
      <c r="C789" s="72"/>
      <c r="D789" s="72"/>
      <c r="E789" s="72"/>
      <c r="F789" s="72"/>
      <c r="G789" s="72"/>
      <c r="H789" s="72"/>
      <c r="I789" s="72"/>
      <c r="J789" s="72"/>
      <c r="K789" s="72"/>
      <c r="L789" s="93"/>
      <c r="M789" s="93"/>
      <c r="N789" s="93"/>
      <c r="O789" s="93"/>
      <c r="P789" s="93"/>
      <c r="Q789" s="93"/>
      <c r="R789" s="93"/>
      <c r="S789" s="93"/>
      <c r="T789" s="93"/>
      <c r="U789" s="93"/>
      <c r="V789" s="93"/>
      <c r="W789" s="93"/>
      <c r="X789" s="93"/>
      <c r="Y789" s="93"/>
    </row>
    <row r="790" spans="1:25">
      <c r="A790" s="72"/>
      <c r="B790" s="72"/>
      <c r="C790" s="72"/>
      <c r="D790" s="72"/>
      <c r="E790" s="72"/>
      <c r="F790" s="72"/>
      <c r="G790" s="72"/>
      <c r="H790" s="72"/>
      <c r="I790" s="72"/>
      <c r="J790" s="72"/>
      <c r="K790" s="72"/>
      <c r="L790" s="93"/>
      <c r="M790" s="93"/>
      <c r="N790" s="93"/>
      <c r="O790" s="93"/>
      <c r="P790" s="93"/>
      <c r="Q790" s="93"/>
      <c r="R790" s="93"/>
      <c r="S790" s="93"/>
      <c r="T790" s="93"/>
      <c r="U790" s="93"/>
      <c r="V790" s="93"/>
      <c r="W790" s="93"/>
      <c r="X790" s="93"/>
      <c r="Y790" s="93"/>
    </row>
    <row r="791" spans="1:25">
      <c r="A791" s="72"/>
      <c r="B791" s="72"/>
      <c r="C791" s="72"/>
      <c r="D791" s="72"/>
      <c r="E791" s="72"/>
      <c r="F791" s="72"/>
      <c r="G791" s="72"/>
      <c r="H791" s="72"/>
      <c r="I791" s="72"/>
      <c r="J791" s="72"/>
      <c r="K791" s="72"/>
      <c r="L791" s="93"/>
      <c r="M791" s="93"/>
      <c r="N791" s="93"/>
      <c r="O791" s="93"/>
      <c r="P791" s="93"/>
      <c r="Q791" s="93"/>
      <c r="R791" s="93"/>
      <c r="S791" s="93"/>
      <c r="T791" s="93"/>
      <c r="U791" s="93"/>
      <c r="V791" s="93"/>
      <c r="W791" s="93"/>
      <c r="X791" s="93"/>
      <c r="Y791" s="93"/>
    </row>
    <row r="792" spans="1:25">
      <c r="A792" s="72"/>
      <c r="B792" s="72"/>
      <c r="C792" s="72"/>
      <c r="D792" s="72"/>
      <c r="E792" s="72"/>
      <c r="F792" s="72"/>
      <c r="G792" s="72"/>
      <c r="H792" s="72"/>
      <c r="I792" s="72"/>
      <c r="J792" s="72"/>
      <c r="K792" s="72"/>
      <c r="L792" s="93"/>
      <c r="M792" s="93"/>
      <c r="N792" s="93"/>
      <c r="O792" s="93"/>
      <c r="P792" s="93"/>
      <c r="Q792" s="93"/>
      <c r="R792" s="93"/>
      <c r="S792" s="93"/>
      <c r="T792" s="93"/>
      <c r="U792" s="93"/>
      <c r="V792" s="93"/>
      <c r="W792" s="93"/>
      <c r="X792" s="93"/>
      <c r="Y792" s="93"/>
    </row>
    <row r="793" spans="1:25">
      <c r="A793" s="72"/>
      <c r="B793" s="72"/>
      <c r="C793" s="72"/>
      <c r="D793" s="72"/>
      <c r="E793" s="72"/>
      <c r="F793" s="72"/>
      <c r="G793" s="72"/>
      <c r="H793" s="72"/>
      <c r="I793" s="72"/>
      <c r="J793" s="72"/>
      <c r="K793" s="72"/>
      <c r="L793" s="93"/>
      <c r="M793" s="93"/>
      <c r="N793" s="93"/>
      <c r="O793" s="93"/>
      <c r="P793" s="93"/>
      <c r="Q793" s="93"/>
      <c r="R793" s="93"/>
      <c r="S793" s="93"/>
      <c r="T793" s="93"/>
      <c r="U793" s="93"/>
      <c r="V793" s="93"/>
      <c r="W793" s="93"/>
      <c r="X793" s="93"/>
      <c r="Y793" s="93"/>
    </row>
    <row r="794" spans="1:25">
      <c r="A794" s="72"/>
      <c r="B794" s="72"/>
      <c r="C794" s="72"/>
      <c r="D794" s="72"/>
      <c r="E794" s="72"/>
      <c r="F794" s="72"/>
      <c r="G794" s="72"/>
      <c r="H794" s="72"/>
      <c r="I794" s="72"/>
      <c r="J794" s="72"/>
      <c r="K794" s="72"/>
      <c r="L794" s="93"/>
      <c r="M794" s="93"/>
      <c r="N794" s="93"/>
      <c r="O794" s="93"/>
      <c r="P794" s="93"/>
      <c r="Q794" s="93"/>
      <c r="R794" s="93"/>
      <c r="S794" s="93"/>
      <c r="T794" s="93"/>
      <c r="U794" s="93"/>
      <c r="V794" s="93"/>
      <c r="W794" s="93"/>
      <c r="X794" s="93"/>
      <c r="Y794" s="93"/>
    </row>
    <row r="795" spans="1:25">
      <c r="A795" s="72"/>
      <c r="B795" s="72"/>
      <c r="C795" s="72"/>
      <c r="D795" s="72"/>
      <c r="E795" s="72"/>
      <c r="F795" s="72"/>
      <c r="G795" s="72"/>
      <c r="H795" s="72"/>
      <c r="I795" s="72"/>
      <c r="J795" s="72"/>
      <c r="K795" s="72"/>
      <c r="L795" s="93"/>
      <c r="M795" s="93"/>
      <c r="N795" s="93"/>
      <c r="O795" s="93"/>
      <c r="P795" s="93"/>
      <c r="Q795" s="93"/>
      <c r="R795" s="93"/>
      <c r="S795" s="93"/>
      <c r="T795" s="93"/>
      <c r="U795" s="93"/>
      <c r="V795" s="93"/>
      <c r="W795" s="93"/>
      <c r="X795" s="93"/>
      <c r="Y795" s="93"/>
    </row>
    <row r="796" spans="1:25">
      <c r="A796" s="72"/>
      <c r="B796" s="72"/>
      <c r="C796" s="72"/>
      <c r="D796" s="72"/>
      <c r="E796" s="72"/>
      <c r="F796" s="72"/>
      <c r="G796" s="72"/>
      <c r="H796" s="72"/>
      <c r="I796" s="72"/>
      <c r="J796" s="72"/>
      <c r="K796" s="72"/>
      <c r="L796" s="93"/>
      <c r="M796" s="93"/>
      <c r="N796" s="93"/>
      <c r="O796" s="93"/>
      <c r="P796" s="93"/>
      <c r="Q796" s="93"/>
      <c r="R796" s="93"/>
      <c r="S796" s="93"/>
      <c r="T796" s="93"/>
      <c r="U796" s="93"/>
      <c r="V796" s="93"/>
      <c r="W796" s="93"/>
      <c r="X796" s="93"/>
      <c r="Y796" s="93"/>
    </row>
    <row r="797" spans="1:25">
      <c r="A797" s="72"/>
      <c r="B797" s="72"/>
      <c r="C797" s="72"/>
      <c r="D797" s="72"/>
      <c r="E797" s="72"/>
      <c r="F797" s="72"/>
      <c r="G797" s="72"/>
      <c r="H797" s="72"/>
      <c r="I797" s="72"/>
      <c r="J797" s="72"/>
      <c r="K797" s="72"/>
      <c r="L797" s="93"/>
      <c r="M797" s="93"/>
      <c r="N797" s="93"/>
      <c r="O797" s="93"/>
      <c r="P797" s="93"/>
      <c r="Q797" s="93"/>
      <c r="R797" s="93"/>
      <c r="S797" s="93"/>
      <c r="T797" s="93"/>
      <c r="U797" s="93"/>
      <c r="V797" s="93"/>
      <c r="W797" s="93"/>
      <c r="X797" s="93"/>
      <c r="Y797" s="93"/>
    </row>
    <row r="798" spans="1:25">
      <c r="A798" s="72"/>
      <c r="B798" s="72"/>
      <c r="C798" s="72"/>
      <c r="D798" s="72"/>
      <c r="E798" s="72"/>
      <c r="F798" s="72"/>
      <c r="G798" s="72"/>
      <c r="H798" s="72"/>
      <c r="I798" s="72"/>
      <c r="J798" s="72"/>
      <c r="K798" s="72"/>
      <c r="L798" s="93"/>
      <c r="M798" s="93"/>
      <c r="N798" s="93"/>
      <c r="O798" s="93"/>
      <c r="P798" s="93"/>
      <c r="Q798" s="93"/>
      <c r="R798" s="93"/>
      <c r="S798" s="93"/>
      <c r="T798" s="93"/>
      <c r="U798" s="93"/>
      <c r="V798" s="93"/>
      <c r="W798" s="93"/>
      <c r="X798" s="93"/>
      <c r="Y798" s="93"/>
    </row>
    <row r="799" spans="1:25">
      <c r="A799" s="72"/>
      <c r="B799" s="72"/>
      <c r="C799" s="72"/>
      <c r="D799" s="72"/>
      <c r="E799" s="72"/>
      <c r="F799" s="72"/>
      <c r="G799" s="72"/>
      <c r="H799" s="72"/>
      <c r="I799" s="72"/>
      <c r="J799" s="72"/>
      <c r="K799" s="72"/>
      <c r="L799" s="93"/>
      <c r="M799" s="93"/>
      <c r="N799" s="93"/>
      <c r="O799" s="93"/>
      <c r="P799" s="93"/>
      <c r="Q799" s="93"/>
      <c r="R799" s="93"/>
      <c r="S799" s="93"/>
      <c r="T799" s="93"/>
      <c r="U799" s="93"/>
      <c r="V799" s="93"/>
      <c r="W799" s="93"/>
      <c r="X799" s="93"/>
      <c r="Y799" s="93"/>
    </row>
    <row r="800" spans="1:25">
      <c r="A800" s="72"/>
      <c r="B800" s="72"/>
      <c r="C800" s="72"/>
      <c r="D800" s="72"/>
      <c r="E800" s="72"/>
      <c r="F800" s="72"/>
      <c r="G800" s="72"/>
      <c r="H800" s="72"/>
      <c r="I800" s="72"/>
      <c r="J800" s="72"/>
      <c r="K800" s="72"/>
      <c r="L800" s="93"/>
      <c r="M800" s="93"/>
      <c r="N800" s="93"/>
      <c r="O800" s="93"/>
      <c r="P800" s="93"/>
      <c r="Q800" s="93"/>
      <c r="R800" s="93"/>
      <c r="S800" s="93"/>
      <c r="T800" s="93"/>
      <c r="U800" s="93"/>
      <c r="V800" s="93"/>
      <c r="W800" s="93"/>
      <c r="X800" s="93"/>
      <c r="Y800" s="93"/>
    </row>
    <row r="801" spans="1:25">
      <c r="A801" s="72"/>
      <c r="B801" s="72"/>
      <c r="C801" s="72"/>
      <c r="D801" s="72"/>
      <c r="E801" s="72"/>
      <c r="F801" s="72"/>
      <c r="G801" s="72"/>
      <c r="H801" s="72"/>
      <c r="I801" s="72"/>
      <c r="J801" s="72"/>
      <c r="K801" s="72"/>
      <c r="L801" s="93"/>
      <c r="M801" s="93"/>
      <c r="N801" s="93"/>
      <c r="O801" s="93"/>
      <c r="P801" s="93"/>
      <c r="Q801" s="93"/>
      <c r="R801" s="93"/>
      <c r="S801" s="93"/>
      <c r="T801" s="93"/>
      <c r="U801" s="93"/>
      <c r="V801" s="93"/>
      <c r="W801" s="93"/>
      <c r="X801" s="93"/>
      <c r="Y801" s="93"/>
    </row>
    <row r="802" spans="1:25">
      <c r="A802" s="72"/>
      <c r="B802" s="72"/>
      <c r="C802" s="72"/>
      <c r="D802" s="72"/>
      <c r="E802" s="72"/>
      <c r="F802" s="72"/>
      <c r="G802" s="72"/>
      <c r="H802" s="72"/>
      <c r="I802" s="72"/>
      <c r="J802" s="72"/>
      <c r="K802" s="72"/>
      <c r="L802" s="93"/>
      <c r="M802" s="93"/>
      <c r="N802" s="93"/>
      <c r="O802" s="93"/>
      <c r="P802" s="93"/>
      <c r="Q802" s="93"/>
      <c r="R802" s="93"/>
      <c r="S802" s="93"/>
      <c r="T802" s="93"/>
      <c r="U802" s="93"/>
      <c r="V802" s="93"/>
      <c r="W802" s="93"/>
      <c r="X802" s="93"/>
      <c r="Y802" s="93"/>
    </row>
    <row r="803" spans="1:25">
      <c r="A803" s="72"/>
      <c r="B803" s="72"/>
      <c r="C803" s="72"/>
      <c r="D803" s="72"/>
      <c r="E803" s="72"/>
      <c r="F803" s="72"/>
      <c r="G803" s="72"/>
      <c r="H803" s="72"/>
      <c r="I803" s="72"/>
      <c r="J803" s="72"/>
      <c r="K803" s="72"/>
      <c r="L803" s="93"/>
      <c r="M803" s="93"/>
      <c r="N803" s="93"/>
      <c r="O803" s="93"/>
      <c r="P803" s="93"/>
      <c r="Q803" s="93"/>
      <c r="R803" s="93"/>
      <c r="S803" s="93"/>
      <c r="T803" s="93"/>
      <c r="U803" s="93"/>
      <c r="V803" s="93"/>
      <c r="W803" s="93"/>
      <c r="X803" s="93"/>
      <c r="Y803" s="93"/>
    </row>
    <row r="804" spans="1:25">
      <c r="A804" s="72"/>
      <c r="B804" s="72"/>
      <c r="C804" s="72"/>
      <c r="D804" s="72"/>
      <c r="E804" s="72"/>
      <c r="F804" s="72"/>
      <c r="G804" s="72"/>
      <c r="H804" s="72"/>
      <c r="I804" s="72"/>
      <c r="J804" s="72"/>
      <c r="K804" s="72"/>
      <c r="L804" s="93"/>
      <c r="M804" s="93"/>
      <c r="N804" s="93"/>
      <c r="O804" s="93"/>
      <c r="P804" s="93"/>
      <c r="Q804" s="93"/>
      <c r="R804" s="93"/>
      <c r="S804" s="93"/>
      <c r="T804" s="93"/>
      <c r="U804" s="93"/>
      <c r="V804" s="93"/>
      <c r="W804" s="93"/>
      <c r="X804" s="93"/>
      <c r="Y804" s="93"/>
    </row>
    <row r="805" spans="1:25">
      <c r="A805" s="72"/>
      <c r="B805" s="72"/>
      <c r="C805" s="72"/>
      <c r="D805" s="72"/>
      <c r="E805" s="72"/>
      <c r="F805" s="72"/>
      <c r="G805" s="72"/>
      <c r="H805" s="72"/>
      <c r="I805" s="72"/>
      <c r="J805" s="72"/>
      <c r="K805" s="72"/>
      <c r="L805" s="93"/>
      <c r="M805" s="93"/>
      <c r="N805" s="93"/>
      <c r="O805" s="93"/>
      <c r="P805" s="93"/>
      <c r="Q805" s="93"/>
      <c r="R805" s="93"/>
      <c r="S805" s="93"/>
      <c r="T805" s="93"/>
      <c r="U805" s="93"/>
      <c r="V805" s="93"/>
      <c r="W805" s="93"/>
      <c r="X805" s="93"/>
      <c r="Y805" s="93"/>
    </row>
    <row r="806" spans="1:25">
      <c r="A806" s="72"/>
      <c r="B806" s="72"/>
      <c r="C806" s="72"/>
      <c r="D806" s="72"/>
      <c r="E806" s="72"/>
      <c r="F806" s="72"/>
      <c r="G806" s="72"/>
      <c r="H806" s="72"/>
      <c r="I806" s="72"/>
      <c r="J806" s="72"/>
      <c r="K806" s="72"/>
      <c r="L806" s="93"/>
      <c r="M806" s="93"/>
      <c r="N806" s="93"/>
      <c r="O806" s="93"/>
      <c r="P806" s="93"/>
      <c r="Q806" s="93"/>
      <c r="R806" s="93"/>
      <c r="S806" s="93"/>
      <c r="T806" s="93"/>
      <c r="U806" s="93"/>
      <c r="V806" s="93"/>
      <c r="W806" s="93"/>
      <c r="X806" s="93"/>
      <c r="Y806" s="93"/>
    </row>
    <row r="807" spans="1:25">
      <c r="A807" s="72"/>
      <c r="B807" s="72"/>
      <c r="C807" s="72"/>
      <c r="D807" s="72"/>
      <c r="E807" s="72"/>
      <c r="F807" s="72"/>
      <c r="G807" s="72"/>
      <c r="H807" s="72"/>
      <c r="I807" s="72"/>
      <c r="J807" s="72"/>
      <c r="K807" s="72"/>
      <c r="L807" s="93"/>
      <c r="M807" s="93"/>
      <c r="N807" s="93"/>
      <c r="O807" s="93"/>
      <c r="P807" s="93"/>
      <c r="Q807" s="93"/>
      <c r="R807" s="93"/>
      <c r="S807" s="93"/>
      <c r="T807" s="93"/>
      <c r="U807" s="93"/>
      <c r="V807" s="93"/>
      <c r="W807" s="93"/>
      <c r="X807" s="93"/>
      <c r="Y807" s="93"/>
    </row>
    <row r="808" spans="1:25">
      <c r="A808" s="72"/>
      <c r="B808" s="72"/>
      <c r="C808" s="72"/>
      <c r="D808" s="72"/>
      <c r="E808" s="72"/>
      <c r="F808" s="72"/>
      <c r="G808" s="72"/>
      <c r="H808" s="72"/>
      <c r="I808" s="72"/>
      <c r="J808" s="72"/>
      <c r="K808" s="72"/>
      <c r="L808" s="93"/>
      <c r="M808" s="93"/>
      <c r="N808" s="93"/>
      <c r="O808" s="93"/>
      <c r="P808" s="93"/>
      <c r="Q808" s="93"/>
      <c r="R808" s="93"/>
      <c r="S808" s="93"/>
      <c r="T808" s="93"/>
      <c r="U808" s="93"/>
      <c r="V808" s="93"/>
      <c r="W808" s="93"/>
      <c r="X808" s="93"/>
      <c r="Y808" s="93"/>
    </row>
    <row r="809" spans="1:25">
      <c r="A809" s="72"/>
      <c r="B809" s="72"/>
      <c r="C809" s="72"/>
      <c r="D809" s="72"/>
      <c r="E809" s="72"/>
      <c r="F809" s="72"/>
      <c r="G809" s="72"/>
      <c r="H809" s="72"/>
      <c r="I809" s="72"/>
      <c r="J809" s="72"/>
      <c r="K809" s="72"/>
      <c r="L809" s="93"/>
      <c r="M809" s="93"/>
      <c r="N809" s="93"/>
      <c r="O809" s="93"/>
      <c r="P809" s="93"/>
      <c r="Q809" s="93"/>
      <c r="R809" s="93"/>
      <c r="S809" s="93"/>
      <c r="T809" s="93"/>
      <c r="U809" s="93"/>
      <c r="V809" s="93"/>
      <c r="W809" s="93"/>
      <c r="X809" s="93"/>
      <c r="Y809" s="93"/>
    </row>
    <row r="810" spans="1:25">
      <c r="A810" s="72"/>
      <c r="B810" s="72"/>
      <c r="C810" s="72"/>
      <c r="D810" s="72"/>
      <c r="E810" s="72"/>
      <c r="F810" s="72"/>
      <c r="G810" s="72"/>
      <c r="H810" s="72"/>
      <c r="I810" s="72"/>
      <c r="J810" s="72"/>
      <c r="K810" s="72"/>
      <c r="L810" s="93"/>
      <c r="M810" s="93"/>
      <c r="N810" s="93"/>
      <c r="O810" s="93"/>
      <c r="P810" s="93"/>
      <c r="Q810" s="93"/>
      <c r="R810" s="93"/>
      <c r="S810" s="93"/>
      <c r="T810" s="93"/>
      <c r="U810" s="93"/>
      <c r="V810" s="93"/>
      <c r="W810" s="93"/>
      <c r="X810" s="93"/>
      <c r="Y810" s="93"/>
    </row>
    <row r="811" spans="1:25">
      <c r="A811" s="72"/>
      <c r="B811" s="72"/>
      <c r="C811" s="72"/>
      <c r="D811" s="72"/>
      <c r="E811" s="72"/>
      <c r="F811" s="72"/>
      <c r="G811" s="72"/>
      <c r="H811" s="72"/>
      <c r="I811" s="72"/>
      <c r="J811" s="72"/>
      <c r="K811" s="72"/>
      <c r="L811" s="93"/>
      <c r="M811" s="93"/>
      <c r="N811" s="93"/>
      <c r="O811" s="93"/>
      <c r="P811" s="93"/>
      <c r="Q811" s="93"/>
      <c r="R811" s="93"/>
      <c r="S811" s="93"/>
      <c r="T811" s="93"/>
      <c r="U811" s="93"/>
      <c r="V811" s="93"/>
      <c r="W811" s="93"/>
      <c r="X811" s="93"/>
      <c r="Y811" s="93"/>
    </row>
    <row r="812" spans="1:25">
      <c r="A812" s="72"/>
      <c r="B812" s="72"/>
      <c r="C812" s="72"/>
      <c r="D812" s="72"/>
      <c r="E812" s="72"/>
      <c r="F812" s="72"/>
      <c r="G812" s="72"/>
      <c r="H812" s="72"/>
      <c r="I812" s="72"/>
      <c r="J812" s="72"/>
      <c r="K812" s="72"/>
      <c r="L812" s="93"/>
      <c r="M812" s="93"/>
      <c r="N812" s="93"/>
      <c r="O812" s="93"/>
      <c r="P812" s="93"/>
      <c r="Q812" s="93"/>
      <c r="R812" s="93"/>
      <c r="S812" s="93"/>
      <c r="T812" s="93"/>
      <c r="U812" s="93"/>
      <c r="V812" s="93"/>
      <c r="W812" s="93"/>
      <c r="X812" s="93"/>
      <c r="Y812" s="93"/>
    </row>
    <row r="813" spans="1:25">
      <c r="A813" s="72"/>
      <c r="B813" s="72"/>
      <c r="C813" s="72"/>
      <c r="D813" s="72"/>
      <c r="E813" s="72"/>
      <c r="F813" s="72"/>
      <c r="G813" s="72"/>
      <c r="H813" s="72"/>
      <c r="I813" s="72"/>
      <c r="J813" s="72"/>
      <c r="K813" s="72"/>
      <c r="L813" s="93"/>
      <c r="M813" s="93"/>
      <c r="N813" s="93"/>
      <c r="O813" s="93"/>
      <c r="P813" s="93"/>
      <c r="Q813" s="93"/>
      <c r="R813" s="93"/>
      <c r="S813" s="93"/>
      <c r="T813" s="93"/>
      <c r="U813" s="93"/>
      <c r="V813" s="93"/>
      <c r="W813" s="93"/>
      <c r="X813" s="93"/>
      <c r="Y813" s="93"/>
    </row>
    <row r="814" spans="1:25">
      <c r="A814" s="72"/>
      <c r="B814" s="72"/>
      <c r="C814" s="72"/>
      <c r="D814" s="72"/>
      <c r="E814" s="72"/>
      <c r="F814" s="72"/>
      <c r="G814" s="72"/>
      <c r="H814" s="72"/>
      <c r="I814" s="72"/>
      <c r="J814" s="72"/>
      <c r="K814" s="72"/>
      <c r="L814" s="93"/>
      <c r="M814" s="93"/>
      <c r="N814" s="93"/>
      <c r="O814" s="93"/>
      <c r="P814" s="93"/>
      <c r="Q814" s="93"/>
      <c r="R814" s="93"/>
      <c r="S814" s="93"/>
      <c r="T814" s="93"/>
      <c r="U814" s="93"/>
      <c r="V814" s="93"/>
      <c r="W814" s="93"/>
      <c r="X814" s="93"/>
      <c r="Y814" s="93"/>
    </row>
    <row r="815" spans="1:25">
      <c r="A815" s="72"/>
      <c r="B815" s="72"/>
      <c r="C815" s="72"/>
      <c r="D815" s="72"/>
      <c r="E815" s="72"/>
      <c r="F815" s="72"/>
      <c r="G815" s="72"/>
      <c r="H815" s="72"/>
      <c r="I815" s="72"/>
      <c r="J815" s="72"/>
      <c r="K815" s="72"/>
      <c r="L815" s="93"/>
      <c r="M815" s="93"/>
      <c r="N815" s="93"/>
      <c r="O815" s="93"/>
      <c r="P815" s="93"/>
      <c r="Q815" s="93"/>
      <c r="R815" s="93"/>
      <c r="S815" s="93"/>
      <c r="T815" s="93"/>
      <c r="U815" s="93"/>
      <c r="V815" s="93"/>
      <c r="W815" s="93"/>
      <c r="X815" s="93"/>
      <c r="Y815" s="93"/>
    </row>
    <row r="816" spans="1:25">
      <c r="A816" s="72"/>
      <c r="B816" s="72"/>
      <c r="C816" s="72"/>
      <c r="D816" s="72"/>
      <c r="E816" s="72"/>
      <c r="F816" s="72"/>
      <c r="G816" s="72"/>
      <c r="H816" s="72"/>
      <c r="I816" s="72"/>
      <c r="J816" s="72"/>
      <c r="K816" s="72"/>
      <c r="L816" s="93"/>
      <c r="M816" s="93"/>
      <c r="N816" s="93"/>
      <c r="O816" s="93"/>
      <c r="P816" s="93"/>
      <c r="Q816" s="93"/>
      <c r="R816" s="93"/>
      <c r="S816" s="93"/>
      <c r="T816" s="93"/>
      <c r="U816" s="93"/>
      <c r="V816" s="93"/>
      <c r="W816" s="93"/>
      <c r="X816" s="93"/>
      <c r="Y816" s="93"/>
    </row>
    <row r="817" spans="1:25">
      <c r="A817" s="72"/>
      <c r="B817" s="72"/>
      <c r="C817" s="72"/>
      <c r="D817" s="72"/>
      <c r="E817" s="72"/>
      <c r="F817" s="72"/>
      <c r="G817" s="72"/>
      <c r="H817" s="72"/>
      <c r="I817" s="72"/>
      <c r="J817" s="72"/>
      <c r="K817" s="72"/>
      <c r="L817" s="93"/>
      <c r="M817" s="93"/>
      <c r="N817" s="93"/>
      <c r="O817" s="93"/>
      <c r="P817" s="93"/>
      <c r="Q817" s="93"/>
      <c r="R817" s="93"/>
      <c r="S817" s="93"/>
      <c r="T817" s="93"/>
      <c r="U817" s="93"/>
      <c r="V817" s="93"/>
      <c r="W817" s="93"/>
      <c r="X817" s="93"/>
      <c r="Y817" s="93"/>
    </row>
    <row r="818" spans="1:25">
      <c r="A818" s="72"/>
      <c r="B818" s="72"/>
      <c r="C818" s="72"/>
      <c r="D818" s="72"/>
      <c r="E818" s="72"/>
      <c r="F818" s="72"/>
      <c r="G818" s="72"/>
      <c r="H818" s="72"/>
      <c r="I818" s="72"/>
      <c r="J818" s="72"/>
      <c r="K818" s="72"/>
      <c r="L818" s="93"/>
      <c r="M818" s="93"/>
      <c r="N818" s="93"/>
      <c r="O818" s="93"/>
      <c r="P818" s="93"/>
      <c r="Q818" s="93"/>
      <c r="R818" s="93"/>
      <c r="S818" s="93"/>
      <c r="T818" s="93"/>
      <c r="U818" s="93"/>
      <c r="V818" s="93"/>
      <c r="W818" s="93"/>
      <c r="X818" s="93"/>
      <c r="Y818" s="93"/>
    </row>
    <row r="819" spans="1:25">
      <c r="A819" s="72"/>
      <c r="B819" s="72"/>
      <c r="C819" s="72"/>
      <c r="D819" s="72"/>
      <c r="E819" s="72"/>
      <c r="F819" s="72"/>
      <c r="G819" s="72"/>
      <c r="H819" s="72"/>
      <c r="I819" s="72"/>
      <c r="J819" s="72"/>
      <c r="K819" s="72"/>
      <c r="L819" s="93"/>
      <c r="M819" s="93"/>
      <c r="N819" s="93"/>
      <c r="O819" s="93"/>
      <c r="P819" s="93"/>
      <c r="Q819" s="93"/>
      <c r="R819" s="93"/>
      <c r="S819" s="93"/>
      <c r="T819" s="93"/>
      <c r="U819" s="93"/>
      <c r="V819" s="93"/>
      <c r="W819" s="93"/>
      <c r="X819" s="93"/>
      <c r="Y819" s="93"/>
    </row>
    <row r="820" spans="1:25">
      <c r="A820" s="72"/>
      <c r="B820" s="72"/>
      <c r="C820" s="72"/>
      <c r="D820" s="72"/>
      <c r="E820" s="72"/>
      <c r="F820" s="72"/>
      <c r="G820" s="72"/>
      <c r="H820" s="72"/>
      <c r="I820" s="72"/>
      <c r="J820" s="72"/>
      <c r="K820" s="72"/>
      <c r="L820" s="93"/>
      <c r="M820" s="93"/>
      <c r="N820" s="93"/>
      <c r="O820" s="93"/>
      <c r="P820" s="93"/>
      <c r="Q820" s="93"/>
      <c r="R820" s="93"/>
      <c r="S820" s="93"/>
      <c r="T820" s="93"/>
      <c r="U820" s="93"/>
      <c r="V820" s="93"/>
      <c r="W820" s="93"/>
      <c r="X820" s="93"/>
      <c r="Y820" s="93"/>
    </row>
    <row r="821" spans="1:25">
      <c r="A821" s="72"/>
      <c r="B821" s="72"/>
      <c r="C821" s="72"/>
      <c r="D821" s="72"/>
      <c r="E821" s="72"/>
      <c r="F821" s="72"/>
      <c r="G821" s="72"/>
      <c r="H821" s="72"/>
      <c r="I821" s="72"/>
      <c r="J821" s="72"/>
      <c r="K821" s="72"/>
      <c r="L821" s="93"/>
      <c r="M821" s="93"/>
      <c r="N821" s="93"/>
      <c r="O821" s="93"/>
      <c r="P821" s="93"/>
      <c r="Q821" s="93"/>
      <c r="R821" s="93"/>
      <c r="S821" s="93"/>
      <c r="T821" s="93"/>
      <c r="U821" s="93"/>
      <c r="V821" s="93"/>
      <c r="W821" s="93"/>
      <c r="X821" s="93"/>
      <c r="Y821" s="93"/>
    </row>
    <row r="822" spans="1:25">
      <c r="A822" s="72"/>
      <c r="B822" s="72"/>
      <c r="C822" s="72"/>
      <c r="D822" s="72"/>
      <c r="E822" s="72"/>
      <c r="F822" s="72"/>
      <c r="G822" s="72"/>
      <c r="H822" s="72"/>
      <c r="I822" s="72"/>
      <c r="J822" s="72"/>
      <c r="K822" s="72"/>
      <c r="L822" s="93"/>
      <c r="M822" s="93"/>
      <c r="N822" s="93"/>
      <c r="O822" s="93"/>
      <c r="P822" s="93"/>
      <c r="Q822" s="93"/>
      <c r="R822" s="93"/>
      <c r="S822" s="93"/>
      <c r="T822" s="93"/>
      <c r="U822" s="93"/>
      <c r="V822" s="93"/>
      <c r="W822" s="93"/>
      <c r="X822" s="93"/>
      <c r="Y822" s="93"/>
    </row>
    <row r="823" spans="1:25">
      <c r="A823" s="72"/>
      <c r="B823" s="72"/>
      <c r="C823" s="72"/>
      <c r="D823" s="72"/>
      <c r="E823" s="72"/>
      <c r="F823" s="72"/>
      <c r="G823" s="72"/>
      <c r="H823" s="72"/>
      <c r="I823" s="72"/>
      <c r="J823" s="72"/>
      <c r="K823" s="72"/>
      <c r="L823" s="93"/>
      <c r="M823" s="93"/>
      <c r="N823" s="93"/>
      <c r="O823" s="93"/>
      <c r="P823" s="93"/>
      <c r="Q823" s="93"/>
      <c r="R823" s="93"/>
      <c r="S823" s="93"/>
      <c r="T823" s="93"/>
      <c r="U823" s="93"/>
      <c r="V823" s="93"/>
      <c r="W823" s="93"/>
      <c r="X823" s="93"/>
      <c r="Y823" s="93"/>
    </row>
    <row r="824" spans="1:25">
      <c r="A824" s="72"/>
      <c r="B824" s="72"/>
      <c r="C824" s="72"/>
      <c r="D824" s="72"/>
      <c r="E824" s="72"/>
      <c r="F824" s="72"/>
      <c r="G824" s="72"/>
      <c r="H824" s="72"/>
      <c r="I824" s="72"/>
      <c r="J824" s="72"/>
      <c r="K824" s="72"/>
      <c r="L824" s="93"/>
      <c r="M824" s="93"/>
      <c r="N824" s="93"/>
      <c r="O824" s="93"/>
      <c r="P824" s="93"/>
      <c r="Q824" s="93"/>
      <c r="R824" s="93"/>
      <c r="S824" s="93"/>
      <c r="T824" s="93"/>
      <c r="U824" s="93"/>
      <c r="V824" s="93"/>
      <c r="W824" s="93"/>
      <c r="X824" s="93"/>
      <c r="Y824" s="93"/>
    </row>
    <row r="825" spans="1:25">
      <c r="A825" s="72"/>
      <c r="B825" s="72"/>
      <c r="C825" s="72"/>
      <c r="D825" s="72"/>
      <c r="E825" s="72"/>
      <c r="F825" s="72"/>
      <c r="G825" s="72"/>
      <c r="H825" s="72"/>
      <c r="I825" s="72"/>
      <c r="J825" s="72"/>
      <c r="K825" s="72"/>
      <c r="L825" s="93"/>
      <c r="M825" s="93"/>
      <c r="N825" s="93"/>
      <c r="O825" s="93"/>
      <c r="P825" s="93"/>
      <c r="Q825" s="93"/>
      <c r="R825" s="93"/>
      <c r="S825" s="93"/>
      <c r="T825" s="93"/>
      <c r="U825" s="93"/>
      <c r="V825" s="93"/>
      <c r="W825" s="93"/>
      <c r="X825" s="93"/>
      <c r="Y825" s="93"/>
    </row>
    <row r="826" spans="1:25">
      <c r="A826" s="72"/>
      <c r="B826" s="72"/>
      <c r="C826" s="72"/>
      <c r="D826" s="72"/>
      <c r="E826" s="72"/>
      <c r="F826" s="72"/>
      <c r="G826" s="72"/>
      <c r="H826" s="72"/>
      <c r="I826" s="72"/>
      <c r="J826" s="72"/>
      <c r="K826" s="72"/>
      <c r="L826" s="93"/>
      <c r="M826" s="93"/>
      <c r="N826" s="93"/>
      <c r="O826" s="93"/>
      <c r="P826" s="93"/>
      <c r="Q826" s="93"/>
      <c r="R826" s="93"/>
      <c r="S826" s="93"/>
      <c r="T826" s="93"/>
      <c r="U826" s="93"/>
      <c r="V826" s="93"/>
      <c r="W826" s="93"/>
      <c r="X826" s="93"/>
      <c r="Y826" s="93"/>
    </row>
    <row r="827" spans="1:25">
      <c r="A827" s="72"/>
      <c r="B827" s="72"/>
      <c r="C827" s="72"/>
      <c r="D827" s="72"/>
      <c r="E827" s="72"/>
      <c r="F827" s="72"/>
      <c r="G827" s="72"/>
      <c r="H827" s="72"/>
      <c r="I827" s="72"/>
      <c r="J827" s="72"/>
      <c r="K827" s="72"/>
      <c r="L827" s="93"/>
      <c r="M827" s="93"/>
      <c r="N827" s="93"/>
      <c r="O827" s="93"/>
      <c r="P827" s="93"/>
      <c r="Q827" s="93"/>
      <c r="R827" s="93"/>
      <c r="S827" s="93"/>
      <c r="T827" s="93"/>
      <c r="U827" s="93"/>
      <c r="V827" s="93"/>
      <c r="W827" s="93"/>
      <c r="X827" s="93"/>
      <c r="Y827" s="93"/>
    </row>
    <row r="828" spans="1:25">
      <c r="A828" s="72"/>
      <c r="B828" s="72"/>
      <c r="C828" s="72"/>
      <c r="D828" s="72"/>
      <c r="E828" s="72"/>
      <c r="F828" s="72"/>
      <c r="G828" s="72"/>
      <c r="H828" s="72"/>
      <c r="I828" s="72"/>
      <c r="J828" s="72"/>
      <c r="K828" s="72"/>
      <c r="L828" s="93"/>
      <c r="M828" s="93"/>
      <c r="N828" s="93"/>
      <c r="O828" s="93"/>
      <c r="P828" s="93"/>
      <c r="Q828" s="93"/>
      <c r="R828" s="93"/>
      <c r="S828" s="93"/>
      <c r="T828" s="93"/>
      <c r="U828" s="93"/>
      <c r="V828" s="93"/>
      <c r="W828" s="93"/>
      <c r="X828" s="93"/>
      <c r="Y828" s="93"/>
    </row>
    <row r="829" spans="1:25">
      <c r="A829" s="72"/>
      <c r="B829" s="72"/>
      <c r="C829" s="72"/>
      <c r="D829" s="72"/>
      <c r="E829" s="72"/>
      <c r="F829" s="72"/>
      <c r="G829" s="72"/>
      <c r="H829" s="72"/>
      <c r="I829" s="72"/>
      <c r="J829" s="72"/>
      <c r="K829" s="72"/>
      <c r="L829" s="93"/>
      <c r="M829" s="93"/>
      <c r="N829" s="93"/>
      <c r="O829" s="93"/>
      <c r="P829" s="93"/>
      <c r="Q829" s="93"/>
      <c r="R829" s="93"/>
      <c r="S829" s="93"/>
      <c r="T829" s="93"/>
      <c r="U829" s="93"/>
      <c r="V829" s="93"/>
      <c r="W829" s="93"/>
      <c r="X829" s="93"/>
      <c r="Y829" s="93"/>
    </row>
    <row r="830" spans="1:25">
      <c r="A830" s="72"/>
      <c r="B830" s="72"/>
      <c r="C830" s="72"/>
      <c r="D830" s="72"/>
      <c r="E830" s="72"/>
      <c r="F830" s="72"/>
      <c r="G830" s="72"/>
      <c r="H830" s="72"/>
      <c r="I830" s="72"/>
      <c r="J830" s="72"/>
      <c r="K830" s="72"/>
      <c r="L830" s="93"/>
      <c r="M830" s="93"/>
      <c r="N830" s="93"/>
      <c r="O830" s="93"/>
      <c r="P830" s="93"/>
      <c r="Q830" s="93"/>
      <c r="R830" s="93"/>
      <c r="S830" s="93"/>
      <c r="T830" s="93"/>
      <c r="U830" s="93"/>
      <c r="V830" s="93"/>
      <c r="W830" s="93"/>
      <c r="X830" s="93"/>
      <c r="Y830" s="93"/>
    </row>
    <row r="831" spans="1:25">
      <c r="A831" s="72"/>
      <c r="B831" s="72"/>
      <c r="C831" s="72"/>
      <c r="D831" s="72"/>
      <c r="E831" s="72"/>
      <c r="F831" s="72"/>
      <c r="G831" s="72"/>
      <c r="H831" s="72"/>
      <c r="I831" s="72"/>
      <c r="J831" s="72"/>
      <c r="K831" s="72"/>
      <c r="L831" s="93"/>
      <c r="M831" s="93"/>
      <c r="N831" s="93"/>
      <c r="O831" s="93"/>
      <c r="P831" s="93"/>
      <c r="Q831" s="93"/>
      <c r="R831" s="93"/>
      <c r="S831" s="93"/>
      <c r="T831" s="93"/>
      <c r="U831" s="93"/>
      <c r="V831" s="93"/>
      <c r="W831" s="93"/>
      <c r="X831" s="93"/>
      <c r="Y831" s="93"/>
    </row>
    <row r="832" spans="1:25">
      <c r="A832" s="72"/>
      <c r="B832" s="72"/>
      <c r="C832" s="72"/>
      <c r="D832" s="72"/>
      <c r="E832" s="72"/>
      <c r="F832" s="72"/>
      <c r="G832" s="72"/>
      <c r="H832" s="72"/>
      <c r="I832" s="72"/>
      <c r="J832" s="72"/>
      <c r="K832" s="72"/>
      <c r="L832" s="93"/>
      <c r="M832" s="93"/>
      <c r="N832" s="93"/>
      <c r="O832" s="93"/>
      <c r="P832" s="93"/>
      <c r="Q832" s="93"/>
      <c r="R832" s="93"/>
      <c r="S832" s="93"/>
      <c r="T832" s="93"/>
      <c r="U832" s="93"/>
      <c r="V832" s="93"/>
      <c r="W832" s="93"/>
      <c r="X832" s="93"/>
      <c r="Y832" s="93"/>
    </row>
    <row r="833" spans="1:25">
      <c r="A833" s="72"/>
      <c r="B833" s="72"/>
      <c r="C833" s="72"/>
      <c r="D833" s="72"/>
      <c r="E833" s="72"/>
      <c r="F833" s="72"/>
      <c r="G833" s="72"/>
      <c r="H833" s="72"/>
      <c r="I833" s="72"/>
      <c r="J833" s="72"/>
      <c r="K833" s="72"/>
      <c r="L833" s="93"/>
      <c r="M833" s="93"/>
      <c r="N833" s="93"/>
      <c r="O833" s="93"/>
      <c r="P833" s="93"/>
      <c r="Q833" s="93"/>
      <c r="R833" s="93"/>
      <c r="S833" s="93"/>
      <c r="T833" s="93"/>
      <c r="U833" s="93"/>
      <c r="V833" s="93"/>
      <c r="W833" s="93"/>
      <c r="X833" s="93"/>
      <c r="Y833" s="93"/>
    </row>
    <row r="834" spans="1:25">
      <c r="A834" s="72"/>
      <c r="B834" s="72"/>
      <c r="C834" s="72"/>
      <c r="D834" s="72"/>
      <c r="E834" s="72"/>
      <c r="F834" s="72"/>
      <c r="G834" s="72"/>
      <c r="H834" s="72"/>
      <c r="I834" s="72"/>
      <c r="J834" s="72"/>
      <c r="K834" s="72"/>
      <c r="L834" s="93"/>
      <c r="M834" s="93"/>
      <c r="N834" s="93"/>
      <c r="O834" s="93"/>
      <c r="P834" s="93"/>
      <c r="Q834" s="93"/>
      <c r="R834" s="93"/>
      <c r="S834" s="93"/>
      <c r="T834" s="93"/>
      <c r="U834" s="93"/>
      <c r="V834" s="93"/>
      <c r="W834" s="93"/>
      <c r="X834" s="93"/>
      <c r="Y834" s="93"/>
    </row>
    <row r="835" spans="1:25">
      <c r="A835" s="72"/>
      <c r="B835" s="72"/>
      <c r="C835" s="72"/>
      <c r="D835" s="72"/>
      <c r="E835" s="72"/>
      <c r="F835" s="72"/>
      <c r="G835" s="72"/>
      <c r="H835" s="72"/>
      <c r="I835" s="72"/>
      <c r="J835" s="72"/>
      <c r="K835" s="72"/>
      <c r="L835" s="93"/>
      <c r="M835" s="93"/>
      <c r="N835" s="93"/>
      <c r="O835" s="93"/>
      <c r="P835" s="93"/>
      <c r="Q835" s="93"/>
      <c r="R835" s="93"/>
      <c r="S835" s="93"/>
      <c r="T835" s="93"/>
      <c r="U835" s="93"/>
      <c r="V835" s="93"/>
      <c r="W835" s="93"/>
      <c r="X835" s="93"/>
      <c r="Y835" s="93"/>
    </row>
    <row r="836" spans="1:25">
      <c r="A836" s="72"/>
      <c r="B836" s="72"/>
      <c r="C836" s="72"/>
      <c r="D836" s="72"/>
      <c r="E836" s="72"/>
      <c r="F836" s="72"/>
      <c r="G836" s="72"/>
      <c r="H836" s="72"/>
      <c r="I836" s="72"/>
      <c r="J836" s="72"/>
      <c r="K836" s="72"/>
      <c r="L836" s="93"/>
      <c r="M836" s="93"/>
      <c r="N836" s="93"/>
      <c r="O836" s="93"/>
      <c r="P836" s="93"/>
      <c r="Q836" s="93"/>
      <c r="R836" s="93"/>
      <c r="S836" s="93"/>
      <c r="T836" s="93"/>
      <c r="U836" s="93"/>
      <c r="V836" s="93"/>
      <c r="W836" s="93"/>
      <c r="X836" s="93"/>
      <c r="Y836" s="93"/>
    </row>
    <row r="837" spans="1:25">
      <c r="A837" s="72"/>
      <c r="B837" s="72"/>
      <c r="C837" s="72"/>
      <c r="D837" s="72"/>
      <c r="E837" s="72"/>
      <c r="F837" s="72"/>
      <c r="G837" s="72"/>
      <c r="H837" s="72"/>
      <c r="I837" s="72"/>
      <c r="J837" s="72"/>
      <c r="K837" s="72"/>
      <c r="L837" s="93"/>
      <c r="M837" s="93"/>
      <c r="N837" s="93"/>
      <c r="O837" s="93"/>
      <c r="P837" s="93"/>
      <c r="Q837" s="93"/>
      <c r="R837" s="93"/>
      <c r="S837" s="93"/>
      <c r="T837" s="93"/>
      <c r="U837" s="93"/>
      <c r="V837" s="93"/>
      <c r="W837" s="93"/>
      <c r="X837" s="93"/>
      <c r="Y837" s="93"/>
    </row>
    <row r="838" spans="1:25">
      <c r="A838" s="72"/>
      <c r="B838" s="72"/>
      <c r="C838" s="72"/>
      <c r="D838" s="72"/>
      <c r="E838" s="72"/>
      <c r="F838" s="72"/>
      <c r="G838" s="72"/>
      <c r="H838" s="72"/>
      <c r="I838" s="72"/>
      <c r="J838" s="72"/>
      <c r="K838" s="72"/>
      <c r="L838" s="93"/>
      <c r="M838" s="93"/>
      <c r="N838" s="93"/>
      <c r="O838" s="93"/>
      <c r="P838" s="93"/>
      <c r="Q838" s="93"/>
      <c r="R838" s="93"/>
      <c r="S838" s="93"/>
      <c r="T838" s="93"/>
      <c r="U838" s="93"/>
      <c r="V838" s="93"/>
      <c r="W838" s="93"/>
      <c r="X838" s="93"/>
      <c r="Y838" s="93"/>
    </row>
    <row r="839" spans="1:25">
      <c r="A839" s="72"/>
      <c r="B839" s="72"/>
      <c r="C839" s="72"/>
      <c r="D839" s="72"/>
      <c r="E839" s="72"/>
      <c r="F839" s="72"/>
      <c r="G839" s="72"/>
      <c r="H839" s="72"/>
      <c r="I839" s="72"/>
      <c r="J839" s="72"/>
      <c r="K839" s="72"/>
      <c r="L839" s="93"/>
      <c r="M839" s="93"/>
      <c r="N839" s="93"/>
      <c r="O839" s="93"/>
      <c r="P839" s="93"/>
      <c r="Q839" s="93"/>
      <c r="R839" s="93"/>
      <c r="S839" s="93"/>
      <c r="T839" s="93"/>
      <c r="U839" s="93"/>
      <c r="V839" s="93"/>
      <c r="W839" s="93"/>
      <c r="X839" s="93"/>
      <c r="Y839" s="93"/>
    </row>
    <row r="840" spans="1:25">
      <c r="A840" s="72"/>
      <c r="B840" s="72"/>
      <c r="C840" s="72"/>
      <c r="D840" s="72"/>
      <c r="E840" s="72"/>
      <c r="F840" s="72"/>
      <c r="G840" s="72"/>
      <c r="H840" s="72"/>
      <c r="I840" s="72"/>
      <c r="J840" s="72"/>
      <c r="K840" s="72"/>
      <c r="L840" s="93"/>
      <c r="M840" s="93"/>
      <c r="N840" s="93"/>
      <c r="O840" s="93"/>
      <c r="P840" s="93"/>
      <c r="Q840" s="93"/>
      <c r="R840" s="93"/>
      <c r="S840" s="93"/>
      <c r="T840" s="93"/>
      <c r="U840" s="93"/>
      <c r="V840" s="93"/>
      <c r="W840" s="93"/>
      <c r="X840" s="93"/>
      <c r="Y840" s="93"/>
    </row>
    <row r="841" spans="1:25">
      <c r="A841" s="72"/>
      <c r="B841" s="72"/>
      <c r="C841" s="72"/>
      <c r="D841" s="72"/>
      <c r="E841" s="72"/>
      <c r="F841" s="72"/>
      <c r="G841" s="72"/>
      <c r="H841" s="72"/>
      <c r="I841" s="72"/>
      <c r="J841" s="72"/>
      <c r="K841" s="72"/>
      <c r="L841" s="93"/>
      <c r="M841" s="93"/>
      <c r="N841" s="93"/>
      <c r="O841" s="93"/>
      <c r="P841" s="93"/>
      <c r="Q841" s="93"/>
      <c r="R841" s="93"/>
      <c r="S841" s="93"/>
      <c r="T841" s="93"/>
      <c r="U841" s="93"/>
      <c r="V841" s="93"/>
      <c r="W841" s="93"/>
      <c r="X841" s="93"/>
      <c r="Y841" s="93"/>
    </row>
    <row r="842" spans="1:25">
      <c r="A842" s="72"/>
      <c r="B842" s="72"/>
      <c r="C842" s="72"/>
      <c r="D842" s="72"/>
      <c r="E842" s="72"/>
      <c r="F842" s="72"/>
      <c r="G842" s="72"/>
      <c r="H842" s="72"/>
      <c r="I842" s="72"/>
      <c r="J842" s="72"/>
      <c r="K842" s="72"/>
      <c r="L842" s="93"/>
      <c r="M842" s="93"/>
      <c r="N842" s="93"/>
      <c r="O842" s="93"/>
      <c r="P842" s="93"/>
      <c r="Q842" s="93"/>
      <c r="R842" s="93"/>
      <c r="S842" s="93"/>
      <c r="T842" s="93"/>
      <c r="U842" s="93"/>
      <c r="V842" s="93"/>
      <c r="W842" s="93"/>
      <c r="X842" s="93"/>
      <c r="Y842" s="93"/>
    </row>
    <row r="843" spans="1:25">
      <c r="A843" s="72"/>
      <c r="B843" s="72"/>
      <c r="C843" s="72"/>
      <c r="D843" s="72"/>
      <c r="E843" s="72"/>
      <c r="F843" s="72"/>
      <c r="G843" s="72"/>
      <c r="H843" s="72"/>
      <c r="I843" s="72"/>
      <c r="J843" s="72"/>
      <c r="K843" s="72"/>
      <c r="L843" s="93"/>
      <c r="M843" s="93"/>
      <c r="N843" s="93"/>
      <c r="O843" s="93"/>
      <c r="P843" s="93"/>
      <c r="Q843" s="93"/>
      <c r="R843" s="93"/>
      <c r="S843" s="93"/>
      <c r="T843" s="93"/>
      <c r="U843" s="93"/>
      <c r="V843" s="93"/>
      <c r="W843" s="93"/>
      <c r="X843" s="93"/>
      <c r="Y843" s="93"/>
    </row>
    <row r="844" spans="1:25">
      <c r="A844" s="72"/>
      <c r="B844" s="72"/>
      <c r="C844" s="72"/>
      <c r="D844" s="72"/>
      <c r="E844" s="72"/>
      <c r="F844" s="72"/>
      <c r="G844" s="72"/>
      <c r="H844" s="72"/>
      <c r="I844" s="72"/>
      <c r="J844" s="72"/>
      <c r="K844" s="72"/>
      <c r="L844" s="93"/>
      <c r="M844" s="93"/>
      <c r="N844" s="93"/>
      <c r="O844" s="93"/>
      <c r="P844" s="93"/>
      <c r="Q844" s="93"/>
      <c r="R844" s="93"/>
      <c r="S844" s="93"/>
      <c r="T844" s="93"/>
      <c r="U844" s="93"/>
      <c r="V844" s="93"/>
      <c r="W844" s="93"/>
      <c r="X844" s="93"/>
      <c r="Y844" s="93"/>
    </row>
    <row r="845" spans="1:25">
      <c r="A845" s="72"/>
      <c r="B845" s="72"/>
      <c r="C845" s="72"/>
      <c r="D845" s="72"/>
      <c r="E845" s="72"/>
      <c r="F845" s="72"/>
      <c r="G845" s="72"/>
      <c r="H845" s="72"/>
      <c r="I845" s="72"/>
      <c r="J845" s="72"/>
      <c r="K845" s="72"/>
      <c r="L845" s="93"/>
      <c r="M845" s="93"/>
      <c r="N845" s="93"/>
      <c r="O845" s="93"/>
      <c r="P845" s="93"/>
      <c r="Q845" s="93"/>
      <c r="R845" s="93"/>
      <c r="S845" s="93"/>
      <c r="T845" s="93"/>
      <c r="U845" s="93"/>
      <c r="V845" s="93"/>
      <c r="W845" s="93"/>
      <c r="X845" s="93"/>
      <c r="Y845" s="93"/>
    </row>
    <row r="846" spans="1:25">
      <c r="A846" s="72"/>
      <c r="B846" s="72"/>
      <c r="C846" s="72"/>
      <c r="D846" s="72"/>
      <c r="E846" s="72"/>
      <c r="F846" s="72"/>
      <c r="G846" s="72"/>
      <c r="H846" s="72"/>
      <c r="I846" s="72"/>
      <c r="J846" s="72"/>
      <c r="K846" s="72"/>
      <c r="L846" s="93"/>
      <c r="M846" s="93"/>
      <c r="N846" s="93"/>
      <c r="O846" s="93"/>
      <c r="P846" s="93"/>
      <c r="Q846" s="93"/>
      <c r="R846" s="93"/>
      <c r="S846" s="93"/>
      <c r="T846" s="93"/>
      <c r="U846" s="93"/>
      <c r="V846" s="93"/>
      <c r="W846" s="93"/>
      <c r="X846" s="93"/>
      <c r="Y846" s="93"/>
    </row>
    <row r="847" spans="1:25">
      <c r="A847" s="72"/>
      <c r="B847" s="72"/>
      <c r="C847" s="72"/>
      <c r="D847" s="72"/>
      <c r="E847" s="72"/>
      <c r="F847" s="72"/>
      <c r="G847" s="72"/>
      <c r="H847" s="72"/>
      <c r="I847" s="72"/>
      <c r="J847" s="72"/>
      <c r="K847" s="72"/>
      <c r="L847" s="93"/>
      <c r="M847" s="93"/>
      <c r="N847" s="93"/>
      <c r="O847" s="93"/>
      <c r="P847" s="93"/>
      <c r="Q847" s="93"/>
      <c r="R847" s="93"/>
      <c r="S847" s="93"/>
      <c r="T847" s="93"/>
      <c r="U847" s="93"/>
      <c r="V847" s="93"/>
      <c r="W847" s="93"/>
      <c r="X847" s="93"/>
      <c r="Y847" s="93"/>
    </row>
    <row r="848" spans="1:25">
      <c r="A848" s="72"/>
      <c r="B848" s="72"/>
      <c r="C848" s="72"/>
      <c r="D848" s="72"/>
      <c r="E848" s="72"/>
      <c r="F848" s="72"/>
      <c r="G848" s="72"/>
      <c r="H848" s="72"/>
      <c r="I848" s="72"/>
      <c r="J848" s="72"/>
      <c r="K848" s="72"/>
      <c r="L848" s="93"/>
      <c r="M848" s="93"/>
      <c r="N848" s="93"/>
      <c r="O848" s="93"/>
      <c r="P848" s="93"/>
      <c r="Q848" s="93"/>
      <c r="R848" s="93"/>
      <c r="S848" s="93"/>
      <c r="T848" s="93"/>
      <c r="U848" s="93"/>
      <c r="V848" s="93"/>
      <c r="W848" s="93"/>
      <c r="X848" s="93"/>
      <c r="Y848" s="93"/>
    </row>
    <row r="849" spans="1:25">
      <c r="A849" s="72"/>
      <c r="B849" s="72"/>
      <c r="C849" s="72"/>
      <c r="D849" s="72"/>
      <c r="E849" s="72"/>
      <c r="F849" s="72"/>
      <c r="G849" s="72"/>
      <c r="H849" s="72"/>
      <c r="I849" s="72"/>
      <c r="J849" s="72"/>
      <c r="K849" s="72"/>
      <c r="L849" s="93"/>
      <c r="M849" s="93"/>
      <c r="N849" s="93"/>
      <c r="O849" s="93"/>
      <c r="P849" s="93"/>
      <c r="Q849" s="93"/>
      <c r="R849" s="93"/>
      <c r="S849" s="93"/>
      <c r="T849" s="93"/>
      <c r="U849" s="93"/>
      <c r="V849" s="93"/>
      <c r="W849" s="93"/>
      <c r="X849" s="93"/>
      <c r="Y849" s="93"/>
    </row>
    <row r="850" spans="1:25">
      <c r="A850" s="72"/>
      <c r="B850" s="72"/>
      <c r="C850" s="72"/>
      <c r="D850" s="72"/>
      <c r="E850" s="72"/>
      <c r="F850" s="72"/>
      <c r="G850" s="72"/>
      <c r="H850" s="72"/>
      <c r="I850" s="72"/>
      <c r="J850" s="72"/>
      <c r="K850" s="72"/>
      <c r="L850" s="93"/>
      <c r="M850" s="93"/>
      <c r="N850" s="93"/>
      <c r="O850" s="93"/>
      <c r="P850" s="93"/>
      <c r="Q850" s="93"/>
      <c r="R850" s="93"/>
      <c r="S850" s="93"/>
      <c r="T850" s="93"/>
      <c r="U850" s="93"/>
      <c r="V850" s="93"/>
      <c r="W850" s="93"/>
      <c r="X850" s="93"/>
      <c r="Y850" s="93"/>
    </row>
    <row r="851" spans="1:25">
      <c r="A851" s="72"/>
      <c r="B851" s="72"/>
      <c r="C851" s="72"/>
      <c r="D851" s="72"/>
      <c r="E851" s="72"/>
      <c r="F851" s="72"/>
      <c r="G851" s="72"/>
      <c r="H851" s="72"/>
      <c r="I851" s="72"/>
      <c r="J851" s="72"/>
      <c r="K851" s="72"/>
      <c r="L851" s="93"/>
      <c r="M851" s="93"/>
      <c r="N851" s="93"/>
      <c r="O851" s="93"/>
      <c r="P851" s="93"/>
      <c r="Q851" s="93"/>
      <c r="R851" s="93"/>
      <c r="S851" s="93"/>
      <c r="T851" s="93"/>
      <c r="U851" s="93"/>
      <c r="V851" s="93"/>
      <c r="W851" s="93"/>
      <c r="X851" s="93"/>
      <c r="Y851" s="93"/>
    </row>
    <row r="852" spans="1:25">
      <c r="A852" s="72"/>
      <c r="B852" s="72"/>
      <c r="C852" s="72"/>
      <c r="D852" s="72"/>
      <c r="E852" s="72"/>
      <c r="F852" s="72"/>
      <c r="G852" s="72"/>
      <c r="H852" s="72"/>
      <c r="I852" s="72"/>
      <c r="J852" s="72"/>
      <c r="K852" s="72"/>
      <c r="L852" s="93"/>
      <c r="M852" s="93"/>
      <c r="N852" s="93"/>
      <c r="O852" s="93"/>
      <c r="P852" s="93"/>
      <c r="Q852" s="93"/>
      <c r="R852" s="93"/>
      <c r="S852" s="93"/>
      <c r="T852" s="93"/>
      <c r="U852" s="93"/>
      <c r="V852" s="93"/>
      <c r="W852" s="93"/>
      <c r="X852" s="93"/>
      <c r="Y852" s="93"/>
    </row>
    <row r="853" spans="1:25">
      <c r="A853" s="72"/>
      <c r="B853" s="72"/>
      <c r="C853" s="72"/>
      <c r="D853" s="72"/>
      <c r="E853" s="72"/>
      <c r="F853" s="72"/>
      <c r="G853" s="72"/>
      <c r="H853" s="72"/>
      <c r="I853" s="72"/>
      <c r="J853" s="72"/>
      <c r="K853" s="72"/>
      <c r="L853" s="93"/>
      <c r="M853" s="93"/>
      <c r="N853" s="93"/>
      <c r="O853" s="93"/>
      <c r="P853" s="93"/>
      <c r="Q853" s="93"/>
      <c r="R853" s="93"/>
      <c r="S853" s="93"/>
      <c r="T853" s="93"/>
      <c r="U853" s="93"/>
      <c r="V853" s="93"/>
      <c r="W853" s="93"/>
      <c r="X853" s="93"/>
      <c r="Y853" s="93"/>
    </row>
    <row r="854" spans="1:25">
      <c r="A854" s="72"/>
      <c r="B854" s="72"/>
      <c r="C854" s="72"/>
      <c r="D854" s="72"/>
      <c r="E854" s="72"/>
      <c r="F854" s="72"/>
      <c r="G854" s="72"/>
      <c r="H854" s="72"/>
      <c r="I854" s="72"/>
      <c r="J854" s="72"/>
      <c r="K854" s="72"/>
      <c r="L854" s="93"/>
      <c r="M854" s="93"/>
      <c r="N854" s="93"/>
      <c r="O854" s="93"/>
      <c r="P854" s="93"/>
      <c r="Q854" s="93"/>
      <c r="R854" s="93"/>
      <c r="S854" s="93"/>
      <c r="T854" s="93"/>
      <c r="U854" s="93"/>
      <c r="V854" s="93"/>
      <c r="W854" s="93"/>
      <c r="X854" s="93"/>
      <c r="Y854" s="93"/>
    </row>
    <row r="855" spans="1:25">
      <c r="A855" s="72"/>
      <c r="B855" s="72"/>
      <c r="C855" s="72"/>
      <c r="D855" s="72"/>
      <c r="E855" s="72"/>
      <c r="F855" s="72"/>
      <c r="G855" s="72"/>
      <c r="H855" s="72"/>
      <c r="I855" s="72"/>
      <c r="J855" s="72"/>
      <c r="K855" s="72"/>
      <c r="L855" s="93"/>
      <c r="M855" s="93"/>
      <c r="N855" s="93"/>
      <c r="O855" s="93"/>
      <c r="P855" s="93"/>
      <c r="Q855" s="93"/>
      <c r="R855" s="93"/>
      <c r="S855" s="93"/>
      <c r="T855" s="93"/>
      <c r="U855" s="93"/>
      <c r="V855" s="93"/>
      <c r="W855" s="93"/>
      <c r="X855" s="93"/>
      <c r="Y855" s="93"/>
    </row>
    <row r="856" spans="1:25">
      <c r="A856" s="72"/>
      <c r="B856" s="72"/>
      <c r="C856" s="72"/>
      <c r="D856" s="72"/>
      <c r="E856" s="72"/>
      <c r="F856" s="72"/>
      <c r="G856" s="72"/>
      <c r="H856" s="72"/>
      <c r="I856" s="72"/>
      <c r="J856" s="72"/>
      <c r="K856" s="72"/>
      <c r="L856" s="93"/>
      <c r="M856" s="93"/>
      <c r="N856" s="93"/>
      <c r="O856" s="93"/>
      <c r="P856" s="93"/>
      <c r="Q856" s="93"/>
      <c r="R856" s="93"/>
      <c r="S856" s="93"/>
      <c r="T856" s="93"/>
      <c r="U856" s="93"/>
      <c r="V856" s="93"/>
      <c r="W856" s="93"/>
      <c r="X856" s="93"/>
      <c r="Y856" s="93"/>
    </row>
    <row r="857" spans="1:25">
      <c r="A857" s="72"/>
      <c r="B857" s="72"/>
      <c r="C857" s="72"/>
      <c r="D857" s="72"/>
      <c r="E857" s="72"/>
      <c r="F857" s="72"/>
      <c r="G857" s="72"/>
      <c r="H857" s="72"/>
      <c r="I857" s="72"/>
      <c r="J857" s="72"/>
      <c r="K857" s="72"/>
      <c r="L857" s="93"/>
      <c r="M857" s="93"/>
      <c r="N857" s="93"/>
      <c r="O857" s="93"/>
      <c r="P857" s="93"/>
      <c r="Q857" s="93"/>
      <c r="R857" s="93"/>
      <c r="S857" s="93"/>
      <c r="T857" s="93"/>
      <c r="U857" s="93"/>
      <c r="V857" s="93"/>
      <c r="W857" s="93"/>
      <c r="X857" s="93"/>
      <c r="Y857" s="93"/>
    </row>
    <row r="858" spans="1:25">
      <c r="A858" s="72"/>
      <c r="B858" s="72"/>
      <c r="C858" s="72"/>
      <c r="D858" s="72"/>
      <c r="E858" s="72"/>
      <c r="F858" s="72"/>
      <c r="G858" s="72"/>
      <c r="H858" s="72"/>
      <c r="I858" s="72"/>
      <c r="J858" s="72"/>
      <c r="K858" s="72"/>
      <c r="L858" s="93"/>
      <c r="M858" s="93"/>
      <c r="N858" s="93"/>
      <c r="O858" s="93"/>
      <c r="P858" s="93"/>
      <c r="Q858" s="93"/>
      <c r="R858" s="93"/>
      <c r="S858" s="93"/>
      <c r="T858" s="93"/>
      <c r="U858" s="93"/>
      <c r="V858" s="93"/>
      <c r="W858" s="93"/>
      <c r="X858" s="93"/>
      <c r="Y858" s="93"/>
    </row>
    <row r="859" spans="1:25">
      <c r="A859" s="72"/>
      <c r="B859" s="72"/>
      <c r="C859" s="72"/>
      <c r="D859" s="72"/>
      <c r="E859" s="72"/>
      <c r="F859" s="72"/>
      <c r="G859" s="72"/>
      <c r="H859" s="72"/>
      <c r="I859" s="72"/>
      <c r="J859" s="72"/>
      <c r="K859" s="72"/>
      <c r="L859" s="93"/>
      <c r="M859" s="93"/>
      <c r="N859" s="93"/>
      <c r="O859" s="93"/>
      <c r="P859" s="93"/>
      <c r="Q859" s="93"/>
      <c r="R859" s="93"/>
      <c r="S859" s="93"/>
      <c r="T859" s="93"/>
      <c r="U859" s="93"/>
      <c r="V859" s="93"/>
      <c r="W859" s="93"/>
      <c r="X859" s="93"/>
      <c r="Y859" s="93"/>
    </row>
    <row r="860" spans="1:25">
      <c r="A860" s="72"/>
      <c r="B860" s="72"/>
      <c r="C860" s="72"/>
      <c r="D860" s="72"/>
      <c r="E860" s="72"/>
      <c r="F860" s="72"/>
      <c r="G860" s="72"/>
      <c r="H860" s="72"/>
      <c r="I860" s="72"/>
      <c r="J860" s="72"/>
      <c r="K860" s="72"/>
      <c r="L860" s="93"/>
      <c r="M860" s="93"/>
      <c r="N860" s="93"/>
      <c r="O860" s="93"/>
      <c r="P860" s="93"/>
      <c r="Q860" s="93"/>
      <c r="R860" s="93"/>
      <c r="S860" s="93"/>
      <c r="T860" s="93"/>
      <c r="U860" s="93"/>
      <c r="V860" s="93"/>
      <c r="W860" s="93"/>
      <c r="X860" s="93"/>
      <c r="Y860" s="93"/>
    </row>
    <row r="861" spans="1:25">
      <c r="A861" s="72"/>
      <c r="B861" s="72"/>
      <c r="C861" s="72"/>
      <c r="D861" s="72"/>
      <c r="E861" s="72"/>
      <c r="F861" s="72"/>
      <c r="G861" s="72"/>
      <c r="H861" s="72"/>
      <c r="I861" s="72"/>
      <c r="J861" s="72"/>
      <c r="K861" s="72"/>
      <c r="L861" s="93"/>
      <c r="M861" s="93"/>
      <c r="N861" s="93"/>
      <c r="O861" s="93"/>
      <c r="P861" s="93"/>
      <c r="Q861" s="93"/>
      <c r="R861" s="93"/>
      <c r="S861" s="93"/>
      <c r="T861" s="93"/>
      <c r="U861" s="93"/>
      <c r="V861" s="93"/>
      <c r="W861" s="93"/>
      <c r="X861" s="93"/>
      <c r="Y861" s="93"/>
    </row>
    <row r="862" spans="1:25">
      <c r="A862" s="72"/>
      <c r="B862" s="72"/>
      <c r="C862" s="72"/>
      <c r="D862" s="72"/>
      <c r="E862" s="72"/>
      <c r="F862" s="72"/>
      <c r="G862" s="72"/>
      <c r="H862" s="72"/>
      <c r="I862" s="72"/>
      <c r="J862" s="72"/>
      <c r="K862" s="72"/>
      <c r="L862" s="93"/>
      <c r="M862" s="93"/>
      <c r="N862" s="93"/>
      <c r="O862" s="93"/>
      <c r="P862" s="93"/>
      <c r="Q862" s="93"/>
      <c r="R862" s="93"/>
      <c r="S862" s="93"/>
      <c r="T862" s="93"/>
      <c r="U862" s="93"/>
      <c r="V862" s="93"/>
      <c r="W862" s="93"/>
      <c r="X862" s="93"/>
      <c r="Y862" s="93"/>
    </row>
    <row r="863" spans="1:25">
      <c r="A863" s="72"/>
      <c r="B863" s="72"/>
      <c r="C863" s="72"/>
      <c r="D863" s="72"/>
      <c r="E863" s="72"/>
      <c r="F863" s="72"/>
      <c r="G863" s="72"/>
      <c r="H863" s="72"/>
      <c r="I863" s="72"/>
      <c r="J863" s="72"/>
      <c r="K863" s="72"/>
      <c r="L863" s="93"/>
      <c r="M863" s="93"/>
      <c r="N863" s="93"/>
      <c r="O863" s="93"/>
      <c r="P863" s="93"/>
      <c r="Q863" s="93"/>
      <c r="R863" s="93"/>
      <c r="S863" s="93"/>
      <c r="T863" s="93"/>
      <c r="U863" s="93"/>
      <c r="V863" s="93"/>
      <c r="W863" s="93"/>
      <c r="X863" s="93"/>
      <c r="Y863" s="93"/>
    </row>
    <row r="864" spans="1:25">
      <c r="A864" s="72"/>
      <c r="B864" s="72"/>
      <c r="C864" s="72"/>
      <c r="D864" s="72"/>
      <c r="E864" s="72"/>
      <c r="F864" s="72"/>
      <c r="G864" s="72"/>
      <c r="H864" s="72"/>
      <c r="I864" s="72"/>
      <c r="J864" s="72"/>
      <c r="K864" s="72"/>
      <c r="L864" s="93"/>
      <c r="M864" s="93"/>
      <c r="N864" s="93"/>
      <c r="O864" s="93"/>
      <c r="P864" s="93"/>
      <c r="Q864" s="93"/>
      <c r="R864" s="93"/>
      <c r="S864" s="93"/>
      <c r="T864" s="93"/>
      <c r="U864" s="93"/>
      <c r="V864" s="93"/>
      <c r="W864" s="93"/>
      <c r="X864" s="93"/>
      <c r="Y864" s="93"/>
    </row>
    <row r="865" spans="1:25">
      <c r="A865" s="72"/>
      <c r="B865" s="72"/>
      <c r="C865" s="72"/>
      <c r="D865" s="72"/>
      <c r="E865" s="72"/>
      <c r="F865" s="72"/>
      <c r="G865" s="72"/>
      <c r="H865" s="72"/>
      <c r="I865" s="72"/>
      <c r="J865" s="72"/>
      <c r="K865" s="72"/>
      <c r="L865" s="93"/>
      <c r="M865" s="93"/>
      <c r="N865" s="93"/>
      <c r="O865" s="93"/>
      <c r="P865" s="93"/>
      <c r="Q865" s="93"/>
      <c r="R865" s="93"/>
      <c r="S865" s="93"/>
      <c r="T865" s="93"/>
      <c r="U865" s="93"/>
      <c r="V865" s="93"/>
      <c r="W865" s="93"/>
      <c r="X865" s="93"/>
      <c r="Y865" s="93"/>
    </row>
    <row r="866" spans="1:25">
      <c r="A866" s="72"/>
      <c r="B866" s="72"/>
      <c r="C866" s="72"/>
      <c r="D866" s="72"/>
      <c r="E866" s="72"/>
      <c r="F866" s="72"/>
      <c r="G866" s="72"/>
      <c r="H866" s="72"/>
      <c r="I866" s="72"/>
      <c r="J866" s="72"/>
      <c r="K866" s="72"/>
      <c r="L866" s="93"/>
      <c r="M866" s="93"/>
      <c r="N866" s="93"/>
      <c r="O866" s="93"/>
      <c r="P866" s="93"/>
      <c r="Q866" s="93"/>
      <c r="R866" s="93"/>
      <c r="S866" s="93"/>
      <c r="T866" s="93"/>
      <c r="U866" s="93"/>
      <c r="V866" s="93"/>
      <c r="W866" s="93"/>
      <c r="X866" s="93"/>
      <c r="Y866" s="93"/>
    </row>
    <row r="867" spans="1:25">
      <c r="A867" s="72"/>
      <c r="B867" s="72"/>
      <c r="C867" s="72"/>
      <c r="D867" s="72"/>
      <c r="E867" s="72"/>
      <c r="F867" s="72"/>
      <c r="G867" s="72"/>
      <c r="H867" s="72"/>
      <c r="I867" s="72"/>
      <c r="J867" s="72"/>
      <c r="K867" s="72"/>
      <c r="L867" s="93"/>
      <c r="M867" s="93"/>
      <c r="N867" s="93"/>
      <c r="O867" s="93"/>
      <c r="P867" s="93"/>
      <c r="Q867" s="93"/>
      <c r="R867" s="93"/>
      <c r="S867" s="93"/>
      <c r="T867" s="93"/>
      <c r="U867" s="93"/>
      <c r="V867" s="93"/>
      <c r="W867" s="93"/>
      <c r="X867" s="93"/>
      <c r="Y867" s="93"/>
    </row>
    <row r="868" spans="1:25">
      <c r="A868" s="72"/>
      <c r="B868" s="72"/>
      <c r="C868" s="72"/>
      <c r="D868" s="72"/>
      <c r="E868" s="72"/>
      <c r="F868" s="72"/>
      <c r="G868" s="72"/>
      <c r="H868" s="72"/>
      <c r="I868" s="72"/>
      <c r="J868" s="72"/>
      <c r="K868" s="72"/>
      <c r="L868" s="93"/>
      <c r="M868" s="93"/>
      <c r="N868" s="93"/>
      <c r="O868" s="93"/>
      <c r="P868" s="93"/>
      <c r="Q868" s="93"/>
      <c r="R868" s="93"/>
      <c r="S868" s="93"/>
      <c r="T868" s="93"/>
      <c r="U868" s="93"/>
      <c r="V868" s="93"/>
      <c r="W868" s="93"/>
      <c r="X868" s="93"/>
      <c r="Y868" s="93"/>
    </row>
    <row r="869" spans="1:25">
      <c r="A869" s="72"/>
      <c r="B869" s="72"/>
      <c r="C869" s="72"/>
      <c r="D869" s="72"/>
      <c r="E869" s="72"/>
      <c r="F869" s="72"/>
      <c r="G869" s="72"/>
      <c r="H869" s="72"/>
      <c r="I869" s="72"/>
      <c r="J869" s="72"/>
      <c r="K869" s="72"/>
      <c r="L869" s="93"/>
      <c r="M869" s="93"/>
      <c r="N869" s="93"/>
      <c r="O869" s="93"/>
      <c r="P869" s="93"/>
      <c r="Q869" s="93"/>
      <c r="R869" s="93"/>
      <c r="S869" s="93"/>
      <c r="T869" s="93"/>
      <c r="U869" s="93"/>
      <c r="V869" s="93"/>
      <c r="W869" s="93"/>
      <c r="X869" s="93"/>
      <c r="Y869" s="93"/>
    </row>
    <row r="870" spans="1:25">
      <c r="A870" s="72"/>
      <c r="B870" s="72"/>
      <c r="C870" s="72"/>
      <c r="D870" s="72"/>
      <c r="E870" s="72"/>
      <c r="F870" s="72"/>
      <c r="G870" s="72"/>
      <c r="H870" s="72"/>
      <c r="I870" s="72"/>
      <c r="J870" s="72"/>
      <c r="K870" s="72"/>
      <c r="L870" s="93"/>
      <c r="M870" s="93"/>
      <c r="N870" s="93"/>
      <c r="O870" s="93"/>
      <c r="P870" s="93"/>
      <c r="Q870" s="93"/>
      <c r="R870" s="93"/>
      <c r="S870" s="93"/>
      <c r="T870" s="93"/>
      <c r="U870" s="93"/>
      <c r="V870" s="93"/>
      <c r="W870" s="93"/>
      <c r="X870" s="93"/>
      <c r="Y870" s="93"/>
    </row>
    <row r="871" spans="1:25">
      <c r="A871" s="72"/>
      <c r="B871" s="72"/>
      <c r="C871" s="72"/>
      <c r="D871" s="72"/>
      <c r="E871" s="72"/>
      <c r="F871" s="72"/>
      <c r="G871" s="72"/>
      <c r="H871" s="72"/>
      <c r="I871" s="72"/>
      <c r="J871" s="72"/>
      <c r="K871" s="72"/>
      <c r="L871" s="93"/>
      <c r="M871" s="93"/>
      <c r="N871" s="93"/>
      <c r="O871" s="93"/>
      <c r="P871" s="93"/>
      <c r="Q871" s="93"/>
      <c r="R871" s="93"/>
      <c r="S871" s="93"/>
      <c r="T871" s="93"/>
      <c r="U871" s="93"/>
      <c r="V871" s="93"/>
      <c r="W871" s="93"/>
      <c r="X871" s="93"/>
      <c r="Y871" s="93"/>
    </row>
    <row r="872" spans="1:25">
      <c r="A872" s="72"/>
      <c r="B872" s="72"/>
      <c r="C872" s="72"/>
      <c r="D872" s="72"/>
      <c r="E872" s="72"/>
      <c r="F872" s="72"/>
      <c r="G872" s="72"/>
      <c r="H872" s="72"/>
      <c r="I872" s="72"/>
      <c r="J872" s="72"/>
      <c r="K872" s="72"/>
      <c r="L872" s="93"/>
      <c r="M872" s="93"/>
      <c r="N872" s="93"/>
      <c r="O872" s="93"/>
      <c r="P872" s="93"/>
      <c r="Q872" s="93"/>
      <c r="R872" s="93"/>
      <c r="S872" s="93"/>
      <c r="T872" s="93"/>
      <c r="U872" s="93"/>
      <c r="V872" s="93"/>
      <c r="W872" s="93"/>
      <c r="X872" s="93"/>
      <c r="Y872" s="93"/>
    </row>
    <row r="873" spans="1:25">
      <c r="A873" s="72"/>
      <c r="B873" s="72"/>
      <c r="C873" s="72"/>
      <c r="D873" s="72"/>
      <c r="E873" s="72"/>
      <c r="F873" s="72"/>
      <c r="G873" s="72"/>
      <c r="H873" s="72"/>
      <c r="I873" s="72"/>
      <c r="J873" s="72"/>
      <c r="K873" s="72"/>
      <c r="L873" s="93"/>
      <c r="M873" s="93"/>
      <c r="N873" s="93"/>
      <c r="O873" s="93"/>
      <c r="P873" s="93"/>
      <c r="Q873" s="93"/>
      <c r="R873" s="93"/>
      <c r="S873" s="93"/>
      <c r="T873" s="93"/>
      <c r="U873" s="93"/>
      <c r="V873" s="93"/>
      <c r="W873" s="93"/>
      <c r="X873" s="93"/>
      <c r="Y873" s="93"/>
    </row>
    <row r="874" spans="1:25">
      <c r="A874" s="72"/>
      <c r="B874" s="72"/>
      <c r="C874" s="72"/>
      <c r="D874" s="72"/>
      <c r="E874" s="72"/>
      <c r="F874" s="72"/>
      <c r="G874" s="72"/>
      <c r="H874" s="72"/>
      <c r="I874" s="72"/>
      <c r="J874" s="72"/>
      <c r="K874" s="72"/>
      <c r="L874" s="93"/>
      <c r="M874" s="93"/>
      <c r="N874" s="93"/>
      <c r="O874" s="93"/>
      <c r="P874" s="93"/>
      <c r="Q874" s="93"/>
      <c r="R874" s="93"/>
      <c r="S874" s="93"/>
      <c r="T874" s="93"/>
      <c r="U874" s="93"/>
      <c r="V874" s="93"/>
      <c r="W874" s="93"/>
      <c r="X874" s="93"/>
      <c r="Y874" s="93"/>
    </row>
    <row r="875" spans="1:25">
      <c r="A875" s="72"/>
      <c r="B875" s="72"/>
      <c r="C875" s="72"/>
      <c r="D875" s="72"/>
      <c r="E875" s="72"/>
      <c r="F875" s="72"/>
      <c r="G875" s="72"/>
      <c r="H875" s="72"/>
      <c r="I875" s="72"/>
      <c r="J875" s="72"/>
      <c r="K875" s="72"/>
      <c r="L875" s="93"/>
      <c r="M875" s="93"/>
      <c r="N875" s="93"/>
      <c r="O875" s="93"/>
      <c r="P875" s="93"/>
      <c r="Q875" s="93"/>
      <c r="R875" s="93"/>
      <c r="S875" s="93"/>
      <c r="T875" s="93"/>
      <c r="U875" s="93"/>
      <c r="V875" s="93"/>
      <c r="W875" s="93"/>
      <c r="X875" s="93"/>
      <c r="Y875" s="93"/>
    </row>
    <row r="876" spans="1:25">
      <c r="A876" s="72"/>
      <c r="B876" s="72"/>
      <c r="C876" s="72"/>
      <c r="D876" s="72"/>
      <c r="E876" s="72"/>
      <c r="F876" s="72"/>
      <c r="G876" s="72"/>
      <c r="H876" s="72"/>
      <c r="I876" s="72"/>
      <c r="J876" s="72"/>
      <c r="K876" s="72"/>
      <c r="L876" s="93"/>
      <c r="M876" s="93"/>
      <c r="N876" s="93"/>
      <c r="O876" s="93"/>
      <c r="P876" s="93"/>
      <c r="Q876" s="93"/>
      <c r="R876" s="93"/>
      <c r="S876" s="93"/>
      <c r="T876" s="93"/>
      <c r="U876" s="93"/>
      <c r="V876" s="93"/>
      <c r="W876" s="93"/>
      <c r="X876" s="93"/>
      <c r="Y876" s="93"/>
    </row>
    <row r="877" spans="1:25">
      <c r="A877" s="72"/>
      <c r="B877" s="72"/>
      <c r="C877" s="72"/>
      <c r="D877" s="72"/>
      <c r="E877" s="72"/>
      <c r="F877" s="72"/>
      <c r="G877" s="72"/>
      <c r="H877" s="72"/>
      <c r="I877" s="72"/>
      <c r="J877" s="72"/>
      <c r="K877" s="72"/>
      <c r="L877" s="93"/>
      <c r="M877" s="93"/>
      <c r="N877" s="93"/>
      <c r="O877" s="93"/>
      <c r="P877" s="93"/>
      <c r="Q877" s="93"/>
      <c r="R877" s="93"/>
      <c r="S877" s="93"/>
      <c r="T877" s="93"/>
      <c r="U877" s="93"/>
      <c r="V877" s="93"/>
      <c r="W877" s="93"/>
      <c r="X877" s="93"/>
      <c r="Y877" s="93"/>
    </row>
    <row r="878" spans="1:25">
      <c r="A878" s="72"/>
      <c r="B878" s="72"/>
      <c r="C878" s="72"/>
      <c r="D878" s="72"/>
      <c r="E878" s="72"/>
      <c r="F878" s="72"/>
      <c r="G878" s="72"/>
      <c r="H878" s="72"/>
      <c r="I878" s="72"/>
      <c r="J878" s="72"/>
      <c r="K878" s="72"/>
      <c r="L878" s="93"/>
      <c r="M878" s="93"/>
      <c r="N878" s="93"/>
      <c r="O878" s="93"/>
      <c r="P878" s="93"/>
      <c r="Q878" s="93"/>
      <c r="R878" s="93"/>
      <c r="S878" s="93"/>
      <c r="T878" s="93"/>
      <c r="U878" s="93"/>
      <c r="V878" s="93"/>
      <c r="W878" s="93"/>
      <c r="X878" s="93"/>
      <c r="Y878" s="93"/>
    </row>
    <row r="879" spans="1:25">
      <c r="A879" s="72"/>
      <c r="B879" s="72"/>
      <c r="C879" s="72"/>
      <c r="D879" s="72"/>
      <c r="E879" s="72"/>
      <c r="F879" s="72"/>
      <c r="G879" s="72"/>
      <c r="H879" s="72"/>
      <c r="I879" s="72"/>
      <c r="J879" s="72"/>
      <c r="K879" s="72"/>
      <c r="L879" s="93"/>
      <c r="M879" s="93"/>
      <c r="N879" s="93"/>
      <c r="O879" s="93"/>
      <c r="P879" s="93"/>
      <c r="Q879" s="93"/>
      <c r="R879" s="93"/>
      <c r="S879" s="93"/>
      <c r="T879" s="93"/>
      <c r="U879" s="93"/>
      <c r="V879" s="93"/>
      <c r="W879" s="93"/>
      <c r="X879" s="93"/>
      <c r="Y879" s="93"/>
    </row>
    <row r="880" spans="1:25">
      <c r="A880" s="72"/>
      <c r="B880" s="72"/>
      <c r="C880" s="72"/>
      <c r="D880" s="72"/>
      <c r="E880" s="72"/>
      <c r="F880" s="72"/>
      <c r="G880" s="72"/>
      <c r="H880" s="72"/>
      <c r="I880" s="72"/>
      <c r="J880" s="72"/>
      <c r="K880" s="72"/>
      <c r="L880" s="93"/>
      <c r="M880" s="93"/>
      <c r="N880" s="93"/>
      <c r="O880" s="93"/>
      <c r="P880" s="93"/>
      <c r="Q880" s="93"/>
      <c r="R880" s="93"/>
      <c r="S880" s="93"/>
      <c r="T880" s="93"/>
      <c r="U880" s="93"/>
      <c r="V880" s="93"/>
      <c r="W880" s="93"/>
      <c r="X880" s="93"/>
      <c r="Y880" s="93"/>
    </row>
    <row r="881" spans="1:25">
      <c r="A881" s="72"/>
      <c r="B881" s="72"/>
      <c r="C881" s="72"/>
      <c r="D881" s="72"/>
      <c r="E881" s="72"/>
      <c r="F881" s="72"/>
      <c r="G881" s="72"/>
      <c r="H881" s="72"/>
      <c r="I881" s="72"/>
      <c r="J881" s="72"/>
      <c r="K881" s="72"/>
      <c r="L881" s="93"/>
      <c r="M881" s="93"/>
      <c r="N881" s="93"/>
      <c r="O881" s="93"/>
      <c r="P881" s="93"/>
      <c r="Q881" s="93"/>
      <c r="R881" s="93"/>
      <c r="S881" s="93"/>
      <c r="T881" s="93"/>
      <c r="U881" s="93"/>
      <c r="V881" s="93"/>
      <c r="W881" s="93"/>
      <c r="X881" s="93"/>
      <c r="Y881" s="93"/>
    </row>
    <row r="882" spans="1:25">
      <c r="A882" s="72"/>
      <c r="B882" s="72"/>
      <c r="C882" s="72"/>
      <c r="D882" s="72"/>
      <c r="E882" s="72"/>
      <c r="F882" s="72"/>
      <c r="G882" s="72"/>
      <c r="H882" s="72"/>
      <c r="I882" s="72"/>
      <c r="J882" s="72"/>
      <c r="K882" s="72"/>
      <c r="L882" s="93"/>
      <c r="M882" s="93"/>
      <c r="N882" s="93"/>
      <c r="O882" s="93"/>
      <c r="P882" s="93"/>
      <c r="Q882" s="93"/>
      <c r="R882" s="93"/>
      <c r="S882" s="93"/>
      <c r="T882" s="93"/>
      <c r="U882" s="93"/>
      <c r="V882" s="93"/>
      <c r="W882" s="93"/>
      <c r="X882" s="93"/>
      <c r="Y882" s="93"/>
    </row>
    <row r="883" spans="1:25">
      <c r="A883" s="72"/>
      <c r="B883" s="72"/>
      <c r="C883" s="72"/>
      <c r="D883" s="72"/>
      <c r="E883" s="72"/>
      <c r="F883" s="72"/>
      <c r="G883" s="72"/>
      <c r="H883" s="72"/>
      <c r="I883" s="72"/>
      <c r="J883" s="72"/>
      <c r="K883" s="72"/>
      <c r="L883" s="93"/>
      <c r="M883" s="93"/>
      <c r="N883" s="93"/>
      <c r="O883" s="93"/>
      <c r="P883" s="93"/>
      <c r="Q883" s="93"/>
      <c r="R883" s="93"/>
      <c r="S883" s="93"/>
      <c r="T883" s="93"/>
      <c r="U883" s="93"/>
      <c r="V883" s="93"/>
      <c r="W883" s="93"/>
      <c r="X883" s="93"/>
      <c r="Y883" s="93"/>
    </row>
    <row r="884" spans="1:25">
      <c r="A884" s="72"/>
      <c r="B884" s="72"/>
      <c r="C884" s="72"/>
      <c r="D884" s="72"/>
      <c r="E884" s="72"/>
      <c r="F884" s="72"/>
      <c r="G884" s="72"/>
      <c r="H884" s="72"/>
      <c r="I884" s="72"/>
      <c r="J884" s="72"/>
      <c r="K884" s="72"/>
      <c r="L884" s="93"/>
      <c r="M884" s="93"/>
      <c r="N884" s="93"/>
      <c r="O884" s="93"/>
      <c r="P884" s="93"/>
      <c r="Q884" s="93"/>
      <c r="R884" s="93"/>
      <c r="S884" s="93"/>
      <c r="T884" s="93"/>
      <c r="U884" s="93"/>
      <c r="V884" s="93"/>
      <c r="W884" s="93"/>
      <c r="X884" s="93"/>
      <c r="Y884" s="93"/>
    </row>
    <row r="885" spans="1:25">
      <c r="A885" s="72"/>
      <c r="B885" s="72"/>
      <c r="C885" s="72"/>
      <c r="D885" s="72"/>
      <c r="E885" s="72"/>
      <c r="F885" s="72"/>
      <c r="G885" s="72"/>
      <c r="H885" s="72"/>
      <c r="I885" s="72"/>
      <c r="J885" s="72"/>
      <c r="K885" s="72"/>
      <c r="L885" s="93"/>
      <c r="M885" s="93"/>
      <c r="N885" s="93"/>
      <c r="O885" s="93"/>
      <c r="P885" s="93"/>
      <c r="Q885" s="93"/>
      <c r="R885" s="93"/>
      <c r="S885" s="93"/>
      <c r="T885" s="93"/>
      <c r="U885" s="93"/>
      <c r="V885" s="93"/>
      <c r="W885" s="93"/>
      <c r="X885" s="93"/>
      <c r="Y885" s="93"/>
    </row>
    <row r="886" spans="1:25">
      <c r="A886" s="72"/>
      <c r="B886" s="72"/>
      <c r="C886" s="72"/>
      <c r="D886" s="72"/>
      <c r="E886" s="72"/>
      <c r="F886" s="72"/>
      <c r="G886" s="72"/>
      <c r="H886" s="72"/>
      <c r="I886" s="72"/>
      <c r="J886" s="72"/>
      <c r="K886" s="72"/>
      <c r="L886" s="93"/>
      <c r="M886" s="93"/>
      <c r="N886" s="93"/>
      <c r="O886" s="93"/>
      <c r="P886" s="93"/>
      <c r="Q886" s="93"/>
      <c r="R886" s="93"/>
      <c r="S886" s="93"/>
      <c r="T886" s="93"/>
      <c r="U886" s="93"/>
      <c r="V886" s="93"/>
      <c r="W886" s="93"/>
      <c r="X886" s="93"/>
      <c r="Y886" s="93"/>
    </row>
    <row r="887" spans="1:25">
      <c r="A887" s="72"/>
      <c r="B887" s="72"/>
      <c r="C887" s="72"/>
      <c r="D887" s="72"/>
      <c r="E887" s="72"/>
      <c r="F887" s="72"/>
      <c r="G887" s="72"/>
      <c r="H887" s="72"/>
      <c r="I887" s="72"/>
      <c r="J887" s="72"/>
      <c r="K887" s="72"/>
      <c r="L887" s="93"/>
      <c r="M887" s="93"/>
      <c r="N887" s="93"/>
      <c r="O887" s="93"/>
      <c r="P887" s="93"/>
      <c r="Q887" s="93"/>
      <c r="R887" s="93"/>
      <c r="S887" s="93"/>
      <c r="T887" s="93"/>
      <c r="U887" s="93"/>
      <c r="V887" s="93"/>
      <c r="W887" s="93"/>
      <c r="X887" s="93"/>
      <c r="Y887" s="93"/>
    </row>
    <row r="888" spans="1:25">
      <c r="A888" s="72"/>
      <c r="B888" s="72"/>
      <c r="C888" s="72"/>
      <c r="D888" s="72"/>
      <c r="E888" s="72"/>
      <c r="F888" s="72"/>
      <c r="G888" s="72"/>
      <c r="H888" s="72"/>
      <c r="I888" s="72"/>
      <c r="J888" s="72"/>
      <c r="K888" s="72"/>
      <c r="L888" s="93"/>
      <c r="M888" s="93"/>
      <c r="N888" s="93"/>
      <c r="O888" s="93"/>
      <c r="P888" s="93"/>
      <c r="Q888" s="93"/>
      <c r="R888" s="93"/>
      <c r="S888" s="93"/>
      <c r="T888" s="93"/>
      <c r="U888" s="93"/>
      <c r="V888" s="93"/>
      <c r="W888" s="93"/>
      <c r="X888" s="93"/>
      <c r="Y888" s="93"/>
    </row>
    <row r="889" spans="1:25">
      <c r="A889" s="72"/>
      <c r="B889" s="72"/>
      <c r="C889" s="72"/>
      <c r="D889" s="72"/>
      <c r="E889" s="72"/>
      <c r="F889" s="72"/>
      <c r="G889" s="72"/>
      <c r="H889" s="72"/>
      <c r="I889" s="72"/>
      <c r="J889" s="72"/>
      <c r="K889" s="72"/>
      <c r="L889" s="93"/>
      <c r="M889" s="93"/>
      <c r="N889" s="93"/>
      <c r="O889" s="93"/>
      <c r="P889" s="93"/>
      <c r="Q889" s="93"/>
      <c r="R889" s="93"/>
      <c r="S889" s="93"/>
      <c r="T889" s="93"/>
      <c r="U889" s="93"/>
      <c r="V889" s="93"/>
      <c r="W889" s="93"/>
      <c r="X889" s="93"/>
      <c r="Y889" s="93"/>
    </row>
    <row r="890" spans="1:25">
      <c r="A890" s="72"/>
      <c r="B890" s="72"/>
      <c r="C890" s="72"/>
      <c r="D890" s="72"/>
      <c r="E890" s="72"/>
      <c r="F890" s="72"/>
      <c r="G890" s="72"/>
      <c r="H890" s="72"/>
      <c r="I890" s="72"/>
      <c r="J890" s="72"/>
      <c r="K890" s="72"/>
      <c r="L890" s="93"/>
      <c r="M890" s="93"/>
      <c r="N890" s="93"/>
      <c r="O890" s="93"/>
      <c r="P890" s="93"/>
      <c r="Q890" s="93"/>
      <c r="R890" s="93"/>
      <c r="S890" s="93"/>
      <c r="T890" s="93"/>
      <c r="U890" s="93"/>
      <c r="V890" s="93"/>
      <c r="W890" s="93"/>
      <c r="X890" s="93"/>
      <c r="Y890" s="93"/>
    </row>
    <row r="891" spans="1:25">
      <c r="A891" s="72"/>
      <c r="B891" s="72"/>
      <c r="C891" s="72"/>
      <c r="D891" s="72"/>
      <c r="E891" s="72"/>
      <c r="F891" s="72"/>
      <c r="G891" s="72"/>
      <c r="H891" s="72"/>
      <c r="I891" s="72"/>
      <c r="J891" s="72"/>
      <c r="K891" s="72"/>
      <c r="L891" s="93"/>
      <c r="M891" s="93"/>
      <c r="N891" s="93"/>
      <c r="O891" s="93"/>
      <c r="P891" s="93"/>
      <c r="Q891" s="93"/>
      <c r="R891" s="93"/>
      <c r="S891" s="93"/>
      <c r="T891" s="93"/>
      <c r="U891" s="93"/>
      <c r="V891" s="93"/>
      <c r="W891" s="93"/>
      <c r="X891" s="93"/>
      <c r="Y891" s="93"/>
    </row>
    <row r="892" spans="1:25">
      <c r="A892" s="72"/>
      <c r="B892" s="72"/>
      <c r="C892" s="72"/>
      <c r="D892" s="72"/>
      <c r="E892" s="72"/>
      <c r="F892" s="72"/>
      <c r="G892" s="72"/>
      <c r="H892" s="72"/>
      <c r="I892" s="72"/>
      <c r="J892" s="72"/>
      <c r="K892" s="72"/>
      <c r="L892" s="93"/>
      <c r="M892" s="93"/>
      <c r="N892" s="93"/>
      <c r="O892" s="93"/>
      <c r="P892" s="93"/>
      <c r="Q892" s="93"/>
      <c r="R892" s="93"/>
      <c r="S892" s="93"/>
      <c r="T892" s="93"/>
      <c r="U892" s="93"/>
      <c r="V892" s="93"/>
      <c r="W892" s="93"/>
      <c r="X892" s="93"/>
      <c r="Y892" s="93"/>
    </row>
    <row r="893" spans="1:25">
      <c r="A893" s="72"/>
      <c r="B893" s="72"/>
      <c r="C893" s="72"/>
      <c r="D893" s="72"/>
      <c r="E893" s="72"/>
      <c r="F893" s="72"/>
      <c r="G893" s="72"/>
      <c r="H893" s="72"/>
      <c r="I893" s="72"/>
      <c r="J893" s="72"/>
      <c r="K893" s="72"/>
      <c r="L893" s="93"/>
      <c r="M893" s="93"/>
      <c r="N893" s="93"/>
      <c r="O893" s="93"/>
      <c r="P893" s="93"/>
      <c r="Q893" s="93"/>
      <c r="R893" s="93"/>
      <c r="S893" s="93"/>
      <c r="T893" s="93"/>
      <c r="U893" s="93"/>
      <c r="V893" s="93"/>
      <c r="W893" s="93"/>
      <c r="X893" s="93"/>
      <c r="Y893" s="93"/>
    </row>
    <row r="894" spans="1:25">
      <c r="A894" s="72"/>
      <c r="B894" s="72"/>
      <c r="C894" s="72"/>
      <c r="D894" s="72"/>
      <c r="E894" s="72"/>
      <c r="F894" s="72"/>
      <c r="G894" s="72"/>
      <c r="H894" s="72"/>
      <c r="I894" s="72"/>
      <c r="J894" s="72"/>
      <c r="K894" s="72"/>
      <c r="L894" s="93"/>
      <c r="M894" s="93"/>
      <c r="N894" s="93"/>
      <c r="O894" s="93"/>
      <c r="P894" s="93"/>
      <c r="Q894" s="93"/>
      <c r="R894" s="93"/>
      <c r="S894" s="93"/>
      <c r="T894" s="93"/>
      <c r="U894" s="93"/>
      <c r="V894" s="93"/>
      <c r="W894" s="93"/>
      <c r="X894" s="93"/>
      <c r="Y894" s="93"/>
    </row>
    <row r="895" spans="1:25">
      <c r="A895" s="72"/>
      <c r="B895" s="72"/>
      <c r="C895" s="72"/>
      <c r="D895" s="72"/>
      <c r="E895" s="72"/>
      <c r="F895" s="72"/>
      <c r="G895" s="72"/>
      <c r="H895" s="72"/>
      <c r="I895" s="72"/>
      <c r="J895" s="72"/>
      <c r="K895" s="72"/>
      <c r="L895" s="93"/>
      <c r="M895" s="93"/>
      <c r="N895" s="93"/>
      <c r="O895" s="93"/>
      <c r="P895" s="93"/>
      <c r="Q895" s="93"/>
      <c r="R895" s="93"/>
      <c r="S895" s="93"/>
      <c r="T895" s="93"/>
      <c r="U895" s="93"/>
      <c r="V895" s="93"/>
      <c r="W895" s="93"/>
      <c r="X895" s="93"/>
      <c r="Y895" s="93"/>
    </row>
    <row r="896" spans="1:25">
      <c r="A896" s="72"/>
      <c r="B896" s="72"/>
      <c r="C896" s="72"/>
      <c r="D896" s="72"/>
      <c r="E896" s="72"/>
      <c r="F896" s="72"/>
      <c r="G896" s="72"/>
      <c r="H896" s="72"/>
      <c r="I896" s="72"/>
      <c r="J896" s="72"/>
      <c r="K896" s="72"/>
      <c r="L896" s="93"/>
      <c r="M896" s="93"/>
      <c r="N896" s="93"/>
      <c r="O896" s="93"/>
      <c r="P896" s="93"/>
      <c r="Q896" s="93"/>
      <c r="R896" s="93"/>
      <c r="S896" s="93"/>
      <c r="T896" s="93"/>
      <c r="U896" s="93"/>
      <c r="V896" s="93"/>
      <c r="W896" s="93"/>
      <c r="X896" s="93"/>
      <c r="Y896" s="93"/>
    </row>
    <row r="897" spans="1:25">
      <c r="A897" s="72"/>
      <c r="B897" s="72"/>
      <c r="C897" s="72"/>
      <c r="D897" s="72"/>
      <c r="E897" s="72"/>
      <c r="F897" s="72"/>
      <c r="G897" s="72"/>
      <c r="H897" s="72"/>
      <c r="I897" s="72"/>
      <c r="J897" s="72"/>
      <c r="K897" s="72"/>
      <c r="L897" s="93"/>
      <c r="M897" s="93"/>
      <c r="N897" s="93"/>
      <c r="O897" s="93"/>
      <c r="P897" s="93"/>
      <c r="Q897" s="93"/>
      <c r="R897" s="93"/>
      <c r="S897" s="93"/>
      <c r="T897" s="93"/>
      <c r="U897" s="93"/>
      <c r="V897" s="93"/>
      <c r="W897" s="93"/>
      <c r="X897" s="93"/>
      <c r="Y897" s="93"/>
    </row>
    <row r="898" spans="1:25">
      <c r="A898" s="72"/>
      <c r="B898" s="72"/>
      <c r="C898" s="72"/>
      <c r="D898" s="72"/>
      <c r="E898" s="72"/>
      <c r="F898" s="72"/>
      <c r="G898" s="72"/>
      <c r="H898" s="72"/>
      <c r="I898" s="72"/>
      <c r="J898" s="72"/>
      <c r="K898" s="72"/>
      <c r="L898" s="93"/>
      <c r="M898" s="93"/>
      <c r="N898" s="93"/>
      <c r="O898" s="93"/>
      <c r="P898" s="93"/>
      <c r="Q898" s="93"/>
      <c r="R898" s="93"/>
      <c r="S898" s="93"/>
      <c r="T898" s="93"/>
      <c r="U898" s="93"/>
      <c r="V898" s="93"/>
      <c r="W898" s="93"/>
      <c r="X898" s="93"/>
      <c r="Y898" s="93"/>
    </row>
    <row r="899" spans="1:25">
      <c r="A899" s="72"/>
      <c r="B899" s="72"/>
      <c r="C899" s="72"/>
      <c r="D899" s="72"/>
      <c r="E899" s="72"/>
      <c r="F899" s="72"/>
      <c r="G899" s="72"/>
      <c r="H899" s="72"/>
      <c r="I899" s="72"/>
      <c r="J899" s="72"/>
      <c r="K899" s="72"/>
      <c r="L899" s="93"/>
      <c r="M899" s="93"/>
      <c r="N899" s="93"/>
      <c r="O899" s="93"/>
      <c r="P899" s="93"/>
      <c r="Q899" s="93"/>
      <c r="R899" s="93"/>
      <c r="S899" s="93"/>
      <c r="T899" s="93"/>
      <c r="U899" s="93"/>
      <c r="V899" s="93"/>
      <c r="W899" s="93"/>
      <c r="X899" s="93"/>
      <c r="Y899" s="93"/>
    </row>
    <row r="900" spans="1:25">
      <c r="A900" s="72"/>
      <c r="B900" s="72"/>
      <c r="C900" s="72"/>
      <c r="D900" s="72"/>
      <c r="E900" s="72"/>
      <c r="F900" s="72"/>
      <c r="G900" s="72"/>
      <c r="H900" s="72"/>
      <c r="I900" s="72"/>
      <c r="J900" s="72"/>
      <c r="K900" s="72"/>
      <c r="L900" s="93"/>
      <c r="M900" s="93"/>
      <c r="N900" s="93"/>
      <c r="O900" s="93"/>
      <c r="P900" s="93"/>
      <c r="Q900" s="93"/>
      <c r="R900" s="93"/>
      <c r="S900" s="93"/>
      <c r="T900" s="93"/>
      <c r="U900" s="93"/>
      <c r="V900" s="93"/>
      <c r="W900" s="93"/>
      <c r="X900" s="93"/>
      <c r="Y900" s="93"/>
    </row>
    <row r="901" spans="1:25">
      <c r="A901" s="72"/>
      <c r="B901" s="72"/>
      <c r="C901" s="72"/>
      <c r="D901" s="72"/>
      <c r="E901" s="72"/>
      <c r="F901" s="72"/>
      <c r="G901" s="72"/>
      <c r="H901" s="72"/>
      <c r="I901" s="72"/>
      <c r="J901" s="72"/>
      <c r="K901" s="72"/>
      <c r="L901" s="93"/>
      <c r="M901" s="93"/>
      <c r="N901" s="93"/>
      <c r="O901" s="93"/>
      <c r="P901" s="93"/>
      <c r="Q901" s="93"/>
      <c r="R901" s="93"/>
      <c r="S901" s="93"/>
      <c r="T901" s="93"/>
      <c r="U901" s="93"/>
      <c r="V901" s="93"/>
      <c r="W901" s="93"/>
      <c r="X901" s="93"/>
      <c r="Y901" s="93"/>
    </row>
    <row r="902" spans="1:25">
      <c r="A902" s="72"/>
      <c r="B902" s="72"/>
      <c r="C902" s="72"/>
      <c r="D902" s="72"/>
      <c r="E902" s="72"/>
      <c r="F902" s="72"/>
      <c r="G902" s="72"/>
      <c r="H902" s="72"/>
      <c r="I902" s="72"/>
      <c r="J902" s="72"/>
      <c r="K902" s="72"/>
      <c r="L902" s="93"/>
      <c r="M902" s="93"/>
      <c r="N902" s="93"/>
      <c r="O902" s="93"/>
      <c r="P902" s="93"/>
      <c r="Q902" s="93"/>
      <c r="R902" s="93"/>
      <c r="S902" s="93"/>
      <c r="T902" s="93"/>
      <c r="U902" s="93"/>
      <c r="V902" s="93"/>
      <c r="W902" s="93"/>
      <c r="X902" s="93"/>
      <c r="Y902" s="93"/>
    </row>
    <row r="903" spans="1:25">
      <c r="A903" s="72"/>
      <c r="B903" s="72"/>
      <c r="C903" s="72"/>
      <c r="D903" s="72"/>
      <c r="E903" s="72"/>
      <c r="F903" s="72"/>
      <c r="G903" s="72"/>
      <c r="H903" s="72"/>
      <c r="I903" s="72"/>
      <c r="J903" s="72"/>
      <c r="K903" s="72"/>
      <c r="L903" s="93"/>
      <c r="M903" s="93"/>
      <c r="N903" s="93"/>
      <c r="O903" s="93"/>
      <c r="P903" s="93"/>
      <c r="Q903" s="93"/>
      <c r="R903" s="93"/>
      <c r="S903" s="93"/>
      <c r="T903" s="93"/>
      <c r="U903" s="93"/>
      <c r="V903" s="93"/>
      <c r="W903" s="93"/>
      <c r="X903" s="93"/>
      <c r="Y903" s="93"/>
    </row>
    <row r="904" spans="1:25">
      <c r="A904" s="72"/>
      <c r="B904" s="72"/>
      <c r="C904" s="72"/>
      <c r="D904" s="72"/>
      <c r="E904" s="72"/>
      <c r="F904" s="72"/>
      <c r="G904" s="72"/>
      <c r="H904" s="72"/>
      <c r="I904" s="72"/>
      <c r="J904" s="72"/>
      <c r="K904" s="72"/>
      <c r="L904" s="93"/>
      <c r="M904" s="93"/>
      <c r="N904" s="93"/>
      <c r="O904" s="93"/>
      <c r="P904" s="93"/>
      <c r="Q904" s="93"/>
      <c r="R904" s="93"/>
      <c r="S904" s="93"/>
      <c r="T904" s="93"/>
      <c r="U904" s="93"/>
      <c r="V904" s="93"/>
      <c r="W904" s="93"/>
      <c r="X904" s="93"/>
      <c r="Y904" s="93"/>
    </row>
    <row r="905" spans="1:25">
      <c r="A905" s="72"/>
      <c r="B905" s="72"/>
      <c r="C905" s="72"/>
      <c r="D905" s="72"/>
      <c r="E905" s="72"/>
      <c r="F905" s="72"/>
      <c r="G905" s="72"/>
      <c r="H905" s="72"/>
      <c r="I905" s="72"/>
      <c r="J905" s="72"/>
      <c r="K905" s="72"/>
      <c r="L905" s="93"/>
      <c r="M905" s="93"/>
      <c r="N905" s="93"/>
      <c r="O905" s="93"/>
      <c r="P905" s="93"/>
      <c r="Q905" s="93"/>
      <c r="R905" s="93"/>
      <c r="S905" s="93"/>
      <c r="T905" s="93"/>
      <c r="U905" s="93"/>
      <c r="V905" s="93"/>
      <c r="W905" s="93"/>
      <c r="X905" s="93"/>
      <c r="Y905" s="93"/>
    </row>
    <row r="906" spans="1:25">
      <c r="A906" s="72"/>
      <c r="B906" s="72"/>
      <c r="C906" s="72"/>
      <c r="D906" s="72"/>
      <c r="E906" s="72"/>
      <c r="F906" s="72"/>
      <c r="G906" s="72"/>
      <c r="H906" s="72"/>
      <c r="I906" s="72"/>
      <c r="J906" s="72"/>
      <c r="K906" s="72"/>
      <c r="L906" s="93"/>
      <c r="M906" s="93"/>
      <c r="N906" s="93"/>
      <c r="O906" s="93"/>
      <c r="P906" s="93"/>
      <c r="Q906" s="93"/>
      <c r="R906" s="93"/>
      <c r="S906" s="93"/>
      <c r="T906" s="93"/>
      <c r="U906" s="93"/>
      <c r="V906" s="93"/>
      <c r="W906" s="93"/>
      <c r="X906" s="93"/>
      <c r="Y906" s="93"/>
    </row>
    <row r="907" spans="1:25">
      <c r="A907" s="72"/>
      <c r="B907" s="72"/>
      <c r="C907" s="72"/>
      <c r="D907" s="72"/>
      <c r="E907" s="72"/>
      <c r="F907" s="72"/>
      <c r="G907" s="72"/>
      <c r="H907" s="72"/>
      <c r="I907" s="72"/>
      <c r="J907" s="72"/>
      <c r="K907" s="72"/>
      <c r="L907" s="93"/>
      <c r="M907" s="93"/>
      <c r="N907" s="93"/>
      <c r="O907" s="93"/>
      <c r="P907" s="93"/>
      <c r="Q907" s="93"/>
      <c r="R907" s="93"/>
      <c r="S907" s="93"/>
      <c r="T907" s="93"/>
      <c r="U907" s="93"/>
      <c r="V907" s="93"/>
      <c r="W907" s="93"/>
      <c r="X907" s="93"/>
      <c r="Y907" s="93"/>
    </row>
    <row r="908" spans="1:25">
      <c r="A908" s="72"/>
      <c r="B908" s="72"/>
      <c r="C908" s="72"/>
      <c r="D908" s="72"/>
      <c r="E908" s="72"/>
      <c r="F908" s="72"/>
      <c r="G908" s="72"/>
      <c r="H908" s="72"/>
      <c r="I908" s="72"/>
      <c r="J908" s="72"/>
      <c r="K908" s="72"/>
      <c r="L908" s="93"/>
      <c r="M908" s="93"/>
      <c r="N908" s="93"/>
      <c r="O908" s="93"/>
      <c r="P908" s="93"/>
      <c r="Q908" s="93"/>
      <c r="R908" s="93"/>
      <c r="S908" s="93"/>
      <c r="T908" s="93"/>
      <c r="U908" s="93"/>
      <c r="V908" s="93"/>
      <c r="W908" s="93"/>
      <c r="X908" s="93"/>
      <c r="Y908" s="93"/>
    </row>
    <row r="909" spans="1:25">
      <c r="A909" s="72"/>
      <c r="B909" s="72"/>
      <c r="C909" s="72"/>
      <c r="D909" s="72"/>
      <c r="E909" s="72"/>
      <c r="F909" s="72"/>
      <c r="G909" s="72"/>
      <c r="H909" s="72"/>
      <c r="I909" s="72"/>
      <c r="J909" s="72"/>
      <c r="K909" s="72"/>
      <c r="L909" s="93"/>
      <c r="M909" s="93"/>
      <c r="N909" s="93"/>
      <c r="O909" s="93"/>
      <c r="P909" s="93"/>
      <c r="Q909" s="93"/>
      <c r="R909" s="93"/>
      <c r="S909" s="93"/>
      <c r="T909" s="93"/>
      <c r="U909" s="93"/>
      <c r="V909" s="93"/>
      <c r="W909" s="93"/>
      <c r="X909" s="93"/>
      <c r="Y909" s="93"/>
    </row>
    <row r="910" spans="1:25">
      <c r="A910" s="72"/>
      <c r="B910" s="72"/>
      <c r="C910" s="72"/>
      <c r="D910" s="72"/>
      <c r="E910" s="72"/>
      <c r="F910" s="72"/>
      <c r="G910" s="72"/>
      <c r="H910" s="72"/>
      <c r="I910" s="72"/>
      <c r="J910" s="72"/>
      <c r="K910" s="72"/>
      <c r="L910" s="93"/>
      <c r="M910" s="93"/>
      <c r="N910" s="93"/>
      <c r="O910" s="93"/>
      <c r="P910" s="93"/>
      <c r="Q910" s="93"/>
      <c r="R910" s="93"/>
      <c r="S910" s="93"/>
      <c r="T910" s="93"/>
      <c r="U910" s="93"/>
      <c r="V910" s="93"/>
      <c r="W910" s="93"/>
      <c r="X910" s="93"/>
      <c r="Y910" s="93"/>
    </row>
    <row r="911" spans="1:25">
      <c r="A911" s="72"/>
      <c r="B911" s="72"/>
      <c r="C911" s="72"/>
      <c r="D911" s="72"/>
      <c r="E911" s="72"/>
      <c r="F911" s="72"/>
      <c r="G911" s="72"/>
      <c r="H911" s="72"/>
      <c r="I911" s="72"/>
      <c r="J911" s="72"/>
      <c r="K911" s="72"/>
      <c r="L911" s="93"/>
      <c r="M911" s="93"/>
      <c r="N911" s="93"/>
      <c r="O911" s="93"/>
      <c r="P911" s="93"/>
      <c r="Q911" s="93"/>
      <c r="R911" s="93"/>
      <c r="S911" s="93"/>
      <c r="T911" s="93"/>
      <c r="U911" s="93"/>
      <c r="V911" s="93"/>
      <c r="W911" s="93"/>
      <c r="X911" s="93"/>
      <c r="Y911" s="93"/>
    </row>
    <row r="912" spans="1:25">
      <c r="A912" s="72"/>
      <c r="B912" s="72"/>
      <c r="C912" s="72"/>
      <c r="D912" s="72"/>
      <c r="E912" s="72"/>
      <c r="F912" s="72"/>
      <c r="G912" s="72"/>
      <c r="H912" s="72"/>
      <c r="I912" s="72"/>
      <c r="J912" s="72"/>
      <c r="K912" s="72"/>
      <c r="L912" s="93"/>
      <c r="M912" s="93"/>
      <c r="N912" s="93"/>
      <c r="O912" s="93"/>
      <c r="P912" s="93"/>
      <c r="Q912" s="93"/>
      <c r="R912" s="93"/>
      <c r="S912" s="93"/>
      <c r="T912" s="93"/>
      <c r="U912" s="93"/>
      <c r="V912" s="93"/>
      <c r="W912" s="93"/>
      <c r="X912" s="93"/>
      <c r="Y912" s="93"/>
    </row>
    <row r="913" spans="1:25">
      <c r="A913" s="72"/>
      <c r="B913" s="72"/>
      <c r="C913" s="72"/>
      <c r="D913" s="72"/>
      <c r="E913" s="72"/>
      <c r="F913" s="72"/>
      <c r="G913" s="72"/>
      <c r="H913" s="72"/>
      <c r="I913" s="72"/>
      <c r="J913" s="72"/>
      <c r="K913" s="72"/>
      <c r="L913" s="93"/>
      <c r="M913" s="93"/>
      <c r="N913" s="93"/>
      <c r="O913" s="93"/>
      <c r="P913" s="93"/>
      <c r="Q913" s="93"/>
      <c r="R913" s="93"/>
      <c r="S913" s="93"/>
      <c r="T913" s="93"/>
      <c r="U913" s="93"/>
      <c r="V913" s="93"/>
      <c r="W913" s="93"/>
      <c r="X913" s="93"/>
      <c r="Y913" s="93"/>
    </row>
    <row r="914" spans="1:25">
      <c r="A914" s="72"/>
      <c r="B914" s="72"/>
      <c r="C914" s="72"/>
      <c r="D914" s="72"/>
      <c r="E914" s="72"/>
      <c r="F914" s="72"/>
      <c r="G914" s="72"/>
      <c r="H914" s="72"/>
      <c r="I914" s="72"/>
      <c r="J914" s="72"/>
      <c r="K914" s="72"/>
      <c r="L914" s="93"/>
      <c r="M914" s="93"/>
      <c r="N914" s="93"/>
      <c r="O914" s="93"/>
      <c r="P914" s="93"/>
      <c r="Q914" s="93"/>
      <c r="R914" s="93"/>
      <c r="S914" s="93"/>
      <c r="T914" s="93"/>
      <c r="U914" s="93"/>
      <c r="V914" s="93"/>
      <c r="W914" s="93"/>
      <c r="X914" s="93"/>
      <c r="Y914" s="93"/>
    </row>
    <row r="915" spans="1:25">
      <c r="A915" s="72"/>
      <c r="B915" s="72"/>
      <c r="C915" s="72"/>
      <c r="D915" s="72"/>
      <c r="E915" s="72"/>
      <c r="F915" s="72"/>
      <c r="G915" s="72"/>
      <c r="H915" s="72"/>
      <c r="I915" s="72"/>
      <c r="J915" s="72"/>
      <c r="K915" s="72"/>
      <c r="L915" s="93"/>
      <c r="M915" s="93"/>
      <c r="N915" s="93"/>
      <c r="O915" s="93"/>
      <c r="P915" s="93"/>
      <c r="Q915" s="93"/>
      <c r="R915" s="93"/>
      <c r="S915" s="93"/>
      <c r="T915" s="93"/>
      <c r="U915" s="93"/>
      <c r="V915" s="93"/>
      <c r="W915" s="93"/>
      <c r="X915" s="93"/>
      <c r="Y915" s="93"/>
    </row>
    <row r="916" spans="1:25">
      <c r="A916" s="72"/>
      <c r="B916" s="72"/>
      <c r="C916" s="72"/>
      <c r="D916" s="72"/>
      <c r="E916" s="72"/>
      <c r="F916" s="72"/>
      <c r="G916" s="72"/>
      <c r="H916" s="72"/>
      <c r="I916" s="72"/>
      <c r="J916" s="72"/>
      <c r="K916" s="72"/>
      <c r="L916" s="93"/>
      <c r="M916" s="93"/>
      <c r="N916" s="93"/>
      <c r="O916" s="93"/>
      <c r="P916" s="93"/>
      <c r="Q916" s="93"/>
      <c r="R916" s="93"/>
      <c r="S916" s="93"/>
      <c r="T916" s="93"/>
      <c r="U916" s="93"/>
      <c r="V916" s="93"/>
      <c r="W916" s="93"/>
      <c r="X916" s="93"/>
      <c r="Y916" s="93"/>
    </row>
    <row r="917" spans="1:25">
      <c r="A917" s="72"/>
      <c r="B917" s="72"/>
      <c r="C917" s="72"/>
      <c r="D917" s="72"/>
      <c r="E917" s="72"/>
      <c r="F917" s="72"/>
      <c r="G917" s="72"/>
      <c r="H917" s="72"/>
      <c r="I917" s="72"/>
      <c r="J917" s="72"/>
      <c r="K917" s="72"/>
      <c r="L917" s="93"/>
      <c r="M917" s="93"/>
      <c r="N917" s="93"/>
      <c r="O917" s="93"/>
      <c r="P917" s="93"/>
      <c r="Q917" s="93"/>
      <c r="R917" s="93"/>
      <c r="S917" s="93"/>
      <c r="T917" s="93"/>
      <c r="U917" s="93"/>
      <c r="V917" s="93"/>
      <c r="W917" s="93"/>
      <c r="X917" s="93"/>
      <c r="Y917" s="93"/>
    </row>
    <row r="918" spans="1:25">
      <c r="A918" s="72"/>
      <c r="B918" s="72"/>
      <c r="C918" s="72"/>
      <c r="D918" s="72"/>
      <c r="E918" s="72"/>
      <c r="F918" s="72"/>
      <c r="G918" s="72"/>
      <c r="H918" s="72"/>
      <c r="I918" s="72"/>
      <c r="J918" s="72"/>
      <c r="K918" s="72"/>
      <c r="L918" s="93"/>
      <c r="M918" s="93"/>
      <c r="N918" s="93"/>
      <c r="O918" s="93"/>
      <c r="P918" s="93"/>
      <c r="Q918" s="93"/>
      <c r="R918" s="93"/>
      <c r="S918" s="93"/>
      <c r="T918" s="93"/>
      <c r="U918" s="93"/>
      <c r="V918" s="93"/>
      <c r="W918" s="93"/>
      <c r="X918" s="93"/>
      <c r="Y918" s="93"/>
    </row>
    <row r="919" spans="1:25">
      <c r="A919" s="72"/>
      <c r="B919" s="72"/>
      <c r="C919" s="72"/>
      <c r="D919" s="72"/>
      <c r="E919" s="72"/>
      <c r="F919" s="72"/>
      <c r="G919" s="72"/>
      <c r="H919" s="72"/>
      <c r="I919" s="72"/>
      <c r="J919" s="72"/>
      <c r="K919" s="72"/>
      <c r="L919" s="93"/>
      <c r="M919" s="93"/>
      <c r="N919" s="93"/>
      <c r="O919" s="93"/>
      <c r="P919" s="93"/>
      <c r="Q919" s="93"/>
      <c r="R919" s="93"/>
      <c r="S919" s="93"/>
      <c r="T919" s="93"/>
      <c r="U919" s="93"/>
      <c r="V919" s="93"/>
      <c r="W919" s="93"/>
      <c r="X919" s="93"/>
      <c r="Y919" s="93"/>
    </row>
    <row r="920" spans="1:25">
      <c r="A920" s="72"/>
      <c r="B920" s="72"/>
      <c r="C920" s="72"/>
      <c r="D920" s="72"/>
      <c r="E920" s="72"/>
      <c r="F920" s="72"/>
      <c r="G920" s="72"/>
      <c r="H920" s="72"/>
      <c r="I920" s="72"/>
      <c r="J920" s="72"/>
      <c r="K920" s="72"/>
      <c r="L920" s="93"/>
      <c r="M920" s="93"/>
      <c r="N920" s="93"/>
      <c r="O920" s="93"/>
      <c r="P920" s="93"/>
      <c r="Q920" s="93"/>
      <c r="R920" s="93"/>
      <c r="S920" s="93"/>
      <c r="T920" s="93"/>
      <c r="U920" s="93"/>
      <c r="V920" s="93"/>
      <c r="W920" s="93"/>
      <c r="X920" s="93"/>
      <c r="Y920" s="93"/>
    </row>
    <row r="921" spans="1:25">
      <c r="A921" s="72"/>
      <c r="B921" s="72"/>
      <c r="C921" s="72"/>
      <c r="D921" s="72"/>
      <c r="E921" s="72"/>
      <c r="F921" s="72"/>
      <c r="G921" s="72"/>
      <c r="H921" s="72"/>
      <c r="I921" s="72"/>
      <c r="J921" s="72"/>
      <c r="K921" s="72"/>
      <c r="L921" s="93"/>
      <c r="M921" s="93"/>
      <c r="N921" s="93"/>
      <c r="O921" s="93"/>
      <c r="P921" s="93"/>
      <c r="Q921" s="93"/>
      <c r="R921" s="93"/>
      <c r="S921" s="93"/>
      <c r="T921" s="93"/>
      <c r="U921" s="93"/>
      <c r="V921" s="93"/>
      <c r="W921" s="93"/>
      <c r="X921" s="93"/>
      <c r="Y921" s="93"/>
    </row>
    <row r="922" spans="1:25">
      <c r="A922" s="72"/>
      <c r="B922" s="72"/>
      <c r="C922" s="72"/>
      <c r="D922" s="72"/>
      <c r="E922" s="72"/>
      <c r="F922" s="72"/>
      <c r="G922" s="72"/>
      <c r="H922" s="72"/>
      <c r="I922" s="72"/>
      <c r="J922" s="72"/>
      <c r="K922" s="72"/>
      <c r="L922" s="93"/>
      <c r="M922" s="93"/>
      <c r="N922" s="93"/>
      <c r="O922" s="93"/>
      <c r="P922" s="93"/>
      <c r="Q922" s="93"/>
      <c r="R922" s="93"/>
      <c r="S922" s="93"/>
      <c r="T922" s="93"/>
      <c r="U922" s="93"/>
      <c r="V922" s="93"/>
      <c r="W922" s="93"/>
      <c r="X922" s="93"/>
      <c r="Y922" s="93"/>
    </row>
    <row r="923" spans="1:25">
      <c r="A923" s="72"/>
      <c r="B923" s="72"/>
      <c r="C923" s="72"/>
      <c r="D923" s="72"/>
      <c r="E923" s="72"/>
      <c r="F923" s="72"/>
      <c r="G923" s="72"/>
      <c r="H923" s="72"/>
      <c r="I923" s="72"/>
      <c r="J923" s="72"/>
      <c r="K923" s="72"/>
      <c r="L923" s="93"/>
      <c r="M923" s="93"/>
      <c r="N923" s="93"/>
      <c r="O923" s="93"/>
      <c r="P923" s="93"/>
      <c r="Q923" s="93"/>
      <c r="R923" s="93"/>
      <c r="S923" s="93"/>
      <c r="T923" s="93"/>
      <c r="U923" s="93"/>
      <c r="V923" s="93"/>
      <c r="W923" s="93"/>
      <c r="X923" s="93"/>
      <c r="Y923" s="93"/>
    </row>
    <row r="924" spans="1:25">
      <c r="A924" s="72"/>
      <c r="B924" s="72"/>
      <c r="C924" s="72"/>
      <c r="D924" s="72"/>
      <c r="E924" s="72"/>
      <c r="F924" s="72"/>
      <c r="G924" s="72"/>
      <c r="H924" s="72"/>
      <c r="I924" s="72"/>
      <c r="J924" s="72"/>
      <c r="K924" s="72"/>
      <c r="L924" s="93"/>
      <c r="M924" s="93"/>
      <c r="N924" s="93"/>
      <c r="O924" s="93"/>
      <c r="P924" s="93"/>
      <c r="Q924" s="93"/>
      <c r="R924" s="93"/>
      <c r="S924" s="93"/>
      <c r="T924" s="93"/>
      <c r="U924" s="93"/>
      <c r="V924" s="93"/>
      <c r="W924" s="93"/>
      <c r="X924" s="93"/>
      <c r="Y924" s="93"/>
    </row>
    <row r="925" spans="1:25">
      <c r="A925" s="72"/>
      <c r="B925" s="72"/>
      <c r="C925" s="72"/>
      <c r="D925" s="72"/>
      <c r="E925" s="72"/>
      <c r="F925" s="72"/>
      <c r="G925" s="72"/>
      <c r="H925" s="72"/>
      <c r="I925" s="72"/>
      <c r="J925" s="72"/>
      <c r="K925" s="72"/>
      <c r="L925" s="93"/>
      <c r="M925" s="93"/>
      <c r="N925" s="93"/>
      <c r="O925" s="93"/>
      <c r="P925" s="93"/>
      <c r="Q925" s="93"/>
      <c r="R925" s="93"/>
      <c r="S925" s="93"/>
      <c r="T925" s="93"/>
      <c r="U925" s="93"/>
      <c r="V925" s="93"/>
      <c r="W925" s="93"/>
      <c r="X925" s="93"/>
      <c r="Y925" s="93"/>
    </row>
    <row r="926" spans="1:25">
      <c r="A926" s="72"/>
      <c r="B926" s="72"/>
      <c r="C926" s="72"/>
      <c r="D926" s="72"/>
      <c r="E926" s="72"/>
      <c r="F926" s="72"/>
      <c r="G926" s="72"/>
      <c r="H926" s="72"/>
      <c r="I926" s="72"/>
      <c r="J926" s="72"/>
      <c r="K926" s="72"/>
      <c r="L926" s="93"/>
      <c r="M926" s="93"/>
      <c r="N926" s="93"/>
      <c r="O926" s="93"/>
      <c r="P926" s="93"/>
      <c r="Q926" s="93"/>
      <c r="R926" s="93"/>
      <c r="S926" s="93"/>
      <c r="T926" s="93"/>
      <c r="U926" s="93"/>
      <c r="V926" s="93"/>
      <c r="W926" s="93"/>
      <c r="X926" s="93"/>
      <c r="Y926" s="93"/>
    </row>
    <row r="927" spans="1:25">
      <c r="A927" s="72"/>
      <c r="B927" s="72"/>
      <c r="C927" s="72"/>
      <c r="D927" s="72"/>
      <c r="E927" s="72"/>
      <c r="F927" s="72"/>
      <c r="G927" s="72"/>
      <c r="H927" s="72"/>
      <c r="I927" s="72"/>
      <c r="J927" s="72"/>
      <c r="K927" s="72"/>
      <c r="L927" s="93"/>
      <c r="M927" s="93"/>
      <c r="N927" s="93"/>
      <c r="O927" s="93"/>
      <c r="P927" s="93"/>
      <c r="Q927" s="93"/>
      <c r="R927" s="93"/>
      <c r="S927" s="93"/>
      <c r="T927" s="93"/>
      <c r="U927" s="93"/>
      <c r="V927" s="93"/>
      <c r="W927" s="93"/>
      <c r="X927" s="93"/>
      <c r="Y927" s="93"/>
    </row>
    <row r="928" spans="1:25">
      <c r="A928" s="72"/>
      <c r="B928" s="72"/>
      <c r="C928" s="72"/>
      <c r="D928" s="72"/>
      <c r="E928" s="72"/>
      <c r="F928" s="72"/>
      <c r="G928" s="72"/>
      <c r="H928" s="72"/>
      <c r="I928" s="72"/>
      <c r="J928" s="72"/>
      <c r="K928" s="72"/>
      <c r="L928" s="93"/>
      <c r="M928" s="93"/>
      <c r="N928" s="93"/>
      <c r="O928" s="93"/>
      <c r="P928" s="93"/>
      <c r="Q928" s="93"/>
      <c r="R928" s="93"/>
      <c r="S928" s="93"/>
      <c r="T928" s="93"/>
      <c r="U928" s="93"/>
      <c r="V928" s="93"/>
      <c r="W928" s="93"/>
      <c r="X928" s="93"/>
      <c r="Y928" s="93"/>
    </row>
    <row r="929" spans="1:25">
      <c r="A929" s="72"/>
      <c r="B929" s="72"/>
      <c r="C929" s="72"/>
      <c r="D929" s="72"/>
      <c r="E929" s="72"/>
      <c r="F929" s="72"/>
      <c r="G929" s="72"/>
      <c r="H929" s="72"/>
      <c r="I929" s="72"/>
      <c r="J929" s="72"/>
      <c r="K929" s="72"/>
      <c r="L929" s="93"/>
      <c r="M929" s="93"/>
      <c r="N929" s="93"/>
      <c r="O929" s="93"/>
      <c r="P929" s="93"/>
      <c r="Q929" s="93"/>
      <c r="R929" s="93"/>
      <c r="S929" s="93"/>
      <c r="T929" s="93"/>
      <c r="U929" s="93"/>
      <c r="V929" s="93"/>
      <c r="W929" s="93"/>
      <c r="X929" s="93"/>
      <c r="Y929" s="93"/>
    </row>
    <row r="930" spans="1:25">
      <c r="A930" s="72"/>
      <c r="B930" s="72"/>
      <c r="C930" s="72"/>
      <c r="D930" s="72"/>
      <c r="E930" s="72"/>
      <c r="F930" s="72"/>
      <c r="G930" s="72"/>
      <c r="H930" s="72"/>
      <c r="I930" s="72"/>
      <c r="J930" s="72"/>
      <c r="K930" s="72"/>
      <c r="L930" s="93"/>
      <c r="M930" s="93"/>
      <c r="N930" s="93"/>
      <c r="O930" s="93"/>
      <c r="P930" s="93"/>
      <c r="Q930" s="93"/>
      <c r="R930" s="93"/>
      <c r="S930" s="93"/>
      <c r="T930" s="93"/>
      <c r="U930" s="93"/>
      <c r="V930" s="93"/>
      <c r="W930" s="93"/>
      <c r="X930" s="93"/>
      <c r="Y930" s="93"/>
    </row>
    <row r="931" spans="1:25">
      <c r="A931" s="72"/>
      <c r="B931" s="72"/>
      <c r="C931" s="72"/>
      <c r="D931" s="72"/>
      <c r="E931" s="72"/>
      <c r="F931" s="72"/>
      <c r="G931" s="72"/>
      <c r="H931" s="72"/>
      <c r="I931" s="72"/>
      <c r="J931" s="72"/>
      <c r="K931" s="72"/>
      <c r="L931" s="93"/>
      <c r="M931" s="93"/>
      <c r="N931" s="93"/>
      <c r="O931" s="93"/>
      <c r="P931" s="93"/>
      <c r="Q931" s="93"/>
      <c r="R931" s="93"/>
      <c r="S931" s="93"/>
      <c r="T931" s="93"/>
      <c r="U931" s="93"/>
      <c r="V931" s="93"/>
      <c r="W931" s="93"/>
      <c r="X931" s="93"/>
      <c r="Y931" s="93"/>
    </row>
    <row r="932" spans="1:25">
      <c r="A932" s="72"/>
      <c r="B932" s="72"/>
      <c r="C932" s="72"/>
      <c r="D932" s="72"/>
      <c r="E932" s="72"/>
      <c r="F932" s="72"/>
      <c r="G932" s="72"/>
      <c r="H932" s="72"/>
      <c r="I932" s="72"/>
      <c r="J932" s="72"/>
      <c r="K932" s="72"/>
      <c r="L932" s="93"/>
      <c r="M932" s="93"/>
      <c r="N932" s="93"/>
      <c r="O932" s="93"/>
      <c r="P932" s="93"/>
      <c r="Q932" s="93"/>
      <c r="R932" s="93"/>
      <c r="S932" s="93"/>
      <c r="T932" s="93"/>
      <c r="U932" s="93"/>
      <c r="V932" s="93"/>
      <c r="W932" s="93"/>
      <c r="X932" s="93"/>
      <c r="Y932" s="93"/>
    </row>
    <row r="933" spans="1:25">
      <c r="A933" s="72"/>
      <c r="B933" s="72"/>
      <c r="C933" s="72"/>
      <c r="D933" s="72"/>
      <c r="E933" s="72"/>
      <c r="F933" s="72"/>
      <c r="G933" s="72"/>
      <c r="H933" s="72"/>
      <c r="I933" s="72"/>
      <c r="J933" s="72"/>
      <c r="K933" s="72"/>
      <c r="L933" s="93"/>
      <c r="M933" s="93"/>
      <c r="N933" s="93"/>
      <c r="O933" s="93"/>
      <c r="P933" s="93"/>
      <c r="Q933" s="93"/>
      <c r="R933" s="93"/>
      <c r="S933" s="93"/>
      <c r="T933" s="93"/>
      <c r="U933" s="93"/>
      <c r="V933" s="93"/>
      <c r="W933" s="93"/>
      <c r="X933" s="93"/>
      <c r="Y933" s="93"/>
    </row>
    <row r="934" spans="1:25">
      <c r="A934" s="72"/>
      <c r="B934" s="72"/>
      <c r="C934" s="72"/>
      <c r="D934" s="72"/>
      <c r="E934" s="72"/>
      <c r="F934" s="72"/>
      <c r="G934" s="72"/>
      <c r="H934" s="72"/>
      <c r="I934" s="72"/>
      <c r="J934" s="72"/>
      <c r="K934" s="72"/>
      <c r="L934" s="93"/>
      <c r="M934" s="93"/>
      <c r="N934" s="93"/>
      <c r="O934" s="93"/>
      <c r="P934" s="93"/>
      <c r="Q934" s="93"/>
      <c r="R934" s="93"/>
      <c r="S934" s="93"/>
      <c r="T934" s="93"/>
      <c r="U934" s="93"/>
      <c r="V934" s="93"/>
      <c r="W934" s="93"/>
      <c r="X934" s="93"/>
      <c r="Y934" s="93"/>
    </row>
    <row r="935" spans="1:25">
      <c r="A935" s="72"/>
      <c r="B935" s="72"/>
      <c r="C935" s="72"/>
      <c r="D935" s="72"/>
      <c r="E935" s="72"/>
      <c r="F935" s="72"/>
      <c r="G935" s="72"/>
      <c r="H935" s="72"/>
      <c r="I935" s="72"/>
      <c r="J935" s="72"/>
      <c r="K935" s="72"/>
      <c r="L935" s="93"/>
      <c r="M935" s="93"/>
      <c r="N935" s="93"/>
      <c r="O935" s="93"/>
      <c r="P935" s="93"/>
      <c r="Q935" s="93"/>
      <c r="R935" s="93"/>
      <c r="S935" s="93"/>
      <c r="T935" s="93"/>
      <c r="U935" s="93"/>
      <c r="V935" s="93"/>
      <c r="W935" s="93"/>
      <c r="X935" s="93"/>
      <c r="Y935" s="93"/>
    </row>
    <row r="936" spans="1:25">
      <c r="A936" s="72"/>
      <c r="B936" s="72"/>
      <c r="C936" s="72"/>
      <c r="D936" s="72"/>
      <c r="E936" s="72"/>
      <c r="F936" s="72"/>
      <c r="G936" s="72"/>
      <c r="H936" s="72"/>
      <c r="I936" s="72"/>
      <c r="J936" s="72"/>
      <c r="K936" s="72"/>
      <c r="L936" s="93"/>
      <c r="M936" s="93"/>
      <c r="N936" s="93"/>
      <c r="O936" s="93"/>
      <c r="P936" s="93"/>
      <c r="Q936" s="93"/>
      <c r="R936" s="93"/>
      <c r="S936" s="93"/>
      <c r="T936" s="93"/>
      <c r="U936" s="93"/>
      <c r="V936" s="93"/>
      <c r="W936" s="93"/>
      <c r="X936" s="93"/>
      <c r="Y936" s="93"/>
    </row>
    <row r="937" spans="1:25">
      <c r="A937" s="72"/>
      <c r="B937" s="72"/>
      <c r="C937" s="72"/>
      <c r="D937" s="72"/>
      <c r="E937" s="72"/>
      <c r="F937" s="72"/>
      <c r="G937" s="72"/>
      <c r="H937" s="72"/>
      <c r="I937" s="72"/>
      <c r="J937" s="72"/>
      <c r="K937" s="72"/>
      <c r="L937" s="93"/>
      <c r="M937" s="93"/>
      <c r="N937" s="93"/>
      <c r="O937" s="93"/>
      <c r="P937" s="93"/>
      <c r="Q937" s="93"/>
      <c r="R937" s="93"/>
      <c r="S937" s="93"/>
      <c r="T937" s="93"/>
      <c r="U937" s="93"/>
      <c r="V937" s="93"/>
      <c r="W937" s="93"/>
      <c r="X937" s="93"/>
      <c r="Y937" s="93"/>
    </row>
    <row r="938" spans="1:25">
      <c r="A938" s="72"/>
      <c r="B938" s="72"/>
      <c r="C938" s="72"/>
      <c r="D938" s="72"/>
      <c r="E938" s="72"/>
      <c r="F938" s="72"/>
      <c r="G938" s="72"/>
      <c r="H938" s="72"/>
      <c r="I938" s="72"/>
      <c r="J938" s="72"/>
      <c r="K938" s="72"/>
      <c r="L938" s="93"/>
      <c r="M938" s="93"/>
      <c r="N938" s="93"/>
      <c r="O938" s="93"/>
      <c r="P938" s="93"/>
      <c r="Q938" s="93"/>
      <c r="R938" s="93"/>
      <c r="S938" s="93"/>
      <c r="T938" s="93"/>
      <c r="U938" s="93"/>
      <c r="V938" s="93"/>
      <c r="W938" s="93"/>
      <c r="X938" s="93"/>
      <c r="Y938" s="93"/>
    </row>
    <row r="939" spans="1:25">
      <c r="A939" s="72"/>
      <c r="B939" s="72"/>
      <c r="C939" s="72"/>
      <c r="D939" s="72"/>
      <c r="E939" s="72"/>
      <c r="F939" s="72"/>
      <c r="G939" s="72"/>
      <c r="H939" s="72"/>
      <c r="I939" s="72"/>
      <c r="J939" s="72"/>
      <c r="K939" s="72"/>
      <c r="L939" s="93"/>
      <c r="M939" s="93"/>
      <c r="N939" s="93"/>
      <c r="O939" s="93"/>
      <c r="P939" s="93"/>
      <c r="Q939" s="93"/>
      <c r="R939" s="93"/>
      <c r="S939" s="93"/>
      <c r="T939" s="93"/>
      <c r="U939" s="93"/>
      <c r="V939" s="93"/>
      <c r="W939" s="93"/>
      <c r="X939" s="93"/>
      <c r="Y939" s="93"/>
    </row>
    <row r="940" spans="1:25">
      <c r="A940" s="72"/>
      <c r="B940" s="72"/>
      <c r="C940" s="72"/>
      <c r="D940" s="72"/>
      <c r="E940" s="72"/>
      <c r="F940" s="72"/>
      <c r="G940" s="72"/>
      <c r="H940" s="72"/>
      <c r="I940" s="72"/>
      <c r="J940" s="72"/>
      <c r="K940" s="72"/>
      <c r="L940" s="93"/>
      <c r="M940" s="93"/>
      <c r="N940" s="93"/>
      <c r="O940" s="93"/>
      <c r="P940" s="93"/>
      <c r="Q940" s="93"/>
      <c r="R940" s="93"/>
      <c r="S940" s="93"/>
      <c r="T940" s="93"/>
      <c r="U940" s="93"/>
      <c r="V940" s="93"/>
      <c r="W940" s="93"/>
      <c r="X940" s="93"/>
      <c r="Y940" s="93"/>
    </row>
    <row r="941" spans="1:25">
      <c r="A941" s="72"/>
      <c r="B941" s="72"/>
      <c r="C941" s="72"/>
      <c r="D941" s="72"/>
      <c r="E941" s="72"/>
      <c r="F941" s="72"/>
      <c r="G941" s="72"/>
      <c r="H941" s="72"/>
      <c r="I941" s="72"/>
      <c r="J941" s="72"/>
      <c r="K941" s="72"/>
      <c r="L941" s="93"/>
      <c r="M941" s="93"/>
      <c r="N941" s="93"/>
      <c r="O941" s="93"/>
      <c r="P941" s="93"/>
      <c r="Q941" s="93"/>
      <c r="R941" s="93"/>
      <c r="S941" s="93"/>
      <c r="T941" s="93"/>
      <c r="U941" s="93"/>
      <c r="V941" s="93"/>
      <c r="W941" s="93"/>
      <c r="X941" s="93"/>
      <c r="Y941" s="93"/>
    </row>
    <row r="942" spans="1:25">
      <c r="A942" s="72"/>
      <c r="B942" s="72"/>
      <c r="C942" s="72"/>
      <c r="D942" s="72"/>
      <c r="E942" s="72"/>
      <c r="F942" s="72"/>
      <c r="G942" s="72"/>
      <c r="H942" s="72"/>
      <c r="I942" s="72"/>
      <c r="J942" s="72"/>
      <c r="K942" s="72"/>
      <c r="L942" s="93"/>
      <c r="M942" s="93"/>
      <c r="N942" s="93"/>
      <c r="O942" s="93"/>
      <c r="P942" s="93"/>
      <c r="Q942" s="93"/>
      <c r="R942" s="93"/>
      <c r="S942" s="93"/>
      <c r="T942" s="93"/>
      <c r="U942" s="93"/>
      <c r="V942" s="93"/>
      <c r="W942" s="93"/>
      <c r="X942" s="93"/>
      <c r="Y942" s="93"/>
    </row>
    <row r="943" spans="1:25">
      <c r="A943" s="72"/>
      <c r="B943" s="72"/>
      <c r="C943" s="72"/>
      <c r="D943" s="72"/>
      <c r="E943" s="72"/>
      <c r="F943" s="72"/>
      <c r="G943" s="72"/>
      <c r="H943" s="72"/>
      <c r="I943" s="72"/>
      <c r="J943" s="72"/>
      <c r="K943" s="72"/>
      <c r="L943" s="93"/>
      <c r="M943" s="93"/>
      <c r="N943" s="93"/>
      <c r="O943" s="93"/>
      <c r="P943" s="93"/>
      <c r="Q943" s="93"/>
      <c r="R943" s="93"/>
      <c r="S943" s="93"/>
      <c r="T943" s="93"/>
      <c r="U943" s="93"/>
      <c r="V943" s="93"/>
      <c r="W943" s="93"/>
      <c r="X943" s="93"/>
      <c r="Y943" s="93"/>
    </row>
    <row r="944" spans="1:25">
      <c r="A944" s="72"/>
      <c r="B944" s="72"/>
      <c r="C944" s="72"/>
      <c r="D944" s="72"/>
      <c r="E944" s="72"/>
      <c r="F944" s="72"/>
      <c r="G944" s="72"/>
      <c r="H944" s="72"/>
      <c r="I944" s="72"/>
      <c r="J944" s="72"/>
      <c r="K944" s="72"/>
      <c r="L944" s="93"/>
      <c r="M944" s="93"/>
      <c r="N944" s="93"/>
      <c r="O944" s="93"/>
      <c r="P944" s="93"/>
      <c r="Q944" s="93"/>
      <c r="R944" s="93"/>
      <c r="S944" s="93"/>
      <c r="T944" s="93"/>
      <c r="U944" s="93"/>
      <c r="V944" s="93"/>
      <c r="W944" s="93"/>
      <c r="X944" s="93"/>
      <c r="Y944" s="93"/>
    </row>
    <row r="945" spans="1:25">
      <c r="A945" s="72"/>
      <c r="B945" s="72"/>
      <c r="C945" s="72"/>
      <c r="D945" s="72"/>
      <c r="E945" s="72"/>
      <c r="F945" s="72"/>
      <c r="G945" s="72"/>
      <c r="H945" s="72"/>
      <c r="I945" s="72"/>
      <c r="J945" s="72"/>
      <c r="K945" s="72"/>
      <c r="L945" s="93"/>
      <c r="M945" s="93"/>
      <c r="N945" s="93"/>
      <c r="O945" s="93"/>
      <c r="P945" s="93"/>
      <c r="Q945" s="93"/>
      <c r="R945" s="93"/>
      <c r="S945" s="93"/>
      <c r="T945" s="93"/>
      <c r="U945" s="93"/>
      <c r="V945" s="93"/>
      <c r="W945" s="93"/>
      <c r="X945" s="93"/>
      <c r="Y945" s="93"/>
    </row>
    <row r="946" spans="1:25">
      <c r="A946" s="72"/>
      <c r="B946" s="72"/>
      <c r="C946" s="72"/>
      <c r="D946" s="72"/>
      <c r="E946" s="72"/>
      <c r="F946" s="72"/>
      <c r="G946" s="72"/>
      <c r="H946" s="72"/>
      <c r="I946" s="72"/>
      <c r="J946" s="72"/>
      <c r="K946" s="72"/>
      <c r="L946" s="93"/>
      <c r="M946" s="93"/>
      <c r="N946" s="93"/>
      <c r="O946" s="93"/>
      <c r="P946" s="93"/>
      <c r="Q946" s="93"/>
      <c r="R946" s="93"/>
      <c r="S946" s="93"/>
      <c r="T946" s="93"/>
      <c r="U946" s="93"/>
      <c r="V946" s="93"/>
      <c r="W946" s="93"/>
      <c r="X946" s="93"/>
      <c r="Y946" s="93"/>
    </row>
    <row r="947" spans="1:25">
      <c r="A947" s="72"/>
      <c r="B947" s="72"/>
      <c r="C947" s="72"/>
      <c r="D947" s="72"/>
      <c r="E947" s="72"/>
      <c r="F947" s="72"/>
      <c r="G947" s="72"/>
      <c r="H947" s="72"/>
      <c r="I947" s="72"/>
      <c r="J947" s="72"/>
      <c r="K947" s="72"/>
      <c r="L947" s="93"/>
      <c r="M947" s="93"/>
      <c r="N947" s="93"/>
      <c r="O947" s="93"/>
      <c r="P947" s="93"/>
      <c r="Q947" s="93"/>
      <c r="R947" s="93"/>
      <c r="S947" s="93"/>
      <c r="T947" s="93"/>
      <c r="U947" s="93"/>
      <c r="V947" s="93"/>
      <c r="W947" s="93"/>
      <c r="X947" s="93"/>
      <c r="Y947" s="93"/>
    </row>
    <row r="948" spans="1:25">
      <c r="A948" s="72"/>
      <c r="B948" s="72"/>
      <c r="C948" s="72"/>
      <c r="D948" s="72"/>
      <c r="E948" s="72"/>
      <c r="F948" s="72"/>
      <c r="G948" s="72"/>
      <c r="H948" s="72"/>
      <c r="I948" s="72"/>
      <c r="J948" s="72"/>
      <c r="K948" s="72"/>
      <c r="L948" s="93"/>
      <c r="M948" s="93"/>
      <c r="N948" s="93"/>
      <c r="O948" s="93"/>
      <c r="P948" s="93"/>
      <c r="Q948" s="93"/>
      <c r="R948" s="93"/>
      <c r="S948" s="93"/>
      <c r="T948" s="93"/>
      <c r="U948" s="93"/>
      <c r="V948" s="93"/>
      <c r="W948" s="93"/>
      <c r="X948" s="93"/>
      <c r="Y948" s="93"/>
    </row>
    <row r="949" spans="1:25">
      <c r="A949" s="72"/>
      <c r="B949" s="72"/>
      <c r="C949" s="72"/>
      <c r="D949" s="72"/>
      <c r="E949" s="72"/>
      <c r="F949" s="72"/>
      <c r="G949" s="72"/>
      <c r="H949" s="72"/>
      <c r="I949" s="72"/>
      <c r="J949" s="72"/>
      <c r="K949" s="72"/>
      <c r="L949" s="93"/>
      <c r="M949" s="93"/>
      <c r="N949" s="93"/>
      <c r="O949" s="93"/>
      <c r="P949" s="93"/>
      <c r="Q949" s="93"/>
      <c r="R949" s="93"/>
      <c r="S949" s="93"/>
      <c r="T949" s="93"/>
      <c r="U949" s="93"/>
      <c r="V949" s="93"/>
      <c r="W949" s="93"/>
      <c r="X949" s="93"/>
      <c r="Y949" s="93"/>
    </row>
    <row r="950" spans="1:25">
      <c r="A950" s="72"/>
      <c r="B950" s="72"/>
      <c r="C950" s="72"/>
      <c r="D950" s="72"/>
      <c r="E950" s="72"/>
      <c r="F950" s="72"/>
      <c r="G950" s="72"/>
      <c r="H950" s="72"/>
      <c r="I950" s="72"/>
      <c r="J950" s="72"/>
      <c r="K950" s="72"/>
      <c r="L950" s="93"/>
      <c r="M950" s="93"/>
      <c r="N950" s="93"/>
      <c r="O950" s="93"/>
      <c r="P950" s="93"/>
      <c r="Q950" s="93"/>
      <c r="R950" s="93"/>
      <c r="S950" s="93"/>
      <c r="T950" s="93"/>
      <c r="U950" s="93"/>
      <c r="V950" s="93"/>
      <c r="W950" s="93"/>
      <c r="X950" s="93"/>
      <c r="Y950" s="93"/>
    </row>
    <row r="951" spans="1:25">
      <c r="A951" s="72"/>
      <c r="B951" s="72"/>
      <c r="C951" s="72"/>
      <c r="D951" s="72"/>
      <c r="E951" s="72"/>
      <c r="F951" s="72"/>
      <c r="G951" s="72"/>
      <c r="H951" s="72"/>
      <c r="I951" s="72"/>
      <c r="J951" s="72"/>
      <c r="K951" s="72"/>
      <c r="L951" s="93"/>
      <c r="M951" s="93"/>
      <c r="N951" s="93"/>
      <c r="O951" s="93"/>
      <c r="P951" s="93"/>
      <c r="Q951" s="93"/>
      <c r="R951" s="93"/>
      <c r="S951" s="93"/>
      <c r="T951" s="93"/>
      <c r="U951" s="93"/>
      <c r="V951" s="93"/>
      <c r="W951" s="93"/>
      <c r="X951" s="93"/>
      <c r="Y951" s="93"/>
    </row>
    <row r="952" spans="1:25">
      <c r="A952" s="72"/>
      <c r="B952" s="72"/>
      <c r="C952" s="72"/>
      <c r="D952" s="72"/>
      <c r="E952" s="72"/>
      <c r="F952" s="72"/>
      <c r="G952" s="72"/>
      <c r="H952" s="72"/>
      <c r="I952" s="72"/>
      <c r="J952" s="72"/>
      <c r="K952" s="72"/>
      <c r="L952" s="93"/>
      <c r="M952" s="93"/>
      <c r="N952" s="93"/>
      <c r="O952" s="93"/>
      <c r="P952" s="93"/>
      <c r="Q952" s="93"/>
      <c r="R952" s="93"/>
      <c r="S952" s="93"/>
      <c r="T952" s="93"/>
      <c r="U952" s="93"/>
      <c r="V952" s="93"/>
      <c r="W952" s="93"/>
      <c r="X952" s="93"/>
      <c r="Y952" s="93"/>
    </row>
    <row r="953" spans="1:25">
      <c r="A953" s="72"/>
      <c r="B953" s="72"/>
      <c r="C953" s="72"/>
      <c r="D953" s="72"/>
      <c r="E953" s="72"/>
      <c r="F953" s="72"/>
      <c r="G953" s="72"/>
      <c r="H953" s="72"/>
      <c r="I953" s="72"/>
      <c r="J953" s="72"/>
      <c r="K953" s="72"/>
      <c r="L953" s="93"/>
      <c r="M953" s="93"/>
      <c r="N953" s="93"/>
      <c r="O953" s="93"/>
      <c r="P953" s="93"/>
      <c r="Q953" s="93"/>
      <c r="R953" s="93"/>
      <c r="S953" s="93"/>
      <c r="T953" s="93"/>
      <c r="U953" s="93"/>
      <c r="V953" s="93"/>
      <c r="W953" s="93"/>
      <c r="X953" s="93"/>
      <c r="Y953" s="93"/>
    </row>
    <row r="954" spans="1:25">
      <c r="A954" s="72"/>
      <c r="B954" s="72"/>
      <c r="C954" s="72"/>
      <c r="D954" s="72"/>
      <c r="E954" s="72"/>
      <c r="F954" s="72"/>
      <c r="G954" s="72"/>
      <c r="H954" s="72"/>
      <c r="I954" s="72"/>
      <c r="J954" s="72"/>
      <c r="K954" s="72"/>
      <c r="L954" s="93"/>
      <c r="M954" s="93"/>
      <c r="N954" s="93"/>
      <c r="O954" s="93"/>
      <c r="P954" s="93"/>
      <c r="Q954" s="93"/>
      <c r="R954" s="93"/>
      <c r="S954" s="93"/>
      <c r="T954" s="93"/>
      <c r="U954" s="93"/>
      <c r="V954" s="93"/>
      <c r="W954" s="93"/>
      <c r="X954" s="93"/>
      <c r="Y954" s="93"/>
    </row>
    <row r="955" spans="1:25">
      <c r="A955" s="72"/>
      <c r="B955" s="72"/>
      <c r="C955" s="72"/>
      <c r="D955" s="72"/>
      <c r="E955" s="72"/>
      <c r="F955" s="72"/>
      <c r="G955" s="72"/>
      <c r="H955" s="72"/>
      <c r="I955" s="72"/>
      <c r="J955" s="72"/>
      <c r="K955" s="72"/>
      <c r="L955" s="93"/>
      <c r="M955" s="93"/>
      <c r="N955" s="93"/>
      <c r="O955" s="93"/>
      <c r="P955" s="93"/>
      <c r="Q955" s="93"/>
      <c r="R955" s="93"/>
      <c r="S955" s="93"/>
      <c r="T955" s="93"/>
      <c r="U955" s="93"/>
      <c r="V955" s="93"/>
      <c r="W955" s="93"/>
      <c r="X955" s="93"/>
      <c r="Y955" s="93"/>
    </row>
    <row r="956" spans="1:25">
      <c r="A956" s="72"/>
      <c r="B956" s="72"/>
      <c r="C956" s="72"/>
      <c r="D956" s="72"/>
      <c r="E956" s="72"/>
      <c r="F956" s="72"/>
      <c r="G956" s="72"/>
      <c r="H956" s="72"/>
      <c r="I956" s="72"/>
      <c r="J956" s="72"/>
      <c r="K956" s="72"/>
      <c r="L956" s="93"/>
      <c r="M956" s="93"/>
      <c r="N956" s="93"/>
      <c r="O956" s="93"/>
      <c r="P956" s="93"/>
      <c r="Q956" s="93"/>
      <c r="R956" s="93"/>
      <c r="S956" s="93"/>
      <c r="T956" s="93"/>
      <c r="U956" s="93"/>
      <c r="V956" s="93"/>
      <c r="W956" s="93"/>
      <c r="X956" s="93"/>
      <c r="Y956" s="93"/>
    </row>
    <row r="957" spans="1:25">
      <c r="A957" s="72"/>
      <c r="B957" s="72"/>
      <c r="C957" s="72"/>
      <c r="D957" s="72"/>
      <c r="E957" s="72"/>
      <c r="F957" s="72"/>
      <c r="G957" s="72"/>
      <c r="H957" s="72"/>
      <c r="I957" s="72"/>
      <c r="J957" s="72"/>
      <c r="K957" s="72"/>
      <c r="L957" s="93"/>
      <c r="M957" s="93"/>
      <c r="N957" s="93"/>
      <c r="O957" s="93"/>
      <c r="P957" s="93"/>
      <c r="Q957" s="93"/>
      <c r="R957" s="93"/>
      <c r="S957" s="93"/>
      <c r="T957" s="93"/>
      <c r="U957" s="93"/>
      <c r="V957" s="93"/>
      <c r="W957" s="93"/>
      <c r="X957" s="93"/>
      <c r="Y957" s="93"/>
    </row>
    <row r="958" spans="1:25">
      <c r="A958" s="72"/>
      <c r="B958" s="72"/>
      <c r="C958" s="72"/>
      <c r="D958" s="72"/>
      <c r="E958" s="72"/>
      <c r="F958" s="72"/>
      <c r="G958" s="72"/>
      <c r="H958" s="72"/>
      <c r="I958" s="72"/>
      <c r="J958" s="72"/>
      <c r="K958" s="72"/>
      <c r="L958" s="93"/>
      <c r="M958" s="93"/>
      <c r="N958" s="93"/>
      <c r="O958" s="93"/>
      <c r="P958" s="93"/>
      <c r="Q958" s="93"/>
      <c r="R958" s="93"/>
      <c r="S958" s="93"/>
      <c r="T958" s="93"/>
      <c r="U958" s="93"/>
      <c r="V958" s="93"/>
      <c r="W958" s="93"/>
      <c r="X958" s="93"/>
      <c r="Y958" s="93"/>
    </row>
    <row r="959" spans="1:25">
      <c r="A959" s="72"/>
      <c r="B959" s="72"/>
      <c r="C959" s="72"/>
      <c r="D959" s="72"/>
      <c r="E959" s="72"/>
      <c r="F959" s="72"/>
      <c r="G959" s="72"/>
      <c r="H959" s="72"/>
      <c r="I959" s="72"/>
      <c r="J959" s="72"/>
      <c r="K959" s="72"/>
      <c r="L959" s="93"/>
      <c r="M959" s="93"/>
      <c r="N959" s="93"/>
      <c r="O959" s="93"/>
      <c r="P959" s="93"/>
      <c r="Q959" s="93"/>
      <c r="R959" s="93"/>
      <c r="S959" s="93"/>
      <c r="T959" s="93"/>
      <c r="U959" s="93"/>
      <c r="V959" s="93"/>
      <c r="W959" s="93"/>
      <c r="X959" s="93"/>
      <c r="Y959" s="93"/>
    </row>
    <row r="960" spans="1:25">
      <c r="A960" s="72"/>
      <c r="B960" s="72"/>
      <c r="C960" s="72"/>
      <c r="D960" s="72"/>
      <c r="E960" s="72"/>
      <c r="F960" s="72"/>
      <c r="G960" s="72"/>
      <c r="H960" s="72"/>
      <c r="I960" s="72"/>
      <c r="J960" s="72"/>
      <c r="K960" s="72"/>
      <c r="L960" s="93"/>
      <c r="M960" s="93"/>
      <c r="N960" s="93"/>
      <c r="O960" s="93"/>
      <c r="P960" s="93"/>
      <c r="Q960" s="93"/>
      <c r="R960" s="93"/>
      <c r="S960" s="93"/>
      <c r="T960" s="93"/>
      <c r="U960" s="93"/>
      <c r="V960" s="93"/>
      <c r="W960" s="93"/>
      <c r="X960" s="93"/>
      <c r="Y960" s="93"/>
    </row>
    <row r="961" spans="1:25">
      <c r="A961" s="72"/>
      <c r="B961" s="72"/>
      <c r="C961" s="72"/>
      <c r="D961" s="72"/>
      <c r="E961" s="72"/>
      <c r="F961" s="72"/>
      <c r="G961" s="72"/>
      <c r="H961" s="72"/>
      <c r="I961" s="72"/>
      <c r="J961" s="72"/>
      <c r="K961" s="72"/>
      <c r="L961" s="93"/>
      <c r="M961" s="93"/>
      <c r="N961" s="93"/>
      <c r="O961" s="93"/>
      <c r="P961" s="93"/>
      <c r="Q961" s="93"/>
      <c r="R961" s="93"/>
      <c r="S961" s="93"/>
      <c r="T961" s="93"/>
      <c r="U961" s="93"/>
      <c r="V961" s="93"/>
      <c r="W961" s="93"/>
      <c r="X961" s="93"/>
      <c r="Y961" s="93"/>
    </row>
    <row r="962" spans="1:25">
      <c r="A962" s="72"/>
      <c r="B962" s="72"/>
      <c r="C962" s="72"/>
      <c r="D962" s="72"/>
      <c r="E962" s="72"/>
      <c r="F962" s="72"/>
      <c r="G962" s="72"/>
      <c r="H962" s="72"/>
      <c r="I962" s="72"/>
      <c r="J962" s="72"/>
      <c r="K962" s="72"/>
      <c r="L962" s="93"/>
      <c r="M962" s="93"/>
      <c r="N962" s="93"/>
      <c r="O962" s="93"/>
      <c r="P962" s="93"/>
      <c r="Q962" s="93"/>
      <c r="R962" s="93"/>
      <c r="S962" s="93"/>
      <c r="T962" s="93"/>
      <c r="U962" s="93"/>
      <c r="V962" s="93"/>
      <c r="W962" s="93"/>
      <c r="X962" s="93"/>
      <c r="Y962" s="93"/>
    </row>
    <row r="963" spans="1:25">
      <c r="A963" s="72"/>
      <c r="B963" s="72"/>
      <c r="C963" s="72"/>
      <c r="D963" s="72"/>
      <c r="E963" s="72"/>
      <c r="F963" s="72"/>
      <c r="G963" s="72"/>
      <c r="H963" s="72"/>
      <c r="I963" s="72"/>
      <c r="J963" s="72"/>
      <c r="K963" s="72"/>
      <c r="L963" s="93"/>
      <c r="M963" s="93"/>
      <c r="N963" s="93"/>
      <c r="O963" s="93"/>
      <c r="P963" s="93"/>
      <c r="Q963" s="93"/>
      <c r="R963" s="93"/>
      <c r="S963" s="93"/>
      <c r="T963" s="93"/>
      <c r="U963" s="93"/>
      <c r="V963" s="93"/>
      <c r="W963" s="93"/>
      <c r="X963" s="93"/>
      <c r="Y963" s="93"/>
    </row>
    <row r="964" spans="1:25">
      <c r="A964" s="72"/>
      <c r="B964" s="72"/>
      <c r="C964" s="72"/>
      <c r="D964" s="72"/>
      <c r="E964" s="72"/>
      <c r="F964" s="72"/>
      <c r="G964" s="72"/>
      <c r="H964" s="72"/>
      <c r="I964" s="72"/>
      <c r="J964" s="72"/>
      <c r="K964" s="72"/>
      <c r="L964" s="93"/>
      <c r="M964" s="93"/>
      <c r="N964" s="93"/>
      <c r="O964" s="93"/>
      <c r="P964" s="93"/>
      <c r="Q964" s="93"/>
      <c r="R964" s="93"/>
      <c r="S964" s="93"/>
      <c r="T964" s="93"/>
      <c r="U964" s="93"/>
      <c r="V964" s="93"/>
      <c r="W964" s="93"/>
      <c r="X964" s="93"/>
      <c r="Y964" s="93"/>
    </row>
    <row r="965" spans="1:25">
      <c r="A965" s="72"/>
      <c r="B965" s="72"/>
      <c r="C965" s="72"/>
      <c r="D965" s="72"/>
      <c r="E965" s="72"/>
      <c r="F965" s="72"/>
      <c r="G965" s="72"/>
      <c r="H965" s="72"/>
      <c r="I965" s="72"/>
      <c r="J965" s="72"/>
      <c r="K965" s="72"/>
      <c r="L965" s="93"/>
      <c r="M965" s="93"/>
      <c r="N965" s="93"/>
      <c r="O965" s="93"/>
      <c r="P965" s="93"/>
      <c r="Q965" s="93"/>
      <c r="R965" s="93"/>
      <c r="S965" s="93"/>
      <c r="T965" s="93"/>
      <c r="U965" s="93"/>
      <c r="V965" s="93"/>
      <c r="W965" s="93"/>
      <c r="X965" s="93"/>
      <c r="Y965" s="93"/>
    </row>
    <row r="966" spans="1:25">
      <c r="A966" s="72"/>
      <c r="B966" s="72"/>
      <c r="C966" s="72"/>
      <c r="D966" s="72"/>
      <c r="E966" s="72"/>
      <c r="F966" s="72"/>
      <c r="G966" s="72"/>
      <c r="H966" s="72"/>
      <c r="I966" s="72"/>
      <c r="J966" s="72"/>
      <c r="K966" s="72"/>
      <c r="L966" s="93"/>
      <c r="M966" s="93"/>
      <c r="N966" s="93"/>
      <c r="O966" s="93"/>
      <c r="P966" s="93"/>
      <c r="Q966" s="93"/>
      <c r="R966" s="93"/>
      <c r="S966" s="93"/>
      <c r="T966" s="93"/>
      <c r="U966" s="93"/>
      <c r="V966" s="93"/>
      <c r="W966" s="93"/>
      <c r="X966" s="93"/>
      <c r="Y966" s="93"/>
    </row>
    <row r="967" spans="1:25">
      <c r="A967" s="72"/>
      <c r="B967" s="72"/>
      <c r="C967" s="72"/>
      <c r="D967" s="72"/>
      <c r="E967" s="72"/>
      <c r="F967" s="72"/>
      <c r="G967" s="72"/>
      <c r="H967" s="72"/>
      <c r="I967" s="72"/>
      <c r="J967" s="72"/>
      <c r="K967" s="72"/>
      <c r="L967" s="93"/>
      <c r="M967" s="93"/>
      <c r="N967" s="93"/>
      <c r="O967" s="93"/>
      <c r="P967" s="93"/>
      <c r="Q967" s="93"/>
      <c r="R967" s="93"/>
      <c r="S967" s="93"/>
      <c r="T967" s="93"/>
      <c r="U967" s="93"/>
      <c r="V967" s="93"/>
      <c r="W967" s="93"/>
      <c r="X967" s="93"/>
      <c r="Y967" s="93"/>
    </row>
    <row r="968" spans="1:25">
      <c r="A968" s="72"/>
      <c r="B968" s="72"/>
      <c r="C968" s="72"/>
      <c r="D968" s="72"/>
      <c r="E968" s="72"/>
      <c r="F968" s="72"/>
      <c r="G968" s="72"/>
      <c r="H968" s="72"/>
      <c r="I968" s="72"/>
      <c r="J968" s="72"/>
      <c r="K968" s="72"/>
      <c r="L968" s="93"/>
      <c r="M968" s="93"/>
      <c r="N968" s="93"/>
      <c r="O968" s="93"/>
      <c r="P968" s="93"/>
      <c r="Q968" s="93"/>
      <c r="R968" s="93"/>
      <c r="S968" s="93"/>
      <c r="T968" s="93"/>
      <c r="U968" s="93"/>
      <c r="V968" s="93"/>
      <c r="W968" s="93"/>
      <c r="X968" s="93"/>
      <c r="Y968" s="93"/>
    </row>
    <row r="969" spans="1:25">
      <c r="A969" s="72"/>
      <c r="B969" s="72"/>
      <c r="C969" s="72"/>
      <c r="D969" s="72"/>
      <c r="E969" s="72"/>
      <c r="F969" s="72"/>
      <c r="G969" s="72"/>
      <c r="H969" s="72"/>
      <c r="I969" s="72"/>
      <c r="J969" s="72"/>
      <c r="K969" s="72"/>
      <c r="L969" s="93"/>
      <c r="M969" s="93"/>
      <c r="N969" s="93"/>
      <c r="O969" s="93"/>
      <c r="P969" s="93"/>
      <c r="Q969" s="93"/>
      <c r="R969" s="93"/>
      <c r="S969" s="93"/>
      <c r="T969" s="93"/>
      <c r="U969" s="93"/>
      <c r="V969" s="93"/>
      <c r="W969" s="93"/>
      <c r="X969" s="93"/>
      <c r="Y969" s="93"/>
    </row>
    <row r="970" spans="1:25">
      <c r="A970" s="72"/>
      <c r="B970" s="72"/>
      <c r="C970" s="72"/>
      <c r="D970" s="72"/>
      <c r="E970" s="72"/>
      <c r="F970" s="72"/>
      <c r="G970" s="72"/>
      <c r="H970" s="72"/>
      <c r="I970" s="72"/>
      <c r="J970" s="72"/>
      <c r="K970" s="72"/>
      <c r="L970" s="93"/>
      <c r="M970" s="93"/>
      <c r="N970" s="93"/>
      <c r="O970" s="93"/>
      <c r="P970" s="93"/>
      <c r="Q970" s="93"/>
      <c r="R970" s="93"/>
      <c r="S970" s="93"/>
      <c r="T970" s="93"/>
      <c r="U970" s="93"/>
      <c r="V970" s="93"/>
      <c r="W970" s="93"/>
      <c r="X970" s="93"/>
      <c r="Y970" s="93"/>
    </row>
    <row r="971" spans="1:25">
      <c r="A971" s="72"/>
      <c r="B971" s="72"/>
      <c r="C971" s="72"/>
      <c r="D971" s="72"/>
      <c r="E971" s="72"/>
      <c r="F971" s="72"/>
      <c r="G971" s="72"/>
      <c r="H971" s="72"/>
      <c r="I971" s="72"/>
      <c r="J971" s="72"/>
      <c r="K971" s="72"/>
      <c r="L971" s="93"/>
      <c r="M971" s="93"/>
      <c r="N971" s="93"/>
      <c r="O971" s="93"/>
      <c r="P971" s="93"/>
      <c r="Q971" s="93"/>
      <c r="R971" s="93"/>
      <c r="S971" s="93"/>
      <c r="T971" s="93"/>
      <c r="U971" s="93"/>
      <c r="V971" s="93"/>
      <c r="W971" s="93"/>
      <c r="X971" s="93"/>
      <c r="Y971" s="93"/>
    </row>
    <row r="972" spans="1:25">
      <c r="A972" s="72"/>
      <c r="B972" s="72"/>
      <c r="C972" s="72"/>
      <c r="D972" s="72"/>
      <c r="E972" s="72"/>
      <c r="F972" s="72"/>
      <c r="G972" s="72"/>
      <c r="H972" s="72"/>
      <c r="I972" s="72"/>
      <c r="J972" s="72"/>
      <c r="K972" s="72"/>
      <c r="L972" s="93"/>
      <c r="M972" s="93"/>
      <c r="N972" s="93"/>
      <c r="O972" s="93"/>
      <c r="P972" s="93"/>
      <c r="Q972" s="93"/>
      <c r="R972" s="93"/>
      <c r="S972" s="93"/>
      <c r="T972" s="93"/>
      <c r="U972" s="93"/>
      <c r="V972" s="93"/>
      <c r="W972" s="93"/>
      <c r="X972" s="93"/>
      <c r="Y972" s="93"/>
    </row>
    <row r="973" spans="1:25">
      <c r="A973" s="72"/>
      <c r="B973" s="72"/>
      <c r="C973" s="72"/>
      <c r="D973" s="72"/>
      <c r="E973" s="72"/>
      <c r="F973" s="72"/>
      <c r="G973" s="72"/>
      <c r="H973" s="72"/>
      <c r="I973" s="72"/>
      <c r="J973" s="72"/>
      <c r="K973" s="72"/>
      <c r="L973" s="93"/>
      <c r="M973" s="93"/>
      <c r="N973" s="93"/>
      <c r="O973" s="93"/>
      <c r="P973" s="93"/>
      <c r="Q973" s="93"/>
      <c r="R973" s="93"/>
      <c r="S973" s="93"/>
      <c r="T973" s="93"/>
      <c r="U973" s="93"/>
      <c r="V973" s="93"/>
      <c r="W973" s="93"/>
      <c r="X973" s="93"/>
      <c r="Y973" s="93"/>
    </row>
    <row r="974" spans="1:25">
      <c r="A974" s="72"/>
      <c r="B974" s="72"/>
      <c r="C974" s="72"/>
      <c r="D974" s="72"/>
      <c r="E974" s="72"/>
      <c r="F974" s="72"/>
      <c r="G974" s="72"/>
      <c r="H974" s="72"/>
      <c r="I974" s="72"/>
      <c r="J974" s="72"/>
      <c r="K974" s="72"/>
      <c r="L974" s="93"/>
      <c r="M974" s="93"/>
      <c r="N974" s="93"/>
      <c r="O974" s="93"/>
      <c r="P974" s="93"/>
      <c r="Q974" s="93"/>
      <c r="R974" s="93"/>
      <c r="S974" s="93"/>
      <c r="T974" s="93"/>
      <c r="U974" s="93"/>
      <c r="V974" s="93"/>
      <c r="W974" s="93"/>
      <c r="X974" s="93"/>
      <c r="Y974" s="93"/>
    </row>
    <row r="975" spans="1:25">
      <c r="A975" s="72"/>
      <c r="B975" s="72"/>
      <c r="C975" s="72"/>
      <c r="D975" s="72"/>
      <c r="E975" s="72"/>
      <c r="F975" s="72"/>
      <c r="G975" s="72"/>
      <c r="H975" s="72"/>
      <c r="I975" s="72"/>
      <c r="J975" s="72"/>
      <c r="K975" s="72"/>
      <c r="L975" s="93"/>
      <c r="M975" s="93"/>
      <c r="N975" s="93"/>
      <c r="O975" s="93"/>
      <c r="P975" s="93"/>
      <c r="Q975" s="93"/>
      <c r="R975" s="93"/>
      <c r="S975" s="93"/>
      <c r="T975" s="93"/>
      <c r="U975" s="93"/>
      <c r="V975" s="93"/>
      <c r="W975" s="93"/>
      <c r="X975" s="93"/>
      <c r="Y975" s="93"/>
    </row>
    <row r="976" spans="1:25">
      <c r="A976" s="72"/>
      <c r="B976" s="72"/>
      <c r="C976" s="72"/>
      <c r="D976" s="72"/>
      <c r="E976" s="72"/>
      <c r="F976" s="72"/>
      <c r="G976" s="72"/>
      <c r="H976" s="72"/>
      <c r="I976" s="72"/>
      <c r="J976" s="72"/>
      <c r="K976" s="72"/>
      <c r="L976" s="93"/>
      <c r="M976" s="93"/>
      <c r="N976" s="93"/>
      <c r="O976" s="93"/>
      <c r="P976" s="93"/>
      <c r="Q976" s="93"/>
      <c r="R976" s="93"/>
      <c r="S976" s="93"/>
      <c r="T976" s="93"/>
      <c r="U976" s="93"/>
      <c r="V976" s="93"/>
      <c r="W976" s="93"/>
      <c r="X976" s="93"/>
      <c r="Y976" s="93"/>
    </row>
    <row r="977" spans="1:25">
      <c r="A977" s="72"/>
      <c r="B977" s="72"/>
      <c r="C977" s="72"/>
      <c r="D977" s="72"/>
      <c r="E977" s="72"/>
      <c r="F977" s="72"/>
      <c r="G977" s="72"/>
      <c r="H977" s="72"/>
      <c r="I977" s="72"/>
      <c r="J977" s="72"/>
      <c r="K977" s="72"/>
      <c r="L977" s="93"/>
      <c r="M977" s="93"/>
      <c r="N977" s="93"/>
      <c r="O977" s="93"/>
      <c r="P977" s="93"/>
      <c r="Q977" s="93"/>
      <c r="R977" s="93"/>
      <c r="S977" s="93"/>
      <c r="T977" s="93"/>
      <c r="U977" s="93"/>
      <c r="V977" s="93"/>
      <c r="W977" s="93"/>
      <c r="X977" s="93"/>
      <c r="Y977" s="93"/>
    </row>
    <row r="978" spans="1:25">
      <c r="A978" s="72"/>
      <c r="B978" s="72"/>
      <c r="C978" s="72"/>
      <c r="D978" s="72"/>
      <c r="E978" s="72"/>
      <c r="F978" s="72"/>
      <c r="G978" s="72"/>
      <c r="H978" s="72"/>
      <c r="I978" s="72"/>
      <c r="J978" s="72"/>
      <c r="K978" s="72"/>
      <c r="L978" s="93"/>
      <c r="M978" s="93"/>
      <c r="N978" s="93"/>
      <c r="O978" s="93"/>
      <c r="P978" s="93"/>
      <c r="Q978" s="93"/>
      <c r="R978" s="93"/>
      <c r="S978" s="93"/>
      <c r="T978" s="93"/>
      <c r="U978" s="93"/>
      <c r="V978" s="93"/>
      <c r="W978" s="93"/>
      <c r="X978" s="93"/>
      <c r="Y978" s="93"/>
    </row>
    <row r="979" spans="1:25">
      <c r="A979" s="72"/>
      <c r="B979" s="72"/>
      <c r="C979" s="72"/>
      <c r="D979" s="72"/>
      <c r="E979" s="72"/>
      <c r="F979" s="72"/>
      <c r="G979" s="72"/>
      <c r="H979" s="72"/>
      <c r="I979" s="72"/>
      <c r="J979" s="72"/>
      <c r="K979" s="72"/>
      <c r="L979" s="93"/>
      <c r="M979" s="93"/>
      <c r="N979" s="93"/>
      <c r="O979" s="93"/>
      <c r="P979" s="93"/>
      <c r="Q979" s="93"/>
      <c r="R979" s="93"/>
      <c r="S979" s="93"/>
      <c r="T979" s="93"/>
      <c r="U979" s="93"/>
      <c r="V979" s="93"/>
      <c r="W979" s="93"/>
      <c r="X979" s="93"/>
      <c r="Y979" s="93"/>
    </row>
    <row r="980" spans="1:25">
      <c r="A980" s="72"/>
      <c r="B980" s="72"/>
      <c r="C980" s="72"/>
      <c r="D980" s="72"/>
      <c r="E980" s="72"/>
      <c r="F980" s="72"/>
      <c r="G980" s="72"/>
      <c r="H980" s="72"/>
      <c r="I980" s="72"/>
      <c r="J980" s="72"/>
      <c r="K980" s="72"/>
      <c r="L980" s="93"/>
      <c r="M980" s="93"/>
      <c r="N980" s="93"/>
      <c r="O980" s="93"/>
      <c r="P980" s="93"/>
      <c r="Q980" s="93"/>
      <c r="R980" s="93"/>
      <c r="S980" s="93"/>
      <c r="T980" s="93"/>
      <c r="U980" s="93"/>
      <c r="V980" s="93"/>
      <c r="W980" s="93"/>
      <c r="X980" s="93"/>
      <c r="Y980" s="93"/>
    </row>
    <row r="981" spans="1:25">
      <c r="A981" s="72"/>
      <c r="B981" s="72"/>
      <c r="C981" s="72"/>
      <c r="D981" s="72"/>
      <c r="E981" s="72"/>
      <c r="F981" s="72"/>
      <c r="G981" s="72"/>
      <c r="H981" s="72"/>
      <c r="I981" s="72"/>
      <c r="J981" s="72"/>
      <c r="K981" s="72"/>
      <c r="L981" s="93"/>
      <c r="M981" s="93"/>
      <c r="N981" s="93"/>
      <c r="O981" s="93"/>
      <c r="P981" s="93"/>
      <c r="Q981" s="93"/>
      <c r="R981" s="93"/>
      <c r="S981" s="93"/>
      <c r="T981" s="93"/>
      <c r="U981" s="93"/>
      <c r="V981" s="93"/>
      <c r="W981" s="93"/>
      <c r="X981" s="93"/>
      <c r="Y981" s="93"/>
    </row>
    <row r="982" spans="1:25">
      <c r="A982" s="72"/>
      <c r="B982" s="72"/>
      <c r="C982" s="72"/>
      <c r="D982" s="72"/>
      <c r="E982" s="72"/>
      <c r="F982" s="72"/>
      <c r="G982" s="72"/>
      <c r="H982" s="72"/>
      <c r="I982" s="72"/>
      <c r="J982" s="72"/>
      <c r="K982" s="72"/>
      <c r="L982" s="93"/>
      <c r="M982" s="93"/>
      <c r="N982" s="93"/>
      <c r="O982" s="93"/>
      <c r="P982" s="93"/>
      <c r="Q982" s="93"/>
      <c r="R982" s="93"/>
      <c r="S982" s="93"/>
      <c r="T982" s="93"/>
      <c r="U982" s="93"/>
      <c r="V982" s="93"/>
      <c r="W982" s="93"/>
      <c r="X982" s="93"/>
      <c r="Y982" s="93"/>
    </row>
    <row r="983" spans="1:25">
      <c r="A983" s="72"/>
      <c r="B983" s="72"/>
      <c r="C983" s="72"/>
      <c r="D983" s="72"/>
      <c r="E983" s="72"/>
      <c r="F983" s="72"/>
      <c r="G983" s="72"/>
      <c r="H983" s="72"/>
      <c r="I983" s="72"/>
      <c r="J983" s="72"/>
      <c r="K983" s="72"/>
      <c r="L983" s="93"/>
      <c r="M983" s="93"/>
      <c r="N983" s="93"/>
      <c r="O983" s="93"/>
      <c r="P983" s="93"/>
      <c r="Q983" s="93"/>
      <c r="R983" s="93"/>
      <c r="S983" s="93"/>
      <c r="T983" s="93"/>
      <c r="U983" s="93"/>
      <c r="V983" s="93"/>
      <c r="W983" s="93"/>
      <c r="X983" s="93"/>
      <c r="Y983" s="93"/>
    </row>
    <row r="984" spans="1:25">
      <c r="A984" s="72"/>
      <c r="B984" s="72"/>
      <c r="C984" s="72"/>
      <c r="D984" s="72"/>
      <c r="E984" s="72"/>
      <c r="F984" s="72"/>
      <c r="G984" s="72"/>
      <c r="H984" s="72"/>
      <c r="I984" s="72"/>
      <c r="J984" s="72"/>
      <c r="K984" s="72"/>
      <c r="L984" s="93"/>
      <c r="M984" s="93"/>
      <c r="N984" s="93"/>
      <c r="O984" s="93"/>
      <c r="P984" s="93"/>
      <c r="Q984" s="93"/>
      <c r="R984" s="93"/>
      <c r="S984" s="93"/>
      <c r="T984" s="93"/>
      <c r="U984" s="93"/>
      <c r="V984" s="93"/>
      <c r="W984" s="93"/>
      <c r="X984" s="93"/>
      <c r="Y984" s="93"/>
    </row>
    <row r="985" spans="1:25">
      <c r="A985" s="72"/>
      <c r="B985" s="72"/>
      <c r="C985" s="72"/>
      <c r="D985" s="72"/>
      <c r="E985" s="72"/>
      <c r="F985" s="72"/>
      <c r="G985" s="72"/>
      <c r="H985" s="72"/>
      <c r="I985" s="72"/>
      <c r="J985" s="72"/>
      <c r="K985" s="72"/>
      <c r="L985" s="93"/>
      <c r="M985" s="93"/>
      <c r="N985" s="93"/>
      <c r="O985" s="93"/>
      <c r="P985" s="93"/>
      <c r="Q985" s="93"/>
      <c r="R985" s="93"/>
      <c r="S985" s="93"/>
      <c r="T985" s="93"/>
      <c r="U985" s="93"/>
      <c r="V985" s="93"/>
      <c r="W985" s="93"/>
      <c r="X985" s="93"/>
      <c r="Y985" s="93"/>
    </row>
    <row r="986" spans="1:25">
      <c r="A986" s="72"/>
      <c r="B986" s="72"/>
      <c r="C986" s="72"/>
      <c r="D986" s="72"/>
      <c r="E986" s="72"/>
      <c r="F986" s="72"/>
      <c r="G986" s="72"/>
      <c r="H986" s="72"/>
      <c r="I986" s="72"/>
      <c r="J986" s="72"/>
      <c r="K986" s="72"/>
      <c r="L986" s="93"/>
      <c r="M986" s="93"/>
      <c r="N986" s="93"/>
      <c r="O986" s="93"/>
      <c r="P986" s="93"/>
      <c r="Q986" s="93"/>
      <c r="R986" s="93"/>
      <c r="S986" s="93"/>
      <c r="T986" s="93"/>
      <c r="U986" s="93"/>
      <c r="V986" s="93"/>
      <c r="W986" s="93"/>
      <c r="X986" s="93"/>
      <c r="Y986" s="93"/>
    </row>
    <row r="987" spans="1:25">
      <c r="A987" s="72"/>
      <c r="B987" s="72"/>
      <c r="C987" s="72"/>
      <c r="D987" s="72"/>
      <c r="E987" s="72"/>
      <c r="F987" s="72"/>
      <c r="G987" s="72"/>
      <c r="H987" s="72"/>
      <c r="I987" s="72"/>
      <c r="J987" s="72"/>
      <c r="K987" s="72"/>
      <c r="L987" s="93"/>
      <c r="M987" s="93"/>
      <c r="N987" s="93"/>
      <c r="O987" s="93"/>
      <c r="P987" s="93"/>
      <c r="Q987" s="93"/>
      <c r="R987" s="93"/>
      <c r="S987" s="93"/>
      <c r="T987" s="93"/>
      <c r="U987" s="93"/>
      <c r="V987" s="93"/>
      <c r="W987" s="93"/>
      <c r="X987" s="93"/>
      <c r="Y987" s="93"/>
    </row>
    <row r="988" spans="1:25">
      <c r="A988" s="72"/>
      <c r="B988" s="72"/>
      <c r="C988" s="72"/>
      <c r="D988" s="72"/>
      <c r="E988" s="72"/>
      <c r="F988" s="72"/>
      <c r="G988" s="72"/>
      <c r="H988" s="72"/>
      <c r="I988" s="72"/>
      <c r="J988" s="72"/>
      <c r="K988" s="72"/>
      <c r="L988" s="93"/>
      <c r="M988" s="93"/>
      <c r="N988" s="93"/>
      <c r="O988" s="93"/>
      <c r="P988" s="93"/>
      <c r="Q988" s="93"/>
      <c r="R988" s="93"/>
      <c r="S988" s="93"/>
      <c r="T988" s="93"/>
      <c r="U988" s="93"/>
      <c r="V988" s="93"/>
      <c r="W988" s="93"/>
      <c r="X988" s="93"/>
      <c r="Y988" s="93"/>
    </row>
    <row r="989" spans="1:25">
      <c r="A989" s="72"/>
      <c r="B989" s="72"/>
      <c r="C989" s="72"/>
      <c r="D989" s="72"/>
      <c r="E989" s="72"/>
      <c r="F989" s="72"/>
      <c r="G989" s="72"/>
      <c r="H989" s="72"/>
      <c r="I989" s="72"/>
      <c r="J989" s="72"/>
      <c r="K989" s="72"/>
      <c r="L989" s="93"/>
      <c r="M989" s="93"/>
      <c r="N989" s="93"/>
      <c r="O989" s="93"/>
      <c r="P989" s="93"/>
      <c r="Q989" s="93"/>
      <c r="R989" s="93"/>
      <c r="S989" s="93"/>
      <c r="T989" s="93"/>
      <c r="U989" s="93"/>
      <c r="V989" s="93"/>
      <c r="W989" s="93"/>
      <c r="X989" s="93"/>
      <c r="Y989" s="93"/>
    </row>
    <row r="990" spans="1:25">
      <c r="A990" s="72"/>
      <c r="B990" s="72"/>
      <c r="C990" s="72"/>
      <c r="D990" s="72"/>
      <c r="E990" s="72"/>
      <c r="F990" s="72"/>
      <c r="G990" s="72"/>
      <c r="H990" s="72"/>
      <c r="I990" s="72"/>
      <c r="J990" s="72"/>
      <c r="K990" s="72"/>
      <c r="L990" s="93"/>
      <c r="M990" s="93"/>
      <c r="N990" s="93"/>
      <c r="O990" s="93"/>
      <c r="P990" s="93"/>
      <c r="Q990" s="93"/>
      <c r="R990" s="93"/>
      <c r="S990" s="93"/>
      <c r="T990" s="93"/>
      <c r="U990" s="93"/>
      <c r="V990" s="93"/>
      <c r="W990" s="93"/>
      <c r="X990" s="93"/>
      <c r="Y990" s="93"/>
    </row>
    <row r="991" spans="1:25">
      <c r="A991" s="72"/>
      <c r="B991" s="72"/>
      <c r="C991" s="72"/>
      <c r="D991" s="72"/>
      <c r="E991" s="72"/>
      <c r="F991" s="72"/>
      <c r="G991" s="72"/>
      <c r="H991" s="72"/>
      <c r="I991" s="72"/>
      <c r="J991" s="72"/>
      <c r="K991" s="72"/>
      <c r="L991" s="93"/>
      <c r="M991" s="93"/>
      <c r="N991" s="93"/>
      <c r="O991" s="93"/>
      <c r="P991" s="93"/>
      <c r="Q991" s="93"/>
      <c r="R991" s="93"/>
      <c r="S991" s="93"/>
      <c r="T991" s="93"/>
      <c r="U991" s="93"/>
      <c r="V991" s="93"/>
      <c r="W991" s="93"/>
      <c r="X991" s="93"/>
      <c r="Y991" s="93"/>
    </row>
    <row r="992" spans="1:25">
      <c r="A992" s="72"/>
      <c r="B992" s="72"/>
      <c r="C992" s="72"/>
      <c r="D992" s="72"/>
      <c r="E992" s="72"/>
      <c r="F992" s="72"/>
      <c r="G992" s="72"/>
      <c r="H992" s="72"/>
      <c r="I992" s="72"/>
      <c r="J992" s="72"/>
      <c r="K992" s="72"/>
      <c r="L992" s="93"/>
      <c r="M992" s="93"/>
      <c r="N992" s="93"/>
      <c r="O992" s="93"/>
      <c r="P992" s="93"/>
      <c r="Q992" s="93"/>
      <c r="R992" s="93"/>
      <c r="S992" s="93"/>
      <c r="T992" s="93"/>
      <c r="U992" s="93"/>
      <c r="V992" s="93"/>
      <c r="W992" s="93"/>
      <c r="X992" s="93"/>
      <c r="Y992" s="93"/>
    </row>
    <row r="993" spans="1:25">
      <c r="A993" s="72"/>
      <c r="B993" s="72"/>
      <c r="C993" s="72"/>
      <c r="D993" s="72"/>
      <c r="E993" s="72"/>
      <c r="F993" s="72"/>
      <c r="G993" s="72"/>
      <c r="H993" s="72"/>
      <c r="I993" s="72"/>
      <c r="J993" s="72"/>
      <c r="K993" s="72"/>
      <c r="L993" s="93"/>
      <c r="M993" s="93"/>
      <c r="N993" s="93"/>
      <c r="O993" s="93"/>
      <c r="P993" s="93"/>
      <c r="Q993" s="93"/>
      <c r="R993" s="93"/>
      <c r="S993" s="93"/>
      <c r="T993" s="93"/>
      <c r="U993" s="93"/>
      <c r="V993" s="93"/>
      <c r="W993" s="93"/>
      <c r="X993" s="93"/>
      <c r="Y993" s="93"/>
    </row>
    <row r="994" spans="1:25">
      <c r="A994" s="72"/>
      <c r="B994" s="72"/>
      <c r="C994" s="72"/>
      <c r="D994" s="72"/>
      <c r="E994" s="72"/>
      <c r="F994" s="72"/>
      <c r="G994" s="72"/>
      <c r="H994" s="72"/>
      <c r="I994" s="72"/>
      <c r="J994" s="72"/>
      <c r="K994" s="72"/>
      <c r="L994" s="93"/>
      <c r="M994" s="93"/>
      <c r="N994" s="93"/>
      <c r="O994" s="93"/>
      <c r="P994" s="93"/>
      <c r="Q994" s="93"/>
      <c r="R994" s="93"/>
      <c r="S994" s="93"/>
      <c r="T994" s="93"/>
      <c r="U994" s="93"/>
      <c r="V994" s="93"/>
      <c r="W994" s="93"/>
      <c r="X994" s="93"/>
      <c r="Y994" s="93"/>
    </row>
    <row r="995" spans="1:25">
      <c r="A995" s="72"/>
      <c r="B995" s="72"/>
      <c r="C995" s="72"/>
      <c r="D995" s="72"/>
      <c r="E995" s="72"/>
      <c r="F995" s="72"/>
      <c r="G995" s="72"/>
      <c r="H995" s="72"/>
      <c r="I995" s="72"/>
      <c r="J995" s="72"/>
      <c r="K995" s="72"/>
      <c r="L995" s="93"/>
      <c r="M995" s="93"/>
      <c r="N995" s="93"/>
      <c r="O995" s="93"/>
      <c r="P995" s="93"/>
      <c r="Q995" s="93"/>
      <c r="R995" s="93"/>
      <c r="S995" s="93"/>
      <c r="T995" s="93"/>
      <c r="U995" s="93"/>
      <c r="V995" s="93"/>
      <c r="W995" s="93"/>
      <c r="X995" s="93"/>
      <c r="Y995" s="93"/>
    </row>
    <row r="996" spans="1:25">
      <c r="A996" s="72"/>
      <c r="B996" s="72"/>
      <c r="C996" s="72"/>
      <c r="D996" s="72"/>
      <c r="E996" s="72"/>
      <c r="F996" s="72"/>
      <c r="G996" s="72"/>
      <c r="H996" s="72"/>
      <c r="I996" s="72"/>
      <c r="J996" s="72"/>
      <c r="K996" s="72"/>
      <c r="L996" s="93"/>
      <c r="M996" s="93"/>
      <c r="N996" s="93"/>
      <c r="O996" s="93"/>
      <c r="P996" s="93"/>
      <c r="Q996" s="93"/>
      <c r="R996" s="93"/>
      <c r="S996" s="93"/>
      <c r="T996" s="93"/>
      <c r="U996" s="93"/>
      <c r="V996" s="93"/>
      <c r="W996" s="93"/>
      <c r="X996" s="93"/>
      <c r="Y996" s="93"/>
    </row>
    <row r="997" spans="1:25">
      <c r="A997" s="72"/>
      <c r="B997" s="72"/>
      <c r="C997" s="72"/>
      <c r="D997" s="72"/>
      <c r="E997" s="72"/>
      <c r="F997" s="72"/>
      <c r="G997" s="72"/>
      <c r="H997" s="72"/>
      <c r="I997" s="72"/>
      <c r="J997" s="72"/>
      <c r="K997" s="72"/>
      <c r="L997" s="93"/>
      <c r="M997" s="93"/>
      <c r="N997" s="93"/>
      <c r="O997" s="93"/>
      <c r="P997" s="93"/>
      <c r="Q997" s="93"/>
      <c r="R997" s="93"/>
      <c r="S997" s="93"/>
      <c r="T997" s="93"/>
      <c r="U997" s="93"/>
      <c r="V997" s="93"/>
      <c r="W997" s="93"/>
      <c r="X997" s="93"/>
      <c r="Y997" s="93"/>
    </row>
    <row r="998" spans="1:25">
      <c r="A998" s="72"/>
      <c r="B998" s="72"/>
      <c r="C998" s="72"/>
      <c r="D998" s="72"/>
      <c r="E998" s="72"/>
      <c r="F998" s="72"/>
      <c r="G998" s="72"/>
      <c r="H998" s="72"/>
      <c r="I998" s="72"/>
      <c r="J998" s="72"/>
      <c r="K998" s="72"/>
      <c r="L998" s="93"/>
      <c r="M998" s="93"/>
      <c r="N998" s="93"/>
      <c r="O998" s="93"/>
      <c r="P998" s="93"/>
      <c r="Q998" s="93"/>
      <c r="R998" s="93"/>
      <c r="S998" s="93"/>
      <c r="T998" s="93"/>
      <c r="U998" s="93"/>
      <c r="V998" s="93"/>
      <c r="W998" s="93"/>
      <c r="X998" s="93"/>
      <c r="Y998" s="93"/>
    </row>
    <row r="999" spans="1:25">
      <c r="A999" s="72"/>
      <c r="B999" s="72"/>
      <c r="C999" s="72"/>
      <c r="D999" s="72"/>
      <c r="E999" s="72"/>
      <c r="F999" s="72"/>
      <c r="G999" s="72"/>
      <c r="H999" s="72"/>
      <c r="I999" s="72"/>
      <c r="J999" s="72"/>
      <c r="K999" s="72"/>
      <c r="L999" s="93"/>
      <c r="M999" s="93"/>
      <c r="N999" s="93"/>
      <c r="O999" s="93"/>
      <c r="P999" s="93"/>
      <c r="Q999" s="93"/>
      <c r="R999" s="93"/>
      <c r="S999" s="93"/>
      <c r="T999" s="93"/>
      <c r="U999" s="93"/>
      <c r="V999" s="93"/>
      <c r="W999" s="93"/>
      <c r="X999" s="93"/>
      <c r="Y999" s="93"/>
    </row>
    <row r="1000" spans="1:25">
      <c r="A1000" s="72"/>
      <c r="B1000" s="72"/>
      <c r="C1000" s="72"/>
      <c r="D1000" s="72"/>
      <c r="E1000" s="72"/>
      <c r="F1000" s="72"/>
      <c r="G1000" s="72"/>
      <c r="H1000" s="72"/>
      <c r="I1000" s="72"/>
      <c r="J1000" s="72"/>
      <c r="K1000" s="72"/>
      <c r="L1000" s="93"/>
      <c r="M1000" s="93"/>
      <c r="N1000" s="93"/>
      <c r="O1000" s="93"/>
      <c r="P1000" s="93"/>
      <c r="Q1000" s="93"/>
      <c r="R1000" s="93"/>
      <c r="S1000" s="93"/>
      <c r="T1000" s="93"/>
      <c r="U1000" s="93"/>
      <c r="V1000" s="93"/>
      <c r="W1000" s="93"/>
      <c r="X1000" s="93"/>
      <c r="Y1000" s="93"/>
    </row>
  </sheetData>
  <printOptions horizontalCentered="1" gridLines="1"/>
  <pageMargins left="0.7" right="0.7" top="0.75" bottom="0.75" header="0" footer="0"/>
  <pageSetup fitToHeight="0" pageOrder="overThenDown" orientation="landscape" cellComments="atEnd"/>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ummaryRight="0"/>
  </sheetPr>
  <dimension ref="A1:M1001"/>
  <sheetViews>
    <sheetView workbookViewId="0"/>
  </sheetViews>
  <sheetFormatPr defaultColWidth="12.7109375" defaultRowHeight="12.75" customHeight="1"/>
  <cols>
    <col min="1" max="1" width="23.28515625" customWidth="1"/>
    <col min="2" max="2" width="11.28515625" customWidth="1"/>
    <col min="8" max="9" width="4.85546875" customWidth="1"/>
    <col min="10" max="10" width="5.28515625" customWidth="1"/>
    <col min="11" max="11" width="5.42578125" customWidth="1"/>
    <col min="12" max="13" width="5.28515625" customWidth="1"/>
  </cols>
  <sheetData>
    <row r="1" spans="1:13">
      <c r="A1" s="3" t="s">
        <v>7677</v>
      </c>
      <c r="B1" s="6" t="s">
        <v>7678</v>
      </c>
      <c r="G1" s="2086"/>
      <c r="H1" s="2087"/>
      <c r="I1" s="2087"/>
      <c r="J1" s="2087"/>
    </row>
    <row r="2" spans="1:13">
      <c r="A2" s="9" t="s">
        <v>7679</v>
      </c>
      <c r="B2" s="69">
        <v>85</v>
      </c>
      <c r="H2" s="71"/>
      <c r="I2" s="71"/>
      <c r="J2" s="71"/>
      <c r="K2" s="8"/>
      <c r="L2" s="8"/>
      <c r="M2" s="8"/>
    </row>
    <row r="3" spans="1:13">
      <c r="A3" s="9" t="s">
        <v>7680</v>
      </c>
      <c r="B3" s="69">
        <v>80</v>
      </c>
      <c r="H3" s="69"/>
      <c r="I3" s="69"/>
      <c r="J3" s="69"/>
    </row>
    <row r="4" spans="1:13">
      <c r="A4" s="9" t="s">
        <v>7681</v>
      </c>
      <c r="B4" s="69">
        <v>75</v>
      </c>
      <c r="H4" s="69"/>
      <c r="I4" s="69"/>
      <c r="J4" s="69"/>
    </row>
    <row r="5" spans="1:13">
      <c r="A5" s="9" t="s">
        <v>7682</v>
      </c>
      <c r="B5" s="69">
        <v>70</v>
      </c>
      <c r="H5" s="69"/>
      <c r="I5" s="69"/>
      <c r="J5" s="69"/>
    </row>
    <row r="6" spans="1:13">
      <c r="A6" s="9" t="s">
        <v>7683</v>
      </c>
      <c r="B6" s="69">
        <v>70</v>
      </c>
      <c r="H6" s="69"/>
      <c r="I6" s="69"/>
      <c r="J6" s="69"/>
    </row>
    <row r="7" spans="1:13">
      <c r="A7" s="9" t="s">
        <v>7684</v>
      </c>
      <c r="B7" s="69">
        <v>70</v>
      </c>
    </row>
    <row r="8" spans="1:13">
      <c r="A8" s="9" t="s">
        <v>7685</v>
      </c>
      <c r="B8" s="69">
        <v>70</v>
      </c>
    </row>
    <row r="9" spans="1:13">
      <c r="A9" s="9" t="s">
        <v>7686</v>
      </c>
      <c r="B9" s="69">
        <v>70</v>
      </c>
    </row>
    <row r="10" spans="1:13">
      <c r="A10" s="9" t="s">
        <v>7687</v>
      </c>
      <c r="B10" s="69">
        <v>40</v>
      </c>
    </row>
    <row r="11" spans="1:13">
      <c r="A11" s="9" t="s">
        <v>7688</v>
      </c>
      <c r="B11" s="69">
        <v>60</v>
      </c>
    </row>
    <row r="12" spans="1:13">
      <c r="A12" s="9" t="s">
        <v>7689</v>
      </c>
      <c r="B12" s="69">
        <v>50</v>
      </c>
    </row>
    <row r="13" spans="1:13">
      <c r="A13" s="9" t="s">
        <v>7690</v>
      </c>
      <c r="B13" s="69">
        <v>40</v>
      </c>
    </row>
    <row r="14" spans="1:13">
      <c r="A14" s="9" t="s">
        <v>7691</v>
      </c>
      <c r="B14" s="69">
        <v>70</v>
      </c>
    </row>
    <row r="15" spans="1:13">
      <c r="A15" s="9" t="s">
        <v>7692</v>
      </c>
      <c r="B15" s="69">
        <v>40</v>
      </c>
    </row>
    <row r="16" spans="1:13">
      <c r="A16" s="9" t="s">
        <v>7693</v>
      </c>
      <c r="B16" s="69">
        <v>50</v>
      </c>
    </row>
    <row r="17" spans="1:7">
      <c r="A17" s="9" t="s">
        <v>7694</v>
      </c>
      <c r="B17" s="69">
        <v>70</v>
      </c>
    </row>
    <row r="18" spans="1:7">
      <c r="A18" s="9" t="s">
        <v>7695</v>
      </c>
      <c r="B18" s="69">
        <v>70</v>
      </c>
    </row>
    <row r="19" spans="1:7">
      <c r="A19" s="9" t="s">
        <v>7696</v>
      </c>
      <c r="B19" s="69">
        <v>70</v>
      </c>
      <c r="F19" s="3"/>
      <c r="G19" s="65"/>
    </row>
    <row r="20" spans="1:7">
      <c r="A20" s="9" t="s">
        <v>3751</v>
      </c>
      <c r="B20" s="69">
        <v>60</v>
      </c>
      <c r="G20" s="12"/>
    </row>
    <row r="21" spans="1:7">
      <c r="A21" s="9" t="s">
        <v>7272</v>
      </c>
      <c r="B21" s="69">
        <v>50</v>
      </c>
      <c r="G21" s="12"/>
    </row>
    <row r="22" spans="1:7">
      <c r="A22" s="9" t="s">
        <v>7697</v>
      </c>
      <c r="B22" s="69">
        <v>40</v>
      </c>
      <c r="G22" s="12"/>
    </row>
    <row r="23" spans="1:7">
      <c r="A23" s="9" t="s">
        <v>7698</v>
      </c>
      <c r="B23" s="69">
        <v>40</v>
      </c>
      <c r="G23" s="12"/>
    </row>
    <row r="24" spans="1:7">
      <c r="A24" s="9" t="s">
        <v>7699</v>
      </c>
      <c r="B24" s="69">
        <v>40</v>
      </c>
      <c r="F24" s="3"/>
      <c r="G24" s="65"/>
    </row>
    <row r="25" spans="1:7">
      <c r="A25" s="9" t="s">
        <v>7687</v>
      </c>
      <c r="B25" s="69">
        <v>30</v>
      </c>
    </row>
    <row r="26" spans="1:7">
      <c r="A26" s="9" t="s">
        <v>7700</v>
      </c>
      <c r="B26" s="69">
        <v>30</v>
      </c>
    </row>
    <row r="27" spans="1:7">
      <c r="A27" s="9" t="s">
        <v>7701</v>
      </c>
      <c r="B27" s="69">
        <v>30</v>
      </c>
    </row>
    <row r="28" spans="1:7">
      <c r="A28" s="9" t="s">
        <v>7702</v>
      </c>
      <c r="B28" s="69">
        <v>50</v>
      </c>
    </row>
    <row r="29" spans="1:7">
      <c r="B29" s="69"/>
    </row>
    <row r="30" spans="1:7">
      <c r="B30" s="69"/>
    </row>
    <row r="31" spans="1:7">
      <c r="B31" s="69"/>
    </row>
    <row r="32" spans="1:7">
      <c r="B32" s="69"/>
    </row>
    <row r="33" spans="2:2">
      <c r="B33" s="69"/>
    </row>
    <row r="34" spans="2:2">
      <c r="B34" s="69"/>
    </row>
    <row r="35" spans="2:2">
      <c r="B35" s="69"/>
    </row>
    <row r="36" spans="2:2">
      <c r="B36" s="69"/>
    </row>
    <row r="37" spans="2:2">
      <c r="B37" s="69"/>
    </row>
    <row r="38" spans="2:2">
      <c r="B38" s="69"/>
    </row>
    <row r="39" spans="2:2">
      <c r="B39" s="69"/>
    </row>
    <row r="40" spans="2:2">
      <c r="B40" s="69"/>
    </row>
    <row r="41" spans="2:2">
      <c r="B41" s="69"/>
    </row>
    <row r="42" spans="2:2">
      <c r="B42" s="69"/>
    </row>
    <row r="43" spans="2:2">
      <c r="B43" s="69"/>
    </row>
    <row r="44" spans="2:2">
      <c r="B44" s="69"/>
    </row>
    <row r="45" spans="2:2">
      <c r="B45" s="69"/>
    </row>
    <row r="46" spans="2:2">
      <c r="B46" s="69"/>
    </row>
    <row r="47" spans="2:2">
      <c r="B47" s="69"/>
    </row>
    <row r="48" spans="2:2">
      <c r="B48" s="69"/>
    </row>
    <row r="49" spans="2:2">
      <c r="B49" s="69"/>
    </row>
    <row r="50" spans="2:2">
      <c r="B50" s="69"/>
    </row>
    <row r="51" spans="2:2">
      <c r="B51" s="69"/>
    </row>
    <row r="52" spans="2:2">
      <c r="B52" s="69"/>
    </row>
    <row r="53" spans="2:2">
      <c r="B53" s="69"/>
    </row>
    <row r="54" spans="2:2">
      <c r="B54" s="69"/>
    </row>
    <row r="55" spans="2:2">
      <c r="B55" s="69"/>
    </row>
    <row r="56" spans="2:2">
      <c r="B56" s="69"/>
    </row>
    <row r="57" spans="2:2">
      <c r="B57" s="69"/>
    </row>
    <row r="58" spans="2:2">
      <c r="B58" s="69"/>
    </row>
    <row r="59" spans="2:2">
      <c r="B59" s="69"/>
    </row>
    <row r="60" spans="2:2">
      <c r="B60" s="69"/>
    </row>
    <row r="61" spans="2:2">
      <c r="B61" s="69"/>
    </row>
    <row r="62" spans="2:2">
      <c r="B62" s="69"/>
    </row>
    <row r="63" spans="2:2">
      <c r="B63" s="69"/>
    </row>
    <row r="64" spans="2:2">
      <c r="B64" s="69"/>
    </row>
    <row r="65" spans="2:2">
      <c r="B65" s="69"/>
    </row>
    <row r="66" spans="2:2">
      <c r="B66" s="69"/>
    </row>
    <row r="67" spans="2:2">
      <c r="B67" s="69"/>
    </row>
    <row r="68" spans="2:2">
      <c r="B68" s="69"/>
    </row>
    <row r="69" spans="2:2">
      <c r="B69" s="69"/>
    </row>
    <row r="70" spans="2:2">
      <c r="B70" s="69"/>
    </row>
    <row r="71" spans="2:2">
      <c r="B71" s="69"/>
    </row>
    <row r="72" spans="2:2">
      <c r="B72" s="69"/>
    </row>
    <row r="73" spans="2:2">
      <c r="B73" s="69"/>
    </row>
    <row r="74" spans="2:2">
      <c r="B74" s="69"/>
    </row>
    <row r="75" spans="2:2">
      <c r="B75" s="69"/>
    </row>
    <row r="76" spans="2:2">
      <c r="B76" s="69"/>
    </row>
    <row r="77" spans="2:2">
      <c r="B77" s="69"/>
    </row>
    <row r="78" spans="2:2">
      <c r="B78" s="69"/>
    </row>
    <row r="79" spans="2:2">
      <c r="B79" s="69"/>
    </row>
    <row r="80" spans="2:2">
      <c r="B80" s="69"/>
    </row>
    <row r="81" spans="2:2">
      <c r="B81" s="69"/>
    </row>
    <row r="82" spans="2:2">
      <c r="B82" s="69"/>
    </row>
    <row r="83" spans="2:2">
      <c r="B83" s="69"/>
    </row>
    <row r="84" spans="2:2">
      <c r="B84" s="69"/>
    </row>
    <row r="85" spans="2:2">
      <c r="B85" s="69"/>
    </row>
    <row r="86" spans="2:2">
      <c r="B86" s="69"/>
    </row>
    <row r="87" spans="2:2">
      <c r="B87" s="69"/>
    </row>
    <row r="88" spans="2:2">
      <c r="B88" s="69"/>
    </row>
    <row r="89" spans="2:2">
      <c r="B89" s="69"/>
    </row>
    <row r="90" spans="2:2">
      <c r="B90" s="69"/>
    </row>
    <row r="91" spans="2:2">
      <c r="B91" s="69"/>
    </row>
    <row r="92" spans="2:2">
      <c r="B92" s="69"/>
    </row>
    <row r="93" spans="2:2">
      <c r="B93" s="69"/>
    </row>
    <row r="94" spans="2:2">
      <c r="B94" s="69"/>
    </row>
    <row r="95" spans="2:2">
      <c r="B95" s="69"/>
    </row>
    <row r="96" spans="2:2">
      <c r="B96" s="69"/>
    </row>
    <row r="97" spans="2:2">
      <c r="B97" s="69"/>
    </row>
    <row r="98" spans="2:2">
      <c r="B98" s="69"/>
    </row>
    <row r="99" spans="2:2">
      <c r="B99" s="69"/>
    </row>
    <row r="100" spans="2:2">
      <c r="B100" s="69"/>
    </row>
    <row r="101" spans="2:2">
      <c r="B101" s="69"/>
    </row>
    <row r="102" spans="2:2">
      <c r="B102" s="69"/>
    </row>
    <row r="103" spans="2:2">
      <c r="B103" s="69"/>
    </row>
    <row r="104" spans="2:2">
      <c r="B104" s="69"/>
    </row>
    <row r="105" spans="2:2">
      <c r="B105" s="69"/>
    </row>
    <row r="106" spans="2:2">
      <c r="B106" s="69"/>
    </row>
    <row r="107" spans="2:2">
      <c r="B107" s="69"/>
    </row>
    <row r="108" spans="2:2">
      <c r="B108" s="69"/>
    </row>
    <row r="109" spans="2:2">
      <c r="B109" s="69"/>
    </row>
    <row r="110" spans="2:2">
      <c r="B110" s="69"/>
    </row>
    <row r="111" spans="2:2">
      <c r="B111" s="69"/>
    </row>
    <row r="112" spans="2:2">
      <c r="B112" s="69"/>
    </row>
    <row r="113" spans="2:2">
      <c r="B113" s="69"/>
    </row>
    <row r="114" spans="2:2">
      <c r="B114" s="69"/>
    </row>
    <row r="115" spans="2:2">
      <c r="B115" s="69"/>
    </row>
    <row r="116" spans="2:2">
      <c r="B116" s="69"/>
    </row>
    <row r="117" spans="2:2">
      <c r="B117" s="69"/>
    </row>
    <row r="118" spans="2:2">
      <c r="B118" s="69"/>
    </row>
    <row r="119" spans="2:2">
      <c r="B119" s="69"/>
    </row>
    <row r="120" spans="2:2">
      <c r="B120" s="69"/>
    </row>
    <row r="121" spans="2:2">
      <c r="B121" s="69"/>
    </row>
    <row r="122" spans="2:2">
      <c r="B122" s="69"/>
    </row>
    <row r="123" spans="2:2">
      <c r="B123" s="69"/>
    </row>
    <row r="124" spans="2:2">
      <c r="B124" s="69"/>
    </row>
    <row r="125" spans="2:2">
      <c r="B125" s="69"/>
    </row>
    <row r="126" spans="2:2">
      <c r="B126" s="69"/>
    </row>
    <row r="127" spans="2:2">
      <c r="B127" s="69"/>
    </row>
    <row r="128" spans="2:2">
      <c r="B128" s="69"/>
    </row>
    <row r="129" spans="2:2">
      <c r="B129" s="69"/>
    </row>
    <row r="130" spans="2:2">
      <c r="B130" s="69"/>
    </row>
    <row r="131" spans="2:2">
      <c r="B131" s="69"/>
    </row>
    <row r="132" spans="2:2">
      <c r="B132" s="69"/>
    </row>
    <row r="133" spans="2:2">
      <c r="B133" s="69"/>
    </row>
    <row r="134" spans="2:2">
      <c r="B134" s="69"/>
    </row>
    <row r="135" spans="2:2">
      <c r="B135" s="69"/>
    </row>
    <row r="136" spans="2:2">
      <c r="B136" s="69"/>
    </row>
    <row r="137" spans="2:2">
      <c r="B137" s="69"/>
    </row>
    <row r="138" spans="2:2">
      <c r="B138" s="69"/>
    </row>
    <row r="139" spans="2:2">
      <c r="B139" s="69"/>
    </row>
    <row r="140" spans="2:2">
      <c r="B140" s="69"/>
    </row>
    <row r="141" spans="2:2">
      <c r="B141" s="69"/>
    </row>
    <row r="142" spans="2:2">
      <c r="B142" s="69"/>
    </row>
    <row r="143" spans="2:2">
      <c r="B143" s="69"/>
    </row>
    <row r="144" spans="2:2">
      <c r="B144" s="69"/>
    </row>
    <row r="145" spans="2:2">
      <c r="B145" s="69"/>
    </row>
    <row r="146" spans="2:2">
      <c r="B146" s="69"/>
    </row>
    <row r="147" spans="2:2">
      <c r="B147" s="69"/>
    </row>
    <row r="148" spans="2:2">
      <c r="B148" s="69"/>
    </row>
    <row r="149" spans="2:2">
      <c r="B149" s="69"/>
    </row>
    <row r="150" spans="2:2">
      <c r="B150" s="69"/>
    </row>
    <row r="151" spans="2:2">
      <c r="B151" s="69"/>
    </row>
    <row r="152" spans="2:2">
      <c r="B152" s="69"/>
    </row>
    <row r="153" spans="2:2">
      <c r="B153" s="69"/>
    </row>
    <row r="154" spans="2:2">
      <c r="B154" s="69"/>
    </row>
    <row r="155" spans="2:2">
      <c r="B155" s="69"/>
    </row>
    <row r="156" spans="2:2">
      <c r="B156" s="69"/>
    </row>
    <row r="157" spans="2:2">
      <c r="B157" s="69"/>
    </row>
    <row r="158" spans="2:2">
      <c r="B158" s="69"/>
    </row>
    <row r="159" spans="2:2">
      <c r="B159" s="69"/>
    </row>
    <row r="160" spans="2:2">
      <c r="B160" s="69"/>
    </row>
    <row r="161" spans="2:2">
      <c r="B161" s="69"/>
    </row>
    <row r="162" spans="2:2">
      <c r="B162" s="69"/>
    </row>
    <row r="163" spans="2:2">
      <c r="B163" s="69"/>
    </row>
    <row r="164" spans="2:2">
      <c r="B164" s="69"/>
    </row>
    <row r="165" spans="2:2">
      <c r="B165" s="69"/>
    </row>
    <row r="166" spans="2:2">
      <c r="B166" s="69"/>
    </row>
    <row r="167" spans="2:2">
      <c r="B167" s="69"/>
    </row>
    <row r="168" spans="2:2">
      <c r="B168" s="69"/>
    </row>
    <row r="169" spans="2:2">
      <c r="B169" s="69"/>
    </row>
    <row r="170" spans="2:2">
      <c r="B170" s="69"/>
    </row>
    <row r="171" spans="2:2">
      <c r="B171" s="69"/>
    </row>
    <row r="172" spans="2:2">
      <c r="B172" s="69"/>
    </row>
    <row r="173" spans="2:2">
      <c r="B173" s="69"/>
    </row>
    <row r="174" spans="2:2">
      <c r="B174" s="69"/>
    </row>
    <row r="175" spans="2:2">
      <c r="B175" s="69"/>
    </row>
    <row r="176" spans="2:2">
      <c r="B176" s="69"/>
    </row>
    <row r="177" spans="2:2">
      <c r="B177" s="69"/>
    </row>
    <row r="178" spans="2:2">
      <c r="B178" s="69"/>
    </row>
    <row r="179" spans="2:2">
      <c r="B179" s="69"/>
    </row>
    <row r="180" spans="2:2">
      <c r="B180" s="69"/>
    </row>
    <row r="181" spans="2:2">
      <c r="B181" s="69"/>
    </row>
    <row r="182" spans="2:2">
      <c r="B182" s="69"/>
    </row>
    <row r="183" spans="2:2">
      <c r="B183" s="69"/>
    </row>
    <row r="184" spans="2:2">
      <c r="B184" s="69"/>
    </row>
    <row r="185" spans="2:2">
      <c r="B185" s="69"/>
    </row>
    <row r="186" spans="2:2">
      <c r="B186" s="69"/>
    </row>
    <row r="187" spans="2:2">
      <c r="B187" s="69"/>
    </row>
    <row r="188" spans="2:2">
      <c r="B188" s="69"/>
    </row>
    <row r="189" spans="2:2">
      <c r="B189" s="69"/>
    </row>
    <row r="190" spans="2:2">
      <c r="B190" s="69"/>
    </row>
    <row r="191" spans="2:2">
      <c r="B191" s="69"/>
    </row>
    <row r="192" spans="2:2">
      <c r="B192" s="69"/>
    </row>
    <row r="193" spans="2:2">
      <c r="B193" s="69"/>
    </row>
    <row r="194" spans="2:2">
      <c r="B194" s="69"/>
    </row>
    <row r="195" spans="2:2">
      <c r="B195" s="69"/>
    </row>
    <row r="196" spans="2:2">
      <c r="B196" s="69"/>
    </row>
    <row r="197" spans="2:2">
      <c r="B197" s="69"/>
    </row>
    <row r="198" spans="2:2">
      <c r="B198" s="69"/>
    </row>
    <row r="199" spans="2:2">
      <c r="B199" s="69"/>
    </row>
    <row r="200" spans="2:2">
      <c r="B200" s="69"/>
    </row>
    <row r="201" spans="2:2">
      <c r="B201" s="69"/>
    </row>
    <row r="202" spans="2:2">
      <c r="B202" s="69"/>
    </row>
    <row r="203" spans="2:2">
      <c r="B203" s="69"/>
    </row>
    <row r="204" spans="2:2">
      <c r="B204" s="69"/>
    </row>
    <row r="205" spans="2:2">
      <c r="B205" s="69"/>
    </row>
    <row r="206" spans="2:2">
      <c r="B206" s="69"/>
    </row>
    <row r="207" spans="2:2">
      <c r="B207" s="69"/>
    </row>
    <row r="208" spans="2:2">
      <c r="B208" s="69"/>
    </row>
    <row r="209" spans="2:2">
      <c r="B209" s="69"/>
    </row>
    <row r="210" spans="2:2">
      <c r="B210" s="69"/>
    </row>
    <row r="211" spans="2:2">
      <c r="B211" s="69"/>
    </row>
    <row r="212" spans="2:2">
      <c r="B212" s="69"/>
    </row>
    <row r="213" spans="2:2">
      <c r="B213" s="69"/>
    </row>
    <row r="214" spans="2:2">
      <c r="B214" s="69"/>
    </row>
    <row r="215" spans="2:2">
      <c r="B215" s="69"/>
    </row>
    <row r="216" spans="2:2">
      <c r="B216" s="69"/>
    </row>
    <row r="217" spans="2:2">
      <c r="B217" s="69"/>
    </row>
    <row r="218" spans="2:2">
      <c r="B218" s="69"/>
    </row>
    <row r="219" spans="2:2">
      <c r="B219" s="69"/>
    </row>
    <row r="220" spans="2:2">
      <c r="B220" s="69"/>
    </row>
    <row r="221" spans="2:2">
      <c r="B221" s="69"/>
    </row>
    <row r="222" spans="2:2">
      <c r="B222" s="69"/>
    </row>
    <row r="223" spans="2:2">
      <c r="B223" s="69"/>
    </row>
    <row r="224" spans="2:2">
      <c r="B224" s="69"/>
    </row>
    <row r="225" spans="2:2">
      <c r="B225" s="69"/>
    </row>
    <row r="226" spans="2:2">
      <c r="B226" s="69"/>
    </row>
    <row r="227" spans="2:2">
      <c r="B227" s="69"/>
    </row>
    <row r="228" spans="2:2">
      <c r="B228" s="69"/>
    </row>
    <row r="229" spans="2:2">
      <c r="B229" s="69"/>
    </row>
    <row r="230" spans="2:2">
      <c r="B230" s="69"/>
    </row>
    <row r="231" spans="2:2">
      <c r="B231" s="69"/>
    </row>
    <row r="232" spans="2:2">
      <c r="B232" s="69"/>
    </row>
    <row r="233" spans="2:2">
      <c r="B233" s="69"/>
    </row>
    <row r="234" spans="2:2">
      <c r="B234" s="69"/>
    </row>
    <row r="235" spans="2:2">
      <c r="B235" s="69"/>
    </row>
    <row r="236" spans="2:2">
      <c r="B236" s="69"/>
    </row>
    <row r="237" spans="2:2">
      <c r="B237" s="69"/>
    </row>
    <row r="238" spans="2:2">
      <c r="B238" s="69"/>
    </row>
    <row r="239" spans="2:2">
      <c r="B239" s="69"/>
    </row>
    <row r="240" spans="2:2">
      <c r="B240" s="69"/>
    </row>
    <row r="241" spans="2:2">
      <c r="B241" s="69"/>
    </row>
    <row r="242" spans="2:2">
      <c r="B242" s="69"/>
    </row>
    <row r="243" spans="2:2">
      <c r="B243" s="69"/>
    </row>
    <row r="244" spans="2:2">
      <c r="B244" s="69"/>
    </row>
    <row r="245" spans="2:2">
      <c r="B245" s="69"/>
    </row>
    <row r="246" spans="2:2">
      <c r="B246" s="69"/>
    </row>
    <row r="247" spans="2:2">
      <c r="B247" s="69"/>
    </row>
    <row r="248" spans="2:2">
      <c r="B248" s="69"/>
    </row>
    <row r="249" spans="2:2">
      <c r="B249" s="69"/>
    </row>
    <row r="250" spans="2:2">
      <c r="B250" s="69"/>
    </row>
    <row r="251" spans="2:2">
      <c r="B251" s="69"/>
    </row>
    <row r="252" spans="2:2">
      <c r="B252" s="69"/>
    </row>
    <row r="253" spans="2:2">
      <c r="B253" s="69"/>
    </row>
    <row r="254" spans="2:2">
      <c r="B254" s="69"/>
    </row>
    <row r="255" spans="2:2">
      <c r="B255" s="69"/>
    </row>
    <row r="256" spans="2:2">
      <c r="B256" s="69"/>
    </row>
    <row r="257" spans="2:2">
      <c r="B257" s="69"/>
    </row>
    <row r="258" spans="2:2">
      <c r="B258" s="69"/>
    </row>
    <row r="259" spans="2:2">
      <c r="B259" s="69"/>
    </row>
    <row r="260" spans="2:2">
      <c r="B260" s="69"/>
    </row>
    <row r="261" spans="2:2">
      <c r="B261" s="69"/>
    </row>
    <row r="262" spans="2:2">
      <c r="B262" s="69"/>
    </row>
    <row r="263" spans="2:2">
      <c r="B263" s="69"/>
    </row>
    <row r="264" spans="2:2">
      <c r="B264" s="69"/>
    </row>
    <row r="265" spans="2:2">
      <c r="B265" s="69"/>
    </row>
    <row r="266" spans="2:2">
      <c r="B266" s="69"/>
    </row>
    <row r="267" spans="2:2">
      <c r="B267" s="69"/>
    </row>
    <row r="268" spans="2:2">
      <c r="B268" s="69"/>
    </row>
    <row r="269" spans="2:2">
      <c r="B269" s="69"/>
    </row>
    <row r="270" spans="2:2">
      <c r="B270" s="69"/>
    </row>
    <row r="271" spans="2:2">
      <c r="B271" s="69"/>
    </row>
    <row r="272" spans="2:2">
      <c r="B272" s="69"/>
    </row>
    <row r="273" spans="2:2">
      <c r="B273" s="69"/>
    </row>
    <row r="274" spans="2:2">
      <c r="B274" s="69"/>
    </row>
    <row r="275" spans="2:2">
      <c r="B275" s="69"/>
    </row>
    <row r="276" spans="2:2">
      <c r="B276" s="69"/>
    </row>
    <row r="277" spans="2:2">
      <c r="B277" s="69"/>
    </row>
    <row r="278" spans="2:2">
      <c r="B278" s="69"/>
    </row>
    <row r="279" spans="2:2">
      <c r="B279" s="69"/>
    </row>
    <row r="280" spans="2:2">
      <c r="B280" s="69"/>
    </row>
    <row r="281" spans="2:2">
      <c r="B281" s="69"/>
    </row>
    <row r="282" spans="2:2">
      <c r="B282" s="69"/>
    </row>
    <row r="283" spans="2:2">
      <c r="B283" s="69"/>
    </row>
    <row r="284" spans="2:2">
      <c r="B284" s="69"/>
    </row>
    <row r="285" spans="2:2">
      <c r="B285" s="69"/>
    </row>
    <row r="286" spans="2:2">
      <c r="B286" s="69"/>
    </row>
    <row r="287" spans="2:2">
      <c r="B287" s="69"/>
    </row>
    <row r="288" spans="2:2">
      <c r="B288" s="69"/>
    </row>
    <row r="289" spans="2:2">
      <c r="B289" s="69"/>
    </row>
    <row r="290" spans="2:2">
      <c r="B290" s="69"/>
    </row>
    <row r="291" spans="2:2">
      <c r="B291" s="69"/>
    </row>
    <row r="292" spans="2:2">
      <c r="B292" s="69"/>
    </row>
    <row r="293" spans="2:2">
      <c r="B293" s="69"/>
    </row>
    <row r="294" spans="2:2">
      <c r="B294" s="69"/>
    </row>
    <row r="295" spans="2:2">
      <c r="B295" s="69"/>
    </row>
    <row r="296" spans="2:2">
      <c r="B296" s="69"/>
    </row>
    <row r="297" spans="2:2">
      <c r="B297" s="69"/>
    </row>
    <row r="298" spans="2:2">
      <c r="B298" s="69"/>
    </row>
    <row r="299" spans="2:2">
      <c r="B299" s="69"/>
    </row>
    <row r="300" spans="2:2">
      <c r="B300" s="69"/>
    </row>
    <row r="301" spans="2:2">
      <c r="B301" s="69"/>
    </row>
    <row r="302" spans="2:2">
      <c r="B302" s="69"/>
    </row>
    <row r="303" spans="2:2">
      <c r="B303" s="69"/>
    </row>
    <row r="304" spans="2:2">
      <c r="B304" s="69"/>
    </row>
    <row r="305" spans="2:2">
      <c r="B305" s="69"/>
    </row>
    <row r="306" spans="2:2">
      <c r="B306" s="69"/>
    </row>
    <row r="307" spans="2:2">
      <c r="B307" s="69"/>
    </row>
    <row r="308" spans="2:2">
      <c r="B308" s="69"/>
    </row>
    <row r="309" spans="2:2">
      <c r="B309" s="69"/>
    </row>
    <row r="310" spans="2:2">
      <c r="B310" s="69"/>
    </row>
    <row r="311" spans="2:2">
      <c r="B311" s="69"/>
    </row>
    <row r="312" spans="2:2">
      <c r="B312" s="69"/>
    </row>
    <row r="313" spans="2:2">
      <c r="B313" s="69"/>
    </row>
    <row r="314" spans="2:2">
      <c r="B314" s="69"/>
    </row>
    <row r="315" spans="2:2">
      <c r="B315" s="69"/>
    </row>
    <row r="316" spans="2:2">
      <c r="B316" s="69"/>
    </row>
    <row r="317" spans="2:2">
      <c r="B317" s="69"/>
    </row>
    <row r="318" spans="2:2">
      <c r="B318" s="69"/>
    </row>
    <row r="319" spans="2:2">
      <c r="B319" s="69"/>
    </row>
    <row r="320" spans="2:2">
      <c r="B320" s="69"/>
    </row>
    <row r="321" spans="2:2">
      <c r="B321" s="69"/>
    </row>
    <row r="322" spans="2:2">
      <c r="B322" s="69"/>
    </row>
    <row r="323" spans="2:2">
      <c r="B323" s="69"/>
    </row>
    <row r="324" spans="2:2">
      <c r="B324" s="69"/>
    </row>
    <row r="325" spans="2:2">
      <c r="B325" s="69"/>
    </row>
    <row r="326" spans="2:2">
      <c r="B326" s="69"/>
    </row>
    <row r="327" spans="2:2">
      <c r="B327" s="69"/>
    </row>
    <row r="328" spans="2:2">
      <c r="B328" s="69"/>
    </row>
    <row r="329" spans="2:2">
      <c r="B329" s="69"/>
    </row>
    <row r="330" spans="2:2">
      <c r="B330" s="69"/>
    </row>
    <row r="331" spans="2:2">
      <c r="B331" s="69"/>
    </row>
    <row r="332" spans="2:2">
      <c r="B332" s="69"/>
    </row>
    <row r="333" spans="2:2">
      <c r="B333" s="69"/>
    </row>
    <row r="334" spans="2:2">
      <c r="B334" s="69"/>
    </row>
    <row r="335" spans="2:2">
      <c r="B335" s="69"/>
    </row>
    <row r="336" spans="2:2">
      <c r="B336" s="69"/>
    </row>
    <row r="337" spans="2:2">
      <c r="B337" s="69"/>
    </row>
    <row r="338" spans="2:2">
      <c r="B338" s="69"/>
    </row>
    <row r="339" spans="2:2">
      <c r="B339" s="69"/>
    </row>
    <row r="340" spans="2:2">
      <c r="B340" s="69"/>
    </row>
    <row r="341" spans="2:2">
      <c r="B341" s="69"/>
    </row>
    <row r="342" spans="2:2">
      <c r="B342" s="69"/>
    </row>
    <row r="343" spans="2:2">
      <c r="B343" s="69"/>
    </row>
    <row r="344" spans="2:2">
      <c r="B344" s="69"/>
    </row>
    <row r="345" spans="2:2">
      <c r="B345" s="69"/>
    </row>
    <row r="346" spans="2:2">
      <c r="B346" s="69"/>
    </row>
    <row r="347" spans="2:2">
      <c r="B347" s="69"/>
    </row>
    <row r="348" spans="2:2">
      <c r="B348" s="69"/>
    </row>
    <row r="349" spans="2:2">
      <c r="B349" s="69"/>
    </row>
    <row r="350" spans="2:2">
      <c r="B350" s="69"/>
    </row>
    <row r="351" spans="2:2">
      <c r="B351" s="69"/>
    </row>
    <row r="352" spans="2:2">
      <c r="B352" s="69"/>
    </row>
    <row r="353" spans="2:2">
      <c r="B353" s="69"/>
    </row>
    <row r="354" spans="2:2">
      <c r="B354" s="69"/>
    </row>
    <row r="355" spans="2:2">
      <c r="B355" s="69"/>
    </row>
    <row r="356" spans="2:2">
      <c r="B356" s="69"/>
    </row>
    <row r="357" spans="2:2">
      <c r="B357" s="69"/>
    </row>
    <row r="358" spans="2:2">
      <c r="B358" s="69"/>
    </row>
    <row r="359" spans="2:2">
      <c r="B359" s="69"/>
    </row>
    <row r="360" spans="2:2">
      <c r="B360" s="69"/>
    </row>
    <row r="361" spans="2:2">
      <c r="B361" s="69"/>
    </row>
    <row r="362" spans="2:2">
      <c r="B362" s="69"/>
    </row>
    <row r="363" spans="2:2">
      <c r="B363" s="69"/>
    </row>
    <row r="364" spans="2:2">
      <c r="B364" s="69"/>
    </row>
    <row r="365" spans="2:2">
      <c r="B365" s="69"/>
    </row>
    <row r="366" spans="2:2">
      <c r="B366" s="69"/>
    </row>
    <row r="367" spans="2:2">
      <c r="B367" s="69"/>
    </row>
    <row r="368" spans="2:2">
      <c r="B368" s="69"/>
    </row>
    <row r="369" spans="2:2">
      <c r="B369" s="69"/>
    </row>
    <row r="370" spans="2:2">
      <c r="B370" s="69"/>
    </row>
    <row r="371" spans="2:2">
      <c r="B371" s="69"/>
    </row>
    <row r="372" spans="2:2">
      <c r="B372" s="69"/>
    </row>
    <row r="373" spans="2:2">
      <c r="B373" s="69"/>
    </row>
    <row r="374" spans="2:2">
      <c r="B374" s="69"/>
    </row>
    <row r="375" spans="2:2">
      <c r="B375" s="69"/>
    </row>
    <row r="376" spans="2:2">
      <c r="B376" s="69"/>
    </row>
    <row r="377" spans="2:2">
      <c r="B377" s="69"/>
    </row>
    <row r="378" spans="2:2">
      <c r="B378" s="69"/>
    </row>
    <row r="379" spans="2:2">
      <c r="B379" s="69"/>
    </row>
    <row r="380" spans="2:2">
      <c r="B380" s="69"/>
    </row>
    <row r="381" spans="2:2">
      <c r="B381" s="69"/>
    </row>
    <row r="382" spans="2:2">
      <c r="B382" s="69"/>
    </row>
    <row r="383" spans="2:2">
      <c r="B383" s="69"/>
    </row>
    <row r="384" spans="2:2">
      <c r="B384" s="69"/>
    </row>
    <row r="385" spans="2:2">
      <c r="B385" s="69"/>
    </row>
    <row r="386" spans="2:2">
      <c r="B386" s="69"/>
    </row>
    <row r="387" spans="2:2">
      <c r="B387" s="69"/>
    </row>
    <row r="388" spans="2:2">
      <c r="B388" s="69"/>
    </row>
    <row r="389" spans="2:2">
      <c r="B389" s="69"/>
    </row>
    <row r="390" spans="2:2">
      <c r="B390" s="69"/>
    </row>
    <row r="391" spans="2:2">
      <c r="B391" s="69"/>
    </row>
    <row r="392" spans="2:2">
      <c r="B392" s="69"/>
    </row>
    <row r="393" spans="2:2">
      <c r="B393" s="69"/>
    </row>
    <row r="394" spans="2:2">
      <c r="B394" s="69"/>
    </row>
    <row r="395" spans="2:2">
      <c r="B395" s="69"/>
    </row>
    <row r="396" spans="2:2">
      <c r="B396" s="69"/>
    </row>
    <row r="397" spans="2:2">
      <c r="B397" s="69"/>
    </row>
    <row r="398" spans="2:2">
      <c r="B398" s="69"/>
    </row>
    <row r="399" spans="2:2">
      <c r="B399" s="69"/>
    </row>
    <row r="400" spans="2:2">
      <c r="B400" s="69"/>
    </row>
    <row r="401" spans="2:2">
      <c r="B401" s="69"/>
    </row>
    <row r="402" spans="2:2">
      <c r="B402" s="69"/>
    </row>
    <row r="403" spans="2:2">
      <c r="B403" s="69"/>
    </row>
    <row r="404" spans="2:2">
      <c r="B404" s="69"/>
    </row>
    <row r="405" spans="2:2">
      <c r="B405" s="69"/>
    </row>
    <row r="406" spans="2:2">
      <c r="B406" s="69"/>
    </row>
    <row r="407" spans="2:2">
      <c r="B407" s="69"/>
    </row>
    <row r="408" spans="2:2">
      <c r="B408" s="69"/>
    </row>
    <row r="409" spans="2:2">
      <c r="B409" s="69"/>
    </row>
    <row r="410" spans="2:2">
      <c r="B410" s="69"/>
    </row>
    <row r="411" spans="2:2">
      <c r="B411" s="69"/>
    </row>
    <row r="412" spans="2:2">
      <c r="B412" s="69"/>
    </row>
    <row r="413" spans="2:2">
      <c r="B413" s="69"/>
    </row>
    <row r="414" spans="2:2">
      <c r="B414" s="69"/>
    </row>
    <row r="415" spans="2:2">
      <c r="B415" s="69"/>
    </row>
    <row r="416" spans="2:2">
      <c r="B416" s="69"/>
    </row>
    <row r="417" spans="2:2">
      <c r="B417" s="69"/>
    </row>
    <row r="418" spans="2:2">
      <c r="B418" s="69"/>
    </row>
    <row r="419" spans="2:2">
      <c r="B419" s="69"/>
    </row>
    <row r="420" spans="2:2">
      <c r="B420" s="69"/>
    </row>
    <row r="421" spans="2:2">
      <c r="B421" s="69"/>
    </row>
    <row r="422" spans="2:2">
      <c r="B422" s="69"/>
    </row>
    <row r="423" spans="2:2">
      <c r="B423" s="69"/>
    </row>
    <row r="424" spans="2:2">
      <c r="B424" s="69"/>
    </row>
    <row r="425" spans="2:2">
      <c r="B425" s="69"/>
    </row>
    <row r="426" spans="2:2">
      <c r="B426" s="69"/>
    </row>
    <row r="427" spans="2:2">
      <c r="B427" s="69"/>
    </row>
    <row r="428" spans="2:2">
      <c r="B428" s="69"/>
    </row>
    <row r="429" spans="2:2">
      <c r="B429" s="69"/>
    </row>
    <row r="430" spans="2:2">
      <c r="B430" s="69"/>
    </row>
    <row r="431" spans="2:2">
      <c r="B431" s="69"/>
    </row>
    <row r="432" spans="2:2">
      <c r="B432" s="69"/>
    </row>
    <row r="433" spans="2:2">
      <c r="B433" s="69"/>
    </row>
    <row r="434" spans="2:2">
      <c r="B434" s="69"/>
    </row>
    <row r="435" spans="2:2">
      <c r="B435" s="69"/>
    </row>
    <row r="436" spans="2:2">
      <c r="B436" s="69"/>
    </row>
    <row r="437" spans="2:2">
      <c r="B437" s="69"/>
    </row>
    <row r="438" spans="2:2">
      <c r="B438" s="69"/>
    </row>
    <row r="439" spans="2:2">
      <c r="B439" s="69"/>
    </row>
    <row r="440" spans="2:2">
      <c r="B440" s="69"/>
    </row>
    <row r="441" spans="2:2">
      <c r="B441" s="69"/>
    </row>
    <row r="442" spans="2:2">
      <c r="B442" s="69"/>
    </row>
    <row r="443" spans="2:2">
      <c r="B443" s="69"/>
    </row>
    <row r="444" spans="2:2">
      <c r="B444" s="69"/>
    </row>
    <row r="445" spans="2:2">
      <c r="B445" s="69"/>
    </row>
    <row r="446" spans="2:2">
      <c r="B446" s="69"/>
    </row>
    <row r="447" spans="2:2">
      <c r="B447" s="69"/>
    </row>
    <row r="448" spans="2:2">
      <c r="B448" s="69"/>
    </row>
    <row r="449" spans="2:2">
      <c r="B449" s="69"/>
    </row>
    <row r="450" spans="2:2">
      <c r="B450" s="69"/>
    </row>
    <row r="451" spans="2:2">
      <c r="B451" s="69"/>
    </row>
    <row r="452" spans="2:2">
      <c r="B452" s="69"/>
    </row>
    <row r="453" spans="2:2">
      <c r="B453" s="69"/>
    </row>
    <row r="454" spans="2:2">
      <c r="B454" s="69"/>
    </row>
    <row r="455" spans="2:2">
      <c r="B455" s="69"/>
    </row>
    <row r="456" spans="2:2">
      <c r="B456" s="69"/>
    </row>
    <row r="457" spans="2:2">
      <c r="B457" s="69"/>
    </row>
    <row r="458" spans="2:2">
      <c r="B458" s="69"/>
    </row>
    <row r="459" spans="2:2">
      <c r="B459" s="69"/>
    </row>
    <row r="460" spans="2:2">
      <c r="B460" s="69"/>
    </row>
    <row r="461" spans="2:2">
      <c r="B461" s="69"/>
    </row>
    <row r="462" spans="2:2">
      <c r="B462" s="69"/>
    </row>
    <row r="463" spans="2:2">
      <c r="B463" s="69"/>
    </row>
    <row r="464" spans="2:2">
      <c r="B464" s="69"/>
    </row>
    <row r="465" spans="2:2">
      <c r="B465" s="69"/>
    </row>
    <row r="466" spans="2:2">
      <c r="B466" s="69"/>
    </row>
    <row r="467" spans="2:2">
      <c r="B467" s="69"/>
    </row>
    <row r="468" spans="2:2">
      <c r="B468" s="69"/>
    </row>
    <row r="469" spans="2:2">
      <c r="B469" s="69"/>
    </row>
    <row r="470" spans="2:2">
      <c r="B470" s="69"/>
    </row>
    <row r="471" spans="2:2">
      <c r="B471" s="69"/>
    </row>
    <row r="472" spans="2:2">
      <c r="B472" s="69"/>
    </row>
    <row r="473" spans="2:2">
      <c r="B473" s="69"/>
    </row>
    <row r="474" spans="2:2">
      <c r="B474" s="69"/>
    </row>
    <row r="475" spans="2:2">
      <c r="B475" s="69"/>
    </row>
    <row r="476" spans="2:2">
      <c r="B476" s="69"/>
    </row>
    <row r="477" spans="2:2">
      <c r="B477" s="69"/>
    </row>
    <row r="478" spans="2:2">
      <c r="B478" s="69"/>
    </row>
    <row r="479" spans="2:2">
      <c r="B479" s="69"/>
    </row>
    <row r="480" spans="2:2">
      <c r="B480" s="69"/>
    </row>
    <row r="481" spans="2:2">
      <c r="B481" s="69"/>
    </row>
    <row r="482" spans="2:2">
      <c r="B482" s="69"/>
    </row>
    <row r="483" spans="2:2">
      <c r="B483" s="69"/>
    </row>
    <row r="484" spans="2:2">
      <c r="B484" s="69"/>
    </row>
    <row r="485" spans="2:2">
      <c r="B485" s="69"/>
    </row>
    <row r="486" spans="2:2">
      <c r="B486" s="69"/>
    </row>
    <row r="487" spans="2:2">
      <c r="B487" s="69"/>
    </row>
    <row r="488" spans="2:2">
      <c r="B488" s="69"/>
    </row>
    <row r="489" spans="2:2">
      <c r="B489" s="69"/>
    </row>
    <row r="490" spans="2:2">
      <c r="B490" s="69"/>
    </row>
    <row r="491" spans="2:2">
      <c r="B491" s="69"/>
    </row>
    <row r="492" spans="2:2">
      <c r="B492" s="69"/>
    </row>
    <row r="493" spans="2:2">
      <c r="B493" s="69"/>
    </row>
    <row r="494" spans="2:2">
      <c r="B494" s="69"/>
    </row>
    <row r="495" spans="2:2">
      <c r="B495" s="69"/>
    </row>
    <row r="496" spans="2:2">
      <c r="B496" s="69"/>
    </row>
    <row r="497" spans="2:2">
      <c r="B497" s="69"/>
    </row>
    <row r="498" spans="2:2">
      <c r="B498" s="69"/>
    </row>
    <row r="499" spans="2:2">
      <c r="B499" s="69"/>
    </row>
    <row r="500" spans="2:2">
      <c r="B500" s="69"/>
    </row>
    <row r="501" spans="2:2">
      <c r="B501" s="69"/>
    </row>
    <row r="502" spans="2:2">
      <c r="B502" s="69"/>
    </row>
    <row r="503" spans="2:2">
      <c r="B503" s="69"/>
    </row>
    <row r="504" spans="2:2">
      <c r="B504" s="69"/>
    </row>
    <row r="505" spans="2:2">
      <c r="B505" s="69"/>
    </row>
    <row r="506" spans="2:2">
      <c r="B506" s="69"/>
    </row>
    <row r="507" spans="2:2">
      <c r="B507" s="69"/>
    </row>
    <row r="508" spans="2:2">
      <c r="B508" s="69"/>
    </row>
    <row r="509" spans="2:2">
      <c r="B509" s="69"/>
    </row>
    <row r="510" spans="2:2">
      <c r="B510" s="69"/>
    </row>
    <row r="511" spans="2:2">
      <c r="B511" s="69"/>
    </row>
    <row r="512" spans="2:2">
      <c r="B512" s="69"/>
    </row>
    <row r="513" spans="2:2">
      <c r="B513" s="69"/>
    </row>
    <row r="514" spans="2:2">
      <c r="B514" s="69"/>
    </row>
    <row r="515" spans="2:2">
      <c r="B515" s="69"/>
    </row>
    <row r="516" spans="2:2">
      <c r="B516" s="69"/>
    </row>
    <row r="517" spans="2:2">
      <c r="B517" s="69"/>
    </row>
    <row r="518" spans="2:2">
      <c r="B518" s="69"/>
    </row>
    <row r="519" spans="2:2">
      <c r="B519" s="69"/>
    </row>
    <row r="520" spans="2:2">
      <c r="B520" s="69"/>
    </row>
    <row r="521" spans="2:2">
      <c r="B521" s="69"/>
    </row>
    <row r="522" spans="2:2">
      <c r="B522" s="69"/>
    </row>
    <row r="523" spans="2:2">
      <c r="B523" s="69"/>
    </row>
    <row r="524" spans="2:2">
      <c r="B524" s="69"/>
    </row>
    <row r="525" spans="2:2">
      <c r="B525" s="69"/>
    </row>
    <row r="526" spans="2:2">
      <c r="B526" s="69"/>
    </row>
    <row r="527" spans="2:2">
      <c r="B527" s="69"/>
    </row>
    <row r="528" spans="2:2">
      <c r="B528" s="69"/>
    </row>
    <row r="529" spans="2:2">
      <c r="B529" s="69"/>
    </row>
    <row r="530" spans="2:2">
      <c r="B530" s="69"/>
    </row>
    <row r="531" spans="2:2">
      <c r="B531" s="69"/>
    </row>
    <row r="532" spans="2:2">
      <c r="B532" s="69"/>
    </row>
    <row r="533" spans="2:2">
      <c r="B533" s="69"/>
    </row>
    <row r="534" spans="2:2">
      <c r="B534" s="69"/>
    </row>
    <row r="535" spans="2:2">
      <c r="B535" s="69"/>
    </row>
    <row r="536" spans="2:2">
      <c r="B536" s="69"/>
    </row>
    <row r="537" spans="2:2">
      <c r="B537" s="69"/>
    </row>
    <row r="538" spans="2:2">
      <c r="B538" s="69"/>
    </row>
    <row r="539" spans="2:2">
      <c r="B539" s="69"/>
    </row>
    <row r="540" spans="2:2">
      <c r="B540" s="69"/>
    </row>
    <row r="541" spans="2:2">
      <c r="B541" s="69"/>
    </row>
    <row r="542" spans="2:2">
      <c r="B542" s="69"/>
    </row>
    <row r="543" spans="2:2">
      <c r="B543" s="69"/>
    </row>
    <row r="544" spans="2:2">
      <c r="B544" s="69"/>
    </row>
    <row r="545" spans="2:2">
      <c r="B545" s="69"/>
    </row>
    <row r="546" spans="2:2">
      <c r="B546" s="69"/>
    </row>
    <row r="547" spans="2:2">
      <c r="B547" s="69"/>
    </row>
    <row r="548" spans="2:2">
      <c r="B548" s="69"/>
    </row>
    <row r="549" spans="2:2">
      <c r="B549" s="69"/>
    </row>
    <row r="550" spans="2:2">
      <c r="B550" s="69"/>
    </row>
    <row r="551" spans="2:2">
      <c r="B551" s="69"/>
    </row>
    <row r="552" spans="2:2">
      <c r="B552" s="69"/>
    </row>
    <row r="553" spans="2:2">
      <c r="B553" s="69"/>
    </row>
    <row r="554" spans="2:2">
      <c r="B554" s="69"/>
    </row>
    <row r="555" spans="2:2">
      <c r="B555" s="69"/>
    </row>
    <row r="556" spans="2:2">
      <c r="B556" s="69"/>
    </row>
    <row r="557" spans="2:2">
      <c r="B557" s="69"/>
    </row>
    <row r="558" spans="2:2">
      <c r="B558" s="69"/>
    </row>
    <row r="559" spans="2:2">
      <c r="B559" s="69"/>
    </row>
    <row r="560" spans="2:2">
      <c r="B560" s="69"/>
    </row>
    <row r="561" spans="2:2">
      <c r="B561" s="69"/>
    </row>
    <row r="562" spans="2:2">
      <c r="B562" s="69"/>
    </row>
    <row r="563" spans="2:2">
      <c r="B563" s="69"/>
    </row>
    <row r="564" spans="2:2">
      <c r="B564" s="69"/>
    </row>
    <row r="565" spans="2:2">
      <c r="B565" s="69"/>
    </row>
    <row r="566" spans="2:2">
      <c r="B566" s="69"/>
    </row>
    <row r="567" spans="2:2">
      <c r="B567" s="69"/>
    </row>
    <row r="568" spans="2:2">
      <c r="B568" s="69"/>
    </row>
    <row r="569" spans="2:2">
      <c r="B569" s="69"/>
    </row>
    <row r="570" spans="2:2">
      <c r="B570" s="69"/>
    </row>
    <row r="571" spans="2:2">
      <c r="B571" s="69"/>
    </row>
    <row r="572" spans="2:2">
      <c r="B572" s="69"/>
    </row>
    <row r="573" spans="2:2">
      <c r="B573" s="69"/>
    </row>
    <row r="574" spans="2:2">
      <c r="B574" s="69"/>
    </row>
    <row r="575" spans="2:2">
      <c r="B575" s="69"/>
    </row>
    <row r="576" spans="2:2">
      <c r="B576" s="69"/>
    </row>
    <row r="577" spans="2:2">
      <c r="B577" s="69"/>
    </row>
    <row r="578" spans="2:2">
      <c r="B578" s="69"/>
    </row>
    <row r="579" spans="2:2">
      <c r="B579" s="69"/>
    </row>
    <row r="580" spans="2:2">
      <c r="B580" s="69"/>
    </row>
    <row r="581" spans="2:2">
      <c r="B581" s="69"/>
    </row>
    <row r="582" spans="2:2">
      <c r="B582" s="69"/>
    </row>
    <row r="583" spans="2:2">
      <c r="B583" s="69"/>
    </row>
    <row r="584" spans="2:2">
      <c r="B584" s="69"/>
    </row>
    <row r="585" spans="2:2">
      <c r="B585" s="69"/>
    </row>
    <row r="586" spans="2:2">
      <c r="B586" s="69"/>
    </row>
    <row r="587" spans="2:2">
      <c r="B587" s="69"/>
    </row>
    <row r="588" spans="2:2">
      <c r="B588" s="69"/>
    </row>
    <row r="589" spans="2:2">
      <c r="B589" s="69"/>
    </row>
    <row r="590" spans="2:2">
      <c r="B590" s="69"/>
    </row>
    <row r="591" spans="2:2">
      <c r="B591" s="69"/>
    </row>
    <row r="592" spans="2:2">
      <c r="B592" s="69"/>
    </row>
    <row r="593" spans="2:2">
      <c r="B593" s="69"/>
    </row>
    <row r="594" spans="2:2">
      <c r="B594" s="69"/>
    </row>
    <row r="595" spans="2:2">
      <c r="B595" s="69"/>
    </row>
    <row r="596" spans="2:2">
      <c r="B596" s="69"/>
    </row>
    <row r="597" spans="2:2">
      <c r="B597" s="69"/>
    </row>
    <row r="598" spans="2:2">
      <c r="B598" s="69"/>
    </row>
    <row r="599" spans="2:2">
      <c r="B599" s="69"/>
    </row>
    <row r="600" spans="2:2">
      <c r="B600" s="69"/>
    </row>
    <row r="601" spans="2:2">
      <c r="B601" s="69"/>
    </row>
    <row r="602" spans="2:2">
      <c r="B602" s="69"/>
    </row>
    <row r="603" spans="2:2">
      <c r="B603" s="69"/>
    </row>
    <row r="604" spans="2:2">
      <c r="B604" s="69"/>
    </row>
    <row r="605" spans="2:2">
      <c r="B605" s="69"/>
    </row>
    <row r="606" spans="2:2">
      <c r="B606" s="69"/>
    </row>
    <row r="607" spans="2:2">
      <c r="B607" s="69"/>
    </row>
    <row r="608" spans="2:2">
      <c r="B608" s="69"/>
    </row>
    <row r="609" spans="2:2">
      <c r="B609" s="69"/>
    </row>
    <row r="610" spans="2:2">
      <c r="B610" s="69"/>
    </row>
    <row r="611" spans="2:2">
      <c r="B611" s="69"/>
    </row>
    <row r="612" spans="2:2">
      <c r="B612" s="69"/>
    </row>
    <row r="613" spans="2:2">
      <c r="B613" s="69"/>
    </row>
    <row r="614" spans="2:2">
      <c r="B614" s="69"/>
    </row>
    <row r="615" spans="2:2">
      <c r="B615" s="69"/>
    </row>
    <row r="616" spans="2:2">
      <c r="B616" s="69"/>
    </row>
    <row r="617" spans="2:2">
      <c r="B617" s="69"/>
    </row>
    <row r="618" spans="2:2">
      <c r="B618" s="69"/>
    </row>
    <row r="619" spans="2:2">
      <c r="B619" s="69"/>
    </row>
    <row r="620" spans="2:2">
      <c r="B620" s="69"/>
    </row>
    <row r="621" spans="2:2">
      <c r="B621" s="69"/>
    </row>
    <row r="622" spans="2:2">
      <c r="B622" s="69"/>
    </row>
    <row r="623" spans="2:2">
      <c r="B623" s="69"/>
    </row>
    <row r="624" spans="2:2">
      <c r="B624" s="69"/>
    </row>
    <row r="625" spans="2:2">
      <c r="B625" s="69"/>
    </row>
    <row r="626" spans="2:2">
      <c r="B626" s="69"/>
    </row>
    <row r="627" spans="2:2">
      <c r="B627" s="69"/>
    </row>
    <row r="628" spans="2:2">
      <c r="B628" s="69"/>
    </row>
    <row r="629" spans="2:2">
      <c r="B629" s="69"/>
    </row>
    <row r="630" spans="2:2">
      <c r="B630" s="69"/>
    </row>
    <row r="631" spans="2:2">
      <c r="B631" s="69"/>
    </row>
    <row r="632" spans="2:2">
      <c r="B632" s="69"/>
    </row>
    <row r="633" spans="2:2">
      <c r="B633" s="69"/>
    </row>
    <row r="634" spans="2:2">
      <c r="B634" s="69"/>
    </row>
    <row r="635" spans="2:2">
      <c r="B635" s="69"/>
    </row>
    <row r="636" spans="2:2">
      <c r="B636" s="69"/>
    </row>
    <row r="637" spans="2:2">
      <c r="B637" s="69"/>
    </row>
    <row r="638" spans="2:2">
      <c r="B638" s="69"/>
    </row>
    <row r="639" spans="2:2">
      <c r="B639" s="69"/>
    </row>
    <row r="640" spans="2:2">
      <c r="B640" s="69"/>
    </row>
    <row r="641" spans="2:2">
      <c r="B641" s="69"/>
    </row>
    <row r="642" spans="2:2">
      <c r="B642" s="69"/>
    </row>
    <row r="643" spans="2:2">
      <c r="B643" s="69"/>
    </row>
    <row r="644" spans="2:2">
      <c r="B644" s="69"/>
    </row>
    <row r="645" spans="2:2">
      <c r="B645" s="69"/>
    </row>
    <row r="646" spans="2:2">
      <c r="B646" s="69"/>
    </row>
    <row r="647" spans="2:2">
      <c r="B647" s="69"/>
    </row>
    <row r="648" spans="2:2">
      <c r="B648" s="69"/>
    </row>
    <row r="649" spans="2:2">
      <c r="B649" s="69"/>
    </row>
    <row r="650" spans="2:2">
      <c r="B650" s="69"/>
    </row>
    <row r="651" spans="2:2">
      <c r="B651" s="69"/>
    </row>
    <row r="652" spans="2:2">
      <c r="B652" s="69"/>
    </row>
    <row r="653" spans="2:2">
      <c r="B653" s="69"/>
    </row>
    <row r="654" spans="2:2">
      <c r="B654" s="69"/>
    </row>
    <row r="655" spans="2:2">
      <c r="B655" s="69"/>
    </row>
    <row r="656" spans="2:2">
      <c r="B656" s="69"/>
    </row>
    <row r="657" spans="2:2">
      <c r="B657" s="69"/>
    </row>
    <row r="658" spans="2:2">
      <c r="B658" s="69"/>
    </row>
    <row r="659" spans="2:2">
      <c r="B659" s="69"/>
    </row>
    <row r="660" spans="2:2">
      <c r="B660" s="69"/>
    </row>
    <row r="661" spans="2:2">
      <c r="B661" s="69"/>
    </row>
    <row r="662" spans="2:2">
      <c r="B662" s="69"/>
    </row>
    <row r="663" spans="2:2">
      <c r="B663" s="69"/>
    </row>
    <row r="664" spans="2:2">
      <c r="B664" s="69"/>
    </row>
    <row r="665" spans="2:2">
      <c r="B665" s="69"/>
    </row>
    <row r="666" spans="2:2">
      <c r="B666" s="69"/>
    </row>
    <row r="667" spans="2:2">
      <c r="B667" s="69"/>
    </row>
    <row r="668" spans="2:2">
      <c r="B668" s="69"/>
    </row>
    <row r="669" spans="2:2">
      <c r="B669" s="69"/>
    </row>
    <row r="670" spans="2:2">
      <c r="B670" s="69"/>
    </row>
    <row r="671" spans="2:2">
      <c r="B671" s="69"/>
    </row>
    <row r="672" spans="2:2">
      <c r="B672" s="69"/>
    </row>
    <row r="673" spans="2:2">
      <c r="B673" s="69"/>
    </row>
    <row r="674" spans="2:2">
      <c r="B674" s="69"/>
    </row>
    <row r="675" spans="2:2">
      <c r="B675" s="69"/>
    </row>
    <row r="676" spans="2:2">
      <c r="B676" s="69"/>
    </row>
    <row r="677" spans="2:2">
      <c r="B677" s="69"/>
    </row>
    <row r="678" spans="2:2">
      <c r="B678" s="69"/>
    </row>
    <row r="679" spans="2:2">
      <c r="B679" s="69"/>
    </row>
    <row r="680" spans="2:2">
      <c r="B680" s="69"/>
    </row>
    <row r="681" spans="2:2">
      <c r="B681" s="69"/>
    </row>
    <row r="682" spans="2:2">
      <c r="B682" s="69"/>
    </row>
    <row r="683" spans="2:2">
      <c r="B683" s="69"/>
    </row>
    <row r="684" spans="2:2">
      <c r="B684" s="69"/>
    </row>
    <row r="685" spans="2:2">
      <c r="B685" s="69"/>
    </row>
    <row r="686" spans="2:2">
      <c r="B686" s="69"/>
    </row>
    <row r="687" spans="2:2">
      <c r="B687" s="69"/>
    </row>
    <row r="688" spans="2:2">
      <c r="B688" s="69"/>
    </row>
    <row r="689" spans="2:2">
      <c r="B689" s="69"/>
    </row>
    <row r="690" spans="2:2">
      <c r="B690" s="69"/>
    </row>
    <row r="691" spans="2:2">
      <c r="B691" s="69"/>
    </row>
    <row r="692" spans="2:2">
      <c r="B692" s="69"/>
    </row>
    <row r="693" spans="2:2">
      <c r="B693" s="69"/>
    </row>
    <row r="694" spans="2:2">
      <c r="B694" s="69"/>
    </row>
    <row r="695" spans="2:2">
      <c r="B695" s="69"/>
    </row>
    <row r="696" spans="2:2">
      <c r="B696" s="69"/>
    </row>
    <row r="697" spans="2:2">
      <c r="B697" s="69"/>
    </row>
    <row r="698" spans="2:2">
      <c r="B698" s="69"/>
    </row>
    <row r="699" spans="2:2">
      <c r="B699" s="69"/>
    </row>
    <row r="700" spans="2:2">
      <c r="B700" s="69"/>
    </row>
    <row r="701" spans="2:2">
      <c r="B701" s="69"/>
    </row>
    <row r="702" spans="2:2">
      <c r="B702" s="69"/>
    </row>
    <row r="703" spans="2:2">
      <c r="B703" s="69"/>
    </row>
    <row r="704" spans="2:2">
      <c r="B704" s="69"/>
    </row>
    <row r="705" spans="2:2">
      <c r="B705" s="69"/>
    </row>
    <row r="706" spans="2:2">
      <c r="B706" s="69"/>
    </row>
    <row r="707" spans="2:2">
      <c r="B707" s="69"/>
    </row>
    <row r="708" spans="2:2">
      <c r="B708" s="69"/>
    </row>
    <row r="709" spans="2:2">
      <c r="B709" s="69"/>
    </row>
    <row r="710" spans="2:2">
      <c r="B710" s="69"/>
    </row>
    <row r="711" spans="2:2">
      <c r="B711" s="69"/>
    </row>
    <row r="712" spans="2:2">
      <c r="B712" s="69"/>
    </row>
    <row r="713" spans="2:2">
      <c r="B713" s="69"/>
    </row>
    <row r="714" spans="2:2">
      <c r="B714" s="69"/>
    </row>
    <row r="715" spans="2:2">
      <c r="B715" s="69"/>
    </row>
    <row r="716" spans="2:2">
      <c r="B716" s="69"/>
    </row>
    <row r="717" spans="2:2">
      <c r="B717" s="69"/>
    </row>
    <row r="718" spans="2:2">
      <c r="B718" s="69"/>
    </row>
    <row r="719" spans="2:2">
      <c r="B719" s="69"/>
    </row>
    <row r="720" spans="2:2">
      <c r="B720" s="69"/>
    </row>
    <row r="721" spans="2:2">
      <c r="B721" s="69"/>
    </row>
    <row r="722" spans="2:2">
      <c r="B722" s="69"/>
    </row>
    <row r="723" spans="2:2">
      <c r="B723" s="69"/>
    </row>
    <row r="724" spans="2:2">
      <c r="B724" s="69"/>
    </row>
    <row r="725" spans="2:2">
      <c r="B725" s="69"/>
    </row>
    <row r="726" spans="2:2">
      <c r="B726" s="69"/>
    </row>
    <row r="727" spans="2:2">
      <c r="B727" s="69"/>
    </row>
    <row r="728" spans="2:2">
      <c r="B728" s="69"/>
    </row>
    <row r="729" spans="2:2">
      <c r="B729" s="69"/>
    </row>
    <row r="730" spans="2:2">
      <c r="B730" s="69"/>
    </row>
    <row r="731" spans="2:2">
      <c r="B731" s="69"/>
    </row>
    <row r="732" spans="2:2">
      <c r="B732" s="69"/>
    </row>
    <row r="733" spans="2:2">
      <c r="B733" s="69"/>
    </row>
    <row r="734" spans="2:2">
      <c r="B734" s="69"/>
    </row>
    <row r="735" spans="2:2">
      <c r="B735" s="69"/>
    </row>
    <row r="736" spans="2:2">
      <c r="B736" s="69"/>
    </row>
    <row r="737" spans="2:2">
      <c r="B737" s="69"/>
    </row>
    <row r="738" spans="2:2">
      <c r="B738" s="69"/>
    </row>
    <row r="739" spans="2:2">
      <c r="B739" s="69"/>
    </row>
    <row r="740" spans="2:2">
      <c r="B740" s="69"/>
    </row>
    <row r="741" spans="2:2">
      <c r="B741" s="69"/>
    </row>
    <row r="742" spans="2:2">
      <c r="B742" s="69"/>
    </row>
    <row r="743" spans="2:2">
      <c r="B743" s="69"/>
    </row>
    <row r="744" spans="2:2">
      <c r="B744" s="69"/>
    </row>
    <row r="745" spans="2:2">
      <c r="B745" s="69"/>
    </row>
    <row r="746" spans="2:2">
      <c r="B746" s="69"/>
    </row>
    <row r="747" spans="2:2">
      <c r="B747" s="69"/>
    </row>
    <row r="748" spans="2:2">
      <c r="B748" s="69"/>
    </row>
    <row r="749" spans="2:2">
      <c r="B749" s="69"/>
    </row>
    <row r="750" spans="2:2">
      <c r="B750" s="69"/>
    </row>
    <row r="751" spans="2:2">
      <c r="B751" s="69"/>
    </row>
    <row r="752" spans="2:2">
      <c r="B752" s="69"/>
    </row>
    <row r="753" spans="2:2">
      <c r="B753" s="69"/>
    </row>
    <row r="754" spans="2:2">
      <c r="B754" s="69"/>
    </row>
    <row r="755" spans="2:2">
      <c r="B755" s="69"/>
    </row>
    <row r="756" spans="2:2">
      <c r="B756" s="69"/>
    </row>
    <row r="757" spans="2:2">
      <c r="B757" s="69"/>
    </row>
    <row r="758" spans="2:2">
      <c r="B758" s="69"/>
    </row>
    <row r="759" spans="2:2">
      <c r="B759" s="69"/>
    </row>
    <row r="760" spans="2:2">
      <c r="B760" s="69"/>
    </row>
    <row r="761" spans="2:2">
      <c r="B761" s="69"/>
    </row>
    <row r="762" spans="2:2">
      <c r="B762" s="69"/>
    </row>
    <row r="763" spans="2:2">
      <c r="B763" s="69"/>
    </row>
    <row r="764" spans="2:2">
      <c r="B764" s="69"/>
    </row>
    <row r="765" spans="2:2">
      <c r="B765" s="69"/>
    </row>
    <row r="766" spans="2:2">
      <c r="B766" s="69"/>
    </row>
    <row r="767" spans="2:2">
      <c r="B767" s="69"/>
    </row>
    <row r="768" spans="2:2">
      <c r="B768" s="69"/>
    </row>
    <row r="769" spans="2:2">
      <c r="B769" s="69"/>
    </row>
    <row r="770" spans="2:2">
      <c r="B770" s="69"/>
    </row>
    <row r="771" spans="2:2">
      <c r="B771" s="69"/>
    </row>
    <row r="772" spans="2:2">
      <c r="B772" s="69"/>
    </row>
    <row r="773" spans="2:2">
      <c r="B773" s="69"/>
    </row>
    <row r="774" spans="2:2">
      <c r="B774" s="69"/>
    </row>
    <row r="775" spans="2:2">
      <c r="B775" s="69"/>
    </row>
    <row r="776" spans="2:2">
      <c r="B776" s="69"/>
    </row>
    <row r="777" spans="2:2">
      <c r="B777" s="69"/>
    </row>
    <row r="778" spans="2:2">
      <c r="B778" s="69"/>
    </row>
    <row r="779" spans="2:2">
      <c r="B779" s="69"/>
    </row>
    <row r="780" spans="2:2">
      <c r="B780" s="69"/>
    </row>
    <row r="781" spans="2:2">
      <c r="B781" s="69"/>
    </row>
    <row r="782" spans="2:2">
      <c r="B782" s="69"/>
    </row>
    <row r="783" spans="2:2">
      <c r="B783" s="69"/>
    </row>
    <row r="784" spans="2:2">
      <c r="B784" s="69"/>
    </row>
    <row r="785" spans="2:2">
      <c r="B785" s="69"/>
    </row>
    <row r="786" spans="2:2">
      <c r="B786" s="69"/>
    </row>
    <row r="787" spans="2:2">
      <c r="B787" s="69"/>
    </row>
    <row r="788" spans="2:2">
      <c r="B788" s="69"/>
    </row>
    <row r="789" spans="2:2">
      <c r="B789" s="69"/>
    </row>
    <row r="790" spans="2:2">
      <c r="B790" s="69"/>
    </row>
    <row r="791" spans="2:2">
      <c r="B791" s="69"/>
    </row>
    <row r="792" spans="2:2">
      <c r="B792" s="69"/>
    </row>
    <row r="793" spans="2:2">
      <c r="B793" s="69"/>
    </row>
    <row r="794" spans="2:2">
      <c r="B794" s="69"/>
    </row>
    <row r="795" spans="2:2">
      <c r="B795" s="69"/>
    </row>
    <row r="796" spans="2:2">
      <c r="B796" s="69"/>
    </row>
    <row r="797" spans="2:2">
      <c r="B797" s="69"/>
    </row>
    <row r="798" spans="2:2">
      <c r="B798" s="69"/>
    </row>
    <row r="799" spans="2:2">
      <c r="B799" s="69"/>
    </row>
    <row r="800" spans="2:2">
      <c r="B800" s="69"/>
    </row>
    <row r="801" spans="2:2">
      <c r="B801" s="69"/>
    </row>
    <row r="802" spans="2:2">
      <c r="B802" s="69"/>
    </row>
    <row r="803" spans="2:2">
      <c r="B803" s="69"/>
    </row>
    <row r="804" spans="2:2">
      <c r="B804" s="69"/>
    </row>
    <row r="805" spans="2:2">
      <c r="B805" s="69"/>
    </row>
    <row r="806" spans="2:2">
      <c r="B806" s="69"/>
    </row>
    <row r="807" spans="2:2">
      <c r="B807" s="69"/>
    </row>
    <row r="808" spans="2:2">
      <c r="B808" s="69"/>
    </row>
    <row r="809" spans="2:2">
      <c r="B809" s="69"/>
    </row>
    <row r="810" spans="2:2">
      <c r="B810" s="69"/>
    </row>
    <row r="811" spans="2:2">
      <c r="B811" s="69"/>
    </row>
    <row r="812" spans="2:2">
      <c r="B812" s="69"/>
    </row>
    <row r="813" spans="2:2">
      <c r="B813" s="69"/>
    </row>
    <row r="814" spans="2:2">
      <c r="B814" s="69"/>
    </row>
    <row r="815" spans="2:2">
      <c r="B815" s="69"/>
    </row>
    <row r="816" spans="2:2">
      <c r="B816" s="69"/>
    </row>
    <row r="817" spans="2:2">
      <c r="B817" s="69"/>
    </row>
    <row r="818" spans="2:2">
      <c r="B818" s="69"/>
    </row>
    <row r="819" spans="2:2">
      <c r="B819" s="69"/>
    </row>
    <row r="820" spans="2:2">
      <c r="B820" s="69"/>
    </row>
    <row r="821" spans="2:2">
      <c r="B821" s="69"/>
    </row>
    <row r="822" spans="2:2">
      <c r="B822" s="69"/>
    </row>
    <row r="823" spans="2:2">
      <c r="B823" s="69"/>
    </row>
    <row r="824" spans="2:2">
      <c r="B824" s="69"/>
    </row>
    <row r="825" spans="2:2">
      <c r="B825" s="69"/>
    </row>
    <row r="826" spans="2:2">
      <c r="B826" s="69"/>
    </row>
    <row r="827" spans="2:2">
      <c r="B827" s="69"/>
    </row>
    <row r="828" spans="2:2">
      <c r="B828" s="69"/>
    </row>
    <row r="829" spans="2:2">
      <c r="B829" s="69"/>
    </row>
    <row r="830" spans="2:2">
      <c r="B830" s="69"/>
    </row>
    <row r="831" spans="2:2">
      <c r="B831" s="69"/>
    </row>
    <row r="832" spans="2:2">
      <c r="B832" s="69"/>
    </row>
    <row r="833" spans="2:2">
      <c r="B833" s="69"/>
    </row>
    <row r="834" spans="2:2">
      <c r="B834" s="69"/>
    </row>
    <row r="835" spans="2:2">
      <c r="B835" s="69"/>
    </row>
    <row r="836" spans="2:2">
      <c r="B836" s="69"/>
    </row>
    <row r="837" spans="2:2">
      <c r="B837" s="69"/>
    </row>
    <row r="838" spans="2:2">
      <c r="B838" s="69"/>
    </row>
    <row r="839" spans="2:2">
      <c r="B839" s="69"/>
    </row>
    <row r="840" spans="2:2">
      <c r="B840" s="69"/>
    </row>
    <row r="841" spans="2:2">
      <c r="B841" s="69"/>
    </row>
    <row r="842" spans="2:2">
      <c r="B842" s="69"/>
    </row>
    <row r="843" spans="2:2">
      <c r="B843" s="69"/>
    </row>
    <row r="844" spans="2:2">
      <c r="B844" s="69"/>
    </row>
    <row r="845" spans="2:2">
      <c r="B845" s="69"/>
    </row>
    <row r="846" spans="2:2">
      <c r="B846" s="69"/>
    </row>
    <row r="847" spans="2:2">
      <c r="B847" s="69"/>
    </row>
    <row r="848" spans="2:2">
      <c r="B848" s="69"/>
    </row>
    <row r="849" spans="2:2">
      <c r="B849" s="69"/>
    </row>
    <row r="850" spans="2:2">
      <c r="B850" s="69"/>
    </row>
    <row r="851" spans="2:2">
      <c r="B851" s="69"/>
    </row>
    <row r="852" spans="2:2">
      <c r="B852" s="69"/>
    </row>
    <row r="853" spans="2:2">
      <c r="B853" s="69"/>
    </row>
    <row r="854" spans="2:2">
      <c r="B854" s="69"/>
    </row>
    <row r="855" spans="2:2">
      <c r="B855" s="69"/>
    </row>
    <row r="856" spans="2:2">
      <c r="B856" s="69"/>
    </row>
    <row r="857" spans="2:2">
      <c r="B857" s="69"/>
    </row>
    <row r="858" spans="2:2">
      <c r="B858" s="69"/>
    </row>
    <row r="859" spans="2:2">
      <c r="B859" s="69"/>
    </row>
    <row r="860" spans="2:2">
      <c r="B860" s="69"/>
    </row>
    <row r="861" spans="2:2">
      <c r="B861" s="69"/>
    </row>
    <row r="862" spans="2:2">
      <c r="B862" s="69"/>
    </row>
    <row r="863" spans="2:2">
      <c r="B863" s="69"/>
    </row>
    <row r="864" spans="2:2">
      <c r="B864" s="69"/>
    </row>
    <row r="865" spans="2:2">
      <c r="B865" s="69"/>
    </row>
    <row r="866" spans="2:2">
      <c r="B866" s="69"/>
    </row>
    <row r="867" spans="2:2">
      <c r="B867" s="69"/>
    </row>
    <row r="868" spans="2:2">
      <c r="B868" s="69"/>
    </row>
    <row r="869" spans="2:2">
      <c r="B869" s="69"/>
    </row>
    <row r="870" spans="2:2">
      <c r="B870" s="69"/>
    </row>
    <row r="871" spans="2:2">
      <c r="B871" s="69"/>
    </row>
    <row r="872" spans="2:2">
      <c r="B872" s="69"/>
    </row>
    <row r="873" spans="2:2">
      <c r="B873" s="69"/>
    </row>
    <row r="874" spans="2:2">
      <c r="B874" s="69"/>
    </row>
    <row r="875" spans="2:2">
      <c r="B875" s="69"/>
    </row>
    <row r="876" spans="2:2">
      <c r="B876" s="69"/>
    </row>
    <row r="877" spans="2:2">
      <c r="B877" s="69"/>
    </row>
    <row r="878" spans="2:2">
      <c r="B878" s="69"/>
    </row>
    <row r="879" spans="2:2">
      <c r="B879" s="69"/>
    </row>
    <row r="880" spans="2:2">
      <c r="B880" s="69"/>
    </row>
    <row r="881" spans="2:2">
      <c r="B881" s="69"/>
    </row>
    <row r="882" spans="2:2">
      <c r="B882" s="69"/>
    </row>
    <row r="883" spans="2:2">
      <c r="B883" s="69"/>
    </row>
    <row r="884" spans="2:2">
      <c r="B884" s="69"/>
    </row>
    <row r="885" spans="2:2">
      <c r="B885" s="69"/>
    </row>
    <row r="886" spans="2:2">
      <c r="B886" s="69"/>
    </row>
    <row r="887" spans="2:2">
      <c r="B887" s="69"/>
    </row>
    <row r="888" spans="2:2">
      <c r="B888" s="69"/>
    </row>
    <row r="889" spans="2:2">
      <c r="B889" s="69"/>
    </row>
    <row r="890" spans="2:2">
      <c r="B890" s="69"/>
    </row>
    <row r="891" spans="2:2">
      <c r="B891" s="69"/>
    </row>
    <row r="892" spans="2:2">
      <c r="B892" s="69"/>
    </row>
    <row r="893" spans="2:2">
      <c r="B893" s="69"/>
    </row>
    <row r="894" spans="2:2">
      <c r="B894" s="69"/>
    </row>
    <row r="895" spans="2:2">
      <c r="B895" s="69"/>
    </row>
    <row r="896" spans="2:2">
      <c r="B896" s="69"/>
    </row>
    <row r="897" spans="2:2">
      <c r="B897" s="69"/>
    </row>
    <row r="898" spans="2:2">
      <c r="B898" s="69"/>
    </row>
    <row r="899" spans="2:2">
      <c r="B899" s="69"/>
    </row>
    <row r="900" spans="2:2">
      <c r="B900" s="69"/>
    </row>
    <row r="901" spans="2:2">
      <c r="B901" s="69"/>
    </row>
    <row r="902" spans="2:2">
      <c r="B902" s="69"/>
    </row>
    <row r="903" spans="2:2">
      <c r="B903" s="69"/>
    </row>
    <row r="904" spans="2:2">
      <c r="B904" s="69"/>
    </row>
    <row r="905" spans="2:2">
      <c r="B905" s="69"/>
    </row>
    <row r="906" spans="2:2">
      <c r="B906" s="69"/>
    </row>
    <row r="907" spans="2:2">
      <c r="B907" s="69"/>
    </row>
    <row r="908" spans="2:2">
      <c r="B908" s="69"/>
    </row>
    <row r="909" spans="2:2">
      <c r="B909" s="69"/>
    </row>
    <row r="910" spans="2:2">
      <c r="B910" s="69"/>
    </row>
    <row r="911" spans="2:2">
      <c r="B911" s="69"/>
    </row>
    <row r="912" spans="2:2">
      <c r="B912" s="69"/>
    </row>
    <row r="913" spans="2:2">
      <c r="B913" s="69"/>
    </row>
    <row r="914" spans="2:2">
      <c r="B914" s="69"/>
    </row>
    <row r="915" spans="2:2">
      <c r="B915" s="69"/>
    </row>
    <row r="916" spans="2:2">
      <c r="B916" s="69"/>
    </row>
    <row r="917" spans="2:2">
      <c r="B917" s="69"/>
    </row>
    <row r="918" spans="2:2">
      <c r="B918" s="69"/>
    </row>
    <row r="919" spans="2:2">
      <c r="B919" s="69"/>
    </row>
    <row r="920" spans="2:2">
      <c r="B920" s="69"/>
    </row>
    <row r="921" spans="2:2">
      <c r="B921" s="69"/>
    </row>
    <row r="922" spans="2:2">
      <c r="B922" s="69"/>
    </row>
    <row r="923" spans="2:2">
      <c r="B923" s="69"/>
    </row>
    <row r="924" spans="2:2">
      <c r="B924" s="69"/>
    </row>
    <row r="925" spans="2:2">
      <c r="B925" s="69"/>
    </row>
    <row r="926" spans="2:2">
      <c r="B926" s="69"/>
    </row>
    <row r="927" spans="2:2">
      <c r="B927" s="69"/>
    </row>
    <row r="928" spans="2:2">
      <c r="B928" s="69"/>
    </row>
    <row r="929" spans="2:2">
      <c r="B929" s="69"/>
    </row>
    <row r="930" spans="2:2">
      <c r="B930" s="69"/>
    </row>
    <row r="931" spans="2:2">
      <c r="B931" s="69"/>
    </row>
    <row r="932" spans="2:2">
      <c r="B932" s="69"/>
    </row>
    <row r="933" spans="2:2">
      <c r="B933" s="69"/>
    </row>
    <row r="934" spans="2:2">
      <c r="B934" s="69"/>
    </row>
    <row r="935" spans="2:2">
      <c r="B935" s="69"/>
    </row>
    <row r="936" spans="2:2">
      <c r="B936" s="69"/>
    </row>
    <row r="937" spans="2:2">
      <c r="B937" s="69"/>
    </row>
    <row r="938" spans="2:2">
      <c r="B938" s="69"/>
    </row>
    <row r="939" spans="2:2">
      <c r="B939" s="69"/>
    </row>
    <row r="940" spans="2:2">
      <c r="B940" s="69"/>
    </row>
    <row r="941" spans="2:2">
      <c r="B941" s="69"/>
    </row>
    <row r="942" spans="2:2">
      <c r="B942" s="69"/>
    </row>
    <row r="943" spans="2:2">
      <c r="B943" s="69"/>
    </row>
    <row r="944" spans="2:2">
      <c r="B944" s="69"/>
    </row>
    <row r="945" spans="2:2">
      <c r="B945" s="69"/>
    </row>
    <row r="946" spans="2:2">
      <c r="B946" s="69"/>
    </row>
    <row r="947" spans="2:2">
      <c r="B947" s="69"/>
    </row>
    <row r="948" spans="2:2">
      <c r="B948" s="69"/>
    </row>
    <row r="949" spans="2:2">
      <c r="B949" s="69"/>
    </row>
    <row r="950" spans="2:2">
      <c r="B950" s="69"/>
    </row>
    <row r="951" spans="2:2">
      <c r="B951" s="69"/>
    </row>
    <row r="952" spans="2:2">
      <c r="B952" s="69"/>
    </row>
    <row r="953" spans="2:2">
      <c r="B953" s="69"/>
    </row>
    <row r="954" spans="2:2">
      <c r="B954" s="69"/>
    </row>
    <row r="955" spans="2:2">
      <c r="B955" s="69"/>
    </row>
    <row r="956" spans="2:2">
      <c r="B956" s="69"/>
    </row>
    <row r="957" spans="2:2">
      <c r="B957" s="69"/>
    </row>
    <row r="958" spans="2:2">
      <c r="B958" s="69"/>
    </row>
    <row r="959" spans="2:2">
      <c r="B959" s="69"/>
    </row>
    <row r="960" spans="2:2">
      <c r="B960" s="69"/>
    </row>
    <row r="961" spans="2:2">
      <c r="B961" s="69"/>
    </row>
    <row r="962" spans="2:2">
      <c r="B962" s="69"/>
    </row>
    <row r="963" spans="2:2">
      <c r="B963" s="69"/>
    </row>
    <row r="964" spans="2:2">
      <c r="B964" s="69"/>
    </row>
    <row r="965" spans="2:2">
      <c r="B965" s="69"/>
    </row>
    <row r="966" spans="2:2">
      <c r="B966" s="69"/>
    </row>
    <row r="967" spans="2:2">
      <c r="B967" s="69"/>
    </row>
    <row r="968" spans="2:2">
      <c r="B968" s="69"/>
    </row>
    <row r="969" spans="2:2">
      <c r="B969" s="69"/>
    </row>
    <row r="970" spans="2:2">
      <c r="B970" s="69"/>
    </row>
    <row r="971" spans="2:2">
      <c r="B971" s="69"/>
    </row>
    <row r="972" spans="2:2">
      <c r="B972" s="69"/>
    </row>
    <row r="973" spans="2:2">
      <c r="B973" s="69"/>
    </row>
    <row r="974" spans="2:2">
      <c r="B974" s="69"/>
    </row>
    <row r="975" spans="2:2">
      <c r="B975" s="69"/>
    </row>
    <row r="976" spans="2:2">
      <c r="B976" s="69"/>
    </row>
    <row r="977" spans="2:2">
      <c r="B977" s="69"/>
    </row>
    <row r="978" spans="2:2">
      <c r="B978" s="69"/>
    </row>
    <row r="979" spans="2:2">
      <c r="B979" s="69"/>
    </row>
    <row r="980" spans="2:2">
      <c r="B980" s="69"/>
    </row>
    <row r="981" spans="2:2">
      <c r="B981" s="69"/>
    </row>
    <row r="982" spans="2:2">
      <c r="B982" s="69"/>
    </row>
    <row r="983" spans="2:2">
      <c r="B983" s="69"/>
    </row>
    <row r="984" spans="2:2">
      <c r="B984" s="69"/>
    </row>
    <row r="985" spans="2:2">
      <c r="B985" s="69"/>
    </row>
    <row r="986" spans="2:2">
      <c r="B986" s="69"/>
    </row>
    <row r="987" spans="2:2">
      <c r="B987" s="69"/>
    </row>
    <row r="988" spans="2:2">
      <c r="B988" s="69"/>
    </row>
    <row r="989" spans="2:2">
      <c r="B989" s="69"/>
    </row>
    <row r="990" spans="2:2">
      <c r="B990" s="69"/>
    </row>
    <row r="991" spans="2:2">
      <c r="B991" s="69"/>
    </row>
    <row r="992" spans="2:2">
      <c r="B992" s="69"/>
    </row>
    <row r="993" spans="2:2">
      <c r="B993" s="69"/>
    </row>
    <row r="994" spans="2:2">
      <c r="B994" s="69"/>
    </row>
    <row r="995" spans="2:2">
      <c r="B995" s="69"/>
    </row>
    <row r="996" spans="2:2">
      <c r="B996" s="69"/>
    </row>
    <row r="997" spans="2:2">
      <c r="B997" s="69"/>
    </row>
    <row r="998" spans="2:2">
      <c r="B998" s="69"/>
    </row>
    <row r="999" spans="2:2">
      <c r="B999" s="69"/>
    </row>
    <row r="1000" spans="2:2">
      <c r="B1000" s="69"/>
    </row>
    <row r="1001" spans="2:2">
      <c r="B1001" s="69"/>
    </row>
  </sheetData>
  <mergeCells count="1">
    <mergeCell ref="G1:J1"/>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outlinePr summaryBelow="0" summaryRight="0"/>
  </sheetPr>
  <dimension ref="A1:T175"/>
  <sheetViews>
    <sheetView workbookViewId="0"/>
  </sheetViews>
  <sheetFormatPr defaultColWidth="12.7109375" defaultRowHeight="12.75" customHeight="1"/>
  <cols>
    <col min="1" max="1" width="42.140625" customWidth="1"/>
    <col min="2" max="2" width="31.28515625" customWidth="1"/>
    <col min="3" max="3" width="18.42578125" customWidth="1"/>
    <col min="4" max="4" width="36.28515625" customWidth="1"/>
    <col min="5" max="5" width="44.7109375" customWidth="1"/>
    <col min="6" max="20" width="15.140625" customWidth="1"/>
  </cols>
  <sheetData>
    <row r="1" spans="1:20">
      <c r="A1" s="578" t="s">
        <v>3534</v>
      </c>
      <c r="B1" s="578" t="s">
        <v>3689</v>
      </c>
      <c r="C1" s="578" t="s">
        <v>3690</v>
      </c>
      <c r="D1" s="578"/>
      <c r="E1" s="578"/>
    </row>
    <row r="2" spans="1:20" ht="15">
      <c r="A2" s="639" t="s">
        <v>7703</v>
      </c>
      <c r="B2" s="20" t="s">
        <v>4267</v>
      </c>
      <c r="C2" s="20" t="s">
        <v>3706</v>
      </c>
      <c r="D2" s="1384">
        <v>23294427</v>
      </c>
      <c r="E2" s="634"/>
      <c r="F2" s="20"/>
      <c r="G2" s="9"/>
      <c r="H2" s="9"/>
      <c r="I2" s="9"/>
      <c r="J2" s="9"/>
      <c r="K2" s="9"/>
      <c r="L2" s="9"/>
      <c r="M2" s="9"/>
      <c r="N2" s="9"/>
      <c r="O2" s="9"/>
      <c r="P2" s="9"/>
      <c r="Q2" s="9"/>
      <c r="R2" s="9"/>
      <c r="S2" s="13"/>
      <c r="T2" s="13"/>
    </row>
    <row r="3" spans="1:20" ht="15">
      <c r="A3" s="642" t="s">
        <v>7704</v>
      </c>
      <c r="B3" s="20" t="s">
        <v>3755</v>
      </c>
      <c r="C3" s="20" t="s">
        <v>3706</v>
      </c>
      <c r="D3" s="1384" t="s">
        <v>7705</v>
      </c>
      <c r="E3" s="634"/>
      <c r="F3" s="20"/>
      <c r="G3" s="9"/>
      <c r="H3" s="9"/>
      <c r="I3" s="9"/>
      <c r="J3" s="9"/>
      <c r="K3" s="9"/>
      <c r="L3" s="9"/>
      <c r="M3" s="9"/>
      <c r="N3" s="9"/>
      <c r="O3" s="9"/>
      <c r="P3" s="9"/>
      <c r="Q3" s="9"/>
      <c r="R3" s="9"/>
      <c r="S3" s="13"/>
      <c r="T3" s="13"/>
    </row>
    <row r="4" spans="1:20" ht="15">
      <c r="A4" s="642" t="s">
        <v>7706</v>
      </c>
      <c r="B4" s="20" t="s">
        <v>3755</v>
      </c>
      <c r="C4" s="20" t="s">
        <v>3939</v>
      </c>
      <c r="D4" s="1384">
        <v>518336985</v>
      </c>
      <c r="E4" s="634"/>
      <c r="F4" s="20"/>
      <c r="G4" s="9"/>
      <c r="H4" s="9"/>
      <c r="I4" s="9"/>
      <c r="J4" s="9"/>
      <c r="K4" s="9"/>
      <c r="L4" s="9"/>
      <c r="M4" s="9"/>
      <c r="N4" s="9"/>
      <c r="O4" s="9"/>
      <c r="P4" s="9"/>
      <c r="Q4" s="9"/>
      <c r="R4" s="9"/>
      <c r="S4" s="13"/>
      <c r="T4" s="13"/>
    </row>
    <row r="5" spans="1:20" ht="15">
      <c r="A5" s="639" t="s">
        <v>7707</v>
      </c>
      <c r="B5" s="20" t="s">
        <v>6619</v>
      </c>
      <c r="C5" s="20"/>
      <c r="D5" s="1384" t="s">
        <v>7708</v>
      </c>
      <c r="E5" s="634"/>
      <c r="F5" s="20"/>
      <c r="G5" s="9"/>
      <c r="H5" s="9"/>
      <c r="I5" s="9"/>
      <c r="J5" s="9"/>
      <c r="K5" s="9"/>
      <c r="L5" s="9"/>
      <c r="M5" s="9"/>
      <c r="N5" s="9"/>
      <c r="O5" s="9"/>
      <c r="P5" s="9"/>
      <c r="Q5" s="9"/>
      <c r="R5" s="9"/>
      <c r="S5" s="13"/>
      <c r="T5" s="13"/>
    </row>
    <row r="6" spans="1:20">
      <c r="A6" s="639" t="s">
        <v>7709</v>
      </c>
      <c r="B6" s="20"/>
      <c r="C6" s="20"/>
      <c r="D6" s="9"/>
      <c r="E6" s="634"/>
      <c r="F6" s="20"/>
      <c r="G6" s="9"/>
      <c r="H6" s="9"/>
      <c r="I6" s="9"/>
      <c r="J6" s="9"/>
      <c r="K6" s="9"/>
      <c r="L6" s="9"/>
      <c r="M6" s="9"/>
      <c r="N6" s="9"/>
      <c r="O6" s="9"/>
      <c r="P6" s="9"/>
      <c r="Q6" s="9"/>
      <c r="R6" s="9"/>
      <c r="S6" s="13"/>
      <c r="T6" s="13"/>
    </row>
    <row r="7" spans="1:20">
      <c r="A7" s="639" t="s">
        <v>7710</v>
      </c>
      <c r="B7" s="20" t="s">
        <v>7711</v>
      </c>
      <c r="C7" s="20" t="s">
        <v>7712</v>
      </c>
      <c r="D7" s="20"/>
      <c r="E7" s="634"/>
      <c r="F7" s="20"/>
      <c r="G7" s="9"/>
      <c r="H7" s="9"/>
      <c r="I7" s="9"/>
      <c r="J7" s="9"/>
      <c r="K7" s="9"/>
      <c r="L7" s="9"/>
      <c r="M7" s="9"/>
      <c r="N7" s="9"/>
      <c r="O7" s="9"/>
      <c r="P7" s="9"/>
      <c r="Q7" s="9"/>
      <c r="R7" s="9"/>
      <c r="S7" s="13"/>
      <c r="T7" s="13"/>
    </row>
    <row r="8" spans="1:20">
      <c r="A8" s="639" t="s">
        <v>4124</v>
      </c>
      <c r="B8" s="20" t="s">
        <v>3292</v>
      </c>
      <c r="C8" s="20" t="s">
        <v>3782</v>
      </c>
      <c r="D8" s="20"/>
      <c r="E8" s="634"/>
      <c r="F8" s="20"/>
      <c r="G8" s="9"/>
      <c r="H8" s="9"/>
      <c r="I8" s="9"/>
      <c r="J8" s="9"/>
      <c r="K8" s="9"/>
      <c r="L8" s="9"/>
      <c r="M8" s="9"/>
      <c r="N8" s="9"/>
      <c r="O8" s="9"/>
      <c r="P8" s="9"/>
      <c r="Q8" s="9"/>
      <c r="R8" s="9"/>
      <c r="S8" s="13"/>
      <c r="T8" s="13"/>
    </row>
    <row r="9" spans="1:20">
      <c r="A9" s="639" t="s">
        <v>4125</v>
      </c>
      <c r="B9" s="20" t="s">
        <v>3692</v>
      </c>
      <c r="C9" s="20" t="s">
        <v>3785</v>
      </c>
      <c r="D9" s="20" t="s">
        <v>7713</v>
      </c>
      <c r="E9" s="634"/>
      <c r="F9" s="20"/>
      <c r="G9" s="9"/>
      <c r="H9" s="9"/>
      <c r="I9" s="9"/>
      <c r="J9" s="9"/>
      <c r="K9" s="9"/>
      <c r="L9" s="9"/>
      <c r="M9" s="9"/>
      <c r="N9" s="9"/>
      <c r="O9" s="9"/>
      <c r="P9" s="9"/>
      <c r="Q9" s="9"/>
      <c r="R9" s="9"/>
      <c r="S9" s="13"/>
      <c r="T9" s="13"/>
    </row>
    <row r="10" spans="1:20">
      <c r="A10" s="639" t="s">
        <v>6894</v>
      </c>
      <c r="B10" s="20" t="s">
        <v>3755</v>
      </c>
      <c r="C10" s="20" t="s">
        <v>3706</v>
      </c>
      <c r="D10" s="20"/>
      <c r="E10" s="634"/>
      <c r="F10" s="20"/>
      <c r="G10" s="9"/>
      <c r="H10" s="9"/>
      <c r="I10" s="9"/>
      <c r="J10" s="9"/>
      <c r="K10" s="9"/>
      <c r="L10" s="9"/>
      <c r="M10" s="9"/>
      <c r="N10" s="9"/>
      <c r="O10" s="9"/>
      <c r="P10" s="9"/>
      <c r="Q10" s="9"/>
      <c r="R10" s="9"/>
      <c r="S10" s="13"/>
      <c r="T10" s="13"/>
    </row>
    <row r="11" spans="1:20">
      <c r="A11" s="639" t="s">
        <v>4128</v>
      </c>
      <c r="B11" s="20" t="s">
        <v>3755</v>
      </c>
      <c r="C11" s="20" t="s">
        <v>3785</v>
      </c>
      <c r="D11" s="20"/>
      <c r="E11" s="634"/>
      <c r="F11" s="20"/>
      <c r="G11" s="9"/>
      <c r="H11" s="9"/>
      <c r="I11" s="9"/>
      <c r="J11" s="9"/>
      <c r="K11" s="9"/>
      <c r="L11" s="9"/>
      <c r="M11" s="9"/>
      <c r="N11" s="9"/>
      <c r="O11" s="9"/>
      <c r="P11" s="9"/>
      <c r="Q11" s="9"/>
      <c r="R11" s="9"/>
      <c r="S11" s="13"/>
      <c r="T11" s="13"/>
    </row>
    <row r="12" spans="1:20">
      <c r="A12" s="639" t="s">
        <v>7714</v>
      </c>
      <c r="B12" s="20" t="s">
        <v>7715</v>
      </c>
      <c r="C12" s="20" t="s">
        <v>3785</v>
      </c>
      <c r="D12" s="20"/>
      <c r="E12" s="634"/>
      <c r="F12" s="20"/>
      <c r="G12" s="9"/>
      <c r="H12" s="9"/>
      <c r="I12" s="9"/>
      <c r="J12" s="9"/>
      <c r="K12" s="9"/>
      <c r="L12" s="9"/>
      <c r="M12" s="9"/>
      <c r="N12" s="9"/>
      <c r="O12" s="9"/>
      <c r="P12" s="9"/>
      <c r="Q12" s="9"/>
      <c r="R12" s="9"/>
      <c r="S12" s="13"/>
      <c r="T12" s="13"/>
    </row>
    <row r="13" spans="1:20">
      <c r="A13" s="639" t="s">
        <v>7716</v>
      </c>
      <c r="B13" s="20"/>
      <c r="C13" s="20"/>
      <c r="D13" s="20">
        <v>29932475</v>
      </c>
      <c r="E13" s="634"/>
      <c r="F13" s="20"/>
      <c r="G13" s="9"/>
      <c r="H13" s="9"/>
      <c r="I13" s="9"/>
      <c r="J13" s="9"/>
      <c r="K13" s="9"/>
      <c r="L13" s="9"/>
      <c r="M13" s="9"/>
      <c r="N13" s="9"/>
      <c r="O13" s="9"/>
      <c r="P13" s="9"/>
      <c r="Q13" s="9"/>
      <c r="R13" s="9"/>
      <c r="S13" s="13"/>
      <c r="T13" s="13"/>
    </row>
    <row r="14" spans="1:20">
      <c r="A14" s="639" t="s">
        <v>7717</v>
      </c>
      <c r="B14" s="20" t="s">
        <v>4108</v>
      </c>
      <c r="C14" s="20" t="s">
        <v>3785</v>
      </c>
      <c r="D14" s="20"/>
      <c r="E14" s="634"/>
      <c r="F14" s="20"/>
      <c r="G14" s="9"/>
      <c r="H14" s="9"/>
      <c r="I14" s="9"/>
      <c r="J14" s="9"/>
      <c r="K14" s="9"/>
      <c r="L14" s="9"/>
      <c r="M14" s="9"/>
      <c r="N14" s="9"/>
      <c r="O14" s="9"/>
      <c r="P14" s="9"/>
      <c r="Q14" s="9"/>
      <c r="R14" s="9"/>
      <c r="S14" s="13"/>
      <c r="T14" s="13"/>
    </row>
    <row r="15" spans="1:20">
      <c r="A15" s="639" t="s">
        <v>7718</v>
      </c>
      <c r="B15" s="20" t="s">
        <v>7719</v>
      </c>
      <c r="C15" s="20" t="s">
        <v>7720</v>
      </c>
      <c r="D15" s="20"/>
      <c r="E15" s="634"/>
      <c r="F15" s="20"/>
      <c r="G15" s="9"/>
      <c r="H15" s="9"/>
      <c r="I15" s="9"/>
      <c r="J15" s="9"/>
      <c r="K15" s="9"/>
      <c r="L15" s="9"/>
      <c r="M15" s="9"/>
      <c r="N15" s="9"/>
      <c r="O15" s="9"/>
      <c r="P15" s="9"/>
      <c r="Q15" s="9"/>
      <c r="R15" s="9"/>
      <c r="S15" s="13"/>
      <c r="T15" s="13"/>
    </row>
    <row r="16" spans="1:20">
      <c r="A16" s="639" t="s">
        <v>6898</v>
      </c>
      <c r="B16" s="20" t="s">
        <v>3692</v>
      </c>
      <c r="C16" s="20" t="s">
        <v>3706</v>
      </c>
      <c r="D16" s="20">
        <v>58</v>
      </c>
      <c r="E16" s="634"/>
      <c r="F16" s="20"/>
      <c r="G16" s="9"/>
      <c r="H16" s="9"/>
      <c r="I16" s="9"/>
      <c r="J16" s="9"/>
      <c r="K16" s="9"/>
      <c r="L16" s="9"/>
      <c r="M16" s="9"/>
      <c r="N16" s="9"/>
      <c r="O16" s="9"/>
      <c r="P16" s="9"/>
      <c r="Q16" s="9"/>
      <c r="R16" s="9"/>
      <c r="S16" s="13"/>
      <c r="T16" s="13"/>
    </row>
    <row r="17" spans="1:20">
      <c r="A17" s="639" t="s">
        <v>6899</v>
      </c>
      <c r="B17" s="20" t="s">
        <v>3292</v>
      </c>
      <c r="C17" s="20" t="s">
        <v>3782</v>
      </c>
      <c r="D17" s="20"/>
      <c r="E17" s="634"/>
      <c r="F17" s="20"/>
      <c r="G17" s="9"/>
      <c r="H17" s="9"/>
      <c r="I17" s="9"/>
      <c r="J17" s="9"/>
      <c r="K17" s="9"/>
      <c r="L17" s="9"/>
      <c r="M17" s="9"/>
      <c r="N17" s="9"/>
      <c r="O17" s="9"/>
      <c r="P17" s="9"/>
      <c r="Q17" s="9"/>
      <c r="R17" s="9"/>
      <c r="S17" s="13"/>
      <c r="T17" s="13"/>
    </row>
    <row r="18" spans="1:20">
      <c r="A18" s="639" t="s">
        <v>4131</v>
      </c>
      <c r="B18" s="20" t="s">
        <v>3692</v>
      </c>
      <c r="C18" s="20" t="s">
        <v>3785</v>
      </c>
      <c r="D18" s="20"/>
      <c r="E18" s="634"/>
      <c r="F18" s="20"/>
      <c r="G18" s="9"/>
      <c r="H18" s="9"/>
      <c r="I18" s="9"/>
      <c r="J18" s="9"/>
      <c r="K18" s="9"/>
      <c r="L18" s="9"/>
      <c r="M18" s="9"/>
      <c r="N18" s="9"/>
      <c r="O18" s="9"/>
      <c r="P18" s="9"/>
      <c r="Q18" s="9"/>
      <c r="R18" s="9"/>
      <c r="S18" s="13"/>
      <c r="T18" s="13"/>
    </row>
    <row r="19" spans="1:20">
      <c r="A19" s="639" t="s">
        <v>7721</v>
      </c>
      <c r="B19" s="20" t="s">
        <v>3755</v>
      </c>
      <c r="C19" s="20" t="s">
        <v>3706</v>
      </c>
      <c r="D19" s="20"/>
      <c r="E19" s="634"/>
      <c r="F19" s="20"/>
      <c r="G19" s="9"/>
      <c r="H19" s="9"/>
      <c r="I19" s="9"/>
      <c r="J19" s="9"/>
      <c r="K19" s="9"/>
      <c r="L19" s="9"/>
      <c r="M19" s="9"/>
      <c r="N19" s="9"/>
      <c r="O19" s="9"/>
      <c r="P19" s="9"/>
      <c r="Q19" s="9"/>
      <c r="R19" s="9"/>
      <c r="S19" s="13"/>
      <c r="T19" s="13"/>
    </row>
    <row r="20" spans="1:20">
      <c r="A20" s="639" t="s">
        <v>4133</v>
      </c>
      <c r="B20" s="20" t="s">
        <v>3781</v>
      </c>
      <c r="C20" s="20" t="s">
        <v>3782</v>
      </c>
      <c r="D20" s="20"/>
      <c r="E20" s="634"/>
      <c r="F20" s="20"/>
      <c r="G20" s="9"/>
      <c r="H20" s="9"/>
      <c r="I20" s="9"/>
      <c r="J20" s="9"/>
      <c r="K20" s="9"/>
      <c r="L20" s="9"/>
      <c r="M20" s="9"/>
      <c r="N20" s="9"/>
      <c r="O20" s="9"/>
      <c r="P20" s="9"/>
      <c r="Q20" s="9"/>
      <c r="R20" s="9"/>
      <c r="S20" s="13"/>
      <c r="T20" s="13"/>
    </row>
    <row r="21" spans="1:20">
      <c r="A21" s="639" t="s">
        <v>4136</v>
      </c>
      <c r="B21" s="20" t="s">
        <v>3696</v>
      </c>
      <c r="C21" s="20" t="s">
        <v>3785</v>
      </c>
      <c r="D21" s="20"/>
      <c r="E21" s="634"/>
      <c r="F21" s="20"/>
      <c r="G21" s="9"/>
      <c r="H21" s="9"/>
      <c r="I21" s="9"/>
      <c r="J21" s="9"/>
      <c r="K21" s="9"/>
      <c r="L21" s="9"/>
      <c r="M21" s="9"/>
      <c r="N21" s="9"/>
      <c r="O21" s="9"/>
      <c r="P21" s="9"/>
      <c r="Q21" s="9"/>
      <c r="R21" s="9"/>
      <c r="S21" s="13"/>
      <c r="T21" s="13"/>
    </row>
    <row r="22" spans="1:20">
      <c r="A22" s="639" t="s">
        <v>6901</v>
      </c>
      <c r="B22" s="20" t="s">
        <v>3755</v>
      </c>
      <c r="C22" s="20" t="s">
        <v>3785</v>
      </c>
      <c r="D22" s="20"/>
      <c r="E22" s="634"/>
      <c r="F22" s="20"/>
      <c r="G22" s="9"/>
      <c r="H22" s="9"/>
      <c r="I22" s="9"/>
      <c r="J22" s="9"/>
      <c r="K22" s="9"/>
      <c r="L22" s="9"/>
      <c r="M22" s="9"/>
      <c r="N22" s="9"/>
      <c r="O22" s="9"/>
      <c r="P22" s="9"/>
      <c r="Q22" s="9"/>
      <c r="R22" s="9"/>
      <c r="S22" s="13"/>
      <c r="T22" s="13"/>
    </row>
    <row r="23" spans="1:20">
      <c r="A23" s="639" t="s">
        <v>6902</v>
      </c>
      <c r="B23" s="20" t="s">
        <v>3716</v>
      </c>
      <c r="C23" s="9" t="s">
        <v>3782</v>
      </c>
      <c r="D23" s="20">
        <v>28162816</v>
      </c>
      <c r="E23" s="634"/>
      <c r="F23" s="20"/>
      <c r="G23" s="9"/>
      <c r="H23" s="9"/>
      <c r="I23" s="9"/>
      <c r="J23" s="9"/>
      <c r="K23" s="9"/>
      <c r="L23" s="9"/>
      <c r="M23" s="9"/>
      <c r="N23" s="9"/>
      <c r="O23" s="9"/>
      <c r="P23" s="9"/>
      <c r="Q23" s="9"/>
      <c r="R23" s="9"/>
      <c r="S23" s="13"/>
      <c r="T23" s="13"/>
    </row>
    <row r="24" spans="1:20">
      <c r="A24" s="639" t="s">
        <v>7722</v>
      </c>
      <c r="B24" s="20" t="s">
        <v>3692</v>
      </c>
      <c r="C24" s="20" t="s">
        <v>3706</v>
      </c>
      <c r="D24" s="20"/>
      <c r="E24" s="634"/>
      <c r="F24" s="20"/>
      <c r="G24" s="9"/>
      <c r="H24" s="9"/>
      <c r="I24" s="9"/>
      <c r="J24" s="9"/>
      <c r="K24" s="9"/>
      <c r="L24" s="9"/>
      <c r="M24" s="9"/>
      <c r="N24" s="9"/>
      <c r="O24" s="9"/>
      <c r="P24" s="9"/>
      <c r="Q24" s="9"/>
      <c r="R24" s="9"/>
      <c r="S24" s="13"/>
      <c r="T24" s="13"/>
    </row>
    <row r="25" spans="1:20">
      <c r="A25" s="639" t="s">
        <v>1237</v>
      </c>
      <c r="B25" s="20" t="s">
        <v>3692</v>
      </c>
      <c r="C25" s="20" t="s">
        <v>3785</v>
      </c>
      <c r="D25" s="20">
        <v>2816</v>
      </c>
      <c r="E25" s="634"/>
      <c r="F25" s="20"/>
      <c r="G25" s="9"/>
      <c r="H25" s="9"/>
      <c r="I25" s="9"/>
      <c r="J25" s="9"/>
      <c r="K25" s="9"/>
      <c r="L25" s="9"/>
      <c r="M25" s="9"/>
      <c r="N25" s="9"/>
      <c r="O25" s="9"/>
      <c r="P25" s="9"/>
      <c r="Q25" s="9"/>
      <c r="R25" s="9"/>
      <c r="S25" s="13"/>
      <c r="T25" s="13"/>
    </row>
    <row r="26" spans="1:20" ht="25.5">
      <c r="A26" s="639" t="s">
        <v>5035</v>
      </c>
      <c r="B26" s="20" t="s">
        <v>4143</v>
      </c>
      <c r="C26" s="20" t="s">
        <v>4144</v>
      </c>
      <c r="D26" s="20" t="s">
        <v>4145</v>
      </c>
      <c r="E26" s="634"/>
      <c r="F26" s="20"/>
      <c r="G26" s="9"/>
      <c r="H26" s="9"/>
      <c r="I26" s="9"/>
      <c r="J26" s="9"/>
      <c r="K26" s="9"/>
      <c r="L26" s="9"/>
      <c r="M26" s="9"/>
      <c r="N26" s="9"/>
      <c r="O26" s="9"/>
      <c r="P26" s="9"/>
      <c r="Q26" s="9"/>
      <c r="R26" s="9"/>
      <c r="S26" s="13"/>
      <c r="T26" s="13"/>
    </row>
    <row r="27" spans="1:20" ht="12.75" customHeight="1">
      <c r="A27" s="639" t="s">
        <v>4154</v>
      </c>
      <c r="B27" s="641" t="s">
        <v>3692</v>
      </c>
      <c r="C27" s="20" t="s">
        <v>3706</v>
      </c>
      <c r="D27" s="1385" t="s">
        <v>4155</v>
      </c>
      <c r="E27" s="634"/>
      <c r="G27" s="9"/>
      <c r="H27" s="9"/>
      <c r="I27" s="9"/>
      <c r="J27" s="9"/>
      <c r="K27" s="9"/>
      <c r="L27" s="9"/>
      <c r="M27" s="9"/>
      <c r="N27" s="9"/>
      <c r="O27" s="9"/>
      <c r="P27" s="9"/>
      <c r="Q27" s="9"/>
      <c r="R27" s="9"/>
      <c r="S27" s="13"/>
      <c r="T27" s="13"/>
    </row>
    <row r="28" spans="1:20" ht="12.75" customHeight="1">
      <c r="A28" s="639" t="s">
        <v>7723</v>
      </c>
      <c r="B28" s="641" t="s">
        <v>3692</v>
      </c>
      <c r="C28" s="20">
        <v>165645</v>
      </c>
      <c r="D28" s="9"/>
      <c r="E28" s="634"/>
      <c r="F28" s="20"/>
      <c r="G28" s="9"/>
      <c r="H28" s="9"/>
      <c r="I28" s="9"/>
      <c r="J28" s="9"/>
      <c r="K28" s="9"/>
      <c r="L28" s="9"/>
      <c r="M28" s="9"/>
      <c r="N28" s="9"/>
      <c r="O28" s="9"/>
      <c r="P28" s="9"/>
      <c r="Q28" s="9"/>
      <c r="R28" s="9"/>
      <c r="S28" s="13"/>
      <c r="T28" s="13"/>
    </row>
    <row r="29" spans="1:20" ht="12.75" customHeight="1">
      <c r="A29" s="639" t="s">
        <v>7724</v>
      </c>
      <c r="B29" s="641" t="s">
        <v>3692</v>
      </c>
      <c r="C29" s="634" t="s">
        <v>3706</v>
      </c>
      <c r="D29" s="9"/>
      <c r="E29" s="634"/>
      <c r="G29" s="9"/>
      <c r="H29" s="9"/>
      <c r="I29" s="9"/>
      <c r="J29" s="9"/>
      <c r="K29" s="9"/>
      <c r="L29" s="9"/>
      <c r="M29" s="9"/>
      <c r="N29" s="9"/>
      <c r="O29" s="9"/>
      <c r="P29" s="9"/>
      <c r="Q29" s="9"/>
      <c r="R29" s="9"/>
      <c r="S29" s="13"/>
      <c r="T29" s="13"/>
    </row>
    <row r="30" spans="1:20" ht="12.75" customHeight="1">
      <c r="A30" s="639" t="s">
        <v>7725</v>
      </c>
      <c r="B30" s="641" t="s">
        <v>3696</v>
      </c>
      <c r="C30" s="634" t="s">
        <v>3785</v>
      </c>
      <c r="D30" s="9"/>
      <c r="E30" s="634"/>
      <c r="G30" s="9"/>
      <c r="H30" s="9"/>
      <c r="I30" s="9"/>
      <c r="J30" s="9"/>
      <c r="K30" s="9"/>
      <c r="L30" s="9"/>
      <c r="M30" s="9"/>
      <c r="N30" s="9"/>
      <c r="O30" s="9"/>
      <c r="P30" s="9"/>
      <c r="Q30" s="9"/>
      <c r="R30" s="9"/>
      <c r="S30" s="13"/>
      <c r="T30" s="13"/>
    </row>
    <row r="31" spans="1:20" ht="12.75" customHeight="1">
      <c r="A31" s="642" t="s">
        <v>4160</v>
      </c>
      <c r="B31" s="641" t="s">
        <v>3755</v>
      </c>
      <c r="C31" s="634" t="s">
        <v>3785</v>
      </c>
      <c r="D31" s="9"/>
      <c r="E31" s="634"/>
      <c r="G31" s="9"/>
      <c r="H31" s="9"/>
      <c r="I31" s="9"/>
      <c r="J31" s="9"/>
      <c r="K31" s="9"/>
      <c r="L31" s="9"/>
      <c r="M31" s="9"/>
      <c r="N31" s="9"/>
      <c r="O31" s="9"/>
      <c r="P31" s="9"/>
      <c r="Q31" s="9"/>
      <c r="R31" s="9"/>
      <c r="S31" s="13"/>
      <c r="T31" s="13"/>
    </row>
    <row r="32" spans="1:20" ht="12.75" customHeight="1">
      <c r="A32" s="639" t="s">
        <v>4161</v>
      </c>
      <c r="B32" s="641" t="s">
        <v>4162</v>
      </c>
      <c r="C32" s="634" t="s">
        <v>3939</v>
      </c>
      <c r="D32" s="643" t="s">
        <v>7726</v>
      </c>
      <c r="E32" s="644" t="s">
        <v>4165</v>
      </c>
      <c r="G32" s="9"/>
      <c r="H32" s="9"/>
      <c r="I32" s="9"/>
      <c r="J32" s="9"/>
      <c r="K32" s="9"/>
      <c r="L32" s="9"/>
      <c r="M32" s="9"/>
      <c r="N32" s="9"/>
      <c r="O32" s="9"/>
      <c r="P32" s="9"/>
      <c r="Q32" s="9"/>
      <c r="R32" s="9"/>
      <c r="S32" s="13"/>
      <c r="T32" s="13"/>
    </row>
    <row r="33" spans="1:20" ht="15">
      <c r="A33" s="642" t="s">
        <v>4166</v>
      </c>
      <c r="B33" s="641" t="s">
        <v>3692</v>
      </c>
      <c r="C33" s="634" t="s">
        <v>3785</v>
      </c>
      <c r="D33" s="9"/>
      <c r="E33" s="634"/>
      <c r="F33" s="9"/>
      <c r="G33" s="9"/>
      <c r="H33" s="9"/>
      <c r="I33" s="9"/>
      <c r="J33" s="9"/>
      <c r="K33" s="9"/>
      <c r="L33" s="9"/>
      <c r="M33" s="9"/>
      <c r="N33" s="9"/>
      <c r="O33" s="9"/>
      <c r="P33" s="9"/>
      <c r="Q33" s="9"/>
      <c r="R33" s="9"/>
      <c r="S33" s="13"/>
      <c r="T33" s="13"/>
    </row>
    <row r="34" spans="1:20" ht="26.25">
      <c r="A34" s="639" t="s">
        <v>4167</v>
      </c>
      <c r="B34" s="641" t="s">
        <v>7727</v>
      </c>
      <c r="C34" s="634" t="s">
        <v>7728</v>
      </c>
      <c r="D34" s="9" t="s">
        <v>6903</v>
      </c>
      <c r="E34" s="634" t="s">
        <v>7729</v>
      </c>
      <c r="F34" s="9"/>
      <c r="G34" s="9"/>
      <c r="H34" s="9"/>
      <c r="I34" s="9"/>
      <c r="J34" s="9"/>
      <c r="K34" s="9"/>
      <c r="L34" s="9"/>
      <c r="M34" s="9"/>
      <c r="N34" s="9"/>
      <c r="O34" s="9"/>
      <c r="P34" s="9"/>
      <c r="Q34" s="9"/>
      <c r="R34" s="9"/>
      <c r="S34" s="13"/>
      <c r="T34" s="13"/>
    </row>
    <row r="35" spans="1:20" ht="25.5">
      <c r="A35" s="639" t="s">
        <v>7730</v>
      </c>
      <c r="B35" s="634" t="s">
        <v>3755</v>
      </c>
      <c r="C35" s="634" t="s">
        <v>7731</v>
      </c>
      <c r="D35" s="9" t="s">
        <v>4173</v>
      </c>
      <c r="E35" s="634" t="s">
        <v>7732</v>
      </c>
      <c r="F35" s="9"/>
      <c r="G35" s="9"/>
      <c r="H35" s="9"/>
      <c r="I35" s="9"/>
      <c r="J35" s="9"/>
      <c r="K35" s="9"/>
      <c r="L35" s="9"/>
      <c r="M35" s="9"/>
      <c r="N35" s="9"/>
      <c r="O35" s="9"/>
      <c r="P35" s="9"/>
      <c r="Q35" s="9"/>
      <c r="R35" s="9"/>
      <c r="S35" s="13"/>
      <c r="T35" s="13"/>
    </row>
    <row r="36" spans="1:20">
      <c r="A36" s="634" t="s">
        <v>4175</v>
      </c>
      <c r="B36" s="634" t="s">
        <v>3755</v>
      </c>
      <c r="C36" s="634" t="s">
        <v>3706</v>
      </c>
      <c r="D36" s="9" t="s">
        <v>4176</v>
      </c>
      <c r="E36" s="634"/>
      <c r="F36" s="9"/>
      <c r="G36" s="9"/>
      <c r="H36" s="9"/>
      <c r="I36" s="9"/>
      <c r="J36" s="9"/>
      <c r="K36" s="9"/>
      <c r="L36" s="9"/>
      <c r="M36" s="9"/>
      <c r="N36" s="9"/>
      <c r="O36" s="9"/>
      <c r="P36" s="9"/>
      <c r="Q36" s="9"/>
      <c r="R36" s="9"/>
      <c r="S36" s="13"/>
      <c r="T36" s="13"/>
    </row>
    <row r="37" spans="1:20" ht="25.5">
      <c r="A37" s="634" t="s">
        <v>4177</v>
      </c>
      <c r="B37" s="634" t="s">
        <v>3755</v>
      </c>
      <c r="C37" s="634" t="s">
        <v>3785</v>
      </c>
      <c r="D37" s="9" t="s">
        <v>4178</v>
      </c>
      <c r="E37" s="634" t="s">
        <v>4179</v>
      </c>
      <c r="F37" s="9"/>
      <c r="G37" s="9"/>
      <c r="H37" s="9"/>
      <c r="I37" s="9"/>
      <c r="J37" s="9"/>
      <c r="K37" s="9"/>
      <c r="L37" s="9"/>
      <c r="M37" s="9"/>
      <c r="N37" s="9"/>
      <c r="O37" s="9"/>
      <c r="P37" s="9"/>
      <c r="Q37" s="9"/>
      <c r="R37" s="9"/>
      <c r="S37" s="13"/>
      <c r="T37" s="13"/>
    </row>
    <row r="38" spans="1:20">
      <c r="A38" s="634"/>
      <c r="B38" s="1386" t="s">
        <v>7733</v>
      </c>
      <c r="C38" s="634"/>
      <c r="D38" s="9"/>
      <c r="E38" s="634"/>
      <c r="F38" s="9"/>
      <c r="G38" s="9"/>
      <c r="H38" s="9"/>
      <c r="I38" s="9"/>
      <c r="J38" s="9"/>
      <c r="K38" s="9"/>
      <c r="L38" s="9"/>
      <c r="M38" s="9"/>
      <c r="N38" s="9"/>
      <c r="O38" s="9"/>
      <c r="P38" s="9"/>
      <c r="Q38" s="9"/>
      <c r="R38" s="9"/>
      <c r="S38" s="13"/>
      <c r="T38" s="13"/>
    </row>
    <row r="39" spans="1:20" ht="14.25">
      <c r="A39" s="634" t="s">
        <v>7734</v>
      </c>
      <c r="B39" s="1387" t="s">
        <v>7735</v>
      </c>
      <c r="C39" s="634" t="s">
        <v>7736</v>
      </c>
      <c r="D39" s="1388"/>
      <c r="E39" s="9"/>
      <c r="F39" s="9"/>
      <c r="G39" s="9"/>
      <c r="H39" s="9"/>
      <c r="I39" s="9"/>
      <c r="J39" s="9"/>
      <c r="K39" s="9"/>
      <c r="L39" s="9"/>
      <c r="M39" s="9"/>
      <c r="N39" s="9"/>
      <c r="O39" s="9"/>
      <c r="P39" s="9"/>
      <c r="Q39" s="9"/>
      <c r="R39" s="9"/>
      <c r="S39" s="13"/>
      <c r="T39" s="13"/>
    </row>
    <row r="40" spans="1:20">
      <c r="A40" s="634" t="s">
        <v>4180</v>
      </c>
      <c r="B40" s="634" t="s">
        <v>4181</v>
      </c>
      <c r="C40" s="634" t="s">
        <v>3782</v>
      </c>
      <c r="D40" s="646"/>
      <c r="E40" s="9"/>
      <c r="F40" s="9"/>
      <c r="G40" s="9"/>
      <c r="H40" s="9"/>
      <c r="I40" s="9"/>
      <c r="J40" s="9"/>
      <c r="K40" s="9"/>
      <c r="L40" s="9"/>
      <c r="M40" s="9"/>
      <c r="N40" s="9"/>
      <c r="O40" s="9"/>
      <c r="P40" s="9"/>
      <c r="Q40" s="9"/>
      <c r="R40" s="9"/>
      <c r="S40" s="13"/>
      <c r="T40" s="13"/>
    </row>
    <row r="41" spans="1:20">
      <c r="A41" s="634" t="s">
        <v>7737</v>
      </c>
      <c r="B41" s="634" t="s">
        <v>7738</v>
      </c>
      <c r="C41" s="634" t="s">
        <v>3785</v>
      </c>
      <c r="D41" s="646">
        <v>36382</v>
      </c>
      <c r="E41" s="9"/>
      <c r="F41" s="9"/>
      <c r="G41" s="9"/>
      <c r="H41" s="9"/>
      <c r="I41" s="9"/>
      <c r="J41" s="9"/>
      <c r="K41" s="9"/>
      <c r="L41" s="9"/>
      <c r="M41" s="9"/>
      <c r="N41" s="9"/>
      <c r="O41" s="9"/>
      <c r="P41" s="9"/>
      <c r="Q41" s="9"/>
      <c r="R41" s="9"/>
      <c r="S41" s="13"/>
      <c r="T41" s="13"/>
    </row>
    <row r="42" spans="1:20">
      <c r="A42" s="634" t="s">
        <v>4183</v>
      </c>
      <c r="B42" s="634" t="s">
        <v>3755</v>
      </c>
      <c r="C42" s="634" t="s">
        <v>3779</v>
      </c>
      <c r="D42" s="40" t="s">
        <v>6904</v>
      </c>
      <c r="E42" s="20" t="s">
        <v>4185</v>
      </c>
      <c r="F42" s="9"/>
      <c r="G42" s="9"/>
      <c r="H42" s="9"/>
      <c r="I42" s="9"/>
      <c r="J42" s="9"/>
      <c r="K42" s="9"/>
      <c r="L42" s="9"/>
      <c r="M42" s="9"/>
      <c r="N42" s="9"/>
      <c r="O42" s="9"/>
      <c r="P42" s="9"/>
      <c r="Q42" s="9"/>
      <c r="R42" s="9"/>
      <c r="S42" s="13"/>
      <c r="T42" s="13"/>
    </row>
    <row r="43" spans="1:20">
      <c r="A43" s="634" t="s">
        <v>4191</v>
      </c>
      <c r="B43" s="634" t="s">
        <v>3716</v>
      </c>
      <c r="C43" s="634" t="s">
        <v>3782</v>
      </c>
      <c r="D43" s="40"/>
      <c r="E43" s="647"/>
      <c r="F43" s="9"/>
      <c r="G43" s="9"/>
      <c r="H43" s="9"/>
      <c r="I43" s="9"/>
      <c r="J43" s="9"/>
      <c r="K43" s="9"/>
      <c r="L43" s="9"/>
      <c r="M43" s="9"/>
      <c r="N43" s="9"/>
      <c r="O43" s="9"/>
      <c r="P43" s="9"/>
      <c r="Q43" s="9"/>
      <c r="R43" s="9"/>
      <c r="S43" s="13"/>
      <c r="T43" s="13"/>
    </row>
    <row r="44" spans="1:20" ht="25.5">
      <c r="A44" s="634" t="s">
        <v>4192</v>
      </c>
      <c r="B44" s="634" t="s">
        <v>4193</v>
      </c>
      <c r="C44" s="634" t="s">
        <v>4194</v>
      </c>
      <c r="D44" s="40"/>
      <c r="E44" s="9"/>
      <c r="F44" s="9"/>
      <c r="G44" s="9"/>
      <c r="H44" s="9"/>
      <c r="I44" s="9"/>
      <c r="J44" s="9"/>
      <c r="K44" s="9"/>
      <c r="L44" s="9"/>
      <c r="M44" s="9"/>
      <c r="N44" s="9"/>
      <c r="O44" s="9"/>
      <c r="P44" s="9"/>
      <c r="Q44" s="9"/>
      <c r="R44" s="9"/>
      <c r="S44" s="13"/>
      <c r="T44" s="13"/>
    </row>
    <row r="45" spans="1:20">
      <c r="A45" s="9" t="s">
        <v>7739</v>
      </c>
      <c r="B45" s="9" t="s">
        <v>4196</v>
      </c>
      <c r="C45" s="9" t="s">
        <v>4197</v>
      </c>
      <c r="D45" s="9" t="s">
        <v>7739</v>
      </c>
      <c r="E45" s="9" t="s">
        <v>6905</v>
      </c>
      <c r="F45" s="9"/>
      <c r="G45" s="9"/>
      <c r="H45" s="9"/>
      <c r="I45" s="9"/>
      <c r="J45" s="9"/>
      <c r="K45" s="9"/>
      <c r="L45" s="9"/>
      <c r="M45" s="9"/>
      <c r="N45" s="9"/>
      <c r="O45" s="9"/>
      <c r="P45" s="9"/>
      <c r="Q45" s="9"/>
      <c r="R45" s="9"/>
      <c r="S45" s="13"/>
      <c r="T45" s="13"/>
    </row>
    <row r="46" spans="1:20">
      <c r="A46" s="9" t="s">
        <v>7740</v>
      </c>
      <c r="B46" s="9" t="s">
        <v>7740</v>
      </c>
      <c r="C46" s="40" t="s">
        <v>3785</v>
      </c>
      <c r="D46" s="13"/>
      <c r="E46" s="13"/>
      <c r="F46" s="13"/>
      <c r="G46" s="13"/>
      <c r="H46" s="13"/>
      <c r="I46" s="13"/>
      <c r="J46" s="13"/>
      <c r="K46" s="13"/>
      <c r="L46" s="13"/>
      <c r="M46" s="13"/>
      <c r="N46" s="13"/>
      <c r="O46" s="13"/>
      <c r="P46" s="13"/>
      <c r="Q46" s="13"/>
      <c r="R46" s="13"/>
      <c r="S46" s="13"/>
      <c r="T46" s="13"/>
    </row>
    <row r="47" spans="1:20" ht="25.5">
      <c r="A47" s="9" t="s">
        <v>4202</v>
      </c>
      <c r="B47" s="634" t="s">
        <v>3692</v>
      </c>
      <c r="C47" s="40" t="s">
        <v>3785</v>
      </c>
      <c r="D47" s="253" t="s">
        <v>4203</v>
      </c>
    </row>
    <row r="48" spans="1:20">
      <c r="A48" s="9" t="s">
        <v>4139</v>
      </c>
      <c r="B48" s="9" t="s">
        <v>2654</v>
      </c>
      <c r="C48" s="40">
        <v>28162816</v>
      </c>
    </row>
    <row r="49" spans="1:4">
      <c r="A49" s="9" t="s">
        <v>6906</v>
      </c>
      <c r="B49" s="9" t="s">
        <v>3696</v>
      </c>
      <c r="C49" s="9" t="s">
        <v>3939</v>
      </c>
      <c r="D49" s="9">
        <v>28162816</v>
      </c>
    </row>
    <row r="50" spans="1:4">
      <c r="A50" s="9" t="s">
        <v>7741</v>
      </c>
      <c r="B50" s="9" t="s">
        <v>3924</v>
      </c>
      <c r="C50" s="9" t="s">
        <v>3785</v>
      </c>
    </row>
    <row r="51" spans="1:4">
      <c r="A51" s="9" t="s">
        <v>725</v>
      </c>
      <c r="B51" s="9" t="s">
        <v>3692</v>
      </c>
      <c r="C51" s="9" t="s">
        <v>3706</v>
      </c>
    </row>
    <row r="52" spans="1:4">
      <c r="A52" s="9" t="s">
        <v>4208</v>
      </c>
      <c r="B52" s="9" t="s">
        <v>4209</v>
      </c>
      <c r="C52" s="9" t="s">
        <v>7742</v>
      </c>
      <c r="D52" s="9" t="s">
        <v>4211</v>
      </c>
    </row>
    <row r="53" spans="1:4">
      <c r="A53" s="9" t="s">
        <v>4212</v>
      </c>
      <c r="B53" s="9" t="s">
        <v>4213</v>
      </c>
      <c r="C53" s="9" t="s">
        <v>3706</v>
      </c>
      <c r="D53" s="9" t="s">
        <v>4214</v>
      </c>
    </row>
    <row r="54" spans="1:4">
      <c r="A54" s="9" t="s">
        <v>4215</v>
      </c>
      <c r="B54" s="9" t="s">
        <v>4216</v>
      </c>
      <c r="C54" s="9" t="s">
        <v>4217</v>
      </c>
    </row>
    <row r="55" spans="1:4">
      <c r="A55" s="9" t="s">
        <v>4231</v>
      </c>
      <c r="B55" s="9" t="s">
        <v>3692</v>
      </c>
      <c r="C55" s="9" t="s">
        <v>3706</v>
      </c>
    </row>
    <row r="56" spans="1:4" ht="25.5">
      <c r="A56" s="9" t="s">
        <v>4218</v>
      </c>
      <c r="B56" s="9" t="s">
        <v>4219</v>
      </c>
      <c r="C56" s="9" t="s">
        <v>4220</v>
      </c>
      <c r="D56" s="9" t="s">
        <v>4221</v>
      </c>
    </row>
    <row r="57" spans="1:4">
      <c r="A57" s="9" t="s">
        <v>4222</v>
      </c>
      <c r="B57" s="9" t="s">
        <v>4223</v>
      </c>
      <c r="C57" s="9" t="s">
        <v>4224</v>
      </c>
      <c r="D57" s="9" t="s">
        <v>4225</v>
      </c>
    </row>
    <row r="58" spans="1:4">
      <c r="A58" s="9" t="s">
        <v>4226</v>
      </c>
      <c r="B58" s="9" t="s">
        <v>4227</v>
      </c>
      <c r="C58" s="40">
        <v>28162816</v>
      </c>
    </row>
    <row r="59" spans="1:4">
      <c r="A59" s="9" t="s">
        <v>4204</v>
      </c>
      <c r="B59" s="9" t="s">
        <v>4205</v>
      </c>
      <c r="C59" s="9" t="s">
        <v>3706</v>
      </c>
    </row>
    <row r="60" spans="1:4">
      <c r="A60" s="9" t="s">
        <v>4228</v>
      </c>
      <c r="B60" s="9" t="s">
        <v>4229</v>
      </c>
      <c r="C60" s="9" t="s">
        <v>4230</v>
      </c>
    </row>
    <row r="61" spans="1:4">
      <c r="A61" s="9" t="s">
        <v>4236</v>
      </c>
      <c r="B61" s="9" t="s">
        <v>4237</v>
      </c>
      <c r="C61" s="9" t="s">
        <v>3782</v>
      </c>
    </row>
    <row r="62" spans="1:4">
      <c r="A62" s="9" t="s">
        <v>7743</v>
      </c>
      <c r="B62" s="9" t="s">
        <v>7740</v>
      </c>
      <c r="C62" s="9" t="s">
        <v>3785</v>
      </c>
    </row>
    <row r="63" spans="1:4">
      <c r="A63" s="9" t="s">
        <v>4238</v>
      </c>
      <c r="B63" s="9" t="s">
        <v>4223</v>
      </c>
      <c r="C63" s="20" t="s">
        <v>4224</v>
      </c>
    </row>
    <row r="64" spans="1:4">
      <c r="A64" s="9" t="s">
        <v>4239</v>
      </c>
      <c r="B64" s="9" t="s">
        <v>3692</v>
      </c>
      <c r="C64" s="9" t="s">
        <v>3785</v>
      </c>
    </row>
    <row r="65" spans="1:5">
      <c r="A65" s="9" t="s">
        <v>7744</v>
      </c>
      <c r="B65" s="9" t="s">
        <v>3692</v>
      </c>
      <c r="C65" s="9" t="s">
        <v>3785</v>
      </c>
      <c r="D65" s="9" t="s">
        <v>7745</v>
      </c>
    </row>
    <row r="66" spans="1:5">
      <c r="A66" s="9" t="s">
        <v>7746</v>
      </c>
      <c r="B66" s="9" t="s">
        <v>3781</v>
      </c>
      <c r="C66" s="9" t="s">
        <v>3782</v>
      </c>
      <c r="D66" s="9" t="s">
        <v>7747</v>
      </c>
    </row>
    <row r="67" spans="1:5">
      <c r="A67" s="9" t="s">
        <v>4215</v>
      </c>
      <c r="B67" s="9" t="s">
        <v>4216</v>
      </c>
      <c r="C67" s="9" t="s">
        <v>4217</v>
      </c>
    </row>
    <row r="68" spans="1:5">
      <c r="A68" s="9" t="s">
        <v>7748</v>
      </c>
      <c r="B68" s="9" t="s">
        <v>7749</v>
      </c>
      <c r="D68" s="9" t="s">
        <v>7750</v>
      </c>
    </row>
    <row r="69" spans="1:5">
      <c r="A69" s="9" t="s">
        <v>4241</v>
      </c>
      <c r="B69" s="40">
        <v>1305916</v>
      </c>
      <c r="C69" s="9" t="s">
        <v>3706</v>
      </c>
      <c r="D69" s="9" t="s">
        <v>4243</v>
      </c>
      <c r="E69" s="9"/>
    </row>
    <row r="70" spans="1:5">
      <c r="A70" s="9" t="s">
        <v>4245</v>
      </c>
      <c r="B70" s="40" t="s">
        <v>4246</v>
      </c>
      <c r="C70" s="9" t="s">
        <v>3785</v>
      </c>
      <c r="D70" s="9" t="s">
        <v>4248</v>
      </c>
      <c r="E70" s="9" t="s">
        <v>7751</v>
      </c>
    </row>
    <row r="71" spans="1:5" ht="25.5">
      <c r="A71" s="9" t="s">
        <v>6907</v>
      </c>
      <c r="B71" s="40">
        <v>1300041</v>
      </c>
      <c r="C71" s="9" t="s">
        <v>3782</v>
      </c>
      <c r="D71" s="9" t="s">
        <v>4252</v>
      </c>
      <c r="E71" s="9" t="s">
        <v>4253</v>
      </c>
    </row>
    <row r="72" spans="1:5">
      <c r="A72" s="9" t="s">
        <v>4254</v>
      </c>
      <c r="B72" s="9" t="s">
        <v>2654</v>
      </c>
      <c r="C72" s="9" t="s">
        <v>3782</v>
      </c>
      <c r="D72" s="9" t="s">
        <v>4255</v>
      </c>
      <c r="E72" s="9" t="s">
        <v>4256</v>
      </c>
    </row>
    <row r="73" spans="1:5">
      <c r="A73" s="9" t="s">
        <v>4257</v>
      </c>
      <c r="B73" s="40">
        <v>425279</v>
      </c>
      <c r="C73" s="40">
        <v>2816</v>
      </c>
      <c r="D73" s="9" t="s">
        <v>4260</v>
      </c>
    </row>
    <row r="74" spans="1:5">
      <c r="A74" s="9" t="s">
        <v>7752</v>
      </c>
      <c r="B74" s="40" t="s">
        <v>3755</v>
      </c>
      <c r="C74" s="9" t="s">
        <v>3785</v>
      </c>
      <c r="D74" s="9" t="s">
        <v>4262</v>
      </c>
    </row>
    <row r="75" spans="1:5">
      <c r="A75" s="9" t="s">
        <v>6908</v>
      </c>
      <c r="B75" s="40">
        <v>541364</v>
      </c>
      <c r="C75" s="9" t="s">
        <v>3785</v>
      </c>
    </row>
    <row r="76" spans="1:5">
      <c r="A76" s="9" t="s">
        <v>7753</v>
      </c>
      <c r="B76" s="9" t="s">
        <v>7754</v>
      </c>
      <c r="C76" s="9" t="s">
        <v>3785</v>
      </c>
      <c r="D76" s="9"/>
    </row>
    <row r="77" spans="1:5" ht="25.5">
      <c r="A77" s="253" t="s">
        <v>6909</v>
      </c>
      <c r="B77" s="9" t="s">
        <v>6910</v>
      </c>
      <c r="C77" s="9"/>
      <c r="D77" s="9"/>
    </row>
    <row r="78" spans="1:5">
      <c r="A78" s="9" t="s">
        <v>3723</v>
      </c>
      <c r="B78" s="9" t="s">
        <v>3692</v>
      </c>
      <c r="C78" s="9" t="s">
        <v>3706</v>
      </c>
      <c r="D78" s="9" t="s">
        <v>3725</v>
      </c>
    </row>
    <row r="79" spans="1:5">
      <c r="A79" s="9" t="s">
        <v>4270</v>
      </c>
      <c r="B79" s="9" t="s">
        <v>3692</v>
      </c>
      <c r="C79" s="9" t="s">
        <v>3785</v>
      </c>
      <c r="D79" s="9" t="s">
        <v>7755</v>
      </c>
      <c r="E79" s="9" t="s">
        <v>6912</v>
      </c>
    </row>
    <row r="80" spans="1:5">
      <c r="A80" s="9" t="s">
        <v>6914</v>
      </c>
      <c r="B80" s="9" t="s">
        <v>3716</v>
      </c>
      <c r="C80" s="9" t="s">
        <v>3785</v>
      </c>
    </row>
    <row r="81" spans="1:5">
      <c r="A81" s="9" t="s">
        <v>6914</v>
      </c>
      <c r="B81" s="9" t="s">
        <v>3692</v>
      </c>
      <c r="C81" s="9" t="s">
        <v>3939</v>
      </c>
    </row>
    <row r="82" spans="1:5" ht="25.5">
      <c r="A82" s="9" t="s">
        <v>7756</v>
      </c>
      <c r="B82" s="9" t="s">
        <v>3743</v>
      </c>
      <c r="C82" s="40">
        <v>2816</v>
      </c>
    </row>
    <row r="83" spans="1:5">
      <c r="A83" s="9" t="s">
        <v>3744</v>
      </c>
      <c r="B83" s="9" t="s">
        <v>3745</v>
      </c>
    </row>
    <row r="84" spans="1:5">
      <c r="A84" s="9" t="s">
        <v>3747</v>
      </c>
      <c r="B84" s="9" t="s">
        <v>3696</v>
      </c>
      <c r="C84" s="40" t="s">
        <v>3939</v>
      </c>
    </row>
    <row r="85" spans="1:5">
      <c r="A85" s="9" t="s">
        <v>4273</v>
      </c>
      <c r="B85" s="9" t="s">
        <v>4274</v>
      </c>
      <c r="C85" s="9" t="s">
        <v>3706</v>
      </c>
    </row>
    <row r="86" spans="1:5">
      <c r="A86" s="9" t="s">
        <v>4275</v>
      </c>
      <c r="C86" s="9" t="s">
        <v>4276</v>
      </c>
    </row>
    <row r="87" spans="1:5">
      <c r="A87" s="9" t="s">
        <v>7757</v>
      </c>
      <c r="B87" s="9" t="s">
        <v>7758</v>
      </c>
      <c r="C87" s="9" t="s">
        <v>3785</v>
      </c>
      <c r="D87" s="9" t="s">
        <v>7759</v>
      </c>
    </row>
    <row r="88" spans="1:5">
      <c r="A88" s="9" t="s">
        <v>4281</v>
      </c>
      <c r="B88" s="9" t="s">
        <v>3755</v>
      </c>
      <c r="C88" s="9" t="s">
        <v>4282</v>
      </c>
      <c r="D88" s="9"/>
    </row>
    <row r="89" spans="1:5">
      <c r="A89" s="9" t="s">
        <v>1217</v>
      </c>
      <c r="B89" s="9" t="s">
        <v>3939</v>
      </c>
      <c r="C89" s="9" t="s">
        <v>3706</v>
      </c>
    </row>
    <row r="90" spans="1:5">
      <c r="A90" s="9" t="s">
        <v>4283</v>
      </c>
      <c r="B90" s="9" t="s">
        <v>3755</v>
      </c>
      <c r="C90" s="9" t="s">
        <v>4284</v>
      </c>
    </row>
    <row r="91" spans="1:5">
      <c r="A91" s="9" t="s">
        <v>7760</v>
      </c>
      <c r="B91" s="9" t="s">
        <v>3692</v>
      </c>
      <c r="C91" s="9" t="s">
        <v>3785</v>
      </c>
      <c r="D91" s="9" t="s">
        <v>4286</v>
      </c>
      <c r="E91" s="9" t="s">
        <v>7761</v>
      </c>
    </row>
    <row r="92" spans="1:5">
      <c r="A92" s="9" t="s">
        <v>6917</v>
      </c>
      <c r="B92" s="9" t="s">
        <v>3692</v>
      </c>
      <c r="C92" s="9" t="s">
        <v>3706</v>
      </c>
      <c r="D92" s="9" t="s">
        <v>6918</v>
      </c>
    </row>
    <row r="93" spans="1:5" ht="25.5">
      <c r="A93" s="9" t="s">
        <v>4291</v>
      </c>
      <c r="B93" s="9" t="s">
        <v>3692</v>
      </c>
      <c r="C93" s="9" t="s">
        <v>3785</v>
      </c>
      <c r="D93" s="9" t="s">
        <v>4292</v>
      </c>
    </row>
    <row r="94" spans="1:5">
      <c r="A94" s="9" t="s">
        <v>7762</v>
      </c>
      <c r="B94" s="9" t="s">
        <v>3692</v>
      </c>
      <c r="C94" s="9" t="s">
        <v>7763</v>
      </c>
    </row>
    <row r="95" spans="1:5">
      <c r="A95" s="9" t="s">
        <v>7764</v>
      </c>
      <c r="B95" s="9" t="s">
        <v>3292</v>
      </c>
      <c r="C95" s="9" t="s">
        <v>7765</v>
      </c>
      <c r="D95" s="9" t="s">
        <v>6926</v>
      </c>
    </row>
    <row r="96" spans="1:5">
      <c r="A96" s="9" t="s">
        <v>7766</v>
      </c>
      <c r="B96" s="9" t="s">
        <v>3692</v>
      </c>
      <c r="C96" s="9" t="s">
        <v>7767</v>
      </c>
    </row>
    <row r="97" spans="1:7" ht="25.5">
      <c r="A97" s="9" t="s">
        <v>7768</v>
      </c>
      <c r="B97" s="40" t="s">
        <v>3692</v>
      </c>
      <c r="C97" s="9" t="s">
        <v>3785</v>
      </c>
      <c r="D97" s="9" t="s">
        <v>7769</v>
      </c>
      <c r="E97" s="653" t="s">
        <v>7770</v>
      </c>
    </row>
    <row r="98" spans="1:7">
      <c r="A98" s="9" t="s">
        <v>4294</v>
      </c>
      <c r="B98" s="40" t="s">
        <v>3755</v>
      </c>
      <c r="C98" s="9" t="s">
        <v>4295</v>
      </c>
    </row>
    <row r="99" spans="1:7">
      <c r="A99" s="9" t="s">
        <v>7771</v>
      </c>
      <c r="B99" s="40">
        <v>69390</v>
      </c>
      <c r="C99" s="9" t="s">
        <v>3785</v>
      </c>
    </row>
    <row r="100" spans="1:7">
      <c r="B100" s="9" t="s">
        <v>3692</v>
      </c>
      <c r="C100" s="9" t="s">
        <v>3779</v>
      </c>
    </row>
    <row r="101" spans="1:7">
      <c r="A101" s="9" t="s">
        <v>3719</v>
      </c>
      <c r="B101" s="9" t="s">
        <v>3720</v>
      </c>
      <c r="D101" s="9" t="s">
        <v>3721</v>
      </c>
      <c r="E101" s="653" t="s">
        <v>3722</v>
      </c>
    </row>
    <row r="102" spans="1:7">
      <c r="A102" s="9" t="s">
        <v>4296</v>
      </c>
      <c r="B102" s="9" t="s">
        <v>4297</v>
      </c>
      <c r="C102" s="9" t="s">
        <v>3706</v>
      </c>
      <c r="D102" s="9" t="s">
        <v>3692</v>
      </c>
    </row>
    <row r="103" spans="1:7">
      <c r="A103" s="9" t="s">
        <v>4301</v>
      </c>
      <c r="B103" s="9" t="s">
        <v>4302</v>
      </c>
      <c r="C103" s="9" t="s">
        <v>4303</v>
      </c>
    </row>
    <row r="104" spans="1:7">
      <c r="A104" s="9" t="s">
        <v>6919</v>
      </c>
      <c r="B104" s="9" t="s">
        <v>4306</v>
      </c>
    </row>
    <row r="105" spans="1:7">
      <c r="A105" s="9" t="s">
        <v>7772</v>
      </c>
      <c r="B105" s="9" t="s">
        <v>3692</v>
      </c>
      <c r="C105" s="9" t="s">
        <v>4295</v>
      </c>
      <c r="D105" s="9" t="s">
        <v>7773</v>
      </c>
      <c r="E105" s="9" t="s">
        <v>7774</v>
      </c>
    </row>
    <row r="106" spans="1:7">
      <c r="A106" s="9" t="s">
        <v>7775</v>
      </c>
      <c r="B106" s="9" t="s">
        <v>3692</v>
      </c>
      <c r="C106" s="9" t="s">
        <v>3706</v>
      </c>
      <c r="D106" s="9" t="s">
        <v>7776</v>
      </c>
    </row>
    <row r="107" spans="1:7">
      <c r="A107" s="9" t="s">
        <v>3772</v>
      </c>
      <c r="B107" s="9" t="s">
        <v>3696</v>
      </c>
      <c r="C107" s="9" t="s">
        <v>3706</v>
      </c>
      <c r="D107" s="9" t="s">
        <v>6920</v>
      </c>
      <c r="E107" s="9">
        <v>2816</v>
      </c>
    </row>
    <row r="108" spans="1:7">
      <c r="A108" s="9" t="s">
        <v>3776</v>
      </c>
      <c r="B108" s="9" t="s">
        <v>3292</v>
      </c>
      <c r="C108" s="9" t="s">
        <v>3782</v>
      </c>
    </row>
    <row r="109" spans="1:7">
      <c r="A109" s="9" t="s">
        <v>7777</v>
      </c>
      <c r="B109" s="9" t="s">
        <v>7778</v>
      </c>
      <c r="C109" s="9" t="s">
        <v>3706</v>
      </c>
    </row>
    <row r="110" spans="1:7">
      <c r="A110" s="9" t="s">
        <v>4310</v>
      </c>
      <c r="B110" s="9" t="s">
        <v>4311</v>
      </c>
      <c r="C110" s="9" t="s">
        <v>4312</v>
      </c>
      <c r="D110" s="653" t="s">
        <v>4313</v>
      </c>
      <c r="E110" s="9" t="s">
        <v>4314</v>
      </c>
    </row>
    <row r="111" spans="1:7">
      <c r="A111" s="9" t="s">
        <v>4315</v>
      </c>
      <c r="B111" s="9" t="s">
        <v>4316</v>
      </c>
      <c r="D111" s="653" t="s">
        <v>4317</v>
      </c>
      <c r="E111" s="9" t="s">
        <v>4318</v>
      </c>
      <c r="G111" s="9">
        <v>25.25</v>
      </c>
    </row>
    <row r="112" spans="1:7">
      <c r="A112" s="9" t="s">
        <v>7779</v>
      </c>
      <c r="B112" s="9" t="s">
        <v>3716</v>
      </c>
      <c r="C112" s="9" t="s">
        <v>6926</v>
      </c>
      <c r="D112" s="9"/>
      <c r="G112" s="9">
        <v>50.25</v>
      </c>
    </row>
    <row r="113" spans="1:7">
      <c r="A113" s="9" t="s">
        <v>4319</v>
      </c>
      <c r="B113" s="9" t="s">
        <v>3859</v>
      </c>
      <c r="C113" s="9" t="s">
        <v>3785</v>
      </c>
      <c r="D113" s="9" t="s">
        <v>4320</v>
      </c>
      <c r="G113" s="9">
        <v>28.5</v>
      </c>
    </row>
    <row r="114" spans="1:7">
      <c r="A114" s="9" t="s">
        <v>4321</v>
      </c>
      <c r="B114" s="9" t="s">
        <v>3692</v>
      </c>
      <c r="C114" s="40">
        <v>2816</v>
      </c>
      <c r="G114" s="9">
        <v>11.25</v>
      </c>
    </row>
    <row r="115" spans="1:7">
      <c r="A115" s="9" t="s">
        <v>7780</v>
      </c>
      <c r="B115" s="9" t="s">
        <v>7781</v>
      </c>
      <c r="C115" s="9" t="s">
        <v>7782</v>
      </c>
      <c r="D115" s="9" t="s">
        <v>7783</v>
      </c>
      <c r="E115" s="1389" t="s">
        <v>7784</v>
      </c>
      <c r="G115" s="9">
        <f>5*0.75</f>
        <v>3.75</v>
      </c>
    </row>
    <row r="116" spans="1:7">
      <c r="A116" s="9" t="s">
        <v>7785</v>
      </c>
      <c r="B116" s="9" t="s">
        <v>7786</v>
      </c>
      <c r="C116" s="9" t="s">
        <v>7787</v>
      </c>
      <c r="G116" s="9">
        <f>SUM(G111:G115)</f>
        <v>119</v>
      </c>
    </row>
    <row r="117" spans="1:7">
      <c r="A117" s="9" t="s">
        <v>7788</v>
      </c>
      <c r="B117" s="9" t="s">
        <v>7789</v>
      </c>
      <c r="C117" s="9" t="s">
        <v>7790</v>
      </c>
    </row>
    <row r="118" spans="1:7">
      <c r="A118" s="9" t="s">
        <v>6927</v>
      </c>
      <c r="B118" s="9" t="s">
        <v>6928</v>
      </c>
      <c r="C118" s="9" t="s">
        <v>7736</v>
      </c>
      <c r="D118" s="9" t="s">
        <v>6929</v>
      </c>
    </row>
    <row r="119" spans="1:7">
      <c r="A119" s="9" t="s">
        <v>7791</v>
      </c>
      <c r="B119" s="9" t="s">
        <v>7792</v>
      </c>
      <c r="C119" s="9" t="s">
        <v>7793</v>
      </c>
      <c r="D119" s="9" t="s">
        <v>7794</v>
      </c>
      <c r="E119" s="9" t="s">
        <v>7795</v>
      </c>
    </row>
    <row r="120" spans="1:7">
      <c r="A120" s="9" t="s">
        <v>7796</v>
      </c>
      <c r="B120" s="9" t="s">
        <v>7797</v>
      </c>
      <c r="C120" s="9" t="s">
        <v>7798</v>
      </c>
      <c r="D120" s="9" t="s">
        <v>7799</v>
      </c>
    </row>
    <row r="121" spans="1:7">
      <c r="A121" s="9" t="s">
        <v>7800</v>
      </c>
      <c r="B121" s="9" t="s">
        <v>7801</v>
      </c>
      <c r="C121" s="9" t="s">
        <v>7802</v>
      </c>
      <c r="D121" s="9" t="s">
        <v>7803</v>
      </c>
    </row>
    <row r="122" spans="1:7">
      <c r="A122" s="653" t="s">
        <v>7804</v>
      </c>
      <c r="B122" s="9" t="s">
        <v>7805</v>
      </c>
      <c r="C122" s="9" t="s">
        <v>7806</v>
      </c>
      <c r="D122" s="9" t="s">
        <v>7807</v>
      </c>
      <c r="E122" s="9" t="s">
        <v>7808</v>
      </c>
    </row>
    <row r="123" spans="1:7" ht="25.5">
      <c r="A123" s="9" t="s">
        <v>7809</v>
      </c>
      <c r="B123" s="9" t="s">
        <v>7810</v>
      </c>
      <c r="C123" s="9" t="s">
        <v>7811</v>
      </c>
      <c r="D123" s="9" t="s">
        <v>7812</v>
      </c>
    </row>
    <row r="124" spans="1:7">
      <c r="A124" s="9" t="s">
        <v>4323</v>
      </c>
      <c r="B124" s="9" t="s">
        <v>4324</v>
      </c>
      <c r="C124" s="9" t="s">
        <v>4325</v>
      </c>
      <c r="D124" s="9" t="s">
        <v>4326</v>
      </c>
    </row>
    <row r="125" spans="1:7">
      <c r="A125" s="9" t="s">
        <v>4327</v>
      </c>
      <c r="B125" s="9" t="s">
        <v>4328</v>
      </c>
      <c r="C125" s="9" t="s">
        <v>4295</v>
      </c>
    </row>
    <row r="126" spans="1:7">
      <c r="A126" s="9" t="s">
        <v>4329</v>
      </c>
      <c r="B126" s="9" t="s">
        <v>3692</v>
      </c>
      <c r="C126" s="9" t="s">
        <v>3706</v>
      </c>
    </row>
    <row r="127" spans="1:7">
      <c r="A127" s="9" t="s">
        <v>7813</v>
      </c>
      <c r="B127" s="9" t="s">
        <v>7814</v>
      </c>
      <c r="C127" s="9" t="s">
        <v>3785</v>
      </c>
    </row>
    <row r="128" spans="1:7">
      <c r="A128" s="9" t="s">
        <v>7815</v>
      </c>
      <c r="B128" s="9" t="s">
        <v>3692</v>
      </c>
      <c r="C128" s="9" t="s">
        <v>3785</v>
      </c>
    </row>
    <row r="129" spans="1:5">
      <c r="A129" s="9" t="s">
        <v>7816</v>
      </c>
      <c r="B129" s="9" t="s">
        <v>3692</v>
      </c>
      <c r="C129" s="9" t="s">
        <v>3939</v>
      </c>
      <c r="D129" s="9" t="s">
        <v>3713</v>
      </c>
      <c r="E129" s="9" t="s">
        <v>3714</v>
      </c>
    </row>
    <row r="130" spans="1:5">
      <c r="A130" s="9" t="s">
        <v>7817</v>
      </c>
      <c r="B130" s="9" t="s">
        <v>3692</v>
      </c>
      <c r="C130" s="9" t="s">
        <v>3706</v>
      </c>
    </row>
    <row r="131" spans="1:5">
      <c r="A131" s="653" t="s">
        <v>7818</v>
      </c>
      <c r="B131" s="9" t="s">
        <v>7819</v>
      </c>
      <c r="C131" s="9" t="s">
        <v>7820</v>
      </c>
    </row>
    <row r="132" spans="1:5">
      <c r="A132" s="9" t="s">
        <v>7821</v>
      </c>
      <c r="B132" s="9">
        <v>3607490116</v>
      </c>
      <c r="C132" s="9" t="s">
        <v>7822</v>
      </c>
    </row>
    <row r="133" spans="1:5" ht="25.5">
      <c r="A133" s="9" t="s">
        <v>7823</v>
      </c>
      <c r="B133" s="9" t="s">
        <v>7824</v>
      </c>
      <c r="C133" s="9" t="s">
        <v>7825</v>
      </c>
    </row>
    <row r="134" spans="1:5">
      <c r="A134" s="9" t="s">
        <v>7826</v>
      </c>
      <c r="B134" s="9">
        <v>139752</v>
      </c>
      <c r="C134" s="9" t="s">
        <v>7827</v>
      </c>
      <c r="D134" s="9" t="s">
        <v>7828</v>
      </c>
      <c r="E134" s="9" t="s">
        <v>7829</v>
      </c>
    </row>
    <row r="135" spans="1:5" ht="25.5">
      <c r="B135" s="9" t="s">
        <v>7830</v>
      </c>
      <c r="C135" s="9" t="s">
        <v>7831</v>
      </c>
      <c r="D135" s="9" t="s">
        <v>7832</v>
      </c>
      <c r="E135" s="9" t="s">
        <v>7833</v>
      </c>
    </row>
    <row r="136" spans="1:5" ht="25.5">
      <c r="A136" s="9" t="s">
        <v>7834</v>
      </c>
      <c r="B136" s="9" t="s">
        <v>4223</v>
      </c>
      <c r="C136" s="9" t="s">
        <v>3785</v>
      </c>
    </row>
    <row r="137" spans="1:5">
      <c r="A137" s="9" t="s">
        <v>7835</v>
      </c>
      <c r="B137" s="9" t="s">
        <v>3692</v>
      </c>
      <c r="C137" s="9">
        <v>28162816</v>
      </c>
    </row>
    <row r="138" spans="1:5">
      <c r="A138" s="9" t="s">
        <v>7836</v>
      </c>
      <c r="B138" s="9" t="s">
        <v>3692</v>
      </c>
      <c r="C138" s="9" t="s">
        <v>3785</v>
      </c>
    </row>
    <row r="139" spans="1:5">
      <c r="A139" s="9" t="s">
        <v>6930</v>
      </c>
      <c r="D139" s="9" t="s">
        <v>6931</v>
      </c>
    </row>
    <row r="140" spans="1:5">
      <c r="A140" s="9" t="s">
        <v>6932</v>
      </c>
      <c r="B140" s="9" t="s">
        <v>3755</v>
      </c>
      <c r="C140" s="9" t="s">
        <v>3706</v>
      </c>
    </row>
    <row r="141" spans="1:5">
      <c r="A141" s="9" t="s">
        <v>6933</v>
      </c>
      <c r="B141" s="9" t="s">
        <v>6934</v>
      </c>
      <c r="C141" s="9" t="s">
        <v>6935</v>
      </c>
    </row>
    <row r="142" spans="1:5">
      <c r="A142" s="653" t="s">
        <v>7837</v>
      </c>
      <c r="B142" s="9" t="s">
        <v>7838</v>
      </c>
      <c r="C142" s="9" t="s">
        <v>3755</v>
      </c>
    </row>
    <row r="143" spans="1:5">
      <c r="A143" s="9" t="s">
        <v>6936</v>
      </c>
      <c r="B143" s="9" t="s">
        <v>6937</v>
      </c>
      <c r="C143" s="9" t="s">
        <v>6938</v>
      </c>
    </row>
    <row r="144" spans="1:5">
      <c r="A144" s="9" t="s">
        <v>4298</v>
      </c>
      <c r="B144" s="9" t="s">
        <v>4299</v>
      </c>
      <c r="C144" s="9" t="s">
        <v>7839</v>
      </c>
      <c r="D144" s="9" t="s">
        <v>4300</v>
      </c>
    </row>
    <row r="145" spans="1:5">
      <c r="A145" s="9" t="s">
        <v>4332</v>
      </c>
      <c r="B145" s="9" t="s">
        <v>4333</v>
      </c>
      <c r="C145" s="9" t="s">
        <v>3785</v>
      </c>
    </row>
    <row r="146" spans="1:5">
      <c r="A146" s="9" t="s">
        <v>3750</v>
      </c>
      <c r="B146" s="9" t="s">
        <v>3751</v>
      </c>
      <c r="D146" s="9" t="s">
        <v>210</v>
      </c>
      <c r="E146" s="9" t="s">
        <v>3752</v>
      </c>
    </row>
    <row r="147" spans="1:5">
      <c r="A147" s="9" t="s">
        <v>4334</v>
      </c>
      <c r="B147" s="9" t="s">
        <v>4335</v>
      </c>
      <c r="C147" s="9" t="s">
        <v>3785</v>
      </c>
      <c r="D147" s="653" t="s">
        <v>4336</v>
      </c>
      <c r="E147" s="653" t="s">
        <v>4337</v>
      </c>
    </row>
    <row r="148" spans="1:5">
      <c r="A148" s="253" t="s">
        <v>4338</v>
      </c>
      <c r="B148" s="9" t="s">
        <v>3755</v>
      </c>
      <c r="C148" s="9" t="s">
        <v>3785</v>
      </c>
      <c r="D148" s="653" t="s">
        <v>4339</v>
      </c>
      <c r="E148" s="9" t="s">
        <v>4340</v>
      </c>
    </row>
    <row r="149" spans="1:5">
      <c r="A149" s="9" t="s">
        <v>4341</v>
      </c>
      <c r="B149" s="9" t="s">
        <v>3692</v>
      </c>
      <c r="C149" s="9" t="s">
        <v>3785</v>
      </c>
      <c r="D149" s="9">
        <v>43245713</v>
      </c>
      <c r="E149" s="9" t="s">
        <v>4343</v>
      </c>
    </row>
    <row r="150" spans="1:5">
      <c r="A150" s="9" t="s">
        <v>4344</v>
      </c>
      <c r="B150" s="9" t="s">
        <v>3692</v>
      </c>
      <c r="C150" s="9" t="s">
        <v>3785</v>
      </c>
      <c r="E150" s="653" t="s">
        <v>4346</v>
      </c>
    </row>
    <row r="151" spans="1:5">
      <c r="A151" s="578"/>
      <c r="E151" s="653" t="s">
        <v>6939</v>
      </c>
    </row>
    <row r="152" spans="1:5">
      <c r="A152" s="9" t="s">
        <v>4347</v>
      </c>
      <c r="B152" s="9" t="s">
        <v>3924</v>
      </c>
      <c r="C152" s="9" t="s">
        <v>3785</v>
      </c>
    </row>
    <row r="153" spans="1:5">
      <c r="A153" s="9" t="s">
        <v>7840</v>
      </c>
      <c r="B153" s="9" t="s">
        <v>3781</v>
      </c>
      <c r="C153" s="9" t="s">
        <v>3782</v>
      </c>
    </row>
    <row r="154" spans="1:5">
      <c r="A154" s="9" t="s">
        <v>6940</v>
      </c>
      <c r="B154" s="9" t="s">
        <v>3781</v>
      </c>
      <c r="C154" s="9" t="s">
        <v>3782</v>
      </c>
    </row>
    <row r="155" spans="1:5">
      <c r="A155" s="9" t="s">
        <v>6941</v>
      </c>
      <c r="B155" s="9" t="s">
        <v>3696</v>
      </c>
      <c r="C155" s="9" t="s">
        <v>3785</v>
      </c>
    </row>
    <row r="156" spans="1:5">
      <c r="A156" s="9" t="s">
        <v>4159</v>
      </c>
      <c r="B156" s="9" t="s">
        <v>3692</v>
      </c>
      <c r="C156" s="9" t="s">
        <v>3785</v>
      </c>
    </row>
    <row r="157" spans="1:5">
      <c r="A157" s="9" t="s">
        <v>7841</v>
      </c>
      <c r="B157" s="9" t="s">
        <v>3924</v>
      </c>
      <c r="C157" s="9" t="s">
        <v>3785</v>
      </c>
      <c r="D157" s="578" t="s">
        <v>7842</v>
      </c>
      <c r="E157" s="9">
        <v>2816</v>
      </c>
    </row>
    <row r="158" spans="1:5">
      <c r="A158" s="9" t="s">
        <v>4014</v>
      </c>
      <c r="B158" s="9" t="s">
        <v>3924</v>
      </c>
      <c r="C158" s="9" t="s">
        <v>3785</v>
      </c>
    </row>
    <row r="159" spans="1:5">
      <c r="A159" s="578" t="s">
        <v>6876</v>
      </c>
      <c r="B159" s="9" t="s">
        <v>3692</v>
      </c>
      <c r="C159" s="9" t="s">
        <v>7763</v>
      </c>
    </row>
    <row r="160" spans="1:5">
      <c r="A160" s="9" t="s">
        <v>7843</v>
      </c>
      <c r="B160" s="9">
        <v>3607490116</v>
      </c>
      <c r="C160" s="9" t="s">
        <v>7844</v>
      </c>
      <c r="D160" s="9" t="s">
        <v>7209</v>
      </c>
    </row>
    <row r="161" spans="1:5">
      <c r="A161" s="9" t="s">
        <v>4359</v>
      </c>
      <c r="B161" s="9" t="s">
        <v>3755</v>
      </c>
      <c r="C161" s="9" t="s">
        <v>7845</v>
      </c>
      <c r="D161" s="653" t="s">
        <v>7846</v>
      </c>
      <c r="E161" s="1390" t="s">
        <v>7847</v>
      </c>
    </row>
    <row r="162" spans="1:5">
      <c r="A162" s="653" t="s">
        <v>7848</v>
      </c>
      <c r="B162" s="9" t="s">
        <v>4360</v>
      </c>
      <c r="C162" s="20" t="s">
        <v>7849</v>
      </c>
      <c r="D162" s="9" t="s">
        <v>7850</v>
      </c>
      <c r="E162" s="653" t="s">
        <v>7851</v>
      </c>
    </row>
    <row r="163" spans="1:5">
      <c r="A163" s="9" t="s">
        <v>4362</v>
      </c>
      <c r="B163" s="9" t="s">
        <v>3755</v>
      </c>
      <c r="C163" s="9" t="s">
        <v>7845</v>
      </c>
      <c r="D163" s="20" t="s">
        <v>4364</v>
      </c>
      <c r="E163" s="9" t="s">
        <v>4365</v>
      </c>
    </row>
    <row r="164" spans="1:5">
      <c r="A164" s="9" t="s">
        <v>4366</v>
      </c>
      <c r="B164" s="9" t="s">
        <v>3755</v>
      </c>
      <c r="C164" s="9" t="s">
        <v>3785</v>
      </c>
      <c r="D164" s="9" t="s">
        <v>4367</v>
      </c>
    </row>
    <row r="165" spans="1:5">
      <c r="A165" s="9" t="s">
        <v>7852</v>
      </c>
      <c r="B165" s="9" t="s">
        <v>4369</v>
      </c>
      <c r="C165" s="9" t="s">
        <v>3706</v>
      </c>
      <c r="D165" s="9" t="s">
        <v>4371</v>
      </c>
    </row>
    <row r="166" spans="1:5">
      <c r="A166" s="653" t="s">
        <v>4372</v>
      </c>
      <c r="B166" s="9" t="s">
        <v>4373</v>
      </c>
    </row>
    <row r="167" spans="1:5">
      <c r="A167" s="9" t="s">
        <v>7853</v>
      </c>
      <c r="B167" s="9" t="s">
        <v>3755</v>
      </c>
      <c r="C167" s="9" t="s">
        <v>3785</v>
      </c>
    </row>
    <row r="168" spans="1:5">
      <c r="A168" s="9" t="s">
        <v>7854</v>
      </c>
      <c r="B168" s="9" t="s">
        <v>7855</v>
      </c>
    </row>
    <row r="169" spans="1:5">
      <c r="A169" s="9" t="s">
        <v>7856</v>
      </c>
      <c r="B169" s="9">
        <v>2439752207</v>
      </c>
    </row>
    <row r="170" spans="1:5">
      <c r="A170" s="9" t="s">
        <v>4375</v>
      </c>
      <c r="B170" s="9" t="s">
        <v>4376</v>
      </c>
      <c r="C170" s="9" t="s">
        <v>4377</v>
      </c>
    </row>
    <row r="171" spans="1:5">
      <c r="A171" s="9" t="s">
        <v>4378</v>
      </c>
      <c r="B171" s="9" t="s">
        <v>4379</v>
      </c>
      <c r="C171" s="9" t="s">
        <v>7857</v>
      </c>
    </row>
    <row r="172" spans="1:5">
      <c r="A172" s="653" t="s">
        <v>7858</v>
      </c>
      <c r="B172" s="9" t="s">
        <v>4229</v>
      </c>
    </row>
    <row r="173" spans="1:5" ht="25.5">
      <c r="A173" s="9" t="s">
        <v>4381</v>
      </c>
      <c r="B173" s="9" t="s">
        <v>4382</v>
      </c>
      <c r="C173" s="9" t="s">
        <v>3692</v>
      </c>
    </row>
    <row r="174" spans="1:5">
      <c r="A174" s="9" t="s">
        <v>7859</v>
      </c>
      <c r="B174" s="9" t="s">
        <v>7860</v>
      </c>
      <c r="C174" s="9" t="s">
        <v>7861</v>
      </c>
    </row>
    <row r="175" spans="1:5">
      <c r="A175" s="9" t="s">
        <v>4383</v>
      </c>
      <c r="B175" s="9" t="s">
        <v>3920</v>
      </c>
      <c r="C175" s="9" t="s">
        <v>4384</v>
      </c>
      <c r="D175" s="9" t="s">
        <v>4385</v>
      </c>
    </row>
  </sheetData>
  <hyperlinks>
    <hyperlink ref="A3" r:id="rId1" xr:uid="{00000000-0004-0000-2D00-000000000000}"/>
    <hyperlink ref="A4" r:id="rId2" xr:uid="{00000000-0004-0000-2D00-000001000000}"/>
    <hyperlink ref="A31" r:id="rId3" xr:uid="{00000000-0004-0000-2D00-000002000000}"/>
    <hyperlink ref="A33" r:id="rId4" xr:uid="{00000000-0004-0000-2D00-000003000000}"/>
    <hyperlink ref="B38" r:id="rId5" xr:uid="{00000000-0004-0000-2D00-000004000000}"/>
    <hyperlink ref="D47" r:id="rId6" location="/purchases" xr:uid="{00000000-0004-0000-2D00-000005000000}"/>
    <hyperlink ref="A77" r:id="rId7" xr:uid="{00000000-0004-0000-2D00-000006000000}"/>
    <hyperlink ref="E97" r:id="rId8" location="chrome64" xr:uid="{00000000-0004-0000-2D00-000007000000}"/>
    <hyperlink ref="E101" r:id="rId9" xr:uid="{00000000-0004-0000-2D00-000008000000}"/>
    <hyperlink ref="D110" r:id="rId10" xr:uid="{00000000-0004-0000-2D00-000009000000}"/>
    <hyperlink ref="D111" r:id="rId11" xr:uid="{00000000-0004-0000-2D00-00000A000000}"/>
    <hyperlink ref="A122" r:id="rId12" xr:uid="{00000000-0004-0000-2D00-00000B000000}"/>
    <hyperlink ref="A131" r:id="rId13" xr:uid="{00000000-0004-0000-2D00-00000C000000}"/>
    <hyperlink ref="A142" r:id="rId14" xr:uid="{00000000-0004-0000-2D00-00000D000000}"/>
    <hyperlink ref="D147" r:id="rId15" xr:uid="{00000000-0004-0000-2D00-00000E000000}"/>
    <hyperlink ref="E147" r:id="rId16" xr:uid="{00000000-0004-0000-2D00-00000F000000}"/>
    <hyperlink ref="A148" r:id="rId17" xr:uid="{00000000-0004-0000-2D00-000010000000}"/>
    <hyperlink ref="D148" r:id="rId18" xr:uid="{00000000-0004-0000-2D00-000011000000}"/>
    <hyperlink ref="E150" r:id="rId19" xr:uid="{00000000-0004-0000-2D00-000012000000}"/>
    <hyperlink ref="E151" r:id="rId20" xr:uid="{00000000-0004-0000-2D00-000013000000}"/>
    <hyperlink ref="D161" r:id="rId21" xr:uid="{00000000-0004-0000-2D00-000014000000}"/>
    <hyperlink ref="E161" r:id="rId22" xr:uid="{00000000-0004-0000-2D00-000015000000}"/>
    <hyperlink ref="A162" r:id="rId23" xr:uid="{00000000-0004-0000-2D00-000016000000}"/>
    <hyperlink ref="E162" r:id="rId24" xr:uid="{00000000-0004-0000-2D00-000017000000}"/>
    <hyperlink ref="A166" r:id="rId25" xr:uid="{00000000-0004-0000-2D00-000018000000}"/>
    <hyperlink ref="A172" r:id="rId26" xr:uid="{00000000-0004-0000-2D00-000019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outlinePr summaryBelow="0" summaryRight="0"/>
  </sheetPr>
  <dimension ref="A1:R105"/>
  <sheetViews>
    <sheetView workbookViewId="0"/>
  </sheetViews>
  <sheetFormatPr defaultColWidth="12.7109375" defaultRowHeight="12.75" customHeight="1"/>
  <cols>
    <col min="1" max="1" width="17.7109375" customWidth="1"/>
    <col min="2" max="2" width="10.42578125" customWidth="1"/>
    <col min="3" max="3" width="11.28515625" customWidth="1"/>
    <col min="4" max="4" width="12.7109375" customWidth="1"/>
    <col min="5" max="6" width="10.7109375" customWidth="1"/>
    <col min="7" max="7" width="10.85546875" customWidth="1"/>
    <col min="8" max="8" width="10.7109375" customWidth="1"/>
    <col min="9" max="9" width="9.140625" customWidth="1"/>
    <col min="10" max="10" width="8.7109375" customWidth="1"/>
    <col min="11" max="11" width="7.140625" customWidth="1"/>
    <col min="12" max="12" width="8.28515625" customWidth="1"/>
    <col min="13" max="13" width="2" customWidth="1"/>
    <col min="14" max="14" width="17.28515625" customWidth="1"/>
    <col min="15" max="15" width="7.7109375" customWidth="1"/>
    <col min="16" max="16" width="6.140625" customWidth="1"/>
    <col min="17" max="17" width="5.28515625" customWidth="1"/>
    <col min="18" max="18" width="5.7109375" customWidth="1"/>
  </cols>
  <sheetData>
    <row r="1" spans="1:17">
      <c r="A1" s="1249" t="s">
        <v>7260</v>
      </c>
      <c r="B1" s="1250">
        <v>2016</v>
      </c>
      <c r="C1" s="2222" t="s">
        <v>7862</v>
      </c>
      <c r="D1" s="2144"/>
      <c r="E1" s="2144"/>
      <c r="F1" s="133"/>
      <c r="G1" s="133"/>
      <c r="I1" s="133"/>
      <c r="J1" s="133"/>
      <c r="K1" s="133"/>
      <c r="L1" s="133"/>
      <c r="N1" s="1252" t="s">
        <v>4794</v>
      </c>
      <c r="O1" s="1253">
        <v>2016</v>
      </c>
      <c r="P1" s="1253">
        <v>2015</v>
      </c>
      <c r="Q1" s="1253">
        <v>2014</v>
      </c>
    </row>
    <row r="2" spans="1:17">
      <c r="A2" s="1254" t="s">
        <v>7261</v>
      </c>
      <c r="B2" s="1322" t="s">
        <v>7262</v>
      </c>
      <c r="C2" s="1322" t="s">
        <v>7262</v>
      </c>
      <c r="D2" s="1322" t="s">
        <v>7262</v>
      </c>
      <c r="E2" s="1322" t="s">
        <v>7262</v>
      </c>
      <c r="F2" s="1323" t="s">
        <v>7262</v>
      </c>
      <c r="G2" s="1322" t="s">
        <v>7262</v>
      </c>
      <c r="H2" s="1324" t="s">
        <v>7262</v>
      </c>
      <c r="I2" s="1257"/>
      <c r="J2" s="1258"/>
      <c r="K2" s="2269"/>
      <c r="L2" s="2095"/>
      <c r="M2" s="41"/>
      <c r="N2" s="41" t="s">
        <v>7263</v>
      </c>
      <c r="P2" s="9">
        <f>2508+7</f>
        <v>2515</v>
      </c>
      <c r="Q2" s="16">
        <v>2306</v>
      </c>
    </row>
    <row r="3" spans="1:17">
      <c r="A3" s="1260"/>
      <c r="B3" s="1265">
        <v>2012</v>
      </c>
      <c r="C3" s="1265">
        <v>2012</v>
      </c>
      <c r="D3" s="1325">
        <v>41474</v>
      </c>
      <c r="E3" s="1325">
        <v>41604</v>
      </c>
      <c r="F3" s="1325">
        <v>42156</v>
      </c>
      <c r="G3" s="1325">
        <v>42298</v>
      </c>
      <c r="H3" s="1326">
        <v>42566</v>
      </c>
      <c r="I3" s="2270" t="s">
        <v>7264</v>
      </c>
      <c r="J3" s="2137"/>
      <c r="K3" s="2271"/>
      <c r="L3" s="2137"/>
      <c r="M3" s="41"/>
      <c r="N3" s="41" t="s">
        <v>7265</v>
      </c>
      <c r="O3" s="9">
        <v>0</v>
      </c>
      <c r="P3" s="9">
        <v>0</v>
      </c>
      <c r="Q3" s="16">
        <v>6360</v>
      </c>
    </row>
    <row r="4" spans="1:17">
      <c r="A4" s="1260"/>
      <c r="B4" s="1327" t="s">
        <v>7268</v>
      </c>
      <c r="C4" s="1327" t="s">
        <v>5752</v>
      </c>
      <c r="D4" s="1327" t="s">
        <v>5747</v>
      </c>
      <c r="E4" s="1327" t="s">
        <v>7269</v>
      </c>
      <c r="F4" s="1328" t="s">
        <v>7270</v>
      </c>
      <c r="G4" s="1328" t="s">
        <v>5748</v>
      </c>
      <c r="H4" s="1329" t="s">
        <v>7271</v>
      </c>
      <c r="I4" s="1265" t="s">
        <v>3534</v>
      </c>
      <c r="J4" s="1266" t="s">
        <v>7863</v>
      </c>
      <c r="K4" s="1260"/>
      <c r="L4" s="1267"/>
      <c r="M4" s="41"/>
      <c r="N4" s="41" t="s">
        <v>7273</v>
      </c>
      <c r="O4" s="9">
        <v>27</v>
      </c>
      <c r="Q4" s="16">
        <v>27</v>
      </c>
    </row>
    <row r="5" spans="1:17">
      <c r="A5" s="41" t="s">
        <v>7274</v>
      </c>
      <c r="B5" s="1251">
        <v>9600</v>
      </c>
      <c r="C5" s="1251">
        <v>10500</v>
      </c>
      <c r="D5" s="1251">
        <v>7125</v>
      </c>
      <c r="E5" s="1251">
        <f>65600/2</f>
        <v>32800</v>
      </c>
      <c r="F5" s="1251">
        <f>800*3*3</f>
        <v>7200</v>
      </c>
      <c r="G5" s="1251">
        <v>8400</v>
      </c>
      <c r="H5" s="1251">
        <v>6600</v>
      </c>
      <c r="I5" s="41" t="s">
        <v>38</v>
      </c>
      <c r="J5" s="1251" t="s">
        <v>3592</v>
      </c>
      <c r="K5" s="41"/>
      <c r="L5" s="1270"/>
      <c r="M5" s="41"/>
      <c r="N5" s="41" t="s">
        <v>7275</v>
      </c>
      <c r="P5" s="9">
        <v>0</v>
      </c>
      <c r="Q5" s="16">
        <v>0</v>
      </c>
    </row>
    <row r="6" spans="1:17">
      <c r="A6" s="1271" t="s">
        <v>270</v>
      </c>
      <c r="B6" s="1270"/>
      <c r="C6" s="1270"/>
      <c r="D6" s="1270"/>
      <c r="E6" s="1270"/>
      <c r="F6" s="1270"/>
      <c r="G6" s="1270"/>
      <c r="H6" s="1270"/>
      <c r="I6" s="41" t="s">
        <v>7276</v>
      </c>
      <c r="J6" s="1251">
        <v>1500</v>
      </c>
      <c r="K6" s="41"/>
      <c r="L6" s="1270"/>
      <c r="M6" s="41"/>
      <c r="N6" s="41" t="s">
        <v>7277</v>
      </c>
      <c r="Q6" s="16">
        <v>1099</v>
      </c>
    </row>
    <row r="7" spans="1:17">
      <c r="A7" s="41" t="s">
        <v>3313</v>
      </c>
      <c r="B7" s="1251">
        <v>16</v>
      </c>
      <c r="C7" s="1251">
        <v>16</v>
      </c>
      <c r="D7" s="1251">
        <v>16</v>
      </c>
      <c r="E7" s="1251">
        <v>8</v>
      </c>
      <c r="F7" s="1251">
        <v>8</v>
      </c>
      <c r="G7" s="1251">
        <v>16</v>
      </c>
      <c r="H7" s="1251">
        <v>16</v>
      </c>
      <c r="I7" s="1271" t="s">
        <v>270</v>
      </c>
      <c r="J7" s="1270"/>
      <c r="K7" s="41"/>
      <c r="L7" s="1270"/>
      <c r="M7" s="41"/>
      <c r="N7" s="41" t="s">
        <v>7278</v>
      </c>
      <c r="Q7" s="16">
        <v>1099</v>
      </c>
    </row>
    <row r="8" spans="1:17">
      <c r="A8" s="41" t="s">
        <v>7279</v>
      </c>
      <c r="B8" s="1251" t="s">
        <v>7411</v>
      </c>
      <c r="C8" s="1251" t="s">
        <v>7413</v>
      </c>
      <c r="D8" s="1251" t="s">
        <v>7411</v>
      </c>
      <c r="E8" s="1251" t="s">
        <v>7864</v>
      </c>
      <c r="F8" s="1251" t="s">
        <v>7864</v>
      </c>
      <c r="G8" s="1251" t="s">
        <v>7415</v>
      </c>
      <c r="H8" s="1251" t="s">
        <v>7416</v>
      </c>
      <c r="I8" s="41" t="s">
        <v>7287</v>
      </c>
      <c r="J8" s="1251">
        <v>587</v>
      </c>
      <c r="K8" s="41"/>
      <c r="L8" s="1270"/>
      <c r="M8" s="41"/>
      <c r="N8" s="41" t="s">
        <v>7288</v>
      </c>
      <c r="Q8" s="16">
        <v>6900</v>
      </c>
    </row>
    <row r="9" spans="1:17">
      <c r="A9" s="41" t="s">
        <v>7289</v>
      </c>
      <c r="B9" s="1251">
        <v>60</v>
      </c>
      <c r="C9" s="1251">
        <v>120</v>
      </c>
      <c r="D9" s="1251">
        <v>60</v>
      </c>
      <c r="E9" s="1251">
        <f>930/2</f>
        <v>465</v>
      </c>
      <c r="F9" s="1251">
        <v>465</v>
      </c>
      <c r="G9" s="1251">
        <v>60</v>
      </c>
      <c r="H9" s="1251">
        <v>60</v>
      </c>
      <c r="I9" s="41"/>
      <c r="J9" s="1251"/>
      <c r="K9" s="41"/>
      <c r="L9" s="1270"/>
      <c r="M9" s="41"/>
      <c r="N9" s="41" t="s">
        <v>3314</v>
      </c>
      <c r="P9" s="9">
        <v>0</v>
      </c>
      <c r="Q9" s="16">
        <v>13</v>
      </c>
    </row>
    <row r="10" spans="1:17">
      <c r="A10" s="41" t="s">
        <v>4822</v>
      </c>
      <c r="B10" s="1251">
        <v>457</v>
      </c>
      <c r="C10" s="1251">
        <v>632</v>
      </c>
      <c r="D10" s="1251">
        <v>501</v>
      </c>
      <c r="E10" s="1251">
        <v>1463</v>
      </c>
      <c r="F10" s="1251">
        <f>2925/2</f>
        <v>1462.5</v>
      </c>
      <c r="G10" s="1251">
        <v>455</v>
      </c>
      <c r="H10" s="1331">
        <v>411</v>
      </c>
      <c r="I10" s="9" t="s">
        <v>7290</v>
      </c>
      <c r="J10" s="1251">
        <v>4200</v>
      </c>
      <c r="K10" s="41"/>
      <c r="L10" s="1270"/>
      <c r="M10" s="41"/>
      <c r="N10" s="41" t="s">
        <v>7291</v>
      </c>
      <c r="O10" s="9"/>
      <c r="P10" s="9"/>
    </row>
    <row r="11" spans="1:17">
      <c r="A11" s="41" t="s">
        <v>7292</v>
      </c>
      <c r="B11" s="1251">
        <v>0</v>
      </c>
      <c r="C11" s="1251">
        <v>1800</v>
      </c>
      <c r="D11" s="1251">
        <v>0</v>
      </c>
      <c r="E11" s="1251">
        <v>1350</v>
      </c>
      <c r="F11" s="1251">
        <f>2700/2</f>
        <v>1350</v>
      </c>
      <c r="G11" s="1251">
        <v>0</v>
      </c>
      <c r="H11" s="1251">
        <v>0</v>
      </c>
      <c r="I11" s="41" t="s">
        <v>7293</v>
      </c>
      <c r="J11" s="1251">
        <v>30</v>
      </c>
      <c r="K11" s="41"/>
      <c r="L11" s="1270"/>
      <c r="M11" s="41"/>
      <c r="N11" s="41"/>
      <c r="O11" s="9"/>
      <c r="Q11" s="16"/>
    </row>
    <row r="12" spans="1:17">
      <c r="A12" s="41" t="s">
        <v>7294</v>
      </c>
      <c r="B12" s="1251">
        <v>0</v>
      </c>
      <c r="C12" s="1251">
        <v>512</v>
      </c>
      <c r="D12" s="1251">
        <v>0</v>
      </c>
      <c r="E12" s="1251">
        <v>1088</v>
      </c>
      <c r="F12" s="1251">
        <f>2176/2</f>
        <v>1088</v>
      </c>
      <c r="G12" s="1251">
        <v>0</v>
      </c>
      <c r="H12" s="1251">
        <v>0</v>
      </c>
      <c r="I12" s="41" t="s">
        <v>7865</v>
      </c>
      <c r="J12" s="1251">
        <v>45</v>
      </c>
      <c r="K12" s="41"/>
      <c r="L12" s="1270"/>
      <c r="M12" s="41"/>
      <c r="N12" s="41"/>
      <c r="P12" s="9"/>
      <c r="Q12" s="16"/>
    </row>
    <row r="13" spans="1:17">
      <c r="A13" s="41" t="s">
        <v>5024</v>
      </c>
      <c r="B13" s="1251">
        <v>0</v>
      </c>
      <c r="C13" s="1251">
        <v>0</v>
      </c>
      <c r="D13" s="1251">
        <v>0</v>
      </c>
      <c r="E13" s="1391"/>
      <c r="F13" s="1251"/>
      <c r="G13" s="1251">
        <v>0</v>
      </c>
      <c r="H13" s="1251">
        <v>0</v>
      </c>
      <c r="I13" s="245" t="s">
        <v>7296</v>
      </c>
      <c r="J13" s="1251">
        <v>95</v>
      </c>
      <c r="K13" s="41"/>
      <c r="L13" s="1270"/>
      <c r="M13" s="41"/>
      <c r="N13" s="41"/>
      <c r="P13" s="9"/>
      <c r="Q13" s="16"/>
    </row>
    <row r="14" spans="1:17">
      <c r="A14" s="41" t="s">
        <v>6860</v>
      </c>
      <c r="B14" s="1251">
        <v>0</v>
      </c>
      <c r="C14" s="1251">
        <v>2035</v>
      </c>
      <c r="D14" s="1251">
        <v>0</v>
      </c>
      <c r="E14" s="1251">
        <v>1236</v>
      </c>
      <c r="F14" s="1251">
        <f>2471/2</f>
        <v>1235.5</v>
      </c>
      <c r="G14" s="1251">
        <v>4330</v>
      </c>
      <c r="H14" s="1251">
        <v>0</v>
      </c>
      <c r="I14" s="41"/>
      <c r="J14" s="1270"/>
      <c r="K14" s="41"/>
      <c r="L14" s="1270"/>
      <c r="M14" s="41"/>
      <c r="N14" s="133"/>
      <c r="O14" s="133"/>
      <c r="P14" s="133"/>
      <c r="Q14" s="133"/>
    </row>
    <row r="15" spans="1:17">
      <c r="A15" s="41" t="s">
        <v>7035</v>
      </c>
      <c r="B15" s="1251">
        <v>1459</v>
      </c>
      <c r="C15" s="1251">
        <v>2602</v>
      </c>
      <c r="D15" s="1251">
        <v>511</v>
      </c>
      <c r="E15" s="1251">
        <v>1954</v>
      </c>
      <c r="F15" s="1251">
        <f>3908/2</f>
        <v>1954</v>
      </c>
      <c r="G15" s="1251">
        <v>7603</v>
      </c>
      <c r="H15" s="1251">
        <v>2320</v>
      </c>
      <c r="I15" s="41"/>
      <c r="J15" s="1270"/>
      <c r="K15" s="41"/>
      <c r="L15" s="1270"/>
      <c r="M15" s="41"/>
      <c r="N15" s="1252" t="s">
        <v>7297</v>
      </c>
      <c r="O15" s="1275"/>
      <c r="P15" s="1275"/>
      <c r="Q15" s="1276"/>
    </row>
    <row r="16" spans="1:17">
      <c r="A16" s="41" t="s">
        <v>7298</v>
      </c>
      <c r="B16" s="1251">
        <v>0</v>
      </c>
      <c r="C16" s="1251">
        <v>103</v>
      </c>
      <c r="D16" s="1251">
        <v>0</v>
      </c>
      <c r="E16" s="1251">
        <v>41</v>
      </c>
      <c r="F16" s="1251">
        <v>40</v>
      </c>
      <c r="G16" s="1251">
        <v>194</v>
      </c>
      <c r="H16" s="1251">
        <v>25</v>
      </c>
      <c r="I16" s="41"/>
      <c r="J16" s="1270"/>
      <c r="K16" s="41"/>
      <c r="L16" s="1270"/>
      <c r="M16" s="41"/>
      <c r="N16" s="41" t="s">
        <v>7299</v>
      </c>
      <c r="O16" s="9">
        <v>120</v>
      </c>
      <c r="Q16" s="42">
        <v>120</v>
      </c>
    </row>
    <row r="17" spans="1:18">
      <c r="A17" s="41" t="s">
        <v>4399</v>
      </c>
      <c r="B17" s="1251">
        <v>757</v>
      </c>
      <c r="C17" s="1251">
        <v>1210</v>
      </c>
      <c r="D17" s="1251">
        <v>454</v>
      </c>
      <c r="E17" s="1251">
        <v>2522</v>
      </c>
      <c r="F17" s="1251">
        <f>5044/2</f>
        <v>2522</v>
      </c>
      <c r="G17" s="1251">
        <v>460</v>
      </c>
      <c r="H17" s="1251">
        <v>366</v>
      </c>
      <c r="I17" s="41"/>
      <c r="J17" s="1270"/>
      <c r="K17" s="41"/>
      <c r="L17" s="1270"/>
      <c r="M17" s="41"/>
      <c r="N17" s="41" t="s">
        <v>7300</v>
      </c>
      <c r="O17" s="9">
        <v>220</v>
      </c>
      <c r="Q17" s="42">
        <v>200</v>
      </c>
    </row>
    <row r="18" spans="1:18">
      <c r="A18" s="41" t="s">
        <v>7301</v>
      </c>
      <c r="B18" s="1251">
        <v>0</v>
      </c>
      <c r="C18" s="1251">
        <v>4587</v>
      </c>
      <c r="D18" s="1251">
        <v>0</v>
      </c>
      <c r="E18" s="1251">
        <v>4750</v>
      </c>
      <c r="F18" s="1251">
        <f>9501/2</f>
        <v>4750.5</v>
      </c>
      <c r="G18" s="1251">
        <v>710</v>
      </c>
      <c r="H18" s="1251">
        <v>693</v>
      </c>
      <c r="I18" s="41"/>
      <c r="J18" s="1270"/>
      <c r="K18" s="41"/>
      <c r="L18" s="1270"/>
      <c r="M18" s="41"/>
      <c r="N18" s="41" t="s">
        <v>7302</v>
      </c>
      <c r="O18" s="9">
        <v>200</v>
      </c>
      <c r="P18" s="9"/>
      <c r="Q18" s="42">
        <v>200</v>
      </c>
    </row>
    <row r="19" spans="1:18">
      <c r="A19" s="41" t="s">
        <v>7303</v>
      </c>
      <c r="B19" s="1270" t="s">
        <v>135</v>
      </c>
      <c r="C19" s="1270" t="s">
        <v>135</v>
      </c>
      <c r="D19" s="1270">
        <v>306.99</v>
      </c>
      <c r="E19" s="1270">
        <v>6173.36</v>
      </c>
      <c r="F19" s="1270">
        <v>5000</v>
      </c>
      <c r="G19" s="1270">
        <v>342</v>
      </c>
      <c r="H19" s="1251">
        <v>533</v>
      </c>
      <c r="I19" s="41"/>
      <c r="J19" s="1270"/>
      <c r="K19" s="41"/>
      <c r="L19" s="1270"/>
      <c r="M19" s="41"/>
      <c r="N19" s="41" t="s">
        <v>7305</v>
      </c>
      <c r="O19" s="9">
        <v>8988</v>
      </c>
      <c r="Q19" s="42">
        <f>749*12</f>
        <v>8988</v>
      </c>
    </row>
    <row r="20" spans="1:18">
      <c r="A20" s="41" t="s">
        <v>7306</v>
      </c>
      <c r="B20" s="16">
        <v>45000</v>
      </c>
      <c r="C20" s="16">
        <v>45000</v>
      </c>
      <c r="D20" s="16">
        <v>33000</v>
      </c>
      <c r="E20" s="16">
        <v>122000</v>
      </c>
      <c r="F20" s="16">
        <v>50000</v>
      </c>
      <c r="G20" s="16">
        <v>25000</v>
      </c>
      <c r="H20" s="42">
        <v>120000</v>
      </c>
      <c r="I20" s="41"/>
      <c r="J20" s="1270"/>
      <c r="K20" s="41"/>
      <c r="L20" s="1270"/>
      <c r="M20" s="41"/>
      <c r="N20" s="41" t="s">
        <v>7308</v>
      </c>
      <c r="O20" s="9">
        <v>576</v>
      </c>
      <c r="Q20" s="42">
        <v>660</v>
      </c>
    </row>
    <row r="21" spans="1:18">
      <c r="A21" s="1280" t="s">
        <v>7309</v>
      </c>
      <c r="B21" s="602">
        <v>15000</v>
      </c>
      <c r="C21" s="602">
        <v>15000</v>
      </c>
      <c r="D21" s="602">
        <v>15000</v>
      </c>
      <c r="E21" s="602">
        <v>40000</v>
      </c>
      <c r="F21" s="133">
        <v>40000</v>
      </c>
      <c r="G21" s="133">
        <v>15000</v>
      </c>
      <c r="H21" s="884">
        <v>55000</v>
      </c>
      <c r="I21" s="41"/>
      <c r="J21" s="1270"/>
      <c r="K21" s="41"/>
      <c r="L21" s="1270"/>
      <c r="M21" s="41"/>
      <c r="N21" s="41" t="s">
        <v>7311</v>
      </c>
      <c r="O21" s="9">
        <v>0</v>
      </c>
      <c r="P21" s="9"/>
      <c r="Q21" s="44">
        <v>158</v>
      </c>
    </row>
    <row r="22" spans="1:18">
      <c r="H22" s="44"/>
      <c r="I22" s="9"/>
      <c r="J22" s="1270"/>
      <c r="K22" s="41"/>
      <c r="L22" s="1270"/>
      <c r="M22" s="41"/>
      <c r="N22" s="41" t="s">
        <v>7313</v>
      </c>
      <c r="O22" s="9">
        <v>0</v>
      </c>
      <c r="Q22" s="44">
        <v>0</v>
      </c>
    </row>
    <row r="23" spans="1:18">
      <c r="H23" s="44"/>
      <c r="K23" s="41"/>
      <c r="L23" s="1270"/>
      <c r="M23" s="41"/>
      <c r="N23" s="41" t="s">
        <v>7315</v>
      </c>
      <c r="O23" s="9">
        <v>100</v>
      </c>
      <c r="P23" s="9"/>
      <c r="Q23" s="42">
        <v>300</v>
      </c>
    </row>
    <row r="24" spans="1:18">
      <c r="H24" s="44"/>
      <c r="K24" s="41"/>
      <c r="L24" s="1270"/>
      <c r="M24" s="41"/>
      <c r="N24" s="77" t="s">
        <v>7318</v>
      </c>
      <c r="P24" s="133"/>
      <c r="Q24" s="135">
        <v>825</v>
      </c>
    </row>
    <row r="25" spans="1:18">
      <c r="A25" s="41"/>
      <c r="B25" s="1270"/>
      <c r="C25" s="1270"/>
      <c r="D25" s="1270"/>
      <c r="E25" s="1270"/>
      <c r="F25" s="1270"/>
      <c r="G25" s="1270"/>
      <c r="H25" s="1291"/>
      <c r="K25" s="41"/>
      <c r="L25" s="1270"/>
      <c r="M25" s="41"/>
      <c r="N25" s="1305"/>
      <c r="O25" s="1305"/>
      <c r="P25" s="1305"/>
      <c r="Q25" s="1305"/>
    </row>
    <row r="26" spans="1:18">
      <c r="A26" s="41"/>
      <c r="B26" s="1270"/>
      <c r="C26" s="1270"/>
      <c r="D26" s="1270"/>
      <c r="E26" s="1270"/>
      <c r="F26" s="1270"/>
      <c r="G26" s="1270"/>
      <c r="H26" s="1291"/>
      <c r="K26" s="41"/>
      <c r="L26" s="1270"/>
      <c r="M26" s="449"/>
      <c r="N26" s="1252" t="s">
        <v>7325</v>
      </c>
      <c r="O26" s="1275"/>
      <c r="P26" s="1392"/>
      <c r="Q26" s="1393"/>
      <c r="R26" s="41"/>
    </row>
    <row r="27" spans="1:18">
      <c r="A27" s="41"/>
      <c r="B27" s="1270"/>
      <c r="C27" s="1270"/>
      <c r="D27" s="1270"/>
      <c r="E27" s="1270"/>
      <c r="F27" s="1270"/>
      <c r="G27" s="1270"/>
      <c r="H27" s="1270"/>
      <c r="I27" s="245"/>
      <c r="J27" s="44"/>
      <c r="K27" s="41"/>
      <c r="L27" s="1270"/>
      <c r="M27" s="449"/>
      <c r="N27" s="41"/>
      <c r="Q27" s="16">
        <v>0</v>
      </c>
      <c r="R27" s="41"/>
    </row>
    <row r="28" spans="1:18">
      <c r="A28" s="41"/>
      <c r="B28" s="1270"/>
      <c r="C28" s="1270"/>
      <c r="D28" s="1270"/>
      <c r="E28" s="1270"/>
      <c r="F28" s="1270"/>
      <c r="G28" s="1270"/>
      <c r="H28" s="1270"/>
      <c r="I28" s="245"/>
      <c r="J28" s="44"/>
      <c r="K28" s="41"/>
      <c r="L28" s="1270"/>
      <c r="M28" s="449"/>
      <c r="N28" s="41" t="s">
        <v>7335</v>
      </c>
      <c r="P28" s="9">
        <v>200</v>
      </c>
      <c r="Q28" s="16">
        <v>200</v>
      </c>
      <c r="R28" s="41"/>
    </row>
    <row r="29" spans="1:18">
      <c r="A29" s="41"/>
      <c r="B29" s="1270"/>
      <c r="C29" s="1270"/>
      <c r="D29" s="1270"/>
      <c r="E29" s="1270"/>
      <c r="F29" s="1270"/>
      <c r="G29" s="1270"/>
      <c r="H29" s="1270"/>
      <c r="I29" s="245"/>
      <c r="J29" s="44"/>
      <c r="K29" s="41"/>
      <c r="L29" s="1270"/>
      <c r="M29" s="449"/>
      <c r="N29" s="41" t="s">
        <v>7336</v>
      </c>
      <c r="Q29" s="16">
        <v>1200</v>
      </c>
      <c r="R29" s="41"/>
    </row>
    <row r="30" spans="1:18">
      <c r="A30" s="41"/>
      <c r="B30" s="1270"/>
      <c r="C30" s="1270"/>
      <c r="D30" s="1270"/>
      <c r="E30" s="1270"/>
      <c r="F30" s="1270"/>
      <c r="G30" s="1270"/>
      <c r="H30" s="1270"/>
      <c r="I30" s="245"/>
      <c r="J30" s="44"/>
      <c r="K30" s="9"/>
      <c r="L30" s="1270"/>
      <c r="M30" s="449"/>
      <c r="N30" s="41" t="s">
        <v>7338</v>
      </c>
      <c r="Q30" s="16">
        <v>500</v>
      </c>
      <c r="R30" s="41"/>
    </row>
    <row r="31" spans="1:18">
      <c r="A31" s="41"/>
      <c r="B31" s="1270"/>
      <c r="C31" s="1270"/>
      <c r="D31" s="1270"/>
      <c r="E31" s="1270"/>
      <c r="F31" s="1270"/>
      <c r="G31" s="1270"/>
      <c r="H31" s="1270"/>
      <c r="I31" s="245"/>
      <c r="J31" s="44"/>
      <c r="K31" s="9"/>
      <c r="L31" s="1270"/>
      <c r="M31" s="449"/>
      <c r="N31" s="41" t="s">
        <v>7339</v>
      </c>
      <c r="Q31" s="16">
        <v>150</v>
      </c>
      <c r="R31" s="41"/>
    </row>
    <row r="32" spans="1:18">
      <c r="A32" s="41"/>
      <c r="B32" s="1270"/>
      <c r="C32" s="1270"/>
      <c r="D32" s="1270"/>
      <c r="E32" s="1270"/>
      <c r="F32" s="1270"/>
      <c r="G32" s="1270"/>
      <c r="H32" s="1270"/>
      <c r="I32" s="245"/>
      <c r="J32" s="44"/>
      <c r="K32" s="41"/>
      <c r="L32" s="1270"/>
      <c r="M32" s="449"/>
      <c r="N32" s="9" t="s">
        <v>7340</v>
      </c>
      <c r="P32" s="9">
        <v>50</v>
      </c>
      <c r="R32" s="41"/>
    </row>
    <row r="33" spans="1:18">
      <c r="A33" s="41"/>
      <c r="B33" s="1270"/>
      <c r="C33" s="1270"/>
      <c r="D33" s="1270"/>
      <c r="E33" s="1270"/>
      <c r="F33" s="1270"/>
      <c r="G33" s="1270"/>
      <c r="H33" s="1270"/>
      <c r="I33" s="245"/>
      <c r="J33" s="44"/>
      <c r="K33" s="41"/>
      <c r="L33" s="1270"/>
      <c r="M33" s="449"/>
      <c r="R33" s="41"/>
    </row>
    <row r="34" spans="1:18">
      <c r="A34" s="41"/>
      <c r="B34" s="1270"/>
      <c r="C34" s="1270"/>
      <c r="D34" s="1270"/>
      <c r="E34" s="1270"/>
      <c r="F34" s="1270"/>
      <c r="G34" s="1270"/>
      <c r="H34" s="1270"/>
      <c r="I34" s="245"/>
      <c r="J34" s="44"/>
      <c r="K34" s="41"/>
      <c r="L34" s="1270"/>
      <c r="M34" s="449"/>
      <c r="R34" s="41"/>
    </row>
    <row r="35" spans="1:18">
      <c r="A35" s="1271"/>
      <c r="B35" s="34"/>
      <c r="C35" s="34"/>
      <c r="D35" s="34"/>
      <c r="E35" s="34"/>
      <c r="F35" s="34"/>
      <c r="G35" s="34"/>
      <c r="H35" s="34"/>
      <c r="I35" s="1302"/>
      <c r="J35" s="44"/>
      <c r="K35" s="41"/>
      <c r="L35" s="1303"/>
      <c r="M35" s="449"/>
      <c r="N35" s="41" t="s">
        <v>7343</v>
      </c>
      <c r="Q35" s="16"/>
      <c r="R35" s="41"/>
    </row>
    <row r="36" spans="1:18">
      <c r="A36" s="1271"/>
      <c r="B36" s="34"/>
      <c r="C36" s="34"/>
      <c r="D36" s="34"/>
      <c r="E36" s="34"/>
      <c r="F36" s="34"/>
      <c r="G36" s="34"/>
      <c r="H36" s="34"/>
      <c r="I36" s="1302"/>
      <c r="J36" s="44"/>
      <c r="K36" s="41"/>
      <c r="L36" s="1303"/>
      <c r="M36" s="41"/>
      <c r="N36" s="41" t="s">
        <v>7344</v>
      </c>
      <c r="Q36" s="16">
        <v>180</v>
      </c>
    </row>
    <row r="37" spans="1:18">
      <c r="A37" s="41"/>
      <c r="B37" s="1270"/>
      <c r="C37" s="1270"/>
      <c r="D37" s="1270"/>
      <c r="E37" s="1270"/>
      <c r="F37" s="1270"/>
      <c r="G37" s="1270"/>
      <c r="H37" s="1270"/>
      <c r="I37" s="41"/>
      <c r="J37" s="44"/>
      <c r="K37" s="41"/>
      <c r="L37" s="42"/>
      <c r="M37" s="449"/>
      <c r="N37" s="1271" t="s">
        <v>67</v>
      </c>
      <c r="Q37" s="711">
        <f>SUM(Q27:Q33)</f>
        <v>2050</v>
      </c>
      <c r="R37" s="41"/>
    </row>
    <row r="38" spans="1:18">
      <c r="I38" s="41"/>
      <c r="J38" s="44"/>
      <c r="K38" s="41"/>
      <c r="L38" s="42"/>
      <c r="M38" s="449"/>
      <c r="N38" s="41"/>
      <c r="Q38" s="16">
        <v>600</v>
      </c>
      <c r="R38" s="41"/>
    </row>
    <row r="39" spans="1:18">
      <c r="I39" s="41"/>
      <c r="J39" s="44"/>
      <c r="K39" s="41"/>
      <c r="L39" s="1270">
        <v>1350</v>
      </c>
      <c r="M39" s="449"/>
      <c r="N39" s="77" t="s">
        <v>7347</v>
      </c>
      <c r="P39" s="133">
        <f>20*12</f>
        <v>240</v>
      </c>
      <c r="Q39" s="134">
        <v>165</v>
      </c>
      <c r="R39" s="41"/>
    </row>
    <row r="40" spans="1:18">
      <c r="I40" s="41"/>
      <c r="J40" s="44"/>
      <c r="K40" s="41"/>
      <c r="L40" s="1270">
        <v>20000</v>
      </c>
      <c r="M40" s="449"/>
      <c r="N40" s="1305"/>
      <c r="O40" s="1305"/>
      <c r="P40" s="38"/>
      <c r="Q40" s="38"/>
      <c r="R40" s="41"/>
    </row>
    <row r="41" spans="1:18">
      <c r="I41" s="77"/>
      <c r="J41" s="884"/>
      <c r="K41" s="77"/>
      <c r="L41" s="884">
        <v>0</v>
      </c>
      <c r="M41" s="449"/>
      <c r="N41" s="1252" t="s">
        <v>7348</v>
      </c>
      <c r="O41" s="1306" t="s">
        <v>3258</v>
      </c>
      <c r="P41" s="41"/>
      <c r="R41" s="41"/>
    </row>
    <row r="42" spans="1:18">
      <c r="A42" s="38"/>
      <c r="B42" s="38"/>
      <c r="C42" s="38"/>
      <c r="D42" s="38"/>
      <c r="E42" s="38"/>
      <c r="G42" s="38"/>
      <c r="H42" s="38"/>
      <c r="I42" s="38"/>
      <c r="J42" s="38"/>
      <c r="K42" s="38"/>
      <c r="L42" s="38"/>
      <c r="M42" s="44"/>
      <c r="N42" s="41" t="s">
        <v>7349</v>
      </c>
      <c r="O42" s="44"/>
      <c r="P42" s="41"/>
      <c r="R42" s="41"/>
    </row>
    <row r="43" spans="1:18">
      <c r="A43" s="133"/>
      <c r="B43" s="133"/>
      <c r="C43" s="133"/>
      <c r="E43" s="133"/>
      <c r="F43" s="133"/>
      <c r="G43" s="133"/>
      <c r="H43" s="133"/>
      <c r="I43" s="133"/>
      <c r="J43" s="133"/>
      <c r="M43" s="44"/>
      <c r="N43" s="41" t="s">
        <v>7278</v>
      </c>
      <c r="O43" s="44"/>
      <c r="P43" s="41"/>
      <c r="R43" s="41"/>
    </row>
    <row r="44" spans="1:18">
      <c r="A44" s="1252" t="s">
        <v>7350</v>
      </c>
      <c r="B44" s="1253">
        <v>2015</v>
      </c>
      <c r="C44" s="1306">
        <v>2014</v>
      </c>
      <c r="D44" s="449"/>
      <c r="E44" s="1252" t="s">
        <v>7351</v>
      </c>
      <c r="F44" s="1308" t="s">
        <v>7352</v>
      </c>
      <c r="G44" s="1308" t="s">
        <v>7353</v>
      </c>
      <c r="H44" s="1308"/>
      <c r="I44" s="1308" t="s">
        <v>3281</v>
      </c>
      <c r="J44" s="1276"/>
      <c r="K44" s="41"/>
      <c r="M44" s="44"/>
      <c r="N44" s="41" t="s">
        <v>7354</v>
      </c>
      <c r="O44" s="44"/>
      <c r="P44" s="41"/>
      <c r="R44" s="41"/>
    </row>
    <row r="45" spans="1:18">
      <c r="A45" s="41" t="s">
        <v>66</v>
      </c>
      <c r="C45" s="44">
        <v>115</v>
      </c>
      <c r="D45" s="449"/>
      <c r="E45" s="41"/>
      <c r="F45" s="16"/>
      <c r="G45" s="16"/>
      <c r="H45" s="16"/>
      <c r="I45" s="443"/>
      <c r="J45" s="44"/>
      <c r="K45" s="41"/>
      <c r="M45" s="44"/>
      <c r="N45" s="41" t="s">
        <v>7866</v>
      </c>
      <c r="O45" s="44"/>
      <c r="P45" s="41"/>
      <c r="R45" s="41"/>
    </row>
    <row r="46" spans="1:18">
      <c r="A46" s="41" t="s">
        <v>725</v>
      </c>
      <c r="C46" s="1309">
        <v>57</v>
      </c>
      <c r="D46" s="449"/>
      <c r="E46" s="41"/>
      <c r="F46" s="16"/>
      <c r="G46" s="16"/>
      <c r="H46" s="16"/>
      <c r="I46" s="443"/>
      <c r="J46" s="44"/>
      <c r="K46" s="41"/>
      <c r="M46" s="44"/>
      <c r="N46" s="41" t="s">
        <v>7867</v>
      </c>
      <c r="O46" s="44"/>
      <c r="P46" s="41"/>
      <c r="R46" s="41"/>
    </row>
    <row r="47" spans="1:18">
      <c r="A47" s="41" t="s">
        <v>725</v>
      </c>
      <c r="C47" s="1309">
        <v>20</v>
      </c>
      <c r="D47" s="449"/>
      <c r="E47" s="41"/>
      <c r="F47" s="16"/>
      <c r="G47" s="16"/>
      <c r="H47" s="16"/>
      <c r="I47" s="443"/>
      <c r="J47" s="44"/>
      <c r="K47" s="41"/>
      <c r="M47" s="44"/>
      <c r="N47" s="41" t="s">
        <v>7868</v>
      </c>
      <c r="O47" s="44"/>
      <c r="P47" s="41"/>
      <c r="R47" s="41"/>
    </row>
    <row r="48" spans="1:18">
      <c r="A48" s="41" t="s">
        <v>725</v>
      </c>
      <c r="C48" s="1309">
        <v>145</v>
      </c>
      <c r="D48" s="449"/>
      <c r="E48" s="41" t="s">
        <v>135</v>
      </c>
      <c r="F48" s="16" t="s">
        <v>135</v>
      </c>
      <c r="G48" s="16" t="s">
        <v>135</v>
      </c>
      <c r="H48" s="16"/>
      <c r="I48" s="9" t="s">
        <v>135</v>
      </c>
      <c r="J48" s="44" t="s">
        <v>135</v>
      </c>
      <c r="K48" s="41"/>
      <c r="N48" s="41"/>
      <c r="O48" s="44"/>
      <c r="P48" s="41"/>
    </row>
    <row r="49" spans="1:16">
      <c r="A49" s="41" t="s">
        <v>7355</v>
      </c>
      <c r="C49" s="1309">
        <v>501</v>
      </c>
      <c r="D49" s="449"/>
      <c r="E49" s="41" t="s">
        <v>135</v>
      </c>
      <c r="F49" s="16" t="s">
        <v>135</v>
      </c>
      <c r="G49" s="16" t="s">
        <v>135</v>
      </c>
      <c r="H49" s="16"/>
      <c r="I49" s="9" t="s">
        <v>135</v>
      </c>
      <c r="J49" s="44" t="s">
        <v>135</v>
      </c>
      <c r="K49" s="41"/>
      <c r="M49" s="44"/>
      <c r="N49" s="41"/>
      <c r="O49" s="44"/>
      <c r="P49" s="41"/>
    </row>
    <row r="50" spans="1:16">
      <c r="A50" s="1280" t="s">
        <v>67</v>
      </c>
      <c r="B50" s="133"/>
      <c r="C50" s="1310">
        <f>SUM(C46:C49)</f>
        <v>723</v>
      </c>
      <c r="D50" s="449"/>
      <c r="E50" s="77" t="s">
        <v>67</v>
      </c>
      <c r="F50" s="1311">
        <f>SUM(F45:F49)</f>
        <v>0</v>
      </c>
      <c r="G50" s="1311">
        <f>SUM(G45:G49)</f>
        <v>0</v>
      </c>
      <c r="H50" s="1311"/>
      <c r="I50" s="133"/>
      <c r="J50" s="884"/>
      <c r="K50" s="41"/>
      <c r="M50" s="44"/>
      <c r="N50" s="77" t="s">
        <v>7356</v>
      </c>
      <c r="O50" s="1312"/>
      <c r="P50" s="41"/>
    </row>
    <row r="51" spans="1:16">
      <c r="A51" s="1229"/>
      <c r="B51" s="1313"/>
      <c r="C51" s="1229"/>
      <c r="D51" s="133"/>
      <c r="E51" s="38"/>
      <c r="F51" s="38"/>
      <c r="G51" s="38"/>
      <c r="H51" s="38"/>
      <c r="I51" s="38"/>
      <c r="J51" s="38"/>
    </row>
    <row r="52" spans="1:16">
      <c r="A52" s="2273" t="s">
        <v>7357</v>
      </c>
      <c r="B52" s="2094"/>
      <c r="C52" s="2094"/>
      <c r="D52" s="2095"/>
      <c r="E52" s="1271"/>
      <c r="I52" s="2276"/>
      <c r="J52" s="2087"/>
      <c r="M52" s="44"/>
    </row>
    <row r="53" spans="1:16">
      <c r="A53" s="41" t="s">
        <v>1127</v>
      </c>
      <c r="B53" s="16" t="s">
        <v>5687</v>
      </c>
      <c r="C53" s="9" t="s">
        <v>3281</v>
      </c>
      <c r="D53" s="44" t="s">
        <v>7358</v>
      </c>
      <c r="E53" s="41"/>
      <c r="I53" s="16"/>
      <c r="J53" s="9"/>
      <c r="M53" s="44"/>
    </row>
    <row r="54" spans="1:16">
      <c r="A54" s="41" t="s">
        <v>7359</v>
      </c>
      <c r="B54" s="16">
        <v>6000</v>
      </c>
      <c r="C54" s="9" t="s">
        <v>7360</v>
      </c>
      <c r="D54" s="44" t="s">
        <v>7361</v>
      </c>
      <c r="E54" s="41"/>
      <c r="I54" s="16"/>
      <c r="J54" s="9"/>
      <c r="M54" s="44"/>
    </row>
    <row r="55" spans="1:16">
      <c r="A55" s="41" t="s">
        <v>7362</v>
      </c>
      <c r="B55" s="16">
        <v>3600</v>
      </c>
      <c r="C55" s="9" t="s">
        <v>7363</v>
      </c>
      <c r="D55" s="44" t="s">
        <v>7361</v>
      </c>
      <c r="E55" s="1271"/>
      <c r="I55" s="897"/>
      <c r="J55" s="9"/>
      <c r="M55" s="44"/>
    </row>
    <row r="56" spans="1:16">
      <c r="A56" s="41" t="s">
        <v>7364</v>
      </c>
      <c r="B56" s="16">
        <v>1000</v>
      </c>
      <c r="C56" s="9" t="s">
        <v>7365</v>
      </c>
      <c r="D56" s="44" t="s">
        <v>7361</v>
      </c>
      <c r="E56" s="41"/>
      <c r="M56" s="44"/>
    </row>
    <row r="57" spans="1:16">
      <c r="A57" s="41" t="s">
        <v>7366</v>
      </c>
      <c r="B57" s="16">
        <v>1100</v>
      </c>
      <c r="C57" s="9" t="s">
        <v>7367</v>
      </c>
      <c r="D57" s="44" t="s">
        <v>7361</v>
      </c>
      <c r="E57" s="41"/>
      <c r="M57" s="44"/>
    </row>
    <row r="58" spans="1:16">
      <c r="A58" s="41"/>
      <c r="B58" s="16"/>
      <c r="C58" s="443"/>
      <c r="D58" s="44"/>
      <c r="E58" s="41"/>
      <c r="M58" s="44"/>
    </row>
    <row r="59" spans="1:16">
      <c r="A59" s="1280" t="s">
        <v>67</v>
      </c>
      <c r="B59" s="1311">
        <f>SUM(B53:B58)</f>
        <v>11700</v>
      </c>
      <c r="C59" s="133"/>
      <c r="D59" s="884"/>
      <c r="E59" s="41"/>
    </row>
    <row r="60" spans="1:16">
      <c r="A60" s="38"/>
      <c r="B60" s="38"/>
      <c r="C60" s="38"/>
      <c r="D60" s="38"/>
    </row>
    <row r="65" spans="1:10">
      <c r="B65" s="9"/>
      <c r="C65" s="16"/>
    </row>
    <row r="66" spans="1:10">
      <c r="A66" s="1314" t="s">
        <v>3364</v>
      </c>
      <c r="B66" s="2274" t="s">
        <v>7368</v>
      </c>
      <c r="C66" s="2094"/>
      <c r="D66" s="1315" t="s">
        <v>1112</v>
      </c>
      <c r="F66" s="2147" t="s">
        <v>7369</v>
      </c>
      <c r="G66" s="2094"/>
      <c r="H66" s="2094"/>
      <c r="I66" s="2095"/>
    </row>
    <row r="67" spans="1:10">
      <c r="A67" s="1316">
        <v>42412</v>
      </c>
      <c r="B67" s="2088" t="s">
        <v>7370</v>
      </c>
      <c r="C67" s="2087"/>
      <c r="D67" s="19">
        <v>104</v>
      </c>
      <c r="F67" s="41" t="s">
        <v>38</v>
      </c>
      <c r="G67" s="9"/>
      <c r="H67" s="9"/>
      <c r="I67" s="44">
        <f>525+576</f>
        <v>1101</v>
      </c>
    </row>
    <row r="68" spans="1:10">
      <c r="A68" s="1316"/>
      <c r="B68" s="2088"/>
      <c r="C68" s="2087"/>
      <c r="D68" s="19"/>
      <c r="F68" s="41" t="s">
        <v>7371</v>
      </c>
      <c r="I68" s="44">
        <v>80</v>
      </c>
    </row>
    <row r="69" spans="1:10">
      <c r="A69" s="646"/>
      <c r="B69" s="2088"/>
      <c r="C69" s="2087"/>
      <c r="D69" s="19"/>
      <c r="E69" s="9"/>
      <c r="F69" s="41" t="s">
        <v>7372</v>
      </c>
      <c r="G69" s="9"/>
      <c r="H69" s="9"/>
      <c r="I69" s="44">
        <v>15</v>
      </c>
    </row>
    <row r="70" spans="1:10">
      <c r="A70" s="1316"/>
      <c r="B70" s="2088"/>
      <c r="C70" s="2087"/>
      <c r="D70" s="19"/>
      <c r="F70" s="41" t="s">
        <v>7373</v>
      </c>
      <c r="G70" s="9">
        <f>70*2*20</f>
        <v>2800</v>
      </c>
      <c r="H70" s="9"/>
      <c r="I70" s="44">
        <f>G70*0.58</f>
        <v>1624</v>
      </c>
    </row>
    <row r="71" spans="1:10">
      <c r="A71" s="1316"/>
      <c r="B71" s="2088"/>
      <c r="C71" s="2087"/>
      <c r="D71" s="19"/>
      <c r="F71" s="47" t="s">
        <v>4795</v>
      </c>
      <c r="G71" s="9"/>
      <c r="H71" s="9"/>
      <c r="I71" s="44"/>
    </row>
    <row r="72" spans="1:10">
      <c r="A72" s="1316"/>
      <c r="B72" s="2088"/>
      <c r="C72" s="2087"/>
      <c r="D72" s="19"/>
      <c r="F72" s="41" t="s">
        <v>7374</v>
      </c>
      <c r="G72" s="9" t="s">
        <v>135</v>
      </c>
      <c r="H72" s="9"/>
      <c r="I72" s="44">
        <v>225</v>
      </c>
    </row>
    <row r="73" spans="1:10">
      <c r="A73" s="1316"/>
      <c r="B73" s="2088"/>
      <c r="C73" s="2087"/>
      <c r="D73" s="19"/>
      <c r="F73" s="41" t="s">
        <v>55</v>
      </c>
      <c r="I73" s="44">
        <v>40</v>
      </c>
    </row>
    <row r="74" spans="1:10">
      <c r="A74" s="1316"/>
      <c r="B74" s="2088"/>
      <c r="C74" s="2087"/>
      <c r="D74" s="19"/>
      <c r="E74" s="9"/>
      <c r="F74" s="41" t="s">
        <v>7375</v>
      </c>
      <c r="I74" s="44">
        <v>600</v>
      </c>
    </row>
    <row r="75" spans="1:10">
      <c r="A75" s="1316"/>
      <c r="B75" s="2088"/>
      <c r="C75" s="2087"/>
      <c r="D75" s="19"/>
      <c r="E75" s="9"/>
      <c r="F75" s="41" t="s">
        <v>7376</v>
      </c>
      <c r="I75" s="44">
        <v>42</v>
      </c>
      <c r="J75" s="9"/>
    </row>
    <row r="76" spans="1:10">
      <c r="A76" s="1316"/>
      <c r="B76" s="2088"/>
      <c r="C76" s="2087"/>
      <c r="D76" s="19"/>
      <c r="F76" s="41"/>
      <c r="I76" s="44"/>
      <c r="J76" s="9"/>
    </row>
    <row r="77" spans="1:10">
      <c r="A77" s="1316"/>
      <c r="B77" s="2088"/>
      <c r="C77" s="2087"/>
      <c r="D77" s="19"/>
      <c r="F77" s="41"/>
      <c r="G77" s="9"/>
      <c r="H77" s="9"/>
      <c r="I77" s="44"/>
      <c r="J77" s="9"/>
    </row>
    <row r="78" spans="1:10">
      <c r="A78" s="1316"/>
      <c r="B78" s="2088"/>
      <c r="C78" s="2087"/>
      <c r="D78" s="19"/>
      <c r="E78" s="9"/>
      <c r="F78" s="41"/>
      <c r="I78" s="44"/>
      <c r="J78" s="9"/>
    </row>
    <row r="79" spans="1:10">
      <c r="A79" s="1316"/>
      <c r="B79" s="2088"/>
      <c r="C79" s="2087"/>
      <c r="D79" s="19"/>
      <c r="F79" s="1317"/>
      <c r="G79" s="443"/>
      <c r="H79" s="443"/>
      <c r="I79" s="44"/>
      <c r="J79" s="9"/>
    </row>
    <row r="80" spans="1:10">
      <c r="A80" s="1316"/>
      <c r="B80" s="2088"/>
      <c r="C80" s="2087"/>
      <c r="D80" s="19"/>
      <c r="F80" s="1317"/>
      <c r="G80" s="443"/>
      <c r="H80" s="443"/>
      <c r="I80" s="44"/>
      <c r="J80" s="9"/>
    </row>
    <row r="81" spans="1:10">
      <c r="A81" s="1316"/>
      <c r="B81" s="2088"/>
      <c r="C81" s="2087"/>
      <c r="D81" s="19"/>
      <c r="F81" s="1317"/>
      <c r="G81" s="443"/>
      <c r="H81" s="443"/>
      <c r="I81" s="44"/>
      <c r="J81" s="9"/>
    </row>
    <row r="82" spans="1:10">
      <c r="A82" s="1316"/>
      <c r="B82" s="2088"/>
      <c r="C82" s="2087"/>
      <c r="D82" s="19"/>
      <c r="F82" s="1317"/>
      <c r="G82" s="443"/>
      <c r="H82" s="443"/>
      <c r="I82" s="44"/>
      <c r="J82" s="9"/>
    </row>
    <row r="83" spans="1:10">
      <c r="A83" s="1316"/>
      <c r="B83" s="2088"/>
      <c r="C83" s="2087"/>
      <c r="D83" s="19"/>
      <c r="F83" s="41"/>
      <c r="I83" s="44"/>
      <c r="J83" s="9"/>
    </row>
    <row r="84" spans="1:10">
      <c r="A84" s="1316"/>
      <c r="B84" s="2088"/>
      <c r="C84" s="2087"/>
      <c r="D84" s="19"/>
      <c r="F84" s="881" t="s">
        <v>7377</v>
      </c>
      <c r="G84" s="150"/>
      <c r="H84" s="150"/>
      <c r="I84" s="1318">
        <f>I67-SUM(I68:I83)</f>
        <v>-1525</v>
      </c>
      <c r="J84" s="9"/>
    </row>
    <row r="85" spans="1:10">
      <c r="A85" s="1316"/>
      <c r="B85" s="2088"/>
      <c r="C85" s="2087"/>
      <c r="D85" s="19"/>
      <c r="F85" s="443"/>
      <c r="G85" s="443"/>
      <c r="H85" s="443"/>
      <c r="J85" s="9"/>
    </row>
    <row r="86" spans="1:10">
      <c r="A86" s="646"/>
      <c r="B86" s="2088"/>
      <c r="C86" s="2087"/>
      <c r="D86" s="19"/>
      <c r="F86" s="443"/>
      <c r="G86" s="443"/>
      <c r="H86" s="443"/>
      <c r="J86" s="9"/>
    </row>
    <row r="87" spans="1:10">
      <c r="A87" s="1316"/>
      <c r="B87" s="2088"/>
      <c r="C87" s="2087"/>
      <c r="D87" s="19"/>
      <c r="F87" s="443"/>
      <c r="G87" s="443"/>
      <c r="H87" s="443"/>
      <c r="J87" s="9"/>
    </row>
    <row r="88" spans="1:10">
      <c r="A88" s="1316"/>
      <c r="B88" s="2088"/>
      <c r="C88" s="2087"/>
      <c r="D88" s="19"/>
      <c r="F88" s="443"/>
      <c r="G88" s="443"/>
      <c r="H88" s="443"/>
      <c r="J88" s="9"/>
    </row>
    <row r="89" spans="1:10">
      <c r="A89" s="1316"/>
      <c r="B89" s="2088"/>
      <c r="C89" s="2087"/>
      <c r="D89" s="19"/>
      <c r="F89" s="443"/>
      <c r="G89" s="443"/>
      <c r="H89" s="443"/>
    </row>
    <row r="90" spans="1:10">
      <c r="A90" s="1316"/>
      <c r="B90" s="2088"/>
      <c r="C90" s="2087"/>
      <c r="D90" s="19"/>
      <c r="F90" s="443"/>
      <c r="G90" s="443"/>
      <c r="H90" s="443"/>
    </row>
    <row r="91" spans="1:10">
      <c r="A91" s="1316"/>
      <c r="B91" s="2088"/>
      <c r="C91" s="2087"/>
      <c r="D91" s="19"/>
      <c r="F91" s="443"/>
      <c r="G91" s="443"/>
      <c r="H91" s="443"/>
    </row>
    <row r="92" spans="1:10">
      <c r="A92" s="1316"/>
      <c r="B92" s="2088"/>
      <c r="C92" s="2087"/>
      <c r="D92" s="19"/>
      <c r="F92" s="443"/>
      <c r="G92" s="443"/>
      <c r="H92" s="443"/>
    </row>
    <row r="93" spans="1:10">
      <c r="A93" s="1316"/>
      <c r="B93" s="2088"/>
      <c r="C93" s="2087"/>
      <c r="D93" s="19"/>
    </row>
    <row r="94" spans="1:10">
      <c r="A94" s="1316"/>
      <c r="B94" s="2088"/>
      <c r="C94" s="2087"/>
      <c r="D94" s="19"/>
    </row>
    <row r="95" spans="1:10">
      <c r="A95" s="1316"/>
      <c r="B95" s="2088"/>
      <c r="C95" s="2087"/>
      <c r="D95" s="19"/>
    </row>
    <row r="96" spans="1:10">
      <c r="A96" s="1316"/>
      <c r="B96" s="2088"/>
      <c r="C96" s="2087"/>
      <c r="D96" s="19"/>
    </row>
    <row r="97" spans="1:5">
      <c r="A97" s="1316"/>
      <c r="B97" s="2088"/>
      <c r="C97" s="2087"/>
      <c r="D97" s="19"/>
    </row>
    <row r="98" spans="1:5">
      <c r="A98" s="1316"/>
      <c r="B98" s="2088"/>
      <c r="C98" s="2087"/>
      <c r="D98" s="19"/>
    </row>
    <row r="99" spans="1:5">
      <c r="A99" s="1316"/>
      <c r="B99" s="2088"/>
      <c r="C99" s="2087"/>
      <c r="D99" s="19"/>
    </row>
    <row r="100" spans="1:5">
      <c r="D100" s="44"/>
    </row>
    <row r="101" spans="1:5">
      <c r="A101" s="1319"/>
      <c r="B101" s="2088"/>
      <c r="C101" s="2087"/>
      <c r="D101" s="19"/>
    </row>
    <row r="102" spans="1:5">
      <c r="A102" s="1319"/>
      <c r="B102" s="2088"/>
      <c r="C102" s="2087"/>
      <c r="D102" s="19"/>
    </row>
    <row r="103" spans="1:5">
      <c r="A103" s="1319"/>
      <c r="B103" s="2088"/>
      <c r="C103" s="2087"/>
      <c r="D103" s="19"/>
    </row>
    <row r="104" spans="1:5">
      <c r="A104" s="1320" t="s">
        <v>7378</v>
      </c>
      <c r="B104" s="2275"/>
      <c r="C104" s="2144"/>
      <c r="D104" s="1321">
        <f>SUM(D67:D103)</f>
        <v>104</v>
      </c>
      <c r="E104" s="333"/>
    </row>
    <row r="105" spans="1:5">
      <c r="A105" s="9"/>
      <c r="B105" s="9"/>
    </row>
  </sheetData>
  <mergeCells count="45">
    <mergeCell ref="B103:C103"/>
    <mergeCell ref="B104:C104"/>
    <mergeCell ref="B94:C94"/>
    <mergeCell ref="B95:C95"/>
    <mergeCell ref="B96:C96"/>
    <mergeCell ref="B97:C97"/>
    <mergeCell ref="B98:C98"/>
    <mergeCell ref="B99:C99"/>
    <mergeCell ref="B101:C101"/>
    <mergeCell ref="B90:C90"/>
    <mergeCell ref="B91:C91"/>
    <mergeCell ref="B92:C92"/>
    <mergeCell ref="B93:C93"/>
    <mergeCell ref="B102:C102"/>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F66:I66"/>
    <mergeCell ref="B66:C66"/>
    <mergeCell ref="B67:C67"/>
    <mergeCell ref="B68:C68"/>
    <mergeCell ref="B69:C69"/>
    <mergeCell ref="C1:E1"/>
    <mergeCell ref="K2:L2"/>
    <mergeCell ref="I3:J3"/>
    <mergeCell ref="K3:L3"/>
    <mergeCell ref="A52:D52"/>
    <mergeCell ref="I52:J52"/>
  </mergeCell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outlinePr summaryBelow="0" summaryRight="0"/>
  </sheetPr>
  <dimension ref="A1:Q91"/>
  <sheetViews>
    <sheetView workbookViewId="0"/>
  </sheetViews>
  <sheetFormatPr defaultColWidth="12.7109375" defaultRowHeight="12.75" customHeight="1"/>
  <cols>
    <col min="1" max="1" width="15.85546875" customWidth="1"/>
    <col min="2" max="2" width="10.42578125" customWidth="1"/>
    <col min="3" max="3" width="11.28515625" customWidth="1"/>
    <col min="4" max="4" width="12.7109375" customWidth="1"/>
    <col min="5" max="5" width="13.140625" customWidth="1"/>
    <col min="6" max="6" width="11" customWidth="1"/>
    <col min="7" max="7" width="12.7109375" customWidth="1"/>
    <col min="8" max="8" width="9.42578125" customWidth="1"/>
    <col min="9" max="9" width="9.140625" customWidth="1"/>
    <col min="10" max="10" width="7.140625" customWidth="1"/>
    <col min="11" max="11" width="8.28515625" customWidth="1"/>
    <col min="12" max="12" width="2" customWidth="1"/>
    <col min="13" max="13" width="17.28515625" customWidth="1"/>
    <col min="14" max="14" width="7.7109375" customWidth="1"/>
    <col min="15" max="15" width="6.140625" customWidth="1"/>
    <col min="16" max="16" width="5.28515625" customWidth="1"/>
    <col min="17" max="17" width="5.7109375" customWidth="1"/>
  </cols>
  <sheetData>
    <row r="1" spans="1:17">
      <c r="A1" s="1249" t="s">
        <v>7260</v>
      </c>
      <c r="B1" s="1250">
        <v>2015</v>
      </c>
      <c r="C1" s="2222" t="s">
        <v>7862</v>
      </c>
      <c r="D1" s="2144"/>
      <c r="E1" s="2144"/>
      <c r="F1" s="133"/>
      <c r="G1" s="133"/>
      <c r="H1" s="133"/>
      <c r="I1" s="133"/>
      <c r="J1" s="133"/>
      <c r="K1" s="133"/>
      <c r="M1" s="1252" t="s">
        <v>4794</v>
      </c>
      <c r="N1" s="1253">
        <v>2015</v>
      </c>
      <c r="O1" s="1253">
        <v>2014</v>
      </c>
      <c r="P1" s="1306">
        <v>2013</v>
      </c>
    </row>
    <row r="2" spans="1:17">
      <c r="A2" s="1254" t="s">
        <v>7261</v>
      </c>
      <c r="B2" s="1322" t="s">
        <v>7869</v>
      </c>
      <c r="C2" s="1322" t="s">
        <v>7869</v>
      </c>
      <c r="D2" s="1322" t="s">
        <v>7870</v>
      </c>
      <c r="E2" s="1322" t="s">
        <v>7871</v>
      </c>
      <c r="F2" s="1265" t="s">
        <v>7872</v>
      </c>
      <c r="G2" s="1258" t="s">
        <v>7873</v>
      </c>
      <c r="H2" s="1259"/>
      <c r="I2" s="1258"/>
      <c r="J2" s="2269" t="s">
        <v>7874</v>
      </c>
      <c r="K2" s="2095"/>
      <c r="L2" s="41"/>
      <c r="M2" s="41" t="s">
        <v>7263</v>
      </c>
      <c r="N2" s="9">
        <f>2508+7</f>
        <v>2515</v>
      </c>
      <c r="O2" s="16">
        <v>2306</v>
      </c>
      <c r="P2" s="42">
        <v>2360</v>
      </c>
    </row>
    <row r="3" spans="1:17">
      <c r="A3" s="1260"/>
      <c r="B3" s="1265"/>
      <c r="C3" s="1265"/>
      <c r="D3" s="1265"/>
      <c r="E3" s="1265"/>
      <c r="F3" s="1265"/>
      <c r="G3" s="1394"/>
      <c r="H3" s="2277" t="s">
        <v>7264</v>
      </c>
      <c r="I3" s="2137"/>
      <c r="J3" s="2271" t="s">
        <v>7264</v>
      </c>
      <c r="K3" s="2137"/>
      <c r="L3" s="41"/>
      <c r="M3" s="41" t="s">
        <v>7265</v>
      </c>
      <c r="N3" s="9">
        <v>0</v>
      </c>
      <c r="O3" s="16">
        <v>6360</v>
      </c>
      <c r="P3" s="42">
        <v>11752</v>
      </c>
    </row>
    <row r="4" spans="1:17">
      <c r="A4" s="1260"/>
      <c r="B4" s="1327" t="s">
        <v>7268</v>
      </c>
      <c r="C4" s="1327" t="s">
        <v>5752</v>
      </c>
      <c r="D4" s="1327" t="s">
        <v>5747</v>
      </c>
      <c r="E4" s="1327" t="s">
        <v>7269</v>
      </c>
      <c r="F4" s="1328" t="s">
        <v>7270</v>
      </c>
      <c r="G4" s="1329" t="s">
        <v>5748</v>
      </c>
      <c r="H4" s="1260" t="s">
        <v>3534</v>
      </c>
      <c r="I4" s="1266" t="s">
        <v>7863</v>
      </c>
      <c r="J4" s="1260"/>
      <c r="K4" s="1267" t="s">
        <v>5755</v>
      </c>
      <c r="L4" s="41"/>
      <c r="M4" s="41" t="s">
        <v>7273</v>
      </c>
      <c r="O4" s="16">
        <v>27</v>
      </c>
      <c r="P4" s="44"/>
    </row>
    <row r="5" spans="1:17">
      <c r="A5" s="41" t="s">
        <v>7274</v>
      </c>
      <c r="B5" s="1395">
        <f>800*12</f>
        <v>9600</v>
      </c>
      <c r="C5" s="1395">
        <f>900*12</f>
        <v>10800</v>
      </c>
      <c r="D5" s="1251">
        <f>575*12</f>
        <v>6900</v>
      </c>
      <c r="E5" s="1251">
        <f>800*3*12</f>
        <v>28800</v>
      </c>
      <c r="F5" s="9">
        <f>800*3*3</f>
        <v>7200</v>
      </c>
      <c r="G5" s="44">
        <v>0</v>
      </c>
      <c r="H5" s="41" t="s">
        <v>38</v>
      </c>
      <c r="I5" s="1331">
        <v>2759</v>
      </c>
      <c r="J5" s="41"/>
      <c r="K5" s="42">
        <v>90203</v>
      </c>
      <c r="L5" s="41"/>
      <c r="M5" s="41" t="s">
        <v>7275</v>
      </c>
      <c r="N5" s="9">
        <v>0</v>
      </c>
      <c r="O5" s="16">
        <v>0</v>
      </c>
      <c r="P5" s="42"/>
    </row>
    <row r="6" spans="1:17">
      <c r="A6" s="41" t="s">
        <v>7875</v>
      </c>
      <c r="B6" s="1395"/>
      <c r="C6" s="1395"/>
      <c r="D6" s="1270"/>
      <c r="E6" s="1251">
        <v>0</v>
      </c>
      <c r="G6" s="44">
        <v>0</v>
      </c>
      <c r="H6" s="41"/>
      <c r="I6" s="1291"/>
      <c r="J6" s="41"/>
      <c r="K6" s="42">
        <v>0</v>
      </c>
      <c r="L6" s="41"/>
      <c r="M6" s="41" t="s">
        <v>7277</v>
      </c>
      <c r="O6" s="16">
        <v>1099</v>
      </c>
      <c r="P6" s="42" t="s">
        <v>2654</v>
      </c>
    </row>
    <row r="7" spans="1:17">
      <c r="A7" s="41" t="s">
        <v>6847</v>
      </c>
      <c r="B7" s="1396">
        <f t="shared" ref="B7:G7" si="0">B5+B6</f>
        <v>9600</v>
      </c>
      <c r="C7" s="1396">
        <f t="shared" si="0"/>
        <v>10800</v>
      </c>
      <c r="D7" s="1397">
        <f t="shared" si="0"/>
        <v>6900</v>
      </c>
      <c r="E7" s="1397">
        <f t="shared" si="0"/>
        <v>28800</v>
      </c>
      <c r="F7" s="1397">
        <f t="shared" si="0"/>
        <v>7200</v>
      </c>
      <c r="G7" s="1397">
        <f t="shared" si="0"/>
        <v>0</v>
      </c>
      <c r="H7" s="1271" t="s">
        <v>270</v>
      </c>
      <c r="I7" s="1291"/>
      <c r="J7" s="41"/>
      <c r="K7" s="1303">
        <f>K5+K6</f>
        <v>90203</v>
      </c>
      <c r="L7" s="41"/>
      <c r="M7" s="41" t="s">
        <v>7278</v>
      </c>
      <c r="O7" s="16">
        <v>1099</v>
      </c>
      <c r="P7" s="42" t="s">
        <v>7876</v>
      </c>
    </row>
    <row r="8" spans="1:17">
      <c r="A8" s="1271" t="s">
        <v>270</v>
      </c>
      <c r="B8" s="1270"/>
      <c r="C8" s="1395"/>
      <c r="D8" s="1270"/>
      <c r="E8" s="1251"/>
      <c r="G8" s="44"/>
      <c r="H8" s="41" t="s">
        <v>7287</v>
      </c>
      <c r="I8" s="1331">
        <v>221</v>
      </c>
      <c r="J8" s="41"/>
      <c r="K8" s="42"/>
      <c r="L8" s="41"/>
      <c r="M8" s="41" t="s">
        <v>7354</v>
      </c>
      <c r="O8" s="16">
        <v>6900</v>
      </c>
      <c r="P8" s="42" t="s">
        <v>2654</v>
      </c>
    </row>
    <row r="9" spans="1:17">
      <c r="A9" s="41" t="s">
        <v>7877</v>
      </c>
      <c r="B9" s="1398">
        <v>1040</v>
      </c>
      <c r="C9" s="1395">
        <v>0</v>
      </c>
      <c r="D9" s="1270">
        <v>0</v>
      </c>
      <c r="E9" s="1398">
        <v>4695</v>
      </c>
      <c r="F9" s="9">
        <v>0</v>
      </c>
      <c r="G9" s="44">
        <v>0</v>
      </c>
      <c r="H9" s="41" t="s">
        <v>7290</v>
      </c>
      <c r="I9" s="1331">
        <f>63*2*49</f>
        <v>6174</v>
      </c>
      <c r="J9" s="41" t="s">
        <v>1121</v>
      </c>
      <c r="K9" s="42">
        <v>8640</v>
      </c>
      <c r="L9" s="41"/>
      <c r="M9" s="41" t="s">
        <v>3314</v>
      </c>
      <c r="N9" s="9">
        <v>0</v>
      </c>
      <c r="O9" s="16">
        <v>13</v>
      </c>
      <c r="P9" s="42">
        <v>50</v>
      </c>
    </row>
    <row r="10" spans="1:17">
      <c r="A10" s="41" t="s">
        <v>7878</v>
      </c>
      <c r="B10" s="1395">
        <v>822</v>
      </c>
      <c r="C10" s="1395">
        <v>1314</v>
      </c>
      <c r="D10" s="1251">
        <v>493</v>
      </c>
      <c r="E10" s="1251">
        <v>2736</v>
      </c>
      <c r="F10" s="16">
        <f>2736/2</f>
        <v>1368</v>
      </c>
      <c r="G10" s="44" t="s">
        <v>7879</v>
      </c>
      <c r="H10" s="41" t="s">
        <v>7293</v>
      </c>
      <c r="I10" s="1331">
        <v>30</v>
      </c>
      <c r="J10" s="41" t="s">
        <v>7880</v>
      </c>
      <c r="K10" s="42">
        <v>16642</v>
      </c>
      <c r="L10" s="41"/>
      <c r="M10" s="41" t="s">
        <v>7881</v>
      </c>
      <c r="N10" s="9">
        <v>496</v>
      </c>
      <c r="P10" s="44"/>
    </row>
    <row r="11" spans="1:17">
      <c r="A11" s="41" t="s">
        <v>7882</v>
      </c>
      <c r="B11" s="1399"/>
      <c r="C11" s="1270"/>
      <c r="D11" s="1270" t="s">
        <v>135</v>
      </c>
      <c r="E11" s="1251">
        <v>0</v>
      </c>
      <c r="F11" s="16" t="s">
        <v>7883</v>
      </c>
      <c r="G11" s="44" t="s">
        <v>7879</v>
      </c>
      <c r="H11" s="41" t="s">
        <v>7865</v>
      </c>
      <c r="I11" s="1331">
        <v>195</v>
      </c>
      <c r="J11" s="41" t="s">
        <v>7884</v>
      </c>
      <c r="K11" s="42">
        <f>12*324*2</f>
        <v>7776</v>
      </c>
      <c r="L11" s="41"/>
      <c r="M11" s="41" t="s">
        <v>7885</v>
      </c>
      <c r="O11" s="16">
        <v>10625</v>
      </c>
      <c r="P11" s="44"/>
    </row>
    <row r="12" spans="1:17">
      <c r="A12" s="41" t="s">
        <v>4822</v>
      </c>
      <c r="B12" s="1395">
        <v>444</v>
      </c>
      <c r="C12" s="1395">
        <v>632</v>
      </c>
      <c r="D12" s="1251">
        <v>501</v>
      </c>
      <c r="E12" s="1395">
        <v>1443</v>
      </c>
      <c r="F12" s="16">
        <v>1462</v>
      </c>
      <c r="G12" s="44">
        <v>455</v>
      </c>
      <c r="H12" s="245" t="s">
        <v>7886</v>
      </c>
      <c r="I12" s="44">
        <v>95</v>
      </c>
      <c r="J12" s="41" t="s">
        <v>7295</v>
      </c>
      <c r="K12" s="42">
        <v>1823</v>
      </c>
      <c r="L12" s="449"/>
      <c r="M12" s="133"/>
      <c r="N12" s="133"/>
      <c r="O12" s="133"/>
      <c r="P12" s="884"/>
      <c r="Q12" s="41"/>
    </row>
    <row r="13" spans="1:17">
      <c r="A13" s="41" t="s">
        <v>7887</v>
      </c>
      <c r="B13" s="1270">
        <v>0</v>
      </c>
      <c r="C13" s="1251">
        <v>5124</v>
      </c>
      <c r="D13" s="1270">
        <v>0</v>
      </c>
      <c r="E13" s="1251">
        <v>5167</v>
      </c>
      <c r="F13" s="16">
        <v>3000</v>
      </c>
      <c r="G13" s="44">
        <v>174</v>
      </c>
      <c r="H13" s="245"/>
      <c r="I13" s="44"/>
      <c r="J13" s="41" t="s">
        <v>7888</v>
      </c>
      <c r="K13" s="42">
        <v>3115</v>
      </c>
      <c r="L13" s="449"/>
      <c r="M13" s="133"/>
      <c r="N13" s="133"/>
      <c r="O13" s="133"/>
      <c r="P13" s="133"/>
      <c r="Q13" s="41"/>
    </row>
    <row r="14" spans="1:17">
      <c r="A14" s="41" t="s">
        <v>7889</v>
      </c>
      <c r="B14" s="1395">
        <v>1821</v>
      </c>
      <c r="C14" s="1395">
        <v>1449</v>
      </c>
      <c r="D14" s="1251">
        <v>661</v>
      </c>
      <c r="E14" s="1251">
        <v>3101</v>
      </c>
      <c r="F14" s="16">
        <v>4127</v>
      </c>
      <c r="G14" s="42">
        <v>3113</v>
      </c>
      <c r="H14" s="245"/>
      <c r="I14" s="44"/>
      <c r="J14" s="41" t="s">
        <v>6855</v>
      </c>
      <c r="K14" s="42">
        <v>215</v>
      </c>
      <c r="L14" s="449"/>
      <c r="M14" s="1252" t="s">
        <v>7297</v>
      </c>
      <c r="N14" s="1275"/>
      <c r="O14" s="1275"/>
      <c r="P14" s="1276"/>
      <c r="Q14" s="41"/>
    </row>
    <row r="15" spans="1:17">
      <c r="A15" s="41" t="s">
        <v>7890</v>
      </c>
      <c r="B15" s="1270"/>
      <c r="C15" s="1270"/>
      <c r="D15" s="1270">
        <v>0</v>
      </c>
      <c r="E15" s="1270">
        <v>0</v>
      </c>
      <c r="F15" s="16">
        <v>21126</v>
      </c>
      <c r="G15" s="42">
        <v>2515</v>
      </c>
      <c r="H15" s="245"/>
      <c r="I15" s="44"/>
      <c r="J15" s="41" t="s">
        <v>1122</v>
      </c>
      <c r="K15" s="1400">
        <v>376</v>
      </c>
      <c r="L15" s="449"/>
      <c r="M15" s="41" t="s">
        <v>7299</v>
      </c>
      <c r="O15" s="16">
        <v>120</v>
      </c>
      <c r="P15" s="42">
        <v>45</v>
      </c>
      <c r="Q15" s="41"/>
    </row>
    <row r="16" spans="1:17">
      <c r="A16" s="41" t="s">
        <v>7891</v>
      </c>
      <c r="B16" s="1270">
        <v>0</v>
      </c>
      <c r="C16" s="1251">
        <v>850</v>
      </c>
      <c r="D16" s="1270">
        <v>0</v>
      </c>
      <c r="E16" s="1251">
        <v>2057</v>
      </c>
      <c r="G16" s="44"/>
      <c r="H16" s="245"/>
      <c r="I16" s="44"/>
      <c r="J16" s="9" t="s">
        <v>70</v>
      </c>
      <c r="K16" s="42">
        <v>636</v>
      </c>
      <c r="L16" s="449"/>
      <c r="M16" s="41" t="s">
        <v>7300</v>
      </c>
      <c r="O16" s="16">
        <v>200</v>
      </c>
      <c r="P16" s="42"/>
      <c r="Q16" s="41"/>
    </row>
    <row r="17" spans="1:17">
      <c r="A17" s="41" t="s">
        <v>7294</v>
      </c>
      <c r="B17" s="1270">
        <v>0</v>
      </c>
      <c r="C17" s="1270">
        <v>0</v>
      </c>
      <c r="D17" s="1270">
        <v>0</v>
      </c>
      <c r="E17" s="1270">
        <v>0</v>
      </c>
      <c r="G17" s="44"/>
      <c r="H17" s="245"/>
      <c r="I17" s="44"/>
      <c r="J17" s="9" t="s">
        <v>111</v>
      </c>
      <c r="K17" s="42">
        <v>853</v>
      </c>
      <c r="L17" s="449"/>
      <c r="M17" s="41" t="s">
        <v>7302</v>
      </c>
      <c r="N17" s="9">
        <v>1866</v>
      </c>
      <c r="O17" s="16">
        <v>200</v>
      </c>
      <c r="P17" s="42">
        <v>315</v>
      </c>
      <c r="Q17" s="41"/>
    </row>
    <row r="18" spans="1:17">
      <c r="A18" s="41" t="s">
        <v>3313</v>
      </c>
      <c r="B18" s="1270"/>
      <c r="C18" s="1270">
        <v>0</v>
      </c>
      <c r="D18" s="1270">
        <v>0</v>
      </c>
      <c r="E18" s="1251">
        <v>49</v>
      </c>
      <c r="F18" s="9">
        <v>0</v>
      </c>
      <c r="G18" s="44"/>
      <c r="H18" s="245"/>
      <c r="I18" s="44"/>
      <c r="J18" s="41" t="s">
        <v>7892</v>
      </c>
      <c r="K18" s="42">
        <v>65</v>
      </c>
      <c r="L18" s="449"/>
      <c r="M18" s="41" t="s">
        <v>7305</v>
      </c>
      <c r="O18" s="16">
        <v>8460</v>
      </c>
      <c r="P18" s="42">
        <v>8460</v>
      </c>
      <c r="Q18" s="41"/>
    </row>
    <row r="19" spans="1:17">
      <c r="A19" s="41" t="s">
        <v>7033</v>
      </c>
      <c r="B19" s="1270"/>
      <c r="C19" s="1270"/>
      <c r="D19" s="1270"/>
      <c r="E19" s="1270">
        <v>0</v>
      </c>
      <c r="G19" s="44"/>
      <c r="H19" s="245"/>
      <c r="I19" s="44"/>
      <c r="J19" s="41"/>
      <c r="K19" s="42"/>
      <c r="L19" s="449"/>
      <c r="M19" s="41" t="s">
        <v>7308</v>
      </c>
      <c r="O19" s="16">
        <v>589</v>
      </c>
      <c r="P19" s="42">
        <v>854</v>
      </c>
      <c r="Q19" s="41"/>
    </row>
    <row r="20" spans="1:17">
      <c r="A20" s="41" t="s">
        <v>7893</v>
      </c>
      <c r="B20" s="1398">
        <v>25</v>
      </c>
      <c r="C20" s="1251">
        <v>40</v>
      </c>
      <c r="D20" s="1251">
        <v>10</v>
      </c>
      <c r="E20" s="1251">
        <v>50</v>
      </c>
      <c r="F20" s="9">
        <v>50</v>
      </c>
      <c r="G20" s="44">
        <v>25</v>
      </c>
      <c r="H20" s="245"/>
      <c r="I20" s="44"/>
      <c r="J20" s="41"/>
      <c r="K20" s="42"/>
      <c r="L20" s="449"/>
      <c r="M20" s="41" t="s">
        <v>7311</v>
      </c>
      <c r="P20" s="44"/>
      <c r="Q20" s="41"/>
    </row>
    <row r="21" spans="1:17">
      <c r="A21" s="1271" t="s">
        <v>1126</v>
      </c>
      <c r="B21" s="1401">
        <f t="shared" ref="B21:G21" si="1">SUM(B9:B20)</f>
        <v>4152</v>
      </c>
      <c r="C21" s="1397">
        <f t="shared" si="1"/>
        <v>9409</v>
      </c>
      <c r="D21" s="1397">
        <f t="shared" si="1"/>
        <v>1665</v>
      </c>
      <c r="E21" s="1397">
        <f t="shared" si="1"/>
        <v>19298</v>
      </c>
      <c r="F21" s="1397">
        <f t="shared" si="1"/>
        <v>31133</v>
      </c>
      <c r="G21" s="1397">
        <f t="shared" si="1"/>
        <v>6282</v>
      </c>
      <c r="H21" s="1302"/>
      <c r="I21" s="44"/>
      <c r="J21" s="41"/>
      <c r="K21" s="1303">
        <f>SUM(K9:K20)</f>
        <v>40141</v>
      </c>
      <c r="L21" s="449"/>
      <c r="M21" s="41" t="s">
        <v>7313</v>
      </c>
      <c r="P21" s="44"/>
      <c r="Q21" s="41"/>
    </row>
    <row r="22" spans="1:17">
      <c r="A22" s="1271" t="s">
        <v>7894</v>
      </c>
      <c r="B22" s="1401">
        <f t="shared" ref="B22:G22" si="2">B7-B21</f>
        <v>5448</v>
      </c>
      <c r="C22" s="1397">
        <f t="shared" si="2"/>
        <v>1391</v>
      </c>
      <c r="D22" s="1397">
        <f t="shared" si="2"/>
        <v>5235</v>
      </c>
      <c r="E22" s="1397">
        <f t="shared" si="2"/>
        <v>9502</v>
      </c>
      <c r="F22" s="1397">
        <f t="shared" si="2"/>
        <v>-23933</v>
      </c>
      <c r="G22" s="1397">
        <f t="shared" si="2"/>
        <v>-6282</v>
      </c>
      <c r="H22" s="1302"/>
      <c r="I22" s="44"/>
      <c r="J22" s="41"/>
      <c r="K22" s="1303">
        <f>K7-K21</f>
        <v>50062</v>
      </c>
      <c r="L22" s="41"/>
      <c r="M22" s="41" t="s">
        <v>7315</v>
      </c>
      <c r="N22" s="9">
        <v>100</v>
      </c>
      <c r="O22" s="16"/>
      <c r="P22" s="42">
        <v>1215</v>
      </c>
    </row>
    <row r="23" spans="1:17">
      <c r="A23" s="41"/>
      <c r="B23" s="1402"/>
      <c r="C23" s="1402"/>
      <c r="D23" s="1402"/>
      <c r="E23" s="1402"/>
      <c r="G23" s="44"/>
      <c r="H23" s="41"/>
      <c r="I23" s="44"/>
      <c r="J23" s="41" t="s">
        <v>7895</v>
      </c>
      <c r="K23" s="42" t="s">
        <v>7896</v>
      </c>
      <c r="L23" s="449"/>
      <c r="M23" s="77" t="s">
        <v>7897</v>
      </c>
      <c r="N23" s="133"/>
      <c r="O23" s="134">
        <v>825</v>
      </c>
      <c r="P23" s="884"/>
      <c r="Q23" s="41"/>
    </row>
    <row r="24" spans="1:17">
      <c r="A24" s="41" t="s">
        <v>7303</v>
      </c>
      <c r="B24" s="1270" t="s">
        <v>135</v>
      </c>
      <c r="C24" s="1270" t="s">
        <v>135</v>
      </c>
      <c r="D24" s="1270">
        <v>306.99</v>
      </c>
      <c r="E24" s="1270">
        <v>6173.36</v>
      </c>
      <c r="F24" s="16">
        <v>5000</v>
      </c>
      <c r="G24" s="42">
        <v>342</v>
      </c>
      <c r="H24" s="41"/>
      <c r="I24" s="44"/>
      <c r="J24" s="41"/>
      <c r="K24" s="42"/>
      <c r="L24" s="449"/>
      <c r="M24" s="1305"/>
      <c r="N24" s="1305"/>
      <c r="O24" s="1305"/>
      <c r="P24" s="1305"/>
      <c r="Q24" s="41"/>
    </row>
    <row r="25" spans="1:17">
      <c r="A25" s="41" t="s">
        <v>7898</v>
      </c>
      <c r="B25" s="1270">
        <v>565</v>
      </c>
      <c r="C25" s="1270">
        <v>280</v>
      </c>
      <c r="D25" s="1270">
        <v>480</v>
      </c>
      <c r="E25" s="1270">
        <v>420</v>
      </c>
      <c r="G25" s="44"/>
      <c r="H25" s="41"/>
      <c r="I25" s="44"/>
      <c r="J25" s="41"/>
      <c r="K25" s="42">
        <v>1350</v>
      </c>
      <c r="L25" s="449"/>
      <c r="M25" s="1252" t="s">
        <v>7325</v>
      </c>
      <c r="N25" s="1275"/>
      <c r="O25" s="1392"/>
      <c r="P25" s="1393"/>
      <c r="Q25" s="41"/>
    </row>
    <row r="26" spans="1:17">
      <c r="A26" s="41" t="s">
        <v>7306</v>
      </c>
      <c r="B26" s="16">
        <v>45000</v>
      </c>
      <c r="C26" s="16">
        <v>45000</v>
      </c>
      <c r="D26" s="16">
        <v>33000</v>
      </c>
      <c r="E26" s="16">
        <v>122000</v>
      </c>
      <c r="F26" s="16">
        <v>50000</v>
      </c>
      <c r="G26" s="42">
        <v>25000</v>
      </c>
      <c r="H26" s="41"/>
      <c r="I26" s="44"/>
      <c r="J26" s="41"/>
      <c r="K26" s="42">
        <v>20000</v>
      </c>
      <c r="L26" s="449"/>
      <c r="M26" s="41"/>
      <c r="O26" s="16">
        <v>0</v>
      </c>
      <c r="P26" s="42"/>
      <c r="Q26" s="41"/>
    </row>
    <row r="27" spans="1:17">
      <c r="A27" s="1280" t="s">
        <v>7309</v>
      </c>
      <c r="B27" s="602">
        <v>15000</v>
      </c>
      <c r="C27" s="602">
        <v>15000</v>
      </c>
      <c r="D27" s="602">
        <v>15000</v>
      </c>
      <c r="E27" s="602">
        <v>40000</v>
      </c>
      <c r="F27" s="133"/>
      <c r="G27" s="884">
        <v>15000</v>
      </c>
      <c r="H27" s="77"/>
      <c r="I27" s="884"/>
      <c r="J27" s="77"/>
      <c r="K27" s="884">
        <v>0</v>
      </c>
      <c r="L27" s="449"/>
      <c r="M27" s="41" t="s">
        <v>7335</v>
      </c>
      <c r="N27" s="9">
        <v>200</v>
      </c>
      <c r="O27" s="16">
        <v>200</v>
      </c>
      <c r="P27" s="42">
        <v>45</v>
      </c>
      <c r="Q27" s="41"/>
    </row>
    <row r="28" spans="1:17">
      <c r="A28" s="38"/>
      <c r="B28" s="38"/>
      <c r="C28" s="38"/>
      <c r="D28" s="38"/>
      <c r="E28" s="38"/>
      <c r="G28" s="38"/>
      <c r="H28" s="38"/>
      <c r="I28" s="38"/>
      <c r="J28" s="38"/>
      <c r="K28" s="38"/>
      <c r="L28" s="44"/>
      <c r="M28" s="41" t="s">
        <v>7336</v>
      </c>
      <c r="O28" s="16">
        <v>1200</v>
      </c>
      <c r="P28" s="42"/>
      <c r="Q28" s="41"/>
    </row>
    <row r="29" spans="1:17">
      <c r="A29" s="133"/>
      <c r="B29" s="133"/>
      <c r="C29" s="133"/>
      <c r="E29" s="133"/>
      <c r="F29" s="133"/>
      <c r="G29" s="133"/>
      <c r="H29" s="133"/>
      <c r="I29" s="133"/>
      <c r="L29" s="44"/>
      <c r="M29" s="41" t="s">
        <v>7338</v>
      </c>
      <c r="O29" s="16">
        <v>500</v>
      </c>
      <c r="P29" s="42"/>
      <c r="Q29" s="41"/>
    </row>
    <row r="30" spans="1:17">
      <c r="A30" s="1252" t="s">
        <v>7350</v>
      </c>
      <c r="B30" s="1253">
        <v>2015</v>
      </c>
      <c r="C30" s="1306">
        <v>2014</v>
      </c>
      <c r="D30" s="449"/>
      <c r="E30" s="1252" t="s">
        <v>7351</v>
      </c>
      <c r="F30" s="1308" t="s">
        <v>7353</v>
      </c>
      <c r="G30" s="1308" t="s">
        <v>7353</v>
      </c>
      <c r="H30" s="1308" t="s">
        <v>3281</v>
      </c>
      <c r="I30" s="1276"/>
      <c r="J30" s="41"/>
      <c r="L30" s="44"/>
      <c r="M30" s="41" t="s">
        <v>7339</v>
      </c>
      <c r="O30" s="16">
        <v>150</v>
      </c>
      <c r="P30" s="42">
        <v>225</v>
      </c>
      <c r="Q30" s="41"/>
    </row>
    <row r="31" spans="1:17">
      <c r="A31" s="41" t="s">
        <v>66</v>
      </c>
      <c r="C31" s="44">
        <v>115</v>
      </c>
      <c r="D31" s="449"/>
      <c r="E31" s="41" t="s">
        <v>7899</v>
      </c>
      <c r="F31" s="16">
        <v>4745</v>
      </c>
      <c r="G31" s="16">
        <v>4745</v>
      </c>
      <c r="H31" s="443">
        <v>42012</v>
      </c>
      <c r="I31" s="44" t="s">
        <v>7361</v>
      </c>
      <c r="J31" s="41"/>
      <c r="L31" s="44"/>
      <c r="M31" s="9" t="s">
        <v>7340</v>
      </c>
      <c r="N31" s="9">
        <v>50</v>
      </c>
      <c r="Q31" s="41"/>
    </row>
    <row r="32" spans="1:17">
      <c r="A32" s="41" t="s">
        <v>725</v>
      </c>
      <c r="C32" s="1309">
        <v>57</v>
      </c>
      <c r="D32" s="449"/>
      <c r="E32" s="41" t="s">
        <v>7900</v>
      </c>
      <c r="F32" s="16">
        <v>1940</v>
      </c>
      <c r="G32" s="16">
        <v>1940</v>
      </c>
      <c r="H32" s="443">
        <v>42104</v>
      </c>
      <c r="I32" s="44" t="s">
        <v>7361</v>
      </c>
      <c r="J32" s="41"/>
      <c r="L32" s="44"/>
      <c r="Q32" s="41"/>
    </row>
    <row r="33" spans="1:17">
      <c r="A33" s="41" t="s">
        <v>725</v>
      </c>
      <c r="C33" s="1309">
        <v>20</v>
      </c>
      <c r="D33" s="449"/>
      <c r="E33" s="41" t="s">
        <v>7901</v>
      </c>
      <c r="F33" s="16">
        <v>244.44</v>
      </c>
      <c r="G33" s="16">
        <v>244.44</v>
      </c>
      <c r="H33" s="443">
        <v>42129</v>
      </c>
      <c r="I33" s="44" t="s">
        <v>7361</v>
      </c>
      <c r="J33" s="41"/>
      <c r="L33" s="44"/>
      <c r="Q33" s="41"/>
    </row>
    <row r="34" spans="1:17">
      <c r="A34" s="41" t="s">
        <v>725</v>
      </c>
      <c r="C34" s="1309">
        <v>145</v>
      </c>
      <c r="D34" s="449"/>
      <c r="E34" s="41" t="s">
        <v>135</v>
      </c>
      <c r="F34" s="16" t="s">
        <v>135</v>
      </c>
      <c r="G34" s="16" t="s">
        <v>135</v>
      </c>
      <c r="H34" s="9" t="s">
        <v>135</v>
      </c>
      <c r="I34" s="44" t="s">
        <v>135</v>
      </c>
      <c r="J34" s="41"/>
      <c r="M34" s="41" t="s">
        <v>7343</v>
      </c>
      <c r="O34" s="16"/>
      <c r="P34" s="42">
        <v>275</v>
      </c>
    </row>
    <row r="35" spans="1:17">
      <c r="A35" s="41" t="s">
        <v>7355</v>
      </c>
      <c r="C35" s="1309">
        <v>501</v>
      </c>
      <c r="D35" s="449"/>
      <c r="E35" s="41" t="s">
        <v>135</v>
      </c>
      <c r="F35" s="16" t="s">
        <v>135</v>
      </c>
      <c r="G35" s="16" t="s">
        <v>135</v>
      </c>
      <c r="H35" s="9" t="s">
        <v>135</v>
      </c>
      <c r="I35" s="44" t="s">
        <v>135</v>
      </c>
      <c r="J35" s="41"/>
      <c r="L35" s="44"/>
      <c r="M35" s="41" t="s">
        <v>7344</v>
      </c>
      <c r="O35" s="16">
        <v>180</v>
      </c>
      <c r="P35" s="42">
        <v>2572</v>
      </c>
    </row>
    <row r="36" spans="1:17">
      <c r="A36" s="1280" t="s">
        <v>67</v>
      </c>
      <c r="B36" s="133"/>
      <c r="C36" s="1310">
        <f>SUM(C32:C35)</f>
        <v>723</v>
      </c>
      <c r="D36" s="449"/>
      <c r="E36" s="77" t="s">
        <v>67</v>
      </c>
      <c r="F36" s="1311">
        <f>SUM(F31:F35)</f>
        <v>6929.44</v>
      </c>
      <c r="G36" s="1311">
        <f>SUM(G31:G35)</f>
        <v>6929.44</v>
      </c>
      <c r="H36" s="133"/>
      <c r="I36" s="884"/>
      <c r="J36" s="41"/>
      <c r="L36" s="44"/>
      <c r="M36" s="1271" t="s">
        <v>67</v>
      </c>
      <c r="O36" s="711">
        <f>SUM(O26:O32)</f>
        <v>2050</v>
      </c>
      <c r="P36" s="1303">
        <f>SUM(P26:P32)</f>
        <v>270</v>
      </c>
    </row>
    <row r="37" spans="1:17">
      <c r="A37" s="1229"/>
      <c r="B37" s="1313"/>
      <c r="C37" s="1229"/>
      <c r="D37" s="133"/>
      <c r="E37" s="38"/>
      <c r="F37" s="38"/>
      <c r="G37" s="38"/>
      <c r="H37" s="1305"/>
      <c r="I37" s="1305"/>
      <c r="M37" s="41"/>
      <c r="O37" s="16">
        <v>600</v>
      </c>
      <c r="P37" s="44"/>
    </row>
    <row r="38" spans="1:17">
      <c r="A38" s="2273" t="s">
        <v>7902</v>
      </c>
      <c r="B38" s="2094"/>
      <c r="C38" s="2094"/>
      <c r="D38" s="2095"/>
      <c r="E38" s="1271"/>
      <c r="G38" s="44"/>
      <c r="H38" s="2278" t="s">
        <v>7903</v>
      </c>
      <c r="I38" s="2095"/>
      <c r="J38" s="41"/>
      <c r="L38" s="44"/>
      <c r="M38" s="77" t="s">
        <v>7347</v>
      </c>
      <c r="N38" s="133">
        <f>20*12</f>
        <v>240</v>
      </c>
      <c r="O38" s="134">
        <v>165</v>
      </c>
      <c r="P38" s="884"/>
    </row>
    <row r="39" spans="1:17">
      <c r="A39" s="41" t="s">
        <v>7904</v>
      </c>
      <c r="B39" s="16">
        <v>10000</v>
      </c>
      <c r="C39" s="443">
        <v>41899</v>
      </c>
      <c r="D39" s="44" t="s">
        <v>7905</v>
      </c>
      <c r="E39" s="41"/>
      <c r="G39" s="44"/>
      <c r="H39" s="245" t="s">
        <v>7906</v>
      </c>
      <c r="I39" s="44">
        <v>500</v>
      </c>
      <c r="J39" s="41"/>
      <c r="L39" s="44"/>
      <c r="M39" s="1305"/>
      <c r="N39" s="1305"/>
      <c r="O39" s="38"/>
      <c r="P39" s="38"/>
    </row>
    <row r="40" spans="1:17">
      <c r="A40" s="41" t="s">
        <v>7907</v>
      </c>
      <c r="B40" s="16">
        <v>1000</v>
      </c>
      <c r="C40" s="443">
        <v>41899</v>
      </c>
      <c r="D40" s="44" t="s">
        <v>7905</v>
      </c>
      <c r="E40" s="41"/>
      <c r="G40" s="44"/>
      <c r="H40" s="245" t="s">
        <v>7908</v>
      </c>
      <c r="I40" s="44">
        <v>500</v>
      </c>
      <c r="J40" s="41"/>
      <c r="L40" s="44"/>
      <c r="M40" s="1252" t="s">
        <v>7348</v>
      </c>
      <c r="N40" s="1306" t="s">
        <v>3258</v>
      </c>
      <c r="O40" s="41"/>
    </row>
    <row r="41" spans="1:17">
      <c r="A41" s="41" t="s">
        <v>7909</v>
      </c>
      <c r="B41" s="16">
        <v>4500</v>
      </c>
      <c r="C41" s="443">
        <v>41899</v>
      </c>
      <c r="D41" s="44" t="s">
        <v>7905</v>
      </c>
      <c r="E41" s="1271"/>
      <c r="G41" s="44"/>
      <c r="H41" s="913" t="s">
        <v>7908</v>
      </c>
      <c r="I41" s="44">
        <v>500</v>
      </c>
      <c r="J41" s="41"/>
      <c r="L41" s="44"/>
      <c r="M41" s="41" t="s">
        <v>7349</v>
      </c>
      <c r="N41" s="44"/>
      <c r="O41" s="41"/>
    </row>
    <row r="42" spans="1:17">
      <c r="A42" s="41" t="s">
        <v>7910</v>
      </c>
      <c r="B42" s="16">
        <v>1500</v>
      </c>
      <c r="C42" s="443">
        <v>41899</v>
      </c>
      <c r="D42" s="44" t="s">
        <v>7905</v>
      </c>
      <c r="E42" s="41"/>
      <c r="G42" s="44"/>
      <c r="H42" s="41"/>
      <c r="I42" s="44"/>
      <c r="J42" s="41"/>
      <c r="L42" s="44"/>
      <c r="M42" s="41" t="s">
        <v>7278</v>
      </c>
      <c r="N42" s="44"/>
      <c r="O42" s="41"/>
    </row>
    <row r="43" spans="1:17">
      <c r="A43" s="41" t="s">
        <v>7911</v>
      </c>
      <c r="B43" s="16">
        <v>1000</v>
      </c>
      <c r="C43" s="443">
        <v>41899</v>
      </c>
      <c r="D43" s="44" t="s">
        <v>7905</v>
      </c>
      <c r="E43" s="41"/>
      <c r="G43" s="44"/>
      <c r="H43" s="41"/>
      <c r="I43" s="44"/>
      <c r="J43" s="41"/>
      <c r="L43" s="44"/>
      <c r="M43" s="41" t="s">
        <v>7354</v>
      </c>
      <c r="N43" s="44"/>
      <c r="O43" s="41"/>
    </row>
    <row r="44" spans="1:17">
      <c r="A44" s="41" t="s">
        <v>7912</v>
      </c>
      <c r="B44" s="16">
        <v>1000</v>
      </c>
      <c r="C44" s="443">
        <v>41899</v>
      </c>
      <c r="D44" s="44" t="s">
        <v>7905</v>
      </c>
      <c r="E44" s="41"/>
      <c r="G44" s="44"/>
      <c r="H44" s="41"/>
      <c r="I44" s="44"/>
      <c r="J44" s="41"/>
      <c r="L44" s="44"/>
      <c r="M44" s="41" t="s">
        <v>7866</v>
      </c>
      <c r="N44" s="44"/>
      <c r="O44" s="41"/>
    </row>
    <row r="45" spans="1:17">
      <c r="A45" s="1280" t="s">
        <v>67</v>
      </c>
      <c r="B45" s="1311">
        <f>SUM(B39:B44)</f>
        <v>19000</v>
      </c>
      <c r="C45" s="133"/>
      <c r="D45" s="884"/>
      <c r="E45" s="41"/>
      <c r="G45" s="44"/>
      <c r="H45" s="77"/>
      <c r="I45" s="884"/>
      <c r="J45" s="41"/>
      <c r="M45" s="41" t="s">
        <v>7867</v>
      </c>
      <c r="N45" s="44"/>
      <c r="O45" s="41"/>
    </row>
    <row r="46" spans="1:17">
      <c r="A46" s="38"/>
      <c r="B46" s="38"/>
      <c r="C46" s="38"/>
      <c r="D46" s="38"/>
      <c r="H46" s="38"/>
      <c r="I46" s="38"/>
      <c r="M46" s="41" t="s">
        <v>7868</v>
      </c>
      <c r="N46" s="44"/>
      <c r="O46" s="41"/>
    </row>
    <row r="47" spans="1:17">
      <c r="M47" s="41"/>
      <c r="N47" s="44"/>
      <c r="O47" s="41"/>
    </row>
    <row r="48" spans="1:17">
      <c r="M48" s="41"/>
      <c r="N48" s="44"/>
      <c r="O48" s="41"/>
    </row>
    <row r="49" spans="1:15">
      <c r="M49" s="77" t="s">
        <v>7356</v>
      </c>
      <c r="N49" s="1312"/>
      <c r="O49" s="41"/>
    </row>
    <row r="51" spans="1:15">
      <c r="B51" s="9" t="s">
        <v>7913</v>
      </c>
      <c r="C51" s="16">
        <f>B45/7</f>
        <v>2714.2857142857142</v>
      </c>
    </row>
    <row r="52" spans="1:15">
      <c r="A52" s="1314" t="s">
        <v>3364</v>
      </c>
      <c r="B52" s="2274" t="s">
        <v>7368</v>
      </c>
      <c r="C52" s="2094"/>
      <c r="D52" s="1315" t="s">
        <v>1112</v>
      </c>
      <c r="F52" s="2147" t="s">
        <v>7101</v>
      </c>
      <c r="G52" s="2094"/>
      <c r="H52" s="2095"/>
    </row>
    <row r="53" spans="1:15">
      <c r="A53" s="1316">
        <v>42026</v>
      </c>
      <c r="B53" s="2088" t="s">
        <v>7914</v>
      </c>
      <c r="C53" s="2087"/>
      <c r="D53" s="19">
        <v>30</v>
      </c>
      <c r="F53" s="41" t="s">
        <v>38</v>
      </c>
      <c r="G53" s="9"/>
      <c r="H53" s="44">
        <v>525</v>
      </c>
    </row>
    <row r="54" spans="1:15">
      <c r="A54" s="1316">
        <v>42045</v>
      </c>
      <c r="B54" s="2088" t="s">
        <v>7915</v>
      </c>
      <c r="C54" s="2087"/>
      <c r="D54" s="19">
        <v>20</v>
      </c>
      <c r="F54" s="41" t="s">
        <v>7371</v>
      </c>
      <c r="H54" s="44">
        <v>80</v>
      </c>
    </row>
    <row r="55" spans="1:15">
      <c r="A55" s="646">
        <v>42055</v>
      </c>
      <c r="B55" s="2088" t="s">
        <v>7916</v>
      </c>
      <c r="C55" s="2087"/>
      <c r="D55" s="19">
        <v>25</v>
      </c>
      <c r="E55" s="9"/>
      <c r="F55" s="41" t="s">
        <v>7372</v>
      </c>
      <c r="G55" s="9"/>
      <c r="H55" s="44">
        <v>15</v>
      </c>
    </row>
    <row r="56" spans="1:15">
      <c r="A56" s="1316">
        <v>42074</v>
      </c>
      <c r="B56" s="2088" t="s">
        <v>7917</v>
      </c>
      <c r="C56" s="2087"/>
      <c r="D56" s="19">
        <v>20</v>
      </c>
      <c r="F56" s="41" t="s">
        <v>7373</v>
      </c>
      <c r="G56" s="9">
        <f>70*2*20</f>
        <v>2800</v>
      </c>
      <c r="H56" s="44">
        <f>G56*0.58</f>
        <v>1624</v>
      </c>
    </row>
    <row r="57" spans="1:15">
      <c r="A57" s="1316">
        <v>42095</v>
      </c>
      <c r="B57" s="2088" t="s">
        <v>7917</v>
      </c>
      <c r="C57" s="2087"/>
      <c r="D57" s="19">
        <v>20</v>
      </c>
      <c r="F57" s="41" t="s">
        <v>4795</v>
      </c>
      <c r="G57" s="9"/>
      <c r="H57" s="44"/>
    </row>
    <row r="58" spans="1:15">
      <c r="A58" s="1316">
        <v>42100</v>
      </c>
      <c r="B58" s="2088" t="s">
        <v>7918</v>
      </c>
      <c r="C58" s="2087"/>
      <c r="D58" s="19">
        <v>20</v>
      </c>
      <c r="F58" s="41" t="s">
        <v>7919</v>
      </c>
      <c r="G58" s="9" t="s">
        <v>135</v>
      </c>
      <c r="H58" s="44">
        <v>225</v>
      </c>
    </row>
    <row r="59" spans="1:15">
      <c r="A59" s="1316">
        <v>42107</v>
      </c>
      <c r="B59" s="2088" t="s">
        <v>7917</v>
      </c>
      <c r="C59" s="2087"/>
      <c r="D59" s="19">
        <v>20</v>
      </c>
      <c r="F59" s="41" t="s">
        <v>574</v>
      </c>
      <c r="H59" s="44">
        <v>40</v>
      </c>
    </row>
    <row r="60" spans="1:15">
      <c r="A60" s="1316">
        <v>42109</v>
      </c>
      <c r="B60" s="2088" t="s">
        <v>7915</v>
      </c>
      <c r="C60" s="2087"/>
      <c r="D60" s="19">
        <v>20</v>
      </c>
      <c r="E60" s="9"/>
      <c r="F60" s="41"/>
      <c r="H60" s="44"/>
    </row>
    <row r="61" spans="1:15">
      <c r="A61" s="1316">
        <v>42115</v>
      </c>
      <c r="B61" s="2088" t="s">
        <v>7920</v>
      </c>
      <c r="C61" s="2087"/>
      <c r="D61" s="19">
        <v>104</v>
      </c>
      <c r="E61" s="9"/>
      <c r="F61" s="41"/>
      <c r="H61" s="44"/>
      <c r="I61" s="9"/>
    </row>
    <row r="62" spans="1:15">
      <c r="A62" s="1316">
        <v>42117</v>
      </c>
      <c r="B62" s="2088" t="s">
        <v>7921</v>
      </c>
      <c r="C62" s="2087"/>
      <c r="D62" s="19">
        <v>104</v>
      </c>
      <c r="F62" s="77" t="s">
        <v>7377</v>
      </c>
      <c r="G62" s="133"/>
      <c r="H62" s="884">
        <f>H53+I49-H54-H55-H56-H57-H58-H59-H60</f>
        <v>-1459</v>
      </c>
      <c r="I62" s="9"/>
    </row>
    <row r="63" spans="1:15">
      <c r="A63" s="1316">
        <v>42116</v>
      </c>
      <c r="B63" s="2088" t="s">
        <v>7922</v>
      </c>
      <c r="C63" s="2087"/>
      <c r="D63" s="19">
        <v>20</v>
      </c>
      <c r="F63" s="9"/>
      <c r="G63" s="9"/>
      <c r="I63" s="9"/>
    </row>
    <row r="64" spans="1:15">
      <c r="A64" s="1316">
        <v>42121</v>
      </c>
      <c r="B64" s="2088" t="s">
        <v>7917</v>
      </c>
      <c r="C64" s="2087"/>
      <c r="D64" s="19">
        <v>20</v>
      </c>
      <c r="E64" s="9"/>
      <c r="I64" s="9"/>
    </row>
    <row r="65" spans="1:9">
      <c r="A65" s="1316">
        <v>42123</v>
      </c>
      <c r="B65" s="2088" t="s">
        <v>7923</v>
      </c>
      <c r="C65" s="2087"/>
      <c r="D65" s="19">
        <v>20</v>
      </c>
      <c r="F65" s="443"/>
      <c r="G65" s="443"/>
      <c r="I65" s="9"/>
    </row>
    <row r="66" spans="1:9">
      <c r="A66" s="1316">
        <v>42125</v>
      </c>
      <c r="B66" s="2088" t="s">
        <v>7924</v>
      </c>
      <c r="C66" s="2087"/>
      <c r="D66" s="19">
        <v>104</v>
      </c>
      <c r="F66" s="443"/>
      <c r="G66" s="443"/>
      <c r="I66" s="9"/>
    </row>
    <row r="67" spans="1:9">
      <c r="A67" s="1316">
        <v>42131</v>
      </c>
      <c r="B67" s="2088" t="s">
        <v>7925</v>
      </c>
      <c r="C67" s="2087"/>
      <c r="D67" s="19">
        <v>104</v>
      </c>
      <c r="F67" s="443"/>
      <c r="G67" s="443"/>
      <c r="I67" s="9"/>
    </row>
    <row r="68" spans="1:9">
      <c r="A68" s="1316">
        <v>42132</v>
      </c>
      <c r="B68" s="2088" t="s">
        <v>7926</v>
      </c>
      <c r="C68" s="2087"/>
      <c r="D68" s="19">
        <v>104</v>
      </c>
      <c r="F68" s="443"/>
      <c r="G68" s="443"/>
      <c r="I68" s="9"/>
    </row>
    <row r="69" spans="1:9">
      <c r="A69" s="1316">
        <v>42136</v>
      </c>
      <c r="B69" s="2088" t="s">
        <v>7927</v>
      </c>
      <c r="C69" s="2087"/>
      <c r="D69" s="19">
        <v>104</v>
      </c>
      <c r="F69" s="443"/>
      <c r="G69" s="443"/>
      <c r="I69" s="9"/>
    </row>
    <row r="70" spans="1:9">
      <c r="A70" s="1316">
        <v>42137</v>
      </c>
      <c r="B70" s="2088" t="s">
        <v>7928</v>
      </c>
      <c r="C70" s="2087"/>
      <c r="D70" s="19">
        <v>20</v>
      </c>
      <c r="F70" s="443"/>
      <c r="G70" s="443"/>
      <c r="I70" s="9"/>
    </row>
    <row r="71" spans="1:9">
      <c r="A71" s="1316">
        <v>42139</v>
      </c>
      <c r="B71" s="2088" t="s">
        <v>7929</v>
      </c>
      <c r="C71" s="2087"/>
      <c r="D71" s="19">
        <v>114</v>
      </c>
      <c r="F71" s="443"/>
      <c r="G71" s="443"/>
      <c r="I71" s="9"/>
    </row>
    <row r="72" spans="1:9">
      <c r="A72" s="646">
        <v>42139</v>
      </c>
      <c r="B72" s="2088" t="s">
        <v>7930</v>
      </c>
      <c r="C72" s="2087"/>
      <c r="D72" s="19">
        <v>25</v>
      </c>
      <c r="F72" s="443"/>
      <c r="G72" s="443"/>
      <c r="I72" s="9"/>
    </row>
    <row r="73" spans="1:9">
      <c r="A73" s="1316">
        <v>42142</v>
      </c>
      <c r="B73" s="2088" t="s">
        <v>7931</v>
      </c>
      <c r="C73" s="2087"/>
      <c r="D73" s="19">
        <v>20</v>
      </c>
      <c r="F73" s="443"/>
      <c r="G73" s="443"/>
      <c r="I73" s="9"/>
    </row>
    <row r="74" spans="1:9">
      <c r="A74" s="1316">
        <v>42143</v>
      </c>
      <c r="B74" s="2088" t="s">
        <v>7931</v>
      </c>
      <c r="C74" s="2087"/>
      <c r="D74" s="19">
        <v>20</v>
      </c>
      <c r="F74" s="443"/>
      <c r="G74" s="443"/>
      <c r="I74" s="9"/>
    </row>
    <row r="75" spans="1:9">
      <c r="A75" s="1316">
        <v>42164</v>
      </c>
      <c r="B75" s="2088" t="s">
        <v>7932</v>
      </c>
      <c r="C75" s="2087"/>
      <c r="D75" s="19">
        <v>104</v>
      </c>
      <c r="F75" s="443"/>
      <c r="G75" s="443"/>
    </row>
    <row r="76" spans="1:9">
      <c r="A76" s="1316">
        <v>42164</v>
      </c>
      <c r="B76" s="2088" t="s">
        <v>7933</v>
      </c>
      <c r="C76" s="2087"/>
      <c r="D76" s="19">
        <v>0</v>
      </c>
      <c r="F76" s="443"/>
      <c r="G76" s="443"/>
    </row>
    <row r="77" spans="1:9">
      <c r="A77" s="1316">
        <v>42167</v>
      </c>
      <c r="B77" s="2088" t="s">
        <v>7934</v>
      </c>
      <c r="C77" s="2087"/>
      <c r="D77" s="19">
        <v>104</v>
      </c>
      <c r="F77" s="443"/>
      <c r="G77" s="443"/>
    </row>
    <row r="78" spans="1:9">
      <c r="A78" s="1316">
        <v>42173</v>
      </c>
      <c r="B78" s="2088" t="s">
        <v>7935</v>
      </c>
      <c r="C78" s="2087"/>
      <c r="D78" s="19">
        <v>104</v>
      </c>
      <c r="F78" s="443"/>
      <c r="G78" s="443"/>
    </row>
    <row r="79" spans="1:9">
      <c r="A79" s="1316">
        <v>42171</v>
      </c>
      <c r="B79" s="2088" t="s">
        <v>7936</v>
      </c>
      <c r="C79" s="2087"/>
      <c r="D79" s="19">
        <v>104</v>
      </c>
    </row>
    <row r="80" spans="1:9">
      <c r="A80" s="1316">
        <v>42175</v>
      </c>
      <c r="B80" s="2088" t="s">
        <v>7937</v>
      </c>
      <c r="C80" s="2087"/>
      <c r="D80" s="19">
        <v>104</v>
      </c>
    </row>
    <row r="81" spans="1:5">
      <c r="A81" s="1316">
        <v>42180</v>
      </c>
      <c r="B81" s="2088" t="s">
        <v>7938</v>
      </c>
      <c r="C81" s="2087"/>
      <c r="D81" s="19">
        <v>104</v>
      </c>
    </row>
    <row r="82" spans="1:5">
      <c r="A82" s="1316">
        <v>42185</v>
      </c>
      <c r="B82" s="2088" t="s">
        <v>7939</v>
      </c>
      <c r="C82" s="2087"/>
      <c r="D82" s="19">
        <v>20</v>
      </c>
    </row>
    <row r="83" spans="1:5">
      <c r="A83" s="1316">
        <v>42191</v>
      </c>
      <c r="B83" s="2088" t="s">
        <v>7940</v>
      </c>
      <c r="C83" s="2087"/>
      <c r="D83" s="19">
        <v>20</v>
      </c>
    </row>
    <row r="84" spans="1:5">
      <c r="A84" s="1316">
        <v>42200</v>
      </c>
      <c r="B84" s="2088" t="s">
        <v>7941</v>
      </c>
      <c r="C84" s="2087"/>
      <c r="D84" s="19">
        <v>20</v>
      </c>
    </row>
    <row r="85" spans="1:5">
      <c r="A85" s="1316">
        <v>42207</v>
      </c>
      <c r="B85" s="2088" t="s">
        <v>7942</v>
      </c>
      <c r="C85" s="2087"/>
      <c r="D85" s="19">
        <v>20</v>
      </c>
    </row>
    <row r="86" spans="1:5">
      <c r="A86" s="1316">
        <v>42243</v>
      </c>
      <c r="B86" s="2088" t="s">
        <v>7370</v>
      </c>
      <c r="C86" s="2087"/>
      <c r="D86" s="19">
        <v>104</v>
      </c>
    </row>
    <row r="87" spans="1:5">
      <c r="A87" s="1319"/>
      <c r="B87" s="2088"/>
      <c r="C87" s="2087"/>
      <c r="D87" s="19"/>
    </row>
    <row r="88" spans="1:5">
      <c r="A88" s="1319"/>
      <c r="B88" s="2088"/>
      <c r="C88" s="2087"/>
      <c r="D88" s="19"/>
    </row>
    <row r="89" spans="1:5">
      <c r="A89" s="1319"/>
      <c r="B89" s="2088"/>
      <c r="C89" s="2087"/>
      <c r="D89" s="19"/>
    </row>
    <row r="90" spans="1:5">
      <c r="A90" s="1320" t="s">
        <v>7378</v>
      </c>
      <c r="B90" s="2275"/>
      <c r="C90" s="2144"/>
      <c r="D90" s="1321">
        <f>SUM(D53:D89)</f>
        <v>1866</v>
      </c>
      <c r="E90" s="333">
        <f>D90*0.56</f>
        <v>1044.96</v>
      </c>
    </row>
    <row r="91" spans="1:5">
      <c r="A91" s="9"/>
      <c r="B91" s="9"/>
    </row>
  </sheetData>
  <mergeCells count="46">
    <mergeCell ref="B88:C88"/>
    <mergeCell ref="B89:C89"/>
    <mergeCell ref="B90:C90"/>
    <mergeCell ref="B80:C80"/>
    <mergeCell ref="B81:C81"/>
    <mergeCell ref="B82:C82"/>
    <mergeCell ref="B83:C83"/>
    <mergeCell ref="B84:C84"/>
    <mergeCell ref="B85:C85"/>
    <mergeCell ref="B86:C86"/>
    <mergeCell ref="B76:C76"/>
    <mergeCell ref="B77:C77"/>
    <mergeCell ref="B78:C78"/>
    <mergeCell ref="B79:C79"/>
    <mergeCell ref="B87:C87"/>
    <mergeCell ref="B71:C71"/>
    <mergeCell ref="B72:C72"/>
    <mergeCell ref="B73:C73"/>
    <mergeCell ref="B74:C74"/>
    <mergeCell ref="B75:C75"/>
    <mergeCell ref="B66:C66"/>
    <mergeCell ref="B67:C67"/>
    <mergeCell ref="B68:C68"/>
    <mergeCell ref="B69:C69"/>
    <mergeCell ref="B70:C70"/>
    <mergeCell ref="B61:C61"/>
    <mergeCell ref="B62:C62"/>
    <mergeCell ref="B63:C63"/>
    <mergeCell ref="B64:C64"/>
    <mergeCell ref="B65:C65"/>
    <mergeCell ref="B56:C56"/>
    <mergeCell ref="B57:C57"/>
    <mergeCell ref="B58:C58"/>
    <mergeCell ref="B59:C59"/>
    <mergeCell ref="B60:C60"/>
    <mergeCell ref="F52:H52"/>
    <mergeCell ref="B52:C52"/>
    <mergeCell ref="B53:C53"/>
    <mergeCell ref="B54:C54"/>
    <mergeCell ref="B55:C55"/>
    <mergeCell ref="C1:E1"/>
    <mergeCell ref="J2:K2"/>
    <mergeCell ref="H3:I3"/>
    <mergeCell ref="J3:K3"/>
    <mergeCell ref="A38:D38"/>
    <mergeCell ref="H38:I38"/>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outlinePr summaryBelow="0" summaryRight="0"/>
  </sheetPr>
  <dimension ref="A1:V194"/>
  <sheetViews>
    <sheetView workbookViewId="0"/>
  </sheetViews>
  <sheetFormatPr defaultColWidth="12.7109375" defaultRowHeight="12.75" customHeight="1"/>
  <cols>
    <col min="1" max="1" width="2.28515625" customWidth="1"/>
    <col min="2" max="2" width="19" customWidth="1"/>
    <col min="3" max="14" width="9.85546875" customWidth="1"/>
    <col min="15" max="15" width="9.28515625" customWidth="1"/>
    <col min="16" max="16" width="2.42578125" customWidth="1"/>
    <col min="17" max="17" width="7.28515625" customWidth="1"/>
    <col min="18" max="22" width="15.140625" customWidth="1"/>
  </cols>
  <sheetData>
    <row r="1" spans="1:18">
      <c r="B1" s="70" t="s">
        <v>7943</v>
      </c>
      <c r="C1" s="151" t="s">
        <v>7944</v>
      </c>
      <c r="D1" s="151" t="s">
        <v>7945</v>
      </c>
      <c r="E1" s="151" t="s">
        <v>59</v>
      </c>
      <c r="F1" s="2279" t="s">
        <v>5689</v>
      </c>
      <c r="G1" s="2087"/>
    </row>
    <row r="2" spans="1:18">
      <c r="B2" s="59" t="s">
        <v>7268</v>
      </c>
      <c r="C2" s="1403">
        <f>O35</f>
        <v>9840</v>
      </c>
      <c r="D2" s="1343">
        <f>O48</f>
        <v>4678.9800000000005</v>
      </c>
      <c r="E2" s="1343">
        <f>O49</f>
        <v>5161.0199999999995</v>
      </c>
      <c r="F2" s="2279" t="s">
        <v>46</v>
      </c>
      <c r="G2" s="2087"/>
    </row>
    <row r="3" spans="1:18">
      <c r="B3" s="59" t="s">
        <v>5752</v>
      </c>
      <c r="C3" s="1343">
        <f>O60</f>
        <v>18600</v>
      </c>
      <c r="D3" s="1343">
        <f>O73</f>
        <v>7048.4899999999989</v>
      </c>
      <c r="E3" s="1343">
        <f>O74</f>
        <v>11551.510000000002</v>
      </c>
      <c r="F3" s="2279" t="s">
        <v>7946</v>
      </c>
      <c r="G3" s="2087"/>
    </row>
    <row r="4" spans="1:18">
      <c r="B4" s="59" t="s">
        <v>5747</v>
      </c>
      <c r="C4" s="1403">
        <f>O84</f>
        <v>7125</v>
      </c>
      <c r="D4" s="1343">
        <f>O97</f>
        <v>493.22</v>
      </c>
      <c r="E4" s="1343">
        <f>O98</f>
        <v>6631.78</v>
      </c>
      <c r="F4" s="2279" t="s">
        <v>7947</v>
      </c>
      <c r="G4" s="2087"/>
    </row>
    <row r="5" spans="1:18">
      <c r="B5" s="59" t="s">
        <v>7948</v>
      </c>
      <c r="C5" s="1403">
        <f>O105</f>
        <v>54688</v>
      </c>
      <c r="D5" s="1343">
        <f>O120</f>
        <v>16920.45</v>
      </c>
      <c r="E5" s="1343">
        <f>O121</f>
        <v>37767.550000000003</v>
      </c>
      <c r="F5" s="2279"/>
      <c r="G5" s="2087"/>
    </row>
    <row r="6" spans="1:18">
      <c r="B6" s="70" t="s">
        <v>7949</v>
      </c>
      <c r="C6" s="1404">
        <f>SUM(C2:C5)</f>
        <v>90253</v>
      </c>
      <c r="D6" s="1405">
        <f>SUM(D2:D5)</f>
        <v>29141.14</v>
      </c>
      <c r="E6" s="1405">
        <f>SUM(E2:E5)</f>
        <v>61111.86</v>
      </c>
      <c r="F6" s="2279"/>
      <c r="G6" s="2087"/>
    </row>
    <row r="7" spans="1:18">
      <c r="B7" s="59" t="s">
        <v>5755</v>
      </c>
      <c r="C7" s="1403">
        <f>O12</f>
        <v>100522</v>
      </c>
      <c r="D7" s="1343">
        <f>O27</f>
        <v>36740.350000000006</v>
      </c>
      <c r="E7" s="1343">
        <f>O28</f>
        <v>63781.649999999994</v>
      </c>
      <c r="F7" s="2279" t="s">
        <v>7946</v>
      </c>
      <c r="G7" s="2087"/>
    </row>
    <row r="8" spans="1:18">
      <c r="B8" s="70" t="s">
        <v>7950</v>
      </c>
      <c r="C8" s="1404">
        <f>C6+C7</f>
        <v>190775</v>
      </c>
      <c r="D8" s="1405">
        <f>D6+D7</f>
        <v>65881.490000000005</v>
      </c>
      <c r="E8" s="1405">
        <f>E6+E7</f>
        <v>124893.51</v>
      </c>
      <c r="F8" s="2279"/>
      <c r="G8" s="2087"/>
    </row>
    <row r="9" spans="1:18">
      <c r="B9" s="660"/>
      <c r="C9" s="660"/>
      <c r="D9" s="660"/>
      <c r="E9" s="660"/>
      <c r="F9" s="660"/>
      <c r="G9" s="660"/>
      <c r="H9" s="660"/>
      <c r="I9" s="660"/>
      <c r="J9" s="660"/>
      <c r="K9" s="660"/>
      <c r="L9" s="660"/>
      <c r="M9" s="660"/>
      <c r="N9" s="660"/>
      <c r="O9" s="660"/>
      <c r="P9" s="660"/>
    </row>
    <row r="10" spans="1:18">
      <c r="A10" s="714"/>
      <c r="B10" s="2126" t="s">
        <v>6845</v>
      </c>
      <c r="C10" s="2127"/>
      <c r="D10" s="2127"/>
      <c r="E10" s="2127"/>
      <c r="F10" s="2127"/>
      <c r="G10" s="2127"/>
      <c r="H10" s="2127"/>
      <c r="I10" s="2127"/>
      <c r="J10" s="2127"/>
      <c r="K10" s="2127"/>
      <c r="L10" s="2127"/>
      <c r="M10" s="2127"/>
      <c r="N10" s="2127"/>
      <c r="O10" s="2128"/>
      <c r="P10" s="661"/>
      <c r="Q10" s="1406"/>
    </row>
    <row r="11" spans="1:18">
      <c r="A11" s="714"/>
      <c r="B11" s="662" t="s">
        <v>7951</v>
      </c>
      <c r="C11" s="663" t="s">
        <v>143</v>
      </c>
      <c r="D11" s="663" t="s">
        <v>26</v>
      </c>
      <c r="E11" s="663" t="s">
        <v>25</v>
      </c>
      <c r="F11" s="663" t="s">
        <v>24</v>
      </c>
      <c r="G11" s="663" t="s">
        <v>23</v>
      </c>
      <c r="H11" s="663" t="s">
        <v>22</v>
      </c>
      <c r="I11" s="663" t="s">
        <v>21</v>
      </c>
      <c r="J11" s="663" t="s">
        <v>20</v>
      </c>
      <c r="K11" s="663" t="s">
        <v>256</v>
      </c>
      <c r="L11" s="663" t="s">
        <v>18</v>
      </c>
      <c r="M11" s="663" t="s">
        <v>17</v>
      </c>
      <c r="N11" s="663" t="s">
        <v>86</v>
      </c>
      <c r="O11" s="664" t="s">
        <v>67</v>
      </c>
      <c r="P11" s="665"/>
      <c r="Q11" s="1406"/>
    </row>
    <row r="12" spans="1:18">
      <c r="A12" s="714"/>
      <c r="B12" s="666" t="s">
        <v>6847</v>
      </c>
      <c r="C12" s="667">
        <v>6137</v>
      </c>
      <c r="D12" s="667">
        <v>6936</v>
      </c>
      <c r="E12" s="667">
        <v>8068</v>
      </c>
      <c r="F12" s="667">
        <v>7292</v>
      </c>
      <c r="G12" s="667">
        <v>7792</v>
      </c>
      <c r="H12" s="667">
        <v>7682</v>
      </c>
      <c r="I12" s="667">
        <v>7981</v>
      </c>
      <c r="J12" s="667">
        <v>8201</v>
      </c>
      <c r="K12" s="667">
        <v>9550</v>
      </c>
      <c r="L12" s="667">
        <v>9881</v>
      </c>
      <c r="M12" s="667">
        <v>11447</v>
      </c>
      <c r="N12" s="667">
        <v>9555</v>
      </c>
      <c r="O12" s="668">
        <f>SUM(C12:N12)</f>
        <v>100522</v>
      </c>
      <c r="P12" s="669"/>
      <c r="Q12" s="1406"/>
    </row>
    <row r="13" spans="1:18">
      <c r="A13" s="714"/>
      <c r="B13" s="1342" t="s">
        <v>6389</v>
      </c>
      <c r="C13" s="1343" t="s">
        <v>135</v>
      </c>
      <c r="D13" s="1343" t="s">
        <v>135</v>
      </c>
      <c r="E13" s="1343" t="s">
        <v>135</v>
      </c>
      <c r="F13" s="1343" t="s">
        <v>135</v>
      </c>
      <c r="G13" s="1343" t="s">
        <v>135</v>
      </c>
      <c r="H13" s="1343" t="s">
        <v>135</v>
      </c>
      <c r="I13" s="1343" t="s">
        <v>135</v>
      </c>
      <c r="J13" s="1343" t="s">
        <v>135</v>
      </c>
      <c r="K13" s="1343"/>
      <c r="L13" s="1343"/>
      <c r="M13" s="1343"/>
      <c r="N13" s="1343"/>
      <c r="O13" s="1344">
        <f>SUM(C13:N13)</f>
        <v>0</v>
      </c>
      <c r="P13" s="672"/>
      <c r="Q13" s="1406"/>
    </row>
    <row r="14" spans="1:18">
      <c r="A14" s="714"/>
      <c r="B14" s="666" t="s">
        <v>4397</v>
      </c>
      <c r="C14" s="671"/>
      <c r="D14" s="671"/>
      <c r="E14" s="671"/>
      <c r="F14" s="671"/>
      <c r="G14" s="671"/>
      <c r="H14" s="671"/>
      <c r="I14" s="671"/>
      <c r="J14" s="671"/>
      <c r="K14" s="671"/>
      <c r="L14" s="671"/>
      <c r="M14" s="671"/>
      <c r="N14" s="671"/>
      <c r="O14" s="668"/>
      <c r="P14" s="672"/>
      <c r="Q14" s="1406"/>
    </row>
    <row r="15" spans="1:18">
      <c r="A15" s="714"/>
      <c r="B15" s="674" t="s">
        <v>1121</v>
      </c>
      <c r="C15" s="675">
        <v>800</v>
      </c>
      <c r="D15" s="675">
        <v>800</v>
      </c>
      <c r="E15" s="675">
        <v>800</v>
      </c>
      <c r="F15" s="675">
        <v>800</v>
      </c>
      <c r="G15" s="675">
        <v>800</v>
      </c>
      <c r="H15" s="675">
        <v>800</v>
      </c>
      <c r="I15" s="675">
        <v>800</v>
      </c>
      <c r="J15" s="675">
        <v>800</v>
      </c>
      <c r="K15" s="675">
        <v>800</v>
      </c>
      <c r="L15" s="675">
        <v>800</v>
      </c>
      <c r="M15" s="675">
        <v>800</v>
      </c>
      <c r="N15" s="675">
        <v>800</v>
      </c>
      <c r="O15" s="677">
        <f t="shared" ref="O15:O23" si="0">SUM(C15:N15)</f>
        <v>9600</v>
      </c>
      <c r="P15" s="672"/>
      <c r="Q15" s="1406"/>
    </row>
    <row r="16" spans="1:18">
      <c r="A16" s="714"/>
      <c r="B16" s="674" t="s">
        <v>6848</v>
      </c>
      <c r="C16" s="675">
        <v>18</v>
      </c>
      <c r="D16" s="675">
        <v>18</v>
      </c>
      <c r="E16" s="675">
        <v>18</v>
      </c>
      <c r="F16" s="675">
        <v>46</v>
      </c>
      <c r="G16" s="675">
        <v>46</v>
      </c>
      <c r="H16" s="675">
        <v>46</v>
      </c>
      <c r="I16" s="675">
        <v>46</v>
      </c>
      <c r="J16" s="675">
        <v>46</v>
      </c>
      <c r="K16" s="675">
        <v>46</v>
      </c>
      <c r="L16" s="675">
        <v>46</v>
      </c>
      <c r="M16" s="685">
        <v>46</v>
      </c>
      <c r="N16" s="675">
        <v>46</v>
      </c>
      <c r="O16" s="677">
        <f t="shared" si="0"/>
        <v>468</v>
      </c>
      <c r="P16" s="672"/>
      <c r="Q16" s="1406"/>
      <c r="R16" s="9" t="s">
        <v>135</v>
      </c>
    </row>
    <row r="17" spans="1:18">
      <c r="A17" s="714"/>
      <c r="B17" s="674" t="s">
        <v>6849</v>
      </c>
      <c r="C17" s="675">
        <v>677.51</v>
      </c>
      <c r="D17" s="675">
        <v>706.79</v>
      </c>
      <c r="E17" s="675">
        <v>896.01</v>
      </c>
      <c r="F17" s="675">
        <v>832.77</v>
      </c>
      <c r="G17" s="675">
        <v>805.66</v>
      </c>
      <c r="H17" s="675">
        <v>823.74</v>
      </c>
      <c r="I17" s="675">
        <v>787.6</v>
      </c>
      <c r="J17" s="675">
        <v>932.14</v>
      </c>
      <c r="K17" s="675">
        <v>886.98</v>
      </c>
      <c r="L17" s="675">
        <v>1139.92</v>
      </c>
      <c r="M17" s="675">
        <v>959.25</v>
      </c>
      <c r="N17" s="675">
        <v>1212.19</v>
      </c>
      <c r="O17" s="677">
        <f t="shared" si="0"/>
        <v>10660.560000000001</v>
      </c>
      <c r="P17" s="681"/>
      <c r="R17" s="9" t="s">
        <v>135</v>
      </c>
    </row>
    <row r="18" spans="1:18">
      <c r="A18" s="714"/>
      <c r="B18" s="674" t="s">
        <v>6850</v>
      </c>
      <c r="C18" s="675">
        <v>149.71</v>
      </c>
      <c r="D18" s="675">
        <v>113.65</v>
      </c>
      <c r="E18" s="675">
        <v>132.54</v>
      </c>
      <c r="F18" s="675">
        <v>115.37</v>
      </c>
      <c r="G18" s="675">
        <v>118.8</v>
      </c>
      <c r="H18" s="675">
        <v>122.24</v>
      </c>
      <c r="I18" s="675">
        <v>134.26</v>
      </c>
      <c r="J18" s="675">
        <v>113.65</v>
      </c>
      <c r="K18" s="675">
        <v>145.19999999999999</v>
      </c>
      <c r="L18" s="675">
        <v>163.56</v>
      </c>
      <c r="M18" s="675">
        <v>183.38</v>
      </c>
      <c r="N18" s="675">
        <v>149.71</v>
      </c>
      <c r="O18" s="677">
        <f t="shared" si="0"/>
        <v>1642.0699999999997</v>
      </c>
      <c r="P18" s="672"/>
      <c r="Q18" s="1406"/>
    </row>
    <row r="19" spans="1:18">
      <c r="A19" s="714"/>
      <c r="B19" s="939" t="s">
        <v>6851</v>
      </c>
      <c r="C19" s="940">
        <v>538.52</v>
      </c>
      <c r="D19" s="940">
        <v>593.12</v>
      </c>
      <c r="E19" s="940">
        <v>654.83000000000004</v>
      </c>
      <c r="F19" s="940">
        <v>595.15</v>
      </c>
      <c r="G19" s="940">
        <v>459.63</v>
      </c>
      <c r="H19" s="940">
        <v>555.72</v>
      </c>
      <c r="I19" s="940">
        <v>458.62</v>
      </c>
      <c r="J19" s="940">
        <v>493.01</v>
      </c>
      <c r="K19" s="940">
        <v>501.47</v>
      </c>
      <c r="L19" s="940">
        <v>568.66</v>
      </c>
      <c r="M19" s="133">
        <v>567.51</v>
      </c>
      <c r="N19" s="940">
        <v>650.08000000000004</v>
      </c>
      <c r="O19" s="941">
        <f t="shared" si="0"/>
        <v>6636.3200000000006</v>
      </c>
      <c r="P19" s="672"/>
      <c r="Q19" s="1406"/>
    </row>
    <row r="20" spans="1:18">
      <c r="A20" s="714"/>
      <c r="B20" s="942" t="s">
        <v>6852</v>
      </c>
      <c r="C20" s="680"/>
      <c r="D20" s="680"/>
      <c r="E20" s="680"/>
      <c r="F20" s="680"/>
      <c r="G20" s="680"/>
      <c r="H20" s="680"/>
      <c r="I20" s="680"/>
      <c r="J20" s="680"/>
      <c r="K20" s="680"/>
      <c r="L20" s="680"/>
      <c r="M20" s="680"/>
      <c r="N20" s="680"/>
      <c r="O20" s="943">
        <f t="shared" si="0"/>
        <v>0</v>
      </c>
      <c r="P20" s="672"/>
      <c r="Q20" s="1406"/>
    </row>
    <row r="21" spans="1:18">
      <c r="A21" s="714"/>
      <c r="B21" s="674" t="s">
        <v>6855</v>
      </c>
      <c r="C21" s="675">
        <v>19.95</v>
      </c>
      <c r="D21" s="675">
        <v>19.95</v>
      </c>
      <c r="E21" s="675">
        <v>19.95</v>
      </c>
      <c r="F21" s="675">
        <v>19.95</v>
      </c>
      <c r="G21" s="675">
        <v>19.95</v>
      </c>
      <c r="H21" s="675">
        <v>19.95</v>
      </c>
      <c r="I21" s="675">
        <v>19.95</v>
      </c>
      <c r="J21" s="675">
        <v>19.95</v>
      </c>
      <c r="K21" s="675">
        <v>19.95</v>
      </c>
      <c r="L21" s="675">
        <v>19.95</v>
      </c>
      <c r="M21" s="675">
        <v>19.95</v>
      </c>
      <c r="N21" s="675">
        <v>19.95</v>
      </c>
      <c r="O21" s="677">
        <f t="shared" si="0"/>
        <v>239.39999999999995</v>
      </c>
      <c r="P21" s="672"/>
      <c r="Q21" s="1406"/>
    </row>
    <row r="22" spans="1:18">
      <c r="A22" s="714"/>
      <c r="B22" s="674" t="s">
        <v>6856</v>
      </c>
      <c r="C22" s="675">
        <v>225</v>
      </c>
      <c r="D22" s="675">
        <v>225</v>
      </c>
      <c r="E22" s="675">
        <v>225</v>
      </c>
      <c r="F22" s="675">
        <v>225</v>
      </c>
      <c r="G22" s="675">
        <v>225</v>
      </c>
      <c r="H22" s="675">
        <v>225</v>
      </c>
      <c r="I22" s="675">
        <v>225</v>
      </c>
      <c r="J22" s="675">
        <v>225</v>
      </c>
      <c r="K22" s="675">
        <v>225</v>
      </c>
      <c r="L22" s="675">
        <v>225</v>
      </c>
      <c r="M22" s="675">
        <v>225</v>
      </c>
      <c r="N22" s="675">
        <v>225</v>
      </c>
      <c r="O22" s="677">
        <f t="shared" si="0"/>
        <v>2700</v>
      </c>
      <c r="P22" s="672"/>
      <c r="Q22" s="1406"/>
    </row>
    <row r="23" spans="1:18">
      <c r="A23" s="714"/>
      <c r="B23" s="674" t="s">
        <v>7952</v>
      </c>
      <c r="C23" s="687"/>
      <c r="D23" s="687"/>
      <c r="E23" s="687"/>
      <c r="F23" s="687"/>
      <c r="G23" s="687"/>
      <c r="H23" s="687"/>
      <c r="I23" s="687"/>
      <c r="J23" s="687"/>
      <c r="K23" s="1407">
        <v>1194</v>
      </c>
      <c r="L23" s="687"/>
      <c r="M23" s="687"/>
      <c r="N23" s="687"/>
      <c r="O23" s="677">
        <f t="shared" si="0"/>
        <v>1194</v>
      </c>
      <c r="P23" s="672"/>
      <c r="Q23" s="1406"/>
    </row>
    <row r="24" spans="1:18">
      <c r="A24" s="714"/>
      <c r="B24" s="674" t="s">
        <v>6858</v>
      </c>
      <c r="C24" s="675">
        <v>200</v>
      </c>
      <c r="D24" s="675">
        <v>200</v>
      </c>
      <c r="E24" s="675">
        <v>200</v>
      </c>
      <c r="F24" s="675">
        <v>200</v>
      </c>
      <c r="G24" s="675">
        <v>200</v>
      </c>
      <c r="H24" s="675">
        <v>200</v>
      </c>
      <c r="I24" s="675">
        <v>200</v>
      </c>
      <c r="J24" s="675">
        <v>200</v>
      </c>
      <c r="K24" s="675">
        <v>200</v>
      </c>
      <c r="L24" s="675">
        <v>200</v>
      </c>
      <c r="M24" s="675">
        <f>385.78+200</f>
        <v>585.78</v>
      </c>
      <c r="N24" s="675">
        <v>200</v>
      </c>
      <c r="O24" s="668"/>
      <c r="P24" s="672"/>
      <c r="Q24" s="1406"/>
    </row>
    <row r="25" spans="1:18">
      <c r="A25" s="714"/>
      <c r="B25" s="674" t="s">
        <v>6859</v>
      </c>
      <c r="C25" s="945">
        <v>300</v>
      </c>
      <c r="D25" s="945">
        <v>300</v>
      </c>
      <c r="E25" s="945">
        <v>300</v>
      </c>
      <c r="F25" s="945">
        <v>300</v>
      </c>
      <c r="G25" s="945">
        <v>300</v>
      </c>
      <c r="H25" s="945">
        <v>300</v>
      </c>
      <c r="I25" s="945">
        <v>300</v>
      </c>
      <c r="J25" s="945">
        <v>300</v>
      </c>
      <c r="K25" s="945">
        <v>300</v>
      </c>
      <c r="L25" s="945">
        <v>300</v>
      </c>
      <c r="M25" s="945">
        <v>300</v>
      </c>
      <c r="N25" s="945">
        <v>300</v>
      </c>
      <c r="O25" s="668">
        <f>SUM(C25:N25)</f>
        <v>3600</v>
      </c>
      <c r="P25" s="672"/>
      <c r="Q25" s="1406"/>
    </row>
    <row r="26" spans="1:18">
      <c r="A26" s="714"/>
      <c r="B26" s="666" t="s">
        <v>6323</v>
      </c>
      <c r="C26" s="677">
        <f t="shared" ref="C26:N26" si="1">SUM(C25)</f>
        <v>300</v>
      </c>
      <c r="D26" s="677">
        <f t="shared" si="1"/>
        <v>300</v>
      </c>
      <c r="E26" s="677">
        <f t="shared" si="1"/>
        <v>300</v>
      </c>
      <c r="F26" s="677">
        <f t="shared" si="1"/>
        <v>300</v>
      </c>
      <c r="G26" s="677">
        <f t="shared" si="1"/>
        <v>300</v>
      </c>
      <c r="H26" s="677">
        <f t="shared" si="1"/>
        <v>300</v>
      </c>
      <c r="I26" s="677">
        <f t="shared" si="1"/>
        <v>300</v>
      </c>
      <c r="J26" s="677">
        <f t="shared" si="1"/>
        <v>300</v>
      </c>
      <c r="K26" s="677">
        <f t="shared" si="1"/>
        <v>300</v>
      </c>
      <c r="L26" s="677">
        <f t="shared" si="1"/>
        <v>300</v>
      </c>
      <c r="M26" s="677">
        <f t="shared" si="1"/>
        <v>300</v>
      </c>
      <c r="N26" s="677">
        <f t="shared" si="1"/>
        <v>300</v>
      </c>
      <c r="O26" s="668">
        <f>SUM(C26:N26)</f>
        <v>3600</v>
      </c>
      <c r="P26" s="669"/>
      <c r="Q26" s="1406"/>
    </row>
    <row r="27" spans="1:18">
      <c r="A27" s="714"/>
      <c r="B27" s="689" t="s">
        <v>1126</v>
      </c>
      <c r="C27" s="690">
        <f t="shared" ref="C27:O27" si="2">SUM(C15:C25)</f>
        <v>2928.6899999999996</v>
      </c>
      <c r="D27" s="690">
        <f t="shared" si="2"/>
        <v>2976.5099999999998</v>
      </c>
      <c r="E27" s="690">
        <f t="shared" si="2"/>
        <v>3246.33</v>
      </c>
      <c r="F27" s="690">
        <f t="shared" si="2"/>
        <v>3134.24</v>
      </c>
      <c r="G27" s="690">
        <f t="shared" si="2"/>
        <v>2975.0399999999995</v>
      </c>
      <c r="H27" s="690">
        <f t="shared" si="2"/>
        <v>3092.6499999999996</v>
      </c>
      <c r="I27" s="690">
        <f t="shared" si="2"/>
        <v>2971.43</v>
      </c>
      <c r="J27" s="690">
        <f t="shared" si="2"/>
        <v>3129.75</v>
      </c>
      <c r="K27" s="690">
        <f t="shared" si="2"/>
        <v>4318.6000000000004</v>
      </c>
      <c r="L27" s="690">
        <f t="shared" si="2"/>
        <v>3463.0899999999997</v>
      </c>
      <c r="M27" s="690">
        <f t="shared" si="2"/>
        <v>3686.87</v>
      </c>
      <c r="N27" s="690">
        <f t="shared" si="2"/>
        <v>3602.93</v>
      </c>
      <c r="O27" s="690">
        <f t="shared" si="2"/>
        <v>36740.350000000006</v>
      </c>
      <c r="P27" s="691"/>
      <c r="Q27" s="1406"/>
    </row>
    <row r="28" spans="1:18">
      <c r="A28" s="715"/>
      <c r="B28" s="692" t="s">
        <v>791</v>
      </c>
      <c r="C28" s="946">
        <f t="shared" ref="C28:O28" si="3">C12-C27</f>
        <v>3208.3100000000004</v>
      </c>
      <c r="D28" s="946">
        <f t="shared" si="3"/>
        <v>3959.4900000000002</v>
      </c>
      <c r="E28" s="946">
        <f t="shared" si="3"/>
        <v>4821.67</v>
      </c>
      <c r="F28" s="946">
        <f t="shared" si="3"/>
        <v>4157.76</v>
      </c>
      <c r="G28" s="946">
        <f t="shared" si="3"/>
        <v>4816.9600000000009</v>
      </c>
      <c r="H28" s="946">
        <f t="shared" si="3"/>
        <v>4589.3500000000004</v>
      </c>
      <c r="I28" s="946">
        <f t="shared" si="3"/>
        <v>5009.57</v>
      </c>
      <c r="J28" s="946">
        <f t="shared" si="3"/>
        <v>5071.25</v>
      </c>
      <c r="K28" s="946">
        <f t="shared" si="3"/>
        <v>5231.3999999999996</v>
      </c>
      <c r="L28" s="693">
        <f t="shared" si="3"/>
        <v>6417.91</v>
      </c>
      <c r="M28" s="693">
        <f t="shared" si="3"/>
        <v>7760.13</v>
      </c>
      <c r="N28" s="693">
        <f t="shared" si="3"/>
        <v>5952.07</v>
      </c>
      <c r="O28" s="693">
        <f t="shared" si="3"/>
        <v>63781.649999999994</v>
      </c>
      <c r="P28" s="694"/>
    </row>
    <row r="29" spans="1:18">
      <c r="A29" s="947"/>
      <c r="B29" s="674" t="s">
        <v>6860</v>
      </c>
      <c r="C29" s="948"/>
      <c r="D29" s="948"/>
      <c r="E29" s="948"/>
      <c r="F29" s="948"/>
      <c r="G29" s="948"/>
      <c r="H29" s="948"/>
      <c r="I29" s="948"/>
      <c r="J29" s="948"/>
      <c r="K29" s="948">
        <f>20000+800+500+800</f>
        <v>22100</v>
      </c>
      <c r="L29" s="949">
        <v>0</v>
      </c>
      <c r="M29" s="950">
        <v>0</v>
      </c>
      <c r="N29" s="951">
        <v>0</v>
      </c>
      <c r="O29" s="952">
        <f>SUM(C29:N29)</f>
        <v>22100</v>
      </c>
      <c r="P29" s="953"/>
    </row>
    <row r="30" spans="1:18">
      <c r="A30" s="692"/>
      <c r="B30" s="709" t="s">
        <v>6861</v>
      </c>
      <c r="C30" s="954">
        <f t="shared" ref="C30:O30" si="4">C28-C29</f>
        <v>3208.3100000000004</v>
      </c>
      <c r="D30" s="954">
        <f t="shared" si="4"/>
        <v>3959.4900000000002</v>
      </c>
      <c r="E30" s="954">
        <f t="shared" si="4"/>
        <v>4821.67</v>
      </c>
      <c r="F30" s="955">
        <f t="shared" si="4"/>
        <v>4157.76</v>
      </c>
      <c r="G30" s="954">
        <f t="shared" si="4"/>
        <v>4816.9600000000009</v>
      </c>
      <c r="H30" s="955">
        <f t="shared" si="4"/>
        <v>4589.3500000000004</v>
      </c>
      <c r="I30" s="955">
        <f t="shared" si="4"/>
        <v>5009.57</v>
      </c>
      <c r="J30" s="955">
        <f t="shared" si="4"/>
        <v>5071.25</v>
      </c>
      <c r="K30" s="955">
        <f t="shared" si="4"/>
        <v>-16868.599999999999</v>
      </c>
      <c r="L30" s="956">
        <f t="shared" si="4"/>
        <v>6417.91</v>
      </c>
      <c r="M30" s="956">
        <f t="shared" si="4"/>
        <v>7760.13</v>
      </c>
      <c r="N30" s="956">
        <f t="shared" si="4"/>
        <v>5952.07</v>
      </c>
      <c r="O30" s="956">
        <f t="shared" si="4"/>
        <v>41681.649999999994</v>
      </c>
      <c r="P30" s="709"/>
    </row>
    <row r="31" spans="1:18">
      <c r="A31" s="660"/>
      <c r="B31" s="660" t="s">
        <v>4822</v>
      </c>
      <c r="C31" s="2151" t="s">
        <v>6862</v>
      </c>
      <c r="D31" s="2152"/>
      <c r="E31" s="2152"/>
      <c r="F31" s="2152"/>
      <c r="G31" s="660"/>
      <c r="H31" s="660"/>
      <c r="I31" s="660"/>
      <c r="J31" s="660"/>
      <c r="K31" s="660"/>
      <c r="L31" s="660"/>
      <c r="M31" s="660"/>
      <c r="N31" s="660"/>
      <c r="O31" s="660"/>
      <c r="P31" s="660"/>
    </row>
    <row r="32" spans="1:18">
      <c r="A32" s="712"/>
      <c r="B32" s="1345"/>
      <c r="C32" s="1345"/>
      <c r="D32" s="1345"/>
      <c r="E32" s="1345"/>
      <c r="F32" s="1345"/>
      <c r="G32" s="1345"/>
      <c r="H32" s="1345"/>
      <c r="I32" s="1345"/>
      <c r="J32" s="1345"/>
      <c r="K32" s="1345"/>
      <c r="L32" s="1345"/>
      <c r="M32" s="1345"/>
      <c r="N32" s="1345"/>
      <c r="O32" s="1345"/>
      <c r="P32" s="1345"/>
    </row>
    <row r="33" spans="1:22">
      <c r="A33" s="714"/>
      <c r="B33" s="2126" t="s">
        <v>7386</v>
      </c>
      <c r="C33" s="2127"/>
      <c r="D33" s="2127"/>
      <c r="E33" s="2127"/>
      <c r="F33" s="2127"/>
      <c r="G33" s="2127"/>
      <c r="H33" s="2127"/>
      <c r="I33" s="2127"/>
      <c r="J33" s="2127"/>
      <c r="K33" s="2127"/>
      <c r="L33" s="2127"/>
      <c r="M33" s="2127"/>
      <c r="N33" s="2127"/>
      <c r="O33" s="2128"/>
      <c r="P33" s="661"/>
      <c r="Q33" s="1408"/>
    </row>
    <row r="34" spans="1:22">
      <c r="A34" s="714"/>
      <c r="B34" s="662" t="s">
        <v>7951</v>
      </c>
      <c r="C34" s="663" t="s">
        <v>143</v>
      </c>
      <c r="D34" s="663" t="s">
        <v>26</v>
      </c>
      <c r="E34" s="663" t="s">
        <v>25</v>
      </c>
      <c r="F34" s="663" t="s">
        <v>24</v>
      </c>
      <c r="G34" s="663" t="s">
        <v>23</v>
      </c>
      <c r="H34" s="663" t="s">
        <v>22</v>
      </c>
      <c r="I34" s="663" t="s">
        <v>21</v>
      </c>
      <c r="J34" s="663" t="s">
        <v>20</v>
      </c>
      <c r="K34" s="663" t="s">
        <v>256</v>
      </c>
      <c r="L34" s="663" t="s">
        <v>18</v>
      </c>
      <c r="M34" s="663" t="s">
        <v>17</v>
      </c>
      <c r="N34" s="663" t="s">
        <v>86</v>
      </c>
      <c r="O34" s="664" t="s">
        <v>67</v>
      </c>
      <c r="P34" s="665"/>
      <c r="Q34" s="1409"/>
      <c r="R34" s="578"/>
      <c r="S34" s="578"/>
      <c r="T34" s="578"/>
      <c r="U34" s="578"/>
      <c r="V34" s="578"/>
    </row>
    <row r="35" spans="1:22">
      <c r="A35" s="714"/>
      <c r="B35" s="666" t="s">
        <v>4395</v>
      </c>
      <c r="C35" s="667">
        <v>820</v>
      </c>
      <c r="D35" s="667">
        <v>820</v>
      </c>
      <c r="E35" s="667">
        <v>820</v>
      </c>
      <c r="F35" s="667">
        <v>820</v>
      </c>
      <c r="G35" s="667">
        <v>820</v>
      </c>
      <c r="H35" s="667">
        <v>820</v>
      </c>
      <c r="I35" s="667">
        <v>820</v>
      </c>
      <c r="J35" s="667">
        <v>820</v>
      </c>
      <c r="K35" s="667">
        <v>820</v>
      </c>
      <c r="L35" s="667">
        <v>820</v>
      </c>
      <c r="M35" s="667">
        <v>820</v>
      </c>
      <c r="N35" s="667">
        <v>820</v>
      </c>
      <c r="O35" s="668">
        <f>SUM(C35:N35)</f>
        <v>9840</v>
      </c>
      <c r="P35" s="669"/>
      <c r="Q35" s="1410"/>
      <c r="R35" s="578"/>
      <c r="S35" s="578"/>
      <c r="T35" s="578"/>
      <c r="U35" s="578"/>
      <c r="V35" s="578"/>
    </row>
    <row r="36" spans="1:22">
      <c r="A36" s="714"/>
      <c r="B36" s="1342" t="s">
        <v>6389</v>
      </c>
      <c r="C36" s="1343" t="s">
        <v>135</v>
      </c>
      <c r="D36" s="1343" t="s">
        <v>135</v>
      </c>
      <c r="E36" s="1343" t="s">
        <v>135</v>
      </c>
      <c r="F36" s="1343" t="s">
        <v>135</v>
      </c>
      <c r="G36" s="1343" t="s">
        <v>135</v>
      </c>
      <c r="H36" s="1343" t="s">
        <v>135</v>
      </c>
      <c r="I36" s="1343" t="s">
        <v>135</v>
      </c>
      <c r="J36" s="1343" t="s">
        <v>135</v>
      </c>
      <c r="K36" s="1343"/>
      <c r="L36" s="1343"/>
      <c r="M36" s="1343"/>
      <c r="N36" s="1343"/>
      <c r="O36" s="1344">
        <f>SUM(C36:N36)</f>
        <v>0</v>
      </c>
      <c r="P36" s="672"/>
      <c r="Q36" s="1408"/>
    </row>
    <row r="37" spans="1:22">
      <c r="A37" s="714"/>
      <c r="B37" s="666" t="s">
        <v>4397</v>
      </c>
      <c r="C37" s="671"/>
      <c r="D37" s="671"/>
      <c r="E37" s="671"/>
      <c r="F37" s="671"/>
      <c r="G37" s="671"/>
      <c r="H37" s="671"/>
      <c r="I37" s="671"/>
      <c r="J37" s="671"/>
      <c r="K37" s="671"/>
      <c r="L37" s="671"/>
      <c r="M37" s="671"/>
      <c r="N37" s="671"/>
      <c r="O37" s="668"/>
      <c r="P37" s="672"/>
      <c r="Q37" s="1408"/>
    </row>
    <row r="38" spans="1:22">
      <c r="A38" s="714"/>
      <c r="B38" s="674" t="s">
        <v>5024</v>
      </c>
      <c r="C38" s="675">
        <v>146.88</v>
      </c>
      <c r="D38" s="675">
        <v>146.88</v>
      </c>
      <c r="E38" s="675">
        <v>146.88</v>
      </c>
      <c r="F38" s="675">
        <v>146.88</v>
      </c>
      <c r="G38" s="675">
        <v>146.88</v>
      </c>
      <c r="H38" s="675">
        <v>146.88</v>
      </c>
      <c r="I38" s="675">
        <v>146.88</v>
      </c>
      <c r="J38" s="675">
        <v>146.88</v>
      </c>
      <c r="K38" s="675">
        <v>146.88</v>
      </c>
      <c r="L38" s="675">
        <v>146.88</v>
      </c>
      <c r="M38" s="675">
        <v>146.88</v>
      </c>
      <c r="N38" s="675">
        <v>146.88</v>
      </c>
      <c r="O38" s="668">
        <f>SUM(C38:N38)</f>
        <v>1762.5600000000004</v>
      </c>
      <c r="P38" s="672"/>
      <c r="Q38" s="1408"/>
    </row>
    <row r="39" spans="1:22">
      <c r="A39" s="714"/>
      <c r="B39" s="674" t="s">
        <v>4399</v>
      </c>
      <c r="C39" s="675"/>
      <c r="D39" s="675"/>
      <c r="E39" s="675"/>
      <c r="F39" s="676">
        <v>411.21</v>
      </c>
      <c r="G39" s="675"/>
      <c r="H39" s="675"/>
      <c r="I39" s="675"/>
      <c r="J39" s="675"/>
      <c r="K39" s="675"/>
      <c r="L39" s="675"/>
      <c r="M39" s="676">
        <v>411.21</v>
      </c>
      <c r="N39" s="675"/>
      <c r="O39" s="677">
        <f>SUM(C39:N39)</f>
        <v>822.42</v>
      </c>
      <c r="P39" s="672"/>
      <c r="Q39" s="1408"/>
    </row>
    <row r="40" spans="1:22">
      <c r="A40" s="714"/>
      <c r="B40" s="674" t="s">
        <v>7031</v>
      </c>
      <c r="C40" s="675"/>
      <c r="D40" s="675"/>
      <c r="E40" s="675"/>
      <c r="F40" s="675"/>
      <c r="G40" s="675"/>
      <c r="H40" s="675"/>
      <c r="I40" s="675"/>
      <c r="J40" s="675"/>
      <c r="K40" s="675"/>
      <c r="L40" s="675"/>
      <c r="M40" s="675"/>
      <c r="N40" s="675"/>
      <c r="O40" s="677">
        <f>SUM(C40:N40)</f>
        <v>0</v>
      </c>
      <c r="P40" s="681"/>
      <c r="Q40" s="16"/>
    </row>
    <row r="41" spans="1:22">
      <c r="A41" s="714"/>
      <c r="B41" s="674" t="s">
        <v>7042</v>
      </c>
      <c r="C41" s="675"/>
      <c r="D41" s="675"/>
      <c r="E41" s="675"/>
      <c r="F41" s="675"/>
      <c r="G41" s="675"/>
      <c r="H41" s="675"/>
      <c r="I41" s="675"/>
      <c r="J41" s="675"/>
      <c r="K41" s="675"/>
      <c r="L41" s="675"/>
      <c r="M41" s="675"/>
      <c r="N41" s="675"/>
      <c r="O41" s="677">
        <f>SUM(C41:N41)</f>
        <v>0</v>
      </c>
      <c r="P41" s="672"/>
      <c r="Q41" s="1408"/>
    </row>
    <row r="42" spans="1:22">
      <c r="A42" s="714"/>
      <c r="B42" s="674" t="s">
        <v>7019</v>
      </c>
      <c r="C42" s="675"/>
      <c r="D42" s="675"/>
      <c r="E42" s="675"/>
      <c r="F42" s="675"/>
      <c r="G42" s="675"/>
      <c r="H42" s="675"/>
      <c r="I42" s="675"/>
      <c r="J42" s="675"/>
      <c r="K42" s="675"/>
      <c r="L42" s="675"/>
      <c r="M42" s="675"/>
      <c r="N42" s="675"/>
      <c r="O42" s="677"/>
      <c r="P42" s="672"/>
      <c r="Q42" s="1408"/>
    </row>
    <row r="43" spans="1:22">
      <c r="A43" s="714"/>
      <c r="B43" s="674" t="s">
        <v>7033</v>
      </c>
      <c r="C43" s="675"/>
      <c r="D43" s="675"/>
      <c r="E43" s="675"/>
      <c r="F43" s="675"/>
      <c r="G43" s="675"/>
      <c r="H43" s="675"/>
      <c r="I43" s="675"/>
      <c r="J43" s="675"/>
      <c r="K43" s="675"/>
      <c r="L43" s="675"/>
      <c r="M43" s="675"/>
      <c r="N43" s="675"/>
      <c r="O43" s="677"/>
      <c r="P43" s="672"/>
      <c r="Q43" s="1408"/>
    </row>
    <row r="44" spans="1:22">
      <c r="A44" s="714"/>
      <c r="B44" s="674" t="s">
        <v>7387</v>
      </c>
      <c r="C44" s="687"/>
      <c r="D44" s="687"/>
      <c r="E44" s="687"/>
      <c r="F44" s="687"/>
      <c r="G44" s="687"/>
      <c r="H44" s="687"/>
      <c r="I44" s="687"/>
      <c r="J44" s="687"/>
      <c r="K44" s="675"/>
      <c r="L44" s="687"/>
      <c r="M44" s="688">
        <v>444</v>
      </c>
      <c r="N44" s="687"/>
      <c r="O44" s="677">
        <f>SUM(C44:N44)</f>
        <v>444</v>
      </c>
      <c r="P44" s="672"/>
      <c r="Q44" s="1408"/>
    </row>
    <row r="45" spans="1:22">
      <c r="A45" s="714"/>
      <c r="B45" s="674" t="s">
        <v>6860</v>
      </c>
      <c r="C45" s="945"/>
      <c r="D45" s="945"/>
      <c r="E45" s="945"/>
      <c r="F45" s="945"/>
      <c r="G45" s="945"/>
      <c r="H45" s="945"/>
      <c r="I45" s="945"/>
      <c r="J45" s="945"/>
      <c r="K45" s="675"/>
      <c r="L45" s="945"/>
      <c r="M45" s="945"/>
      <c r="N45" s="945"/>
      <c r="O45" s="668">
        <f>SUM(C45:N45)</f>
        <v>0</v>
      </c>
      <c r="P45" s="672"/>
      <c r="Q45" s="1408"/>
    </row>
    <row r="46" spans="1:22">
      <c r="A46" s="714"/>
      <c r="B46" s="674" t="s">
        <v>7035</v>
      </c>
      <c r="C46" s="675"/>
      <c r="D46" s="675">
        <v>1200</v>
      </c>
      <c r="E46" s="675"/>
      <c r="F46" s="675"/>
      <c r="G46" s="675"/>
      <c r="H46" s="675"/>
      <c r="I46" s="675">
        <v>450</v>
      </c>
      <c r="J46" s="675"/>
      <c r="K46" s="675"/>
      <c r="L46" s="675"/>
      <c r="M46" s="675"/>
      <c r="N46" s="675"/>
      <c r="O46" s="668">
        <f>SUM(C46:N46)</f>
        <v>1650</v>
      </c>
      <c r="P46" s="672"/>
      <c r="Q46" s="1408"/>
    </row>
    <row r="47" spans="1:22">
      <c r="A47" s="714"/>
      <c r="B47" s="666" t="s">
        <v>6323</v>
      </c>
      <c r="C47" s="677">
        <f t="shared" ref="C47:N47" si="5">SUM(C45:C46)</f>
        <v>0</v>
      </c>
      <c r="D47" s="677">
        <f t="shared" si="5"/>
        <v>1200</v>
      </c>
      <c r="E47" s="677">
        <f t="shared" si="5"/>
        <v>0</v>
      </c>
      <c r="F47" s="677">
        <f t="shared" si="5"/>
        <v>0</v>
      </c>
      <c r="G47" s="677">
        <f t="shared" si="5"/>
        <v>0</v>
      </c>
      <c r="H47" s="677">
        <f t="shared" si="5"/>
        <v>0</v>
      </c>
      <c r="I47" s="677">
        <f t="shared" si="5"/>
        <v>450</v>
      </c>
      <c r="J47" s="677">
        <f t="shared" si="5"/>
        <v>0</v>
      </c>
      <c r="K47" s="677">
        <f t="shared" si="5"/>
        <v>0</v>
      </c>
      <c r="L47" s="677">
        <f t="shared" si="5"/>
        <v>0</v>
      </c>
      <c r="M47" s="677">
        <f t="shared" si="5"/>
        <v>0</v>
      </c>
      <c r="N47" s="677">
        <f t="shared" si="5"/>
        <v>0</v>
      </c>
      <c r="O47" s="668">
        <f>SUM(C47:N47)</f>
        <v>1650</v>
      </c>
      <c r="P47" s="669"/>
      <c r="Q47" s="1410"/>
      <c r="R47" s="578"/>
      <c r="S47" s="578"/>
      <c r="T47" s="578"/>
      <c r="U47" s="578"/>
      <c r="V47" s="578"/>
    </row>
    <row r="48" spans="1:22">
      <c r="A48" s="714"/>
      <c r="B48" s="689" t="s">
        <v>1126</v>
      </c>
      <c r="C48" s="690">
        <f t="shared" ref="C48:O48" si="6">SUM(C38:C46)</f>
        <v>146.88</v>
      </c>
      <c r="D48" s="690">
        <f t="shared" si="6"/>
        <v>1346.88</v>
      </c>
      <c r="E48" s="690">
        <f t="shared" si="6"/>
        <v>146.88</v>
      </c>
      <c r="F48" s="690">
        <f t="shared" si="6"/>
        <v>558.08999999999992</v>
      </c>
      <c r="G48" s="690">
        <f t="shared" si="6"/>
        <v>146.88</v>
      </c>
      <c r="H48" s="690">
        <f t="shared" si="6"/>
        <v>146.88</v>
      </c>
      <c r="I48" s="690">
        <f t="shared" si="6"/>
        <v>596.88</v>
      </c>
      <c r="J48" s="690">
        <f t="shared" si="6"/>
        <v>146.88</v>
      </c>
      <c r="K48" s="690">
        <f t="shared" si="6"/>
        <v>146.88</v>
      </c>
      <c r="L48" s="690">
        <f t="shared" si="6"/>
        <v>146.88</v>
      </c>
      <c r="M48" s="690">
        <f t="shared" si="6"/>
        <v>1002.0899999999999</v>
      </c>
      <c r="N48" s="690">
        <f t="shared" si="6"/>
        <v>146.88</v>
      </c>
      <c r="O48" s="690">
        <f t="shared" si="6"/>
        <v>4678.9800000000005</v>
      </c>
      <c r="P48" s="691"/>
      <c r="Q48" s="1411"/>
      <c r="R48" s="1412"/>
      <c r="S48" s="1412"/>
      <c r="T48" s="1412"/>
      <c r="U48" s="1412"/>
      <c r="V48" s="1412"/>
    </row>
    <row r="49" spans="1:22">
      <c r="A49" s="715"/>
      <c r="B49" s="692" t="s">
        <v>791</v>
      </c>
      <c r="C49" s="693">
        <f t="shared" ref="C49:O49" si="7">C35-C48</f>
        <v>673.12</v>
      </c>
      <c r="D49" s="693">
        <f t="shared" si="7"/>
        <v>-526.88000000000011</v>
      </c>
      <c r="E49" s="693">
        <f t="shared" si="7"/>
        <v>673.12</v>
      </c>
      <c r="F49" s="693">
        <f t="shared" si="7"/>
        <v>261.91000000000008</v>
      </c>
      <c r="G49" s="693">
        <f t="shared" si="7"/>
        <v>673.12</v>
      </c>
      <c r="H49" s="693">
        <f t="shared" si="7"/>
        <v>673.12</v>
      </c>
      <c r="I49" s="693">
        <f t="shared" si="7"/>
        <v>223.12</v>
      </c>
      <c r="J49" s="693">
        <f t="shared" si="7"/>
        <v>673.12</v>
      </c>
      <c r="K49" s="693">
        <f t="shared" si="7"/>
        <v>673.12</v>
      </c>
      <c r="L49" s="693">
        <f t="shared" si="7"/>
        <v>673.12</v>
      </c>
      <c r="M49" s="693">
        <f t="shared" si="7"/>
        <v>-182.08999999999992</v>
      </c>
      <c r="N49" s="693">
        <f t="shared" si="7"/>
        <v>673.12</v>
      </c>
      <c r="O49" s="693">
        <f t="shared" si="7"/>
        <v>5161.0199999999995</v>
      </c>
      <c r="P49" s="694"/>
      <c r="Q49" s="16">
        <f>O49/12</f>
        <v>430.08499999999998</v>
      </c>
      <c r="R49" s="9" t="s">
        <v>6477</v>
      </c>
    </row>
    <row r="50" spans="1:22">
      <c r="A50" s="947"/>
      <c r="B50" s="950" t="s">
        <v>7036</v>
      </c>
      <c r="C50" s="950">
        <v>0</v>
      </c>
      <c r="D50" s="950">
        <v>0</v>
      </c>
      <c r="E50" s="950">
        <v>0</v>
      </c>
      <c r="F50" s="950">
        <v>0</v>
      </c>
      <c r="G50" s="950">
        <v>0</v>
      </c>
      <c r="H50" s="950">
        <v>0</v>
      </c>
      <c r="I50" s="950">
        <v>0</v>
      </c>
      <c r="J50" s="950">
        <v>0</v>
      </c>
      <c r="K50" s="950">
        <v>0</v>
      </c>
      <c r="L50" s="950">
        <v>0</v>
      </c>
      <c r="M50" s="950">
        <v>0</v>
      </c>
      <c r="N50" s="951">
        <v>0</v>
      </c>
      <c r="O50" s="952">
        <f>SUM(C50:N50)</f>
        <v>0</v>
      </c>
      <c r="P50" s="953"/>
      <c r="Q50" s="16"/>
    </row>
    <row r="51" spans="1:22">
      <c r="A51" s="692"/>
      <c r="B51" s="692" t="s">
        <v>6861</v>
      </c>
      <c r="C51" s="996">
        <f t="shared" ref="C51:O51" si="8">C49-C50</f>
        <v>673.12</v>
      </c>
      <c r="D51" s="996">
        <f t="shared" si="8"/>
        <v>-526.88000000000011</v>
      </c>
      <c r="E51" s="996">
        <f t="shared" si="8"/>
        <v>673.12</v>
      </c>
      <c r="F51" s="956">
        <f t="shared" si="8"/>
        <v>261.91000000000008</v>
      </c>
      <c r="G51" s="996">
        <f t="shared" si="8"/>
        <v>673.12</v>
      </c>
      <c r="H51" s="956">
        <f t="shared" si="8"/>
        <v>673.12</v>
      </c>
      <c r="I51" s="956">
        <f t="shared" si="8"/>
        <v>223.12</v>
      </c>
      <c r="J51" s="956">
        <f t="shared" si="8"/>
        <v>673.12</v>
      </c>
      <c r="K51" s="956">
        <f t="shared" si="8"/>
        <v>673.12</v>
      </c>
      <c r="L51" s="956">
        <f t="shared" si="8"/>
        <v>673.12</v>
      </c>
      <c r="M51" s="956">
        <f t="shared" si="8"/>
        <v>-182.08999999999992</v>
      </c>
      <c r="N51" s="956">
        <f t="shared" si="8"/>
        <v>673.12</v>
      </c>
      <c r="O51" s="956">
        <f t="shared" si="8"/>
        <v>5161.0199999999995</v>
      </c>
      <c r="P51" s="709"/>
      <c r="Q51" s="16"/>
    </row>
    <row r="52" spans="1:22">
      <c r="B52" s="2130" t="s">
        <v>7388</v>
      </c>
      <c r="C52" s="2087"/>
      <c r="D52" s="2087"/>
      <c r="E52" s="2087"/>
      <c r="F52" s="2087"/>
      <c r="G52" s="2087"/>
      <c r="H52" s="2087"/>
      <c r="I52" s="2087"/>
      <c r="J52" s="2087"/>
      <c r="K52" s="2087"/>
      <c r="L52" s="2087"/>
      <c r="M52" s="2087"/>
      <c r="N52" s="2087"/>
      <c r="O52" s="2087"/>
      <c r="Q52" s="16"/>
    </row>
    <row r="53" spans="1:22">
      <c r="B53" s="660"/>
      <c r="C53" s="660"/>
      <c r="D53" s="660"/>
      <c r="E53" s="660"/>
      <c r="F53" s="660"/>
      <c r="G53" s="660"/>
      <c r="H53" s="660"/>
      <c r="I53" s="660"/>
      <c r="J53" s="660"/>
      <c r="K53" s="660"/>
      <c r="L53" s="660"/>
      <c r="M53" s="660"/>
      <c r="N53" s="660"/>
      <c r="O53" s="660"/>
      <c r="P53" s="660"/>
      <c r="Q53" s="16"/>
    </row>
    <row r="54" spans="1:22">
      <c r="A54" s="714"/>
      <c r="B54" s="2126" t="s">
        <v>7026</v>
      </c>
      <c r="C54" s="2127"/>
      <c r="D54" s="2127"/>
      <c r="E54" s="2127"/>
      <c r="F54" s="2127"/>
      <c r="G54" s="2127"/>
      <c r="H54" s="2127"/>
      <c r="I54" s="2127"/>
      <c r="J54" s="2127"/>
      <c r="K54" s="2127"/>
      <c r="L54" s="2127"/>
      <c r="M54" s="2127"/>
      <c r="N54" s="2127"/>
      <c r="O54" s="2128"/>
      <c r="P54" s="661"/>
      <c r="Q54" s="1408"/>
    </row>
    <row r="55" spans="1:22">
      <c r="A55" s="714"/>
      <c r="B55" s="662" t="s">
        <v>7951</v>
      </c>
      <c r="C55" s="663" t="s">
        <v>143</v>
      </c>
      <c r="D55" s="663" t="s">
        <v>26</v>
      </c>
      <c r="E55" s="663" t="s">
        <v>25</v>
      </c>
      <c r="F55" s="663" t="s">
        <v>24</v>
      </c>
      <c r="G55" s="663" t="s">
        <v>23</v>
      </c>
      <c r="H55" s="663" t="s">
        <v>22</v>
      </c>
      <c r="I55" s="663" t="s">
        <v>21</v>
      </c>
      <c r="J55" s="663" t="s">
        <v>20</v>
      </c>
      <c r="K55" s="663" t="s">
        <v>256</v>
      </c>
      <c r="L55" s="663" t="s">
        <v>18</v>
      </c>
      <c r="M55" s="663" t="s">
        <v>17</v>
      </c>
      <c r="N55" s="663" t="s">
        <v>86</v>
      </c>
      <c r="O55" s="664" t="s">
        <v>67</v>
      </c>
      <c r="P55" s="665"/>
      <c r="Q55" s="1409"/>
      <c r="R55" s="578"/>
      <c r="S55" s="578"/>
      <c r="T55" s="578"/>
      <c r="U55" s="578"/>
      <c r="V55" s="578"/>
    </row>
    <row r="56" spans="1:22">
      <c r="A56" s="994"/>
      <c r="B56" s="666" t="s">
        <v>7027</v>
      </c>
      <c r="C56" s="12">
        <v>700</v>
      </c>
      <c r="D56" s="12">
        <v>700</v>
      </c>
      <c r="E56" s="12">
        <v>700</v>
      </c>
      <c r="F56" s="12">
        <v>700</v>
      </c>
      <c r="G56" s="12">
        <v>700</v>
      </c>
      <c r="H56" s="12">
        <v>700</v>
      </c>
      <c r="I56" s="12">
        <v>700</v>
      </c>
      <c r="J56" s="12">
        <v>700</v>
      </c>
      <c r="K56" s="12">
        <v>700</v>
      </c>
      <c r="L56" s="12">
        <v>700</v>
      </c>
      <c r="M56" s="12">
        <v>700</v>
      </c>
      <c r="N56" s="12">
        <v>700</v>
      </c>
      <c r="O56" s="668">
        <f>SUM(C56:N56)</f>
        <v>8400</v>
      </c>
      <c r="P56" s="669"/>
      <c r="Q56" s="1410"/>
      <c r="R56" s="578"/>
      <c r="S56" s="578"/>
      <c r="T56" s="578"/>
      <c r="U56" s="578"/>
      <c r="V56" s="578"/>
    </row>
    <row r="57" spans="1:22">
      <c r="A57" s="714"/>
      <c r="B57" s="666" t="s">
        <v>7028</v>
      </c>
      <c r="C57" s="12">
        <v>200</v>
      </c>
      <c r="D57" s="12">
        <v>200</v>
      </c>
      <c r="E57" s="12">
        <v>200</v>
      </c>
      <c r="F57" s="12">
        <v>200</v>
      </c>
      <c r="G57" s="12">
        <v>200</v>
      </c>
      <c r="H57" s="12">
        <v>200</v>
      </c>
      <c r="I57" s="12">
        <v>200</v>
      </c>
      <c r="J57" s="12">
        <v>200</v>
      </c>
      <c r="K57" s="12">
        <v>200</v>
      </c>
      <c r="L57" s="12">
        <v>200</v>
      </c>
      <c r="M57" s="12">
        <v>200</v>
      </c>
      <c r="N57" s="12">
        <v>200</v>
      </c>
      <c r="O57" s="668">
        <f>SUM(C57:N57)</f>
        <v>2400</v>
      </c>
      <c r="P57" s="672"/>
      <c r="Q57" s="1408"/>
    </row>
    <row r="58" spans="1:22">
      <c r="A58" s="714"/>
      <c r="B58" s="666" t="s">
        <v>7029</v>
      </c>
      <c r="C58" s="12">
        <v>500</v>
      </c>
      <c r="D58" s="12">
        <v>500</v>
      </c>
      <c r="E58" s="12">
        <v>500</v>
      </c>
      <c r="F58" s="12">
        <v>500</v>
      </c>
      <c r="G58" s="12">
        <v>500</v>
      </c>
      <c r="H58" s="12">
        <v>500</v>
      </c>
      <c r="I58" s="12">
        <v>500</v>
      </c>
      <c r="J58" s="12">
        <v>500</v>
      </c>
      <c r="K58" s="12">
        <v>500</v>
      </c>
      <c r="L58" s="12">
        <v>500</v>
      </c>
      <c r="M58" s="12">
        <v>500</v>
      </c>
      <c r="N58" s="12">
        <v>500</v>
      </c>
      <c r="O58" s="668">
        <f>SUM(C58:N58)</f>
        <v>6000</v>
      </c>
      <c r="P58" s="672"/>
      <c r="Q58" s="1408"/>
    </row>
    <row r="59" spans="1:22">
      <c r="A59" s="714"/>
      <c r="B59" s="666" t="s">
        <v>7030</v>
      </c>
      <c r="C59" s="12">
        <v>150</v>
      </c>
      <c r="D59" s="12">
        <v>150</v>
      </c>
      <c r="E59" s="12">
        <v>150</v>
      </c>
      <c r="F59" s="12">
        <v>150</v>
      </c>
      <c r="G59" s="12">
        <v>150</v>
      </c>
      <c r="H59" s="12">
        <v>150</v>
      </c>
      <c r="I59" s="12">
        <v>150</v>
      </c>
      <c r="J59" s="12">
        <v>150</v>
      </c>
      <c r="K59" s="12">
        <v>150</v>
      </c>
      <c r="L59" s="12">
        <v>150</v>
      </c>
      <c r="M59" s="12">
        <v>150</v>
      </c>
      <c r="N59" s="12">
        <v>150</v>
      </c>
      <c r="O59" s="668">
        <f>SUM(C59:N59)</f>
        <v>1800</v>
      </c>
      <c r="P59" s="672"/>
      <c r="Q59" s="1408"/>
    </row>
    <row r="60" spans="1:22">
      <c r="A60" s="714"/>
      <c r="B60" s="666" t="s">
        <v>6847</v>
      </c>
      <c r="C60" s="667">
        <f t="shared" ref="C60:O60" si="9">SUM(C56:C59)</f>
        <v>1550</v>
      </c>
      <c r="D60" s="667">
        <f t="shared" si="9"/>
        <v>1550</v>
      </c>
      <c r="E60" s="667">
        <f t="shared" si="9"/>
        <v>1550</v>
      </c>
      <c r="F60" s="667">
        <f t="shared" si="9"/>
        <v>1550</v>
      </c>
      <c r="G60" s="667">
        <f t="shared" si="9"/>
        <v>1550</v>
      </c>
      <c r="H60" s="667">
        <f t="shared" si="9"/>
        <v>1550</v>
      </c>
      <c r="I60" s="667">
        <f t="shared" si="9"/>
        <v>1550</v>
      </c>
      <c r="J60" s="667">
        <f t="shared" si="9"/>
        <v>1550</v>
      </c>
      <c r="K60" s="667">
        <f t="shared" si="9"/>
        <v>1550</v>
      </c>
      <c r="L60" s="667">
        <f t="shared" si="9"/>
        <v>1550</v>
      </c>
      <c r="M60" s="667">
        <f t="shared" si="9"/>
        <v>1550</v>
      </c>
      <c r="N60" s="667">
        <f t="shared" si="9"/>
        <v>1550</v>
      </c>
      <c r="O60" s="667">
        <f t="shared" si="9"/>
        <v>18600</v>
      </c>
      <c r="P60" s="672"/>
      <c r="Q60" s="1408"/>
    </row>
    <row r="61" spans="1:22">
      <c r="A61" s="714"/>
      <c r="B61" s="1342" t="s">
        <v>6389</v>
      </c>
      <c r="C61" s="1343" t="s">
        <v>135</v>
      </c>
      <c r="D61" s="1343">
        <v>0</v>
      </c>
      <c r="E61" s="1343">
        <v>0</v>
      </c>
      <c r="F61" s="1343">
        <v>0</v>
      </c>
      <c r="G61" s="1343" t="s">
        <v>135</v>
      </c>
      <c r="H61" s="1343" t="s">
        <v>135</v>
      </c>
      <c r="I61" s="1343" t="s">
        <v>135</v>
      </c>
      <c r="J61" s="1343" t="s">
        <v>135</v>
      </c>
      <c r="K61" s="1343"/>
      <c r="L61" s="1343"/>
      <c r="M61" s="1343"/>
      <c r="N61" s="1343"/>
      <c r="O61" s="1344">
        <f>SUM(C61:N61)</f>
        <v>0</v>
      </c>
      <c r="P61" s="672"/>
      <c r="Q61" s="1408"/>
    </row>
    <row r="62" spans="1:22">
      <c r="A62" s="714"/>
      <c r="B62" s="666" t="s">
        <v>4397</v>
      </c>
      <c r="C62" s="671"/>
      <c r="D62" s="671"/>
      <c r="E62" s="671"/>
      <c r="F62" s="671"/>
      <c r="G62" s="671"/>
      <c r="H62" s="671"/>
      <c r="I62" s="671"/>
      <c r="J62" s="671"/>
      <c r="K62" s="671"/>
      <c r="L62" s="671"/>
      <c r="M62" s="671"/>
      <c r="N62" s="671"/>
      <c r="O62" s="668"/>
      <c r="P62" s="672"/>
      <c r="Q62" s="1408"/>
    </row>
    <row r="63" spans="1:22">
      <c r="A63" s="714"/>
      <c r="B63" s="674" t="s">
        <v>5024</v>
      </c>
      <c r="C63" s="675"/>
      <c r="D63" s="675"/>
      <c r="E63" s="675"/>
      <c r="F63" s="675"/>
      <c r="G63" s="675"/>
      <c r="H63" s="675"/>
      <c r="I63" s="1413"/>
      <c r="J63" s="1413"/>
      <c r="K63" s="1413"/>
      <c r="L63" s="1413"/>
      <c r="M63" s="1413"/>
      <c r="N63" s="1413"/>
      <c r="O63" s="668">
        <f>SUM(C63:N63)</f>
        <v>0</v>
      </c>
      <c r="P63" s="672"/>
      <c r="Q63" s="1408"/>
    </row>
    <row r="64" spans="1:22">
      <c r="A64" s="714"/>
      <c r="B64" s="674" t="s">
        <v>4399</v>
      </c>
      <c r="C64" s="675"/>
      <c r="D64" s="675"/>
      <c r="E64" s="675"/>
      <c r="F64" s="676">
        <v>656.78</v>
      </c>
      <c r="G64" s="675"/>
      <c r="H64" s="675"/>
      <c r="I64" s="675"/>
      <c r="J64" s="675"/>
      <c r="K64" s="675"/>
      <c r="L64" s="675"/>
      <c r="M64" s="676">
        <v>656.78</v>
      </c>
      <c r="N64" s="675"/>
      <c r="O64" s="677">
        <f>SUM(C64:N64)</f>
        <v>1313.56</v>
      </c>
      <c r="P64" s="672"/>
      <c r="Q64" s="1408"/>
    </row>
    <row r="65" spans="1:22">
      <c r="A65" s="714"/>
      <c r="B65" s="674" t="s">
        <v>7031</v>
      </c>
      <c r="C65" s="675">
        <v>165.21</v>
      </c>
      <c r="D65" s="675">
        <v>181.22</v>
      </c>
      <c r="E65" s="675">
        <v>161.72</v>
      </c>
      <c r="F65" s="675">
        <v>190.45</v>
      </c>
      <c r="G65" s="675">
        <v>171.7</v>
      </c>
      <c r="H65" s="675">
        <v>318.39</v>
      </c>
      <c r="I65" s="675">
        <v>233.77</v>
      </c>
      <c r="J65" s="675">
        <v>225.71</v>
      </c>
      <c r="K65" s="675">
        <v>221.68</v>
      </c>
      <c r="L65" s="675">
        <v>241.83</v>
      </c>
      <c r="M65" s="675">
        <v>213.62</v>
      </c>
      <c r="N65" s="675">
        <v>257.95</v>
      </c>
      <c r="O65" s="677">
        <f>SUM(C65:N65)</f>
        <v>2583.25</v>
      </c>
      <c r="P65" s="672"/>
      <c r="Q65" s="1408">
        <f>AVERAGE(C65:N65)</f>
        <v>215.27083333333334</v>
      </c>
      <c r="R65" s="9" t="s">
        <v>659</v>
      </c>
    </row>
    <row r="66" spans="1:22">
      <c r="A66" s="714"/>
      <c r="B66" s="674" t="s">
        <v>6850</v>
      </c>
      <c r="C66" s="675">
        <v>263.73</v>
      </c>
      <c r="D66" s="675">
        <v>175.89</v>
      </c>
      <c r="E66" s="675">
        <v>157.03</v>
      </c>
      <c r="F66" s="675">
        <v>185.4</v>
      </c>
      <c r="G66" s="675">
        <v>226.38</v>
      </c>
      <c r="H66" s="675">
        <v>283.70999999999998</v>
      </c>
      <c r="I66" s="675">
        <v>220.37</v>
      </c>
      <c r="J66" s="675">
        <v>211.47</v>
      </c>
      <c r="K66" s="675">
        <v>212.06</v>
      </c>
      <c r="L66" s="675">
        <v>194.41</v>
      </c>
      <c r="M66" s="675">
        <v>194.41</v>
      </c>
      <c r="N66" s="675">
        <v>216.21</v>
      </c>
      <c r="O66" s="677">
        <f>SUM(C66:N66)</f>
        <v>2541.0699999999997</v>
      </c>
      <c r="P66" s="672"/>
      <c r="Q66" s="1408">
        <f>AVERAGE(C66:N66)</f>
        <v>211.7558333333333</v>
      </c>
      <c r="R66" s="9" t="s">
        <v>659</v>
      </c>
    </row>
    <row r="67" spans="1:22">
      <c r="A67" s="714"/>
      <c r="B67" s="674" t="s">
        <v>7032</v>
      </c>
      <c r="C67" s="675"/>
      <c r="D67" s="675"/>
      <c r="E67" s="675"/>
      <c r="F67" s="675"/>
      <c r="G67" s="675"/>
      <c r="H67" s="675"/>
      <c r="I67" s="675"/>
      <c r="J67" s="675"/>
      <c r="K67" s="675">
        <v>679</v>
      </c>
      <c r="L67" s="675"/>
      <c r="M67" s="675"/>
      <c r="N67" s="675"/>
      <c r="O67" s="677"/>
      <c r="P67" s="672"/>
      <c r="Q67" s="1408">
        <f>Q65+Q66</f>
        <v>427.02666666666664</v>
      </c>
    </row>
    <row r="68" spans="1:22">
      <c r="A68" s="714"/>
      <c r="B68" s="674" t="s">
        <v>7033</v>
      </c>
      <c r="C68" s="675"/>
      <c r="D68" s="675"/>
      <c r="E68" s="675"/>
      <c r="F68" s="675"/>
      <c r="G68" s="675"/>
      <c r="H68" s="675"/>
      <c r="I68" s="675"/>
      <c r="J68" s="675"/>
      <c r="K68" s="675"/>
      <c r="L68" s="675"/>
      <c r="M68" s="675"/>
      <c r="N68" s="675"/>
      <c r="O68" s="677"/>
      <c r="P68" s="672"/>
      <c r="Q68" s="1408"/>
    </row>
    <row r="69" spans="1:22">
      <c r="A69" s="714"/>
      <c r="B69" s="674" t="s">
        <v>7034</v>
      </c>
      <c r="C69" s="675"/>
      <c r="D69" s="675"/>
      <c r="E69" s="675"/>
      <c r="F69" s="675"/>
      <c r="G69" s="675"/>
      <c r="H69" s="675"/>
      <c r="I69" s="675"/>
      <c r="J69" s="675"/>
      <c r="K69" s="676"/>
      <c r="L69" s="675"/>
      <c r="M69" s="675"/>
      <c r="N69" s="675"/>
      <c r="O69" s="677">
        <f>SUM(C69:N69)</f>
        <v>0</v>
      </c>
      <c r="P69" s="672"/>
      <c r="Q69" s="1408"/>
    </row>
    <row r="70" spans="1:22">
      <c r="A70" s="714"/>
      <c r="B70" s="674" t="s">
        <v>6860</v>
      </c>
      <c r="C70" s="675"/>
      <c r="D70" s="675"/>
      <c r="E70" s="675"/>
      <c r="F70" s="675"/>
      <c r="G70" s="675"/>
      <c r="H70" s="675"/>
      <c r="I70" s="675"/>
      <c r="J70" s="675"/>
      <c r="K70" s="675"/>
      <c r="L70" s="675"/>
      <c r="M70" s="675"/>
      <c r="N70" s="675"/>
      <c r="O70" s="668">
        <f>SUM(C70:N70)</f>
        <v>0</v>
      </c>
      <c r="P70" s="672"/>
      <c r="Q70" s="1408"/>
    </row>
    <row r="71" spans="1:22">
      <c r="A71" s="714"/>
      <c r="B71" s="674" t="s">
        <v>7035</v>
      </c>
      <c r="C71" s="675"/>
      <c r="D71" s="675"/>
      <c r="E71" s="675">
        <v>100</v>
      </c>
      <c r="F71" s="675"/>
      <c r="G71" s="675"/>
      <c r="H71" s="675">
        <v>450</v>
      </c>
      <c r="I71" s="675"/>
      <c r="J71" s="675"/>
      <c r="K71" s="675">
        <v>10</v>
      </c>
      <c r="L71" s="675">
        <f>10+40.61</f>
        <v>50.61</v>
      </c>
      <c r="M71" s="675"/>
      <c r="N71" s="675"/>
      <c r="O71" s="668">
        <f>SUM(C71:N71)</f>
        <v>610.61</v>
      </c>
      <c r="P71" s="672"/>
      <c r="Q71" s="1408"/>
    </row>
    <row r="72" spans="1:22">
      <c r="A72" s="714"/>
      <c r="B72" s="666" t="s">
        <v>6323</v>
      </c>
      <c r="C72" s="677">
        <f t="shared" ref="C72:N72" si="10">SUM(C70:C71)</f>
        <v>0</v>
      </c>
      <c r="D72" s="677">
        <f t="shared" si="10"/>
        <v>0</v>
      </c>
      <c r="E72" s="677">
        <f t="shared" si="10"/>
        <v>100</v>
      </c>
      <c r="F72" s="677">
        <f t="shared" si="10"/>
        <v>0</v>
      </c>
      <c r="G72" s="677">
        <f t="shared" si="10"/>
        <v>0</v>
      </c>
      <c r="H72" s="677">
        <f t="shared" si="10"/>
        <v>450</v>
      </c>
      <c r="I72" s="677">
        <f t="shared" si="10"/>
        <v>0</v>
      </c>
      <c r="J72" s="677">
        <f t="shared" si="10"/>
        <v>0</v>
      </c>
      <c r="K72" s="677">
        <f t="shared" si="10"/>
        <v>10</v>
      </c>
      <c r="L72" s="677">
        <f t="shared" si="10"/>
        <v>50.61</v>
      </c>
      <c r="M72" s="677">
        <f t="shared" si="10"/>
        <v>0</v>
      </c>
      <c r="N72" s="677">
        <f t="shared" si="10"/>
        <v>0</v>
      </c>
      <c r="O72" s="668">
        <f>SUM(C72:N72)</f>
        <v>610.61</v>
      </c>
      <c r="P72" s="669"/>
      <c r="Q72" s="1410"/>
      <c r="R72" s="578"/>
      <c r="S72" s="578"/>
      <c r="T72" s="578"/>
      <c r="U72" s="578"/>
      <c r="V72" s="578"/>
    </row>
    <row r="73" spans="1:22">
      <c r="A73" s="714"/>
      <c r="B73" s="689" t="s">
        <v>1126</v>
      </c>
      <c r="C73" s="690">
        <f t="shared" ref="C73:O73" si="11">SUM(C64:C71)</f>
        <v>428.94000000000005</v>
      </c>
      <c r="D73" s="690">
        <f t="shared" si="11"/>
        <v>357.11</v>
      </c>
      <c r="E73" s="690">
        <f t="shared" si="11"/>
        <v>418.75</v>
      </c>
      <c r="F73" s="690">
        <f t="shared" si="11"/>
        <v>1032.6300000000001</v>
      </c>
      <c r="G73" s="690">
        <f t="shared" si="11"/>
        <v>398.08</v>
      </c>
      <c r="H73" s="690">
        <f t="shared" si="11"/>
        <v>1052.0999999999999</v>
      </c>
      <c r="I73" s="690">
        <f t="shared" si="11"/>
        <v>454.14</v>
      </c>
      <c r="J73" s="690">
        <f t="shared" si="11"/>
        <v>437.18</v>
      </c>
      <c r="K73" s="690">
        <f t="shared" si="11"/>
        <v>1122.74</v>
      </c>
      <c r="L73" s="690">
        <f t="shared" si="11"/>
        <v>486.85</v>
      </c>
      <c r="M73" s="690">
        <f t="shared" si="11"/>
        <v>1064.81</v>
      </c>
      <c r="N73" s="690">
        <f t="shared" si="11"/>
        <v>474.15999999999997</v>
      </c>
      <c r="O73" s="995">
        <f t="shared" si="11"/>
        <v>7048.4899999999989</v>
      </c>
      <c r="P73" s="691"/>
      <c r="Q73" s="1411"/>
      <c r="R73" s="1412"/>
      <c r="S73" s="1412"/>
      <c r="T73" s="1412"/>
      <c r="U73" s="1412"/>
      <c r="V73" s="1412"/>
    </row>
    <row r="74" spans="1:22">
      <c r="A74" s="715"/>
      <c r="B74" s="692" t="s">
        <v>791</v>
      </c>
      <c r="C74" s="693">
        <f t="shared" ref="C74:O74" si="12">C60-C73</f>
        <v>1121.06</v>
      </c>
      <c r="D74" s="693">
        <f t="shared" si="12"/>
        <v>1192.8899999999999</v>
      </c>
      <c r="E74" s="693">
        <f t="shared" si="12"/>
        <v>1131.25</v>
      </c>
      <c r="F74" s="693">
        <f t="shared" si="12"/>
        <v>517.36999999999989</v>
      </c>
      <c r="G74" s="693">
        <f t="shared" si="12"/>
        <v>1151.92</v>
      </c>
      <c r="H74" s="693">
        <f t="shared" si="12"/>
        <v>497.90000000000009</v>
      </c>
      <c r="I74" s="693">
        <f t="shared" si="12"/>
        <v>1095.8600000000001</v>
      </c>
      <c r="J74" s="693">
        <f t="shared" si="12"/>
        <v>1112.82</v>
      </c>
      <c r="K74" s="693">
        <f t="shared" si="12"/>
        <v>427.26</v>
      </c>
      <c r="L74" s="693">
        <f t="shared" si="12"/>
        <v>1063.1500000000001</v>
      </c>
      <c r="M74" s="693">
        <f t="shared" si="12"/>
        <v>485.19000000000005</v>
      </c>
      <c r="N74" s="693">
        <f t="shared" si="12"/>
        <v>1075.8400000000001</v>
      </c>
      <c r="O74" s="693">
        <f t="shared" si="12"/>
        <v>11551.510000000002</v>
      </c>
      <c r="P74" s="694"/>
      <c r="Q74" s="16">
        <f>O74/12</f>
        <v>962.6258333333335</v>
      </c>
      <c r="R74" s="9" t="s">
        <v>7953</v>
      </c>
    </row>
    <row r="75" spans="1:22">
      <c r="A75" s="947"/>
      <c r="B75" s="950" t="s">
        <v>7036</v>
      </c>
      <c r="C75" s="950">
        <v>0</v>
      </c>
      <c r="D75" s="950">
        <v>0</v>
      </c>
      <c r="E75" s="950">
        <v>0</v>
      </c>
      <c r="F75" s="950">
        <v>0</v>
      </c>
      <c r="G75" s="950">
        <v>0</v>
      </c>
      <c r="H75" s="950">
        <v>0</v>
      </c>
      <c r="I75" s="950">
        <v>0</v>
      </c>
      <c r="J75" s="950">
        <v>0</v>
      </c>
      <c r="K75" s="950">
        <v>0</v>
      </c>
      <c r="L75" s="950">
        <v>0</v>
      </c>
      <c r="M75" s="950">
        <v>0</v>
      </c>
      <c r="N75" s="951">
        <v>0</v>
      </c>
      <c r="O75" s="952">
        <f>SUM(C75:N75)</f>
        <v>0</v>
      </c>
      <c r="P75" s="953"/>
      <c r="Q75" s="16"/>
    </row>
    <row r="76" spans="1:22">
      <c r="A76" s="692"/>
      <c r="B76" s="692" t="s">
        <v>6861</v>
      </c>
      <c r="C76" s="996">
        <f t="shared" ref="C76:O76" si="13">C74-C75</f>
        <v>1121.06</v>
      </c>
      <c r="D76" s="996">
        <f t="shared" si="13"/>
        <v>1192.8899999999999</v>
      </c>
      <c r="E76" s="996">
        <f t="shared" si="13"/>
        <v>1131.25</v>
      </c>
      <c r="F76" s="996">
        <f t="shared" si="13"/>
        <v>517.36999999999989</v>
      </c>
      <c r="G76" s="996">
        <f t="shared" si="13"/>
        <v>1151.92</v>
      </c>
      <c r="H76" s="996">
        <f t="shared" si="13"/>
        <v>497.90000000000009</v>
      </c>
      <c r="I76" s="996">
        <f t="shared" si="13"/>
        <v>1095.8600000000001</v>
      </c>
      <c r="J76" s="996">
        <f t="shared" si="13"/>
        <v>1112.82</v>
      </c>
      <c r="K76" s="996">
        <f t="shared" si="13"/>
        <v>427.26</v>
      </c>
      <c r="L76" s="996">
        <f t="shared" si="13"/>
        <v>1063.1500000000001</v>
      </c>
      <c r="M76" s="996">
        <f t="shared" si="13"/>
        <v>485.19000000000005</v>
      </c>
      <c r="N76" s="996">
        <f t="shared" si="13"/>
        <v>1075.8400000000001</v>
      </c>
      <c r="O76" s="956">
        <f t="shared" si="13"/>
        <v>11551.510000000002</v>
      </c>
      <c r="P76" s="709"/>
      <c r="Q76" s="16"/>
    </row>
    <row r="77" spans="1:22">
      <c r="B77" s="2130" t="s">
        <v>7954</v>
      </c>
      <c r="C77" s="2087"/>
      <c r="D77" s="2087"/>
      <c r="E77" s="2087"/>
      <c r="F77" s="2087"/>
      <c r="G77" s="2087"/>
      <c r="H77" s="2087"/>
      <c r="I77" s="2087"/>
      <c r="J77" s="2087"/>
      <c r="K77" s="2087"/>
      <c r="L77" s="2087"/>
      <c r="M77" s="2087"/>
      <c r="N77" s="2087"/>
      <c r="O77" s="2087"/>
      <c r="Q77" s="16"/>
    </row>
    <row r="78" spans="1:22">
      <c r="B78" s="9" t="s">
        <v>7038</v>
      </c>
      <c r="C78" s="9">
        <f t="shared" ref="C78:O78" si="14">C65</f>
        <v>165.21</v>
      </c>
      <c r="D78" s="9">
        <f t="shared" si="14"/>
        <v>181.22</v>
      </c>
      <c r="E78" s="9">
        <f t="shared" si="14"/>
        <v>161.72</v>
      </c>
      <c r="F78" s="9">
        <f t="shared" si="14"/>
        <v>190.45</v>
      </c>
      <c r="G78" s="9">
        <f t="shared" si="14"/>
        <v>171.7</v>
      </c>
      <c r="H78" s="9">
        <f t="shared" si="14"/>
        <v>318.39</v>
      </c>
      <c r="I78" s="9">
        <f t="shared" si="14"/>
        <v>233.77</v>
      </c>
      <c r="J78" s="9">
        <f t="shared" si="14"/>
        <v>225.71</v>
      </c>
      <c r="K78" s="9">
        <f t="shared" si="14"/>
        <v>221.68</v>
      </c>
      <c r="L78" s="9">
        <f t="shared" si="14"/>
        <v>241.83</v>
      </c>
      <c r="M78" s="9">
        <f t="shared" si="14"/>
        <v>213.62</v>
      </c>
      <c r="N78" s="9">
        <f t="shared" si="14"/>
        <v>257.95</v>
      </c>
      <c r="O78" s="9">
        <f t="shared" si="14"/>
        <v>2583.25</v>
      </c>
      <c r="Q78" s="16">
        <f>AVERAGE(C78:H78)</f>
        <v>198.11500000000001</v>
      </c>
      <c r="R78" s="9" t="s">
        <v>659</v>
      </c>
    </row>
    <row r="79" spans="1:22">
      <c r="B79" s="9" t="s">
        <v>7039</v>
      </c>
      <c r="C79" s="9">
        <f t="shared" ref="C79:H79" si="15">C66</f>
        <v>263.73</v>
      </c>
      <c r="D79" s="9">
        <f t="shared" si="15"/>
        <v>175.89</v>
      </c>
      <c r="E79" s="9">
        <f t="shared" si="15"/>
        <v>157.03</v>
      </c>
      <c r="F79" s="9">
        <f t="shared" si="15"/>
        <v>185.4</v>
      </c>
      <c r="G79" s="9">
        <f t="shared" si="15"/>
        <v>226.38</v>
      </c>
      <c r="H79" s="9">
        <f t="shared" si="15"/>
        <v>283.70999999999998</v>
      </c>
      <c r="I79" s="9">
        <v>129.81</v>
      </c>
      <c r="J79" s="9">
        <f t="shared" ref="J79:O79" si="16">J66</f>
        <v>211.47</v>
      </c>
      <c r="K79" s="9">
        <f t="shared" si="16"/>
        <v>212.06</v>
      </c>
      <c r="L79" s="9">
        <f t="shared" si="16"/>
        <v>194.41</v>
      </c>
      <c r="M79" s="9">
        <f t="shared" si="16"/>
        <v>194.41</v>
      </c>
      <c r="N79" s="9">
        <f t="shared" si="16"/>
        <v>216.21</v>
      </c>
      <c r="O79" s="9">
        <f t="shared" si="16"/>
        <v>2541.0699999999997</v>
      </c>
      <c r="Q79" s="16">
        <f>AVERAGE(C79:H79)</f>
        <v>215.35666666666665</v>
      </c>
      <c r="R79" s="9" t="s">
        <v>659</v>
      </c>
    </row>
    <row r="80" spans="1:22">
      <c r="B80" s="9" t="s">
        <v>7040</v>
      </c>
      <c r="C80" s="9">
        <f>C57+C59</f>
        <v>350</v>
      </c>
      <c r="D80" s="9">
        <f>D57+D59</f>
        <v>350</v>
      </c>
      <c r="E80" s="9">
        <f>E57+E59</f>
        <v>350</v>
      </c>
      <c r="F80" s="9">
        <f>F57+F59</f>
        <v>350</v>
      </c>
      <c r="G80" s="9">
        <v>270</v>
      </c>
      <c r="H80" s="9">
        <v>270</v>
      </c>
      <c r="I80" s="9">
        <f t="shared" ref="I80:O80" si="17">I57+I59</f>
        <v>350</v>
      </c>
      <c r="J80" s="9">
        <f t="shared" si="17"/>
        <v>350</v>
      </c>
      <c r="K80" s="9">
        <f t="shared" si="17"/>
        <v>350</v>
      </c>
      <c r="L80" s="9">
        <f t="shared" si="17"/>
        <v>350</v>
      </c>
      <c r="M80" s="9">
        <f t="shared" si="17"/>
        <v>350</v>
      </c>
      <c r="N80" s="9">
        <f t="shared" si="17"/>
        <v>350</v>
      </c>
      <c r="O80" s="9">
        <f t="shared" si="17"/>
        <v>4200</v>
      </c>
      <c r="Q80" s="16">
        <f>AVERAGE(C80:H80)</f>
        <v>323.33333333333331</v>
      </c>
      <c r="R80" s="9" t="s">
        <v>659</v>
      </c>
    </row>
    <row r="81" spans="1:22">
      <c r="A81" s="578"/>
      <c r="B81" s="997" t="s">
        <v>59</v>
      </c>
      <c r="C81" s="997">
        <f t="shared" ref="C81:O81" si="18">C80-C79-C78</f>
        <v>-78.940000000000026</v>
      </c>
      <c r="D81" s="997">
        <f t="shared" si="18"/>
        <v>-7.1099999999999852</v>
      </c>
      <c r="E81" s="997">
        <f t="shared" si="18"/>
        <v>31.25</v>
      </c>
      <c r="F81" s="997">
        <f t="shared" si="18"/>
        <v>-25.849999999999994</v>
      </c>
      <c r="G81" s="998">
        <f t="shared" si="18"/>
        <v>-128.07999999999998</v>
      </c>
      <c r="H81" s="997">
        <f t="shared" si="18"/>
        <v>-332.09999999999997</v>
      </c>
      <c r="I81" s="997">
        <f t="shared" si="18"/>
        <v>-13.580000000000013</v>
      </c>
      <c r="J81" s="997">
        <f t="shared" si="18"/>
        <v>-87.18</v>
      </c>
      <c r="K81" s="997">
        <f t="shared" si="18"/>
        <v>-83.740000000000009</v>
      </c>
      <c r="L81" s="997">
        <f t="shared" si="18"/>
        <v>-86.240000000000009</v>
      </c>
      <c r="M81" s="997">
        <f t="shared" si="18"/>
        <v>-58.03</v>
      </c>
      <c r="N81" s="997">
        <f t="shared" si="18"/>
        <v>-124.16</v>
      </c>
      <c r="O81" s="997">
        <f t="shared" si="18"/>
        <v>-924.31999999999971</v>
      </c>
      <c r="P81" s="997"/>
      <c r="Q81" s="16">
        <f>AVERAGE(C81:H81)</f>
        <v>-90.138333333333321</v>
      </c>
      <c r="R81" s="578" t="s">
        <v>659</v>
      </c>
      <c r="S81" s="578"/>
      <c r="T81" s="578"/>
      <c r="U81" s="578"/>
      <c r="V81" s="578"/>
    </row>
    <row r="82" spans="1:22">
      <c r="A82" s="714"/>
      <c r="B82" s="2126" t="s">
        <v>7041</v>
      </c>
      <c r="C82" s="2127"/>
      <c r="D82" s="2127"/>
      <c r="E82" s="2127"/>
      <c r="F82" s="2127"/>
      <c r="G82" s="2127"/>
      <c r="H82" s="2127"/>
      <c r="I82" s="2127"/>
      <c r="J82" s="2127"/>
      <c r="K82" s="2127"/>
      <c r="L82" s="2127"/>
      <c r="M82" s="2127"/>
      <c r="N82" s="2127"/>
      <c r="O82" s="2128"/>
      <c r="P82" s="661"/>
      <c r="Q82" s="1408"/>
    </row>
    <row r="83" spans="1:22">
      <c r="A83" s="714"/>
      <c r="B83" s="662" t="s">
        <v>7951</v>
      </c>
      <c r="C83" s="663" t="s">
        <v>143</v>
      </c>
      <c r="D83" s="663" t="s">
        <v>26</v>
      </c>
      <c r="E83" s="663" t="s">
        <v>25</v>
      </c>
      <c r="F83" s="663" t="s">
        <v>24</v>
      </c>
      <c r="G83" s="663" t="s">
        <v>23</v>
      </c>
      <c r="H83" s="663" t="s">
        <v>22</v>
      </c>
      <c r="I83" s="663" t="s">
        <v>21</v>
      </c>
      <c r="J83" s="663" t="s">
        <v>20</v>
      </c>
      <c r="K83" s="663" t="s">
        <v>256</v>
      </c>
      <c r="L83" s="663" t="s">
        <v>18</v>
      </c>
      <c r="M83" s="663" t="s">
        <v>17</v>
      </c>
      <c r="N83" s="663" t="s">
        <v>86</v>
      </c>
      <c r="O83" s="664" t="s">
        <v>67</v>
      </c>
      <c r="P83" s="665"/>
      <c r="Q83" s="1408"/>
    </row>
    <row r="84" spans="1:22">
      <c r="A84" s="714"/>
      <c r="B84" s="666" t="s">
        <v>4395</v>
      </c>
      <c r="C84" s="667">
        <v>575</v>
      </c>
      <c r="D84" s="999">
        <v>575</v>
      </c>
      <c r="E84" s="999">
        <v>575</v>
      </c>
      <c r="F84" s="999">
        <v>600</v>
      </c>
      <c r="G84" s="999">
        <v>600</v>
      </c>
      <c r="H84" s="999">
        <v>600</v>
      </c>
      <c r="I84" s="999">
        <v>600</v>
      </c>
      <c r="J84" s="999">
        <v>600</v>
      </c>
      <c r="K84" s="999">
        <v>600</v>
      </c>
      <c r="L84" s="999">
        <v>600</v>
      </c>
      <c r="M84" s="999">
        <v>600</v>
      </c>
      <c r="N84" s="999">
        <v>600</v>
      </c>
      <c r="O84" s="668">
        <f>SUM(C84:N84)</f>
        <v>7125</v>
      </c>
      <c r="P84" s="669"/>
      <c r="Q84" s="1408"/>
    </row>
    <row r="85" spans="1:22">
      <c r="A85" s="714"/>
      <c r="B85" s="1342" t="s">
        <v>6389</v>
      </c>
      <c r="C85" s="1343" t="s">
        <v>135</v>
      </c>
      <c r="D85" s="1343" t="s">
        <v>135</v>
      </c>
      <c r="E85" s="1343" t="s">
        <v>135</v>
      </c>
      <c r="F85" s="1343" t="s">
        <v>135</v>
      </c>
      <c r="G85" s="1343" t="s">
        <v>135</v>
      </c>
      <c r="H85" s="1343" t="s">
        <v>135</v>
      </c>
      <c r="I85" s="1343" t="s">
        <v>135</v>
      </c>
      <c r="J85" s="1343" t="s">
        <v>135</v>
      </c>
      <c r="K85" s="1343"/>
      <c r="L85" s="1343"/>
      <c r="M85" s="1343"/>
      <c r="N85" s="1343"/>
      <c r="O85" s="1344">
        <f>SUM(C85:N85)</f>
        <v>0</v>
      </c>
      <c r="P85" s="672"/>
      <c r="Q85" s="1408"/>
    </row>
    <row r="86" spans="1:22">
      <c r="A86" s="714"/>
      <c r="B86" s="666" t="s">
        <v>4397</v>
      </c>
      <c r="C86" s="671"/>
      <c r="D86" s="671"/>
      <c r="E86" s="671"/>
      <c r="F86" s="671"/>
      <c r="G86" s="671"/>
      <c r="H86" s="671"/>
      <c r="I86" s="671"/>
      <c r="J86" s="671"/>
      <c r="K86" s="671"/>
      <c r="L86" s="671"/>
      <c r="M86" s="671"/>
      <c r="N86" s="671"/>
      <c r="O86" s="668"/>
      <c r="P86" s="672"/>
      <c r="Q86" s="1408"/>
    </row>
    <row r="87" spans="1:22">
      <c r="A87" s="714"/>
      <c r="B87" s="674" t="s">
        <v>5024</v>
      </c>
      <c r="C87" s="675"/>
      <c r="D87" s="675"/>
      <c r="E87" s="675"/>
      <c r="F87" s="675"/>
      <c r="G87" s="675"/>
      <c r="H87" s="675"/>
      <c r="I87" s="1000"/>
      <c r="J87" s="1000"/>
      <c r="K87" s="1000"/>
      <c r="L87" s="1000"/>
      <c r="M87" s="1000"/>
      <c r="N87" s="1000"/>
      <c r="O87" s="668">
        <f>SUM(C87:N87)</f>
        <v>0</v>
      </c>
      <c r="P87" s="672"/>
      <c r="Q87" s="1408"/>
    </row>
    <row r="88" spans="1:22">
      <c r="A88" s="714"/>
      <c r="B88" s="674" t="s">
        <v>4399</v>
      </c>
      <c r="C88" s="675"/>
      <c r="D88" s="675"/>
      <c r="E88" s="675"/>
      <c r="F88" s="1001">
        <v>246.61</v>
      </c>
      <c r="G88" s="675"/>
      <c r="H88" s="675"/>
      <c r="I88" s="675"/>
      <c r="J88" s="675"/>
      <c r="K88" s="675"/>
      <c r="L88" s="675"/>
      <c r="M88" s="676">
        <v>246.61</v>
      </c>
      <c r="N88" s="675"/>
      <c r="O88" s="677">
        <f>SUM(C88:N88)</f>
        <v>493.22</v>
      </c>
      <c r="P88" s="672"/>
      <c r="Q88" s="1408"/>
    </row>
    <row r="89" spans="1:22">
      <c r="A89" s="714"/>
      <c r="B89" s="674" t="s">
        <v>7031</v>
      </c>
      <c r="C89" s="675"/>
      <c r="D89" s="675"/>
      <c r="E89" s="675"/>
      <c r="F89" s="675"/>
      <c r="G89" s="675"/>
      <c r="H89" s="675"/>
      <c r="I89" s="675"/>
      <c r="J89" s="675"/>
      <c r="K89" s="675"/>
      <c r="L89" s="675"/>
      <c r="M89" s="675"/>
      <c r="N89" s="675"/>
      <c r="O89" s="677">
        <f>SUM(C89:N89)</f>
        <v>0</v>
      </c>
      <c r="P89" s="681"/>
      <c r="Q89" s="16"/>
    </row>
    <row r="90" spans="1:22">
      <c r="A90" s="714"/>
      <c r="B90" s="674" t="s">
        <v>7042</v>
      </c>
      <c r="C90" s="675"/>
      <c r="D90" s="675"/>
      <c r="E90" s="675"/>
      <c r="F90" s="675"/>
      <c r="G90" s="675"/>
      <c r="H90" s="675"/>
      <c r="I90" s="675"/>
      <c r="J90" s="675"/>
      <c r="K90" s="675"/>
      <c r="L90" s="675"/>
      <c r="M90" s="675"/>
      <c r="N90" s="675"/>
      <c r="O90" s="677">
        <f>SUM(C90:N90)</f>
        <v>0</v>
      </c>
      <c r="P90" s="672"/>
      <c r="Q90" s="1408"/>
    </row>
    <row r="91" spans="1:22">
      <c r="A91" s="714"/>
      <c r="B91" s="674" t="s">
        <v>7019</v>
      </c>
      <c r="C91" s="675"/>
      <c r="D91" s="675"/>
      <c r="E91" s="675"/>
      <c r="F91" s="675"/>
      <c r="G91" s="675"/>
      <c r="H91" s="675"/>
      <c r="I91" s="675"/>
      <c r="J91" s="675"/>
      <c r="K91" s="675"/>
      <c r="L91" s="675"/>
      <c r="M91" s="675"/>
      <c r="N91" s="675"/>
      <c r="O91" s="677"/>
      <c r="P91" s="672"/>
      <c r="Q91" s="1408"/>
    </row>
    <row r="92" spans="1:22">
      <c r="A92" s="714"/>
      <c r="B92" s="674" t="s">
        <v>7033</v>
      </c>
      <c r="C92" s="675"/>
      <c r="D92" s="675"/>
      <c r="E92" s="675"/>
      <c r="F92" s="675"/>
      <c r="G92" s="675"/>
      <c r="H92" s="675"/>
      <c r="I92" s="675"/>
      <c r="J92" s="675"/>
      <c r="K92" s="675"/>
      <c r="L92" s="675"/>
      <c r="M92" s="675"/>
      <c r="N92" s="675"/>
      <c r="O92" s="677"/>
      <c r="P92" s="672"/>
      <c r="Q92" s="1408"/>
    </row>
    <row r="93" spans="1:22">
      <c r="A93" s="714"/>
      <c r="B93" s="674" t="s">
        <v>7043</v>
      </c>
      <c r="C93" s="687"/>
      <c r="D93" s="687"/>
      <c r="E93" s="687"/>
      <c r="F93" s="687"/>
      <c r="G93" s="687"/>
      <c r="H93" s="687"/>
      <c r="I93" s="688"/>
      <c r="J93" s="687"/>
      <c r="K93" s="687"/>
      <c r="L93" s="687"/>
      <c r="M93" s="687"/>
      <c r="N93" s="687"/>
      <c r="O93" s="677">
        <f>SUM(C93:N93)</f>
        <v>0</v>
      </c>
      <c r="P93" s="672"/>
      <c r="Q93" s="1408"/>
    </row>
    <row r="94" spans="1:22">
      <c r="A94" s="714"/>
      <c r="B94" s="674" t="s">
        <v>6860</v>
      </c>
      <c r="C94" s="945"/>
      <c r="D94" s="945"/>
      <c r="E94" s="945"/>
      <c r="F94" s="945"/>
      <c r="G94" s="945"/>
      <c r="H94" s="945"/>
      <c r="I94" s="945"/>
      <c r="J94" s="945"/>
      <c r="K94" s="945"/>
      <c r="L94" s="945"/>
      <c r="M94" s="945"/>
      <c r="N94" s="945"/>
      <c r="O94" s="668">
        <f>SUM(C94:N94)</f>
        <v>0</v>
      </c>
      <c r="P94" s="672"/>
      <c r="Q94" s="1408"/>
    </row>
    <row r="95" spans="1:22">
      <c r="A95" s="714"/>
      <c r="B95" s="674" t="s">
        <v>7035</v>
      </c>
      <c r="C95" s="675"/>
      <c r="D95" s="675"/>
      <c r="E95" s="675"/>
      <c r="F95" s="675"/>
      <c r="G95" s="675"/>
      <c r="H95" s="675"/>
      <c r="I95" s="675"/>
      <c r="J95" s="675"/>
      <c r="K95" s="675"/>
      <c r="L95" s="675"/>
      <c r="M95" s="675"/>
      <c r="N95" s="675"/>
      <c r="O95" s="668">
        <f>SUM(C95:N95)</f>
        <v>0</v>
      </c>
      <c r="P95" s="672"/>
      <c r="Q95" s="1408"/>
    </row>
    <row r="96" spans="1:22">
      <c r="A96" s="714"/>
      <c r="B96" s="666" t="s">
        <v>6323</v>
      </c>
      <c r="C96" s="677">
        <f t="shared" ref="C96:N96" si="19">SUM(C94:C95)</f>
        <v>0</v>
      </c>
      <c r="D96" s="677">
        <f t="shared" si="19"/>
        <v>0</v>
      </c>
      <c r="E96" s="677">
        <f t="shared" si="19"/>
        <v>0</v>
      </c>
      <c r="F96" s="677">
        <f t="shared" si="19"/>
        <v>0</v>
      </c>
      <c r="G96" s="677">
        <f t="shared" si="19"/>
        <v>0</v>
      </c>
      <c r="H96" s="677">
        <f t="shared" si="19"/>
        <v>0</v>
      </c>
      <c r="I96" s="677">
        <f t="shared" si="19"/>
        <v>0</v>
      </c>
      <c r="J96" s="677">
        <f t="shared" si="19"/>
        <v>0</v>
      </c>
      <c r="K96" s="677">
        <f t="shared" si="19"/>
        <v>0</v>
      </c>
      <c r="L96" s="677">
        <f t="shared" si="19"/>
        <v>0</v>
      </c>
      <c r="M96" s="677">
        <f t="shared" si="19"/>
        <v>0</v>
      </c>
      <c r="N96" s="677">
        <f t="shared" si="19"/>
        <v>0</v>
      </c>
      <c r="O96" s="668">
        <f>SUM(C96:N96)</f>
        <v>0</v>
      </c>
      <c r="P96" s="669"/>
      <c r="Q96" s="1408"/>
    </row>
    <row r="97" spans="1:19">
      <c r="A97" s="714"/>
      <c r="B97" s="689" t="s">
        <v>1126</v>
      </c>
      <c r="C97" s="690">
        <f t="shared" ref="C97:N97" si="20">SUM(C87:C95)</f>
        <v>0</v>
      </c>
      <c r="D97" s="690">
        <f t="shared" si="20"/>
        <v>0</v>
      </c>
      <c r="E97" s="690">
        <f t="shared" si="20"/>
        <v>0</v>
      </c>
      <c r="F97" s="690">
        <f t="shared" si="20"/>
        <v>246.61</v>
      </c>
      <c r="G97" s="690">
        <f t="shared" si="20"/>
        <v>0</v>
      </c>
      <c r="H97" s="690">
        <f t="shared" si="20"/>
        <v>0</v>
      </c>
      <c r="I97" s="690">
        <f t="shared" si="20"/>
        <v>0</v>
      </c>
      <c r="J97" s="690">
        <f t="shared" si="20"/>
        <v>0</v>
      </c>
      <c r="K97" s="690">
        <f t="shared" si="20"/>
        <v>0</v>
      </c>
      <c r="L97" s="690">
        <f t="shared" si="20"/>
        <v>0</v>
      </c>
      <c r="M97" s="690">
        <f t="shared" si="20"/>
        <v>246.61</v>
      </c>
      <c r="N97" s="690">
        <f t="shared" si="20"/>
        <v>0</v>
      </c>
      <c r="O97" s="995">
        <f>SUM(O88:O95)</f>
        <v>493.22</v>
      </c>
      <c r="P97" s="691"/>
      <c r="Q97" s="1408"/>
    </row>
    <row r="98" spans="1:19">
      <c r="A98" s="715"/>
      <c r="B98" s="692" t="s">
        <v>791</v>
      </c>
      <c r="C98" s="693">
        <f t="shared" ref="C98:O98" si="21">C84-C97</f>
        <v>575</v>
      </c>
      <c r="D98" s="693">
        <f t="shared" si="21"/>
        <v>575</v>
      </c>
      <c r="E98" s="693">
        <f t="shared" si="21"/>
        <v>575</v>
      </c>
      <c r="F98" s="693">
        <f t="shared" si="21"/>
        <v>353.39</v>
      </c>
      <c r="G98" s="693">
        <f t="shared" si="21"/>
        <v>600</v>
      </c>
      <c r="H98" s="693">
        <f t="shared" si="21"/>
        <v>600</v>
      </c>
      <c r="I98" s="693">
        <f t="shared" si="21"/>
        <v>600</v>
      </c>
      <c r="J98" s="693">
        <f t="shared" si="21"/>
        <v>600</v>
      </c>
      <c r="K98" s="693">
        <f t="shared" si="21"/>
        <v>600</v>
      </c>
      <c r="L98" s="693">
        <f t="shared" si="21"/>
        <v>600</v>
      </c>
      <c r="M98" s="693">
        <f t="shared" si="21"/>
        <v>353.39</v>
      </c>
      <c r="N98" s="693">
        <f t="shared" si="21"/>
        <v>600</v>
      </c>
      <c r="O98" s="693">
        <f t="shared" si="21"/>
        <v>6631.78</v>
      </c>
      <c r="P98" s="694"/>
      <c r="Q98" s="16">
        <f>O98/12</f>
        <v>552.64833333333331</v>
      </c>
      <c r="R98" s="9" t="s">
        <v>7953</v>
      </c>
    </row>
    <row r="99" spans="1:19">
      <c r="A99" s="947"/>
      <c r="B99" s="950" t="s">
        <v>7036</v>
      </c>
      <c r="C99" s="950">
        <v>0</v>
      </c>
      <c r="D99" s="950">
        <v>0</v>
      </c>
      <c r="E99" s="950">
        <v>0</v>
      </c>
      <c r="F99" s="950">
        <v>0</v>
      </c>
      <c r="G99" s="950">
        <v>0</v>
      </c>
      <c r="H99" s="950">
        <v>0</v>
      </c>
      <c r="I99" s="950">
        <v>0</v>
      </c>
      <c r="J99" s="950">
        <v>0</v>
      </c>
      <c r="K99" s="950">
        <v>0</v>
      </c>
      <c r="L99" s="950">
        <v>0</v>
      </c>
      <c r="M99" s="950">
        <v>0</v>
      </c>
      <c r="N99" s="951">
        <v>0</v>
      </c>
      <c r="O99" s="952">
        <f>SUM(C99:N99)</f>
        <v>0</v>
      </c>
      <c r="P99" s="953"/>
      <c r="Q99" s="16"/>
    </row>
    <row r="100" spans="1:19">
      <c r="A100" s="692"/>
      <c r="B100" s="692" t="s">
        <v>6861</v>
      </c>
      <c r="C100" s="996">
        <f t="shared" ref="C100:O100" si="22">C98-C99</f>
        <v>575</v>
      </c>
      <c r="D100" s="996">
        <f t="shared" si="22"/>
        <v>575</v>
      </c>
      <c r="E100" s="996">
        <f t="shared" si="22"/>
        <v>575</v>
      </c>
      <c r="F100" s="956">
        <f t="shared" si="22"/>
        <v>353.39</v>
      </c>
      <c r="G100" s="996">
        <f t="shared" si="22"/>
        <v>600</v>
      </c>
      <c r="H100" s="956">
        <f t="shared" si="22"/>
        <v>600</v>
      </c>
      <c r="I100" s="956">
        <f t="shared" si="22"/>
        <v>600</v>
      </c>
      <c r="J100" s="956">
        <f t="shared" si="22"/>
        <v>600</v>
      </c>
      <c r="K100" s="956">
        <f t="shared" si="22"/>
        <v>600</v>
      </c>
      <c r="L100" s="956">
        <f t="shared" si="22"/>
        <v>600</v>
      </c>
      <c r="M100" s="956">
        <f t="shared" si="22"/>
        <v>353.39</v>
      </c>
      <c r="N100" s="956">
        <f t="shared" si="22"/>
        <v>600</v>
      </c>
      <c r="O100" s="956">
        <f t="shared" si="22"/>
        <v>6631.78</v>
      </c>
      <c r="P100" s="709"/>
      <c r="Q100" s="16"/>
      <c r="S100" s="9">
        <v>271</v>
      </c>
    </row>
    <row r="101" spans="1:19">
      <c r="B101" s="2161" t="s">
        <v>7044</v>
      </c>
      <c r="C101" s="2087"/>
      <c r="D101" s="2087"/>
      <c r="E101" s="2087"/>
      <c r="F101" s="2087"/>
      <c r="G101" s="2087"/>
      <c r="H101" s="2087"/>
      <c r="I101" s="2087"/>
      <c r="J101" s="2087"/>
      <c r="K101" s="2087"/>
      <c r="L101" s="2087"/>
      <c r="M101" s="2087"/>
      <c r="N101" s="2087"/>
      <c r="O101" s="2087"/>
      <c r="Q101" s="16"/>
      <c r="S101" s="9">
        <v>744</v>
      </c>
    </row>
    <row r="102" spans="1:19">
      <c r="B102" s="997"/>
      <c r="C102" s="997"/>
      <c r="D102" s="997"/>
      <c r="E102" s="997"/>
      <c r="F102" s="997"/>
      <c r="G102" s="997"/>
      <c r="H102" s="997"/>
      <c r="I102" s="997"/>
      <c r="J102" s="997"/>
      <c r="K102" s="997"/>
      <c r="L102" s="997"/>
      <c r="M102" s="997"/>
      <c r="N102" s="997"/>
      <c r="O102" s="997"/>
      <c r="P102" s="660"/>
      <c r="Q102" s="16"/>
      <c r="S102" s="9">
        <v>484</v>
      </c>
    </row>
    <row r="103" spans="1:19">
      <c r="A103" s="714"/>
      <c r="B103" s="2126" t="s">
        <v>7389</v>
      </c>
      <c r="C103" s="2127"/>
      <c r="D103" s="2127"/>
      <c r="E103" s="2127"/>
      <c r="F103" s="2127"/>
      <c r="G103" s="2127"/>
      <c r="H103" s="2127"/>
      <c r="I103" s="2127"/>
      <c r="J103" s="2127"/>
      <c r="K103" s="2127"/>
      <c r="L103" s="2127"/>
      <c r="M103" s="2127"/>
      <c r="N103" s="2127"/>
      <c r="O103" s="2128"/>
      <c r="P103" s="661"/>
      <c r="Q103" s="1408"/>
      <c r="S103" s="9">
        <v>1415</v>
      </c>
    </row>
    <row r="104" spans="1:19">
      <c r="A104" s="714"/>
      <c r="B104" s="662" t="s">
        <v>7951</v>
      </c>
      <c r="C104" s="663" t="s">
        <v>143</v>
      </c>
      <c r="D104" s="663" t="s">
        <v>26</v>
      </c>
      <c r="E104" s="663" t="s">
        <v>25</v>
      </c>
      <c r="F104" s="663" t="s">
        <v>24</v>
      </c>
      <c r="G104" s="663" t="s">
        <v>23</v>
      </c>
      <c r="H104" s="663" t="s">
        <v>22</v>
      </c>
      <c r="I104" s="663" t="s">
        <v>21</v>
      </c>
      <c r="J104" s="663" t="s">
        <v>20</v>
      </c>
      <c r="K104" s="663" t="s">
        <v>256</v>
      </c>
      <c r="L104" s="663" t="s">
        <v>18</v>
      </c>
      <c r="M104" s="663" t="s">
        <v>17</v>
      </c>
      <c r="N104" s="663" t="s">
        <v>86</v>
      </c>
      <c r="O104" s="664" t="s">
        <v>67</v>
      </c>
      <c r="P104" s="665"/>
      <c r="Q104" s="1408"/>
      <c r="S104" s="9">
        <f>SUM(S100:S103)</f>
        <v>2914</v>
      </c>
    </row>
    <row r="105" spans="1:19">
      <c r="A105" s="714"/>
      <c r="B105" s="666" t="s">
        <v>6847</v>
      </c>
      <c r="C105" s="667">
        <v>3200</v>
      </c>
      <c r="D105" s="667">
        <v>3200</v>
      </c>
      <c r="E105" s="667">
        <v>3200</v>
      </c>
      <c r="F105" s="667">
        <v>3215</v>
      </c>
      <c r="G105" s="667">
        <f>2420+500</f>
        <v>2920</v>
      </c>
      <c r="H105" s="667">
        <f>3210+500</f>
        <v>3710</v>
      </c>
      <c r="I105" s="667">
        <v>4010</v>
      </c>
      <c r="J105" s="667">
        <v>5183</v>
      </c>
      <c r="K105" s="667">
        <v>6850</v>
      </c>
      <c r="L105" s="667">
        <v>6400</v>
      </c>
      <c r="M105" s="667">
        <v>6400</v>
      </c>
      <c r="N105" s="667">
        <v>6400</v>
      </c>
      <c r="O105" s="668">
        <f>SUM(C105:N105)</f>
        <v>54688</v>
      </c>
      <c r="P105" s="669"/>
      <c r="Q105" s="1408"/>
    </row>
    <row r="106" spans="1:19">
      <c r="A106" s="714"/>
      <c r="B106" s="1342" t="s">
        <v>6389</v>
      </c>
      <c r="C106" s="1343" t="s">
        <v>135</v>
      </c>
      <c r="D106" s="1343" t="s">
        <v>135</v>
      </c>
      <c r="E106" s="1343" t="s">
        <v>135</v>
      </c>
      <c r="F106" s="1343" t="s">
        <v>135</v>
      </c>
      <c r="G106" s="1343" t="s">
        <v>135</v>
      </c>
      <c r="H106" s="1343" t="s">
        <v>135</v>
      </c>
      <c r="I106" s="1343" t="s">
        <v>135</v>
      </c>
      <c r="J106" s="1343" t="s">
        <v>135</v>
      </c>
      <c r="K106" s="1343"/>
      <c r="L106" s="1343"/>
      <c r="M106" s="1343"/>
      <c r="N106" s="1343"/>
      <c r="O106" s="1344">
        <f>SUM(C106:N106)</f>
        <v>0</v>
      </c>
      <c r="P106" s="672"/>
      <c r="Q106" s="1408"/>
    </row>
    <row r="107" spans="1:19">
      <c r="A107" s="714"/>
      <c r="B107" s="666" t="s">
        <v>4397</v>
      </c>
      <c r="C107" s="671"/>
      <c r="D107" s="671"/>
      <c r="E107" s="671"/>
      <c r="F107" s="671"/>
      <c r="G107" s="671"/>
      <c r="H107" s="671"/>
      <c r="I107" s="671"/>
      <c r="J107" s="671"/>
      <c r="K107" s="671"/>
      <c r="L107" s="671"/>
      <c r="M107" s="671"/>
      <c r="N107" s="671"/>
      <c r="O107" s="668"/>
      <c r="P107" s="672"/>
      <c r="Q107" s="1408"/>
    </row>
    <row r="108" spans="1:19">
      <c r="A108" s="714"/>
      <c r="B108" s="674" t="s">
        <v>5024</v>
      </c>
      <c r="C108" s="675"/>
      <c r="D108" s="675"/>
      <c r="E108" s="675"/>
      <c r="F108" s="675"/>
      <c r="G108" s="675"/>
      <c r="H108" s="675"/>
      <c r="I108" s="675"/>
      <c r="J108" s="675"/>
      <c r="K108" s="675"/>
      <c r="L108" s="675"/>
      <c r="M108" s="675"/>
      <c r="N108" s="675"/>
      <c r="O108" s="668">
        <f t="shared" ref="O108:O119" si="23">SUM(C108:N108)</f>
        <v>0</v>
      </c>
      <c r="P108" s="672"/>
      <c r="Q108" s="1408"/>
    </row>
    <row r="109" spans="1:19">
      <c r="A109" s="714"/>
      <c r="B109" s="674" t="s">
        <v>7390</v>
      </c>
      <c r="C109" s="675"/>
      <c r="D109" s="675"/>
      <c r="E109" s="675"/>
      <c r="F109" s="685">
        <v>1368.2</v>
      </c>
      <c r="G109" s="675"/>
      <c r="H109" s="675"/>
      <c r="I109" s="675"/>
      <c r="J109" s="675"/>
      <c r="K109" s="675"/>
      <c r="L109" s="675"/>
      <c r="M109" s="676">
        <v>1368.2</v>
      </c>
      <c r="N109" s="675"/>
      <c r="O109" s="677">
        <f t="shared" si="23"/>
        <v>2736.4</v>
      </c>
      <c r="P109" s="672"/>
      <c r="Q109" s="1408"/>
    </row>
    <row r="110" spans="1:19">
      <c r="A110" s="714"/>
      <c r="B110" s="674" t="s">
        <v>7391</v>
      </c>
      <c r="C110" s="675"/>
      <c r="D110" s="675"/>
      <c r="E110" s="675"/>
      <c r="F110" s="685"/>
      <c r="G110" s="675"/>
      <c r="H110" s="675"/>
      <c r="I110" s="675"/>
      <c r="J110" s="675"/>
      <c r="K110" s="675"/>
      <c r="L110" s="675"/>
      <c r="M110" s="676">
        <v>1368.2</v>
      </c>
      <c r="N110" s="675"/>
      <c r="O110" s="677">
        <f t="shared" si="23"/>
        <v>1368.2</v>
      </c>
      <c r="P110" s="672"/>
      <c r="Q110" s="1408"/>
    </row>
    <row r="111" spans="1:19">
      <c r="A111" s="714"/>
      <c r="B111" s="674" t="s">
        <v>7031</v>
      </c>
      <c r="C111" s="675">
        <v>620.1</v>
      </c>
      <c r="D111" s="675">
        <v>701.83</v>
      </c>
      <c r="E111" s="675">
        <v>702.13</v>
      </c>
      <c r="F111" s="675">
        <v>516.32000000000005</v>
      </c>
      <c r="G111" s="675">
        <v>817.15</v>
      </c>
      <c r="H111" s="675">
        <v>631.35</v>
      </c>
      <c r="I111" s="675">
        <v>613.65</v>
      </c>
      <c r="J111" s="675">
        <v>507.48</v>
      </c>
      <c r="K111" s="675">
        <v>578.26</v>
      </c>
      <c r="L111" s="675">
        <v>666.74</v>
      </c>
      <c r="M111" s="675">
        <v>622.5</v>
      </c>
      <c r="N111" s="675">
        <v>622.5</v>
      </c>
      <c r="O111" s="677">
        <f t="shared" si="23"/>
        <v>7600.01</v>
      </c>
      <c r="P111" s="681"/>
      <c r="Q111" s="16">
        <f>AVERAGE(C111:J111)/4</f>
        <v>159.68781250000001</v>
      </c>
      <c r="R111" s="9" t="s">
        <v>7955</v>
      </c>
    </row>
    <row r="112" spans="1:19">
      <c r="A112" s="714"/>
      <c r="B112" s="674" t="s">
        <v>6850</v>
      </c>
      <c r="C112" s="675"/>
      <c r="D112" s="675"/>
      <c r="E112" s="675"/>
      <c r="F112" s="675"/>
      <c r="G112" s="675"/>
      <c r="H112" s="675"/>
      <c r="I112" s="675">
        <f>26.84+13.09+11.33+23.53+42.41</f>
        <v>117.19999999999999</v>
      </c>
      <c r="J112" s="675">
        <f>45.21+34.5+39.33+6.84+82.59+39.24+51.58</f>
        <v>299.29000000000002</v>
      </c>
      <c r="K112" s="675">
        <f>41.88+5+20+9.23+34.5</f>
        <v>110.61</v>
      </c>
      <c r="L112" s="675">
        <f>13.09+7.98</f>
        <v>21.07</v>
      </c>
      <c r="M112" s="675">
        <v>26.89</v>
      </c>
      <c r="N112" s="675"/>
      <c r="O112" s="677">
        <f t="shared" si="23"/>
        <v>575.06000000000006</v>
      </c>
      <c r="P112" s="672"/>
      <c r="Q112" s="1408"/>
    </row>
    <row r="113" spans="1:18">
      <c r="A113" s="714"/>
      <c r="B113" s="674" t="s">
        <v>7019</v>
      </c>
      <c r="C113" s="675"/>
      <c r="D113" s="675"/>
      <c r="E113" s="675"/>
      <c r="F113" s="675"/>
      <c r="G113" s="675"/>
      <c r="H113" s="675"/>
      <c r="I113" s="675">
        <v>759</v>
      </c>
      <c r="J113" s="675"/>
      <c r="K113" s="675"/>
      <c r="L113" s="675">
        <v>1298</v>
      </c>
      <c r="M113" s="675"/>
      <c r="N113" s="675"/>
      <c r="O113" s="677">
        <f t="shared" si="23"/>
        <v>2057</v>
      </c>
      <c r="P113" s="672"/>
      <c r="Q113" s="1408"/>
    </row>
    <row r="114" spans="1:18">
      <c r="A114" s="714"/>
      <c r="B114" s="674" t="s">
        <v>7392</v>
      </c>
      <c r="C114" s="675"/>
      <c r="D114" s="675"/>
      <c r="E114" s="675"/>
      <c r="F114" s="675"/>
      <c r="G114" s="675"/>
      <c r="H114" s="675"/>
      <c r="I114" s="675"/>
      <c r="J114" s="675"/>
      <c r="K114" s="675"/>
      <c r="L114" s="675"/>
      <c r="M114" s="675"/>
      <c r="N114" s="675"/>
      <c r="O114" s="677">
        <f t="shared" si="23"/>
        <v>0</v>
      </c>
      <c r="P114" s="672"/>
      <c r="Q114" s="1408">
        <f>O111+O112</f>
        <v>8175.0700000000006</v>
      </c>
    </row>
    <row r="115" spans="1:18">
      <c r="A115" s="714"/>
      <c r="B115" s="674" t="s">
        <v>7033</v>
      </c>
      <c r="C115" s="675"/>
      <c r="D115" s="675"/>
      <c r="E115" s="675"/>
      <c r="F115" s="675"/>
      <c r="G115" s="675"/>
      <c r="H115" s="675"/>
      <c r="I115" s="675"/>
      <c r="J115" s="675"/>
      <c r="K115" s="675"/>
      <c r="L115" s="675"/>
      <c r="M115" s="675"/>
      <c r="N115" s="675"/>
      <c r="O115" s="677">
        <f t="shared" si="23"/>
        <v>0</v>
      </c>
      <c r="P115" s="672"/>
      <c r="Q115" s="1408"/>
    </row>
    <row r="116" spans="1:18">
      <c r="A116" s="714"/>
      <c r="B116" s="674" t="s">
        <v>7043</v>
      </c>
      <c r="C116" s="687"/>
      <c r="D116" s="687"/>
      <c r="E116" s="687"/>
      <c r="F116" s="687"/>
      <c r="G116" s="687"/>
      <c r="H116" s="688">
        <v>1442.51</v>
      </c>
      <c r="I116" s="687"/>
      <c r="J116" s="687"/>
      <c r="K116" s="687"/>
      <c r="L116" s="687"/>
      <c r="M116" s="31">
        <v>1462.67</v>
      </c>
      <c r="N116" s="687"/>
      <c r="O116" s="677">
        <f t="shared" si="23"/>
        <v>2905.1800000000003</v>
      </c>
      <c r="P116" s="672"/>
      <c r="Q116" s="1408"/>
    </row>
    <row r="117" spans="1:18">
      <c r="A117" s="714"/>
      <c r="B117" s="674" t="s">
        <v>6860</v>
      </c>
      <c r="C117" s="945"/>
      <c r="D117" s="945"/>
      <c r="E117" s="945"/>
      <c r="F117" s="945"/>
      <c r="G117" s="945"/>
      <c r="H117" s="945"/>
      <c r="I117" s="945"/>
      <c r="J117" s="945"/>
      <c r="K117" s="945"/>
      <c r="L117" s="945"/>
      <c r="M117" s="945"/>
      <c r="N117" s="945"/>
      <c r="O117" s="668">
        <f t="shared" si="23"/>
        <v>0</v>
      </c>
      <c r="P117" s="672"/>
      <c r="Q117" s="1408"/>
    </row>
    <row r="118" spans="1:18">
      <c r="A118" s="714"/>
      <c r="B118" s="674" t="s">
        <v>7035</v>
      </c>
      <c r="C118" s="675"/>
      <c r="D118" s="675"/>
      <c r="E118" s="675"/>
      <c r="F118" s="675"/>
      <c r="G118" s="675"/>
      <c r="H118" s="675"/>
      <c r="I118" s="675">
        <v>2000</v>
      </c>
      <c r="J118" s="675">
        <v>15</v>
      </c>
      <c r="K118" s="675">
        <v>25</v>
      </c>
      <c r="L118" s="675">
        <f>10+25</f>
        <v>35</v>
      </c>
      <c r="M118" s="675">
        <f>10+110+110+110</f>
        <v>340</v>
      </c>
      <c r="N118" s="675"/>
      <c r="O118" s="668">
        <f t="shared" si="23"/>
        <v>2415</v>
      </c>
      <c r="P118" s="672"/>
      <c r="Q118" s="1408"/>
    </row>
    <row r="119" spans="1:18">
      <c r="A119" s="714"/>
      <c r="B119" s="666" t="s">
        <v>6323</v>
      </c>
      <c r="C119" s="677">
        <f t="shared" ref="C119:N119" si="24">SUM(C117:C118)</f>
        <v>0</v>
      </c>
      <c r="D119" s="677">
        <f t="shared" si="24"/>
        <v>0</v>
      </c>
      <c r="E119" s="677">
        <f t="shared" si="24"/>
        <v>0</v>
      </c>
      <c r="F119" s="677">
        <f t="shared" si="24"/>
        <v>0</v>
      </c>
      <c r="G119" s="677">
        <f t="shared" si="24"/>
        <v>0</v>
      </c>
      <c r="H119" s="677">
        <f t="shared" si="24"/>
        <v>0</v>
      </c>
      <c r="I119" s="677">
        <f t="shared" si="24"/>
        <v>2000</v>
      </c>
      <c r="J119" s="677">
        <f t="shared" si="24"/>
        <v>15</v>
      </c>
      <c r="K119" s="677">
        <f t="shared" si="24"/>
        <v>25</v>
      </c>
      <c r="L119" s="677">
        <f t="shared" si="24"/>
        <v>35</v>
      </c>
      <c r="M119" s="677">
        <f t="shared" si="24"/>
        <v>340</v>
      </c>
      <c r="N119" s="677">
        <f t="shared" si="24"/>
        <v>0</v>
      </c>
      <c r="O119" s="668">
        <f t="shared" si="23"/>
        <v>2415</v>
      </c>
      <c r="P119" s="669"/>
      <c r="Q119" s="1408"/>
    </row>
    <row r="120" spans="1:18">
      <c r="A120" s="714"/>
      <c r="B120" s="689" t="s">
        <v>1126</v>
      </c>
      <c r="C120" s="690">
        <f t="shared" ref="C120:N120" si="25">SUM(C108:C118)</f>
        <v>620.1</v>
      </c>
      <c r="D120" s="690">
        <f t="shared" si="25"/>
        <v>701.83</v>
      </c>
      <c r="E120" s="690">
        <f t="shared" si="25"/>
        <v>702.13</v>
      </c>
      <c r="F120" s="690">
        <f t="shared" si="25"/>
        <v>1884.52</v>
      </c>
      <c r="G120" s="690">
        <f t="shared" si="25"/>
        <v>817.15</v>
      </c>
      <c r="H120" s="690">
        <f t="shared" si="25"/>
        <v>2073.86</v>
      </c>
      <c r="I120" s="690">
        <f t="shared" si="25"/>
        <v>3489.85</v>
      </c>
      <c r="J120" s="690">
        <f t="shared" si="25"/>
        <v>821.77</v>
      </c>
      <c r="K120" s="690">
        <f t="shared" si="25"/>
        <v>713.87</v>
      </c>
      <c r="L120" s="690">
        <f t="shared" si="25"/>
        <v>2020.81</v>
      </c>
      <c r="M120" s="690">
        <f t="shared" si="25"/>
        <v>5188.46</v>
      </c>
      <c r="N120" s="690">
        <f t="shared" si="25"/>
        <v>622.5</v>
      </c>
      <c r="O120" s="995">
        <f>SUM(O110:O118)</f>
        <v>16920.45</v>
      </c>
      <c r="P120" s="691"/>
      <c r="Q120" s="1408"/>
    </row>
    <row r="121" spans="1:18">
      <c r="A121" s="715"/>
      <c r="B121" s="692" t="s">
        <v>791</v>
      </c>
      <c r="C121" s="693">
        <f t="shared" ref="C121:O121" si="26">C105-C120</f>
        <v>2579.9</v>
      </c>
      <c r="D121" s="693">
        <f t="shared" si="26"/>
        <v>2498.17</v>
      </c>
      <c r="E121" s="693">
        <f t="shared" si="26"/>
        <v>2497.87</v>
      </c>
      <c r="F121" s="693">
        <f t="shared" si="26"/>
        <v>1330.48</v>
      </c>
      <c r="G121" s="693">
        <f t="shared" si="26"/>
        <v>2102.85</v>
      </c>
      <c r="H121" s="693">
        <f t="shared" si="26"/>
        <v>1636.1399999999999</v>
      </c>
      <c r="I121" s="693">
        <f t="shared" si="26"/>
        <v>520.15000000000009</v>
      </c>
      <c r="J121" s="693">
        <f t="shared" si="26"/>
        <v>4361.2299999999996</v>
      </c>
      <c r="K121" s="693">
        <f t="shared" si="26"/>
        <v>6136.13</v>
      </c>
      <c r="L121" s="693">
        <f t="shared" si="26"/>
        <v>4379.1900000000005</v>
      </c>
      <c r="M121" s="693">
        <f t="shared" si="26"/>
        <v>1211.54</v>
      </c>
      <c r="N121" s="693">
        <f t="shared" si="26"/>
        <v>5777.5</v>
      </c>
      <c r="O121" s="693">
        <f t="shared" si="26"/>
        <v>37767.550000000003</v>
      </c>
      <c r="P121" s="694"/>
      <c r="Q121" s="16">
        <f>O121/12</f>
        <v>3147.2958333333336</v>
      </c>
      <c r="R121" s="9" t="s">
        <v>7953</v>
      </c>
    </row>
    <row r="122" spans="1:18">
      <c r="A122" s="947"/>
      <c r="B122" s="950" t="s">
        <v>7036</v>
      </c>
      <c r="C122" s="950">
        <v>0</v>
      </c>
      <c r="D122" s="950">
        <v>0</v>
      </c>
      <c r="E122" s="950">
        <v>0</v>
      </c>
      <c r="F122" s="950">
        <v>0</v>
      </c>
      <c r="G122" s="950">
        <v>0</v>
      </c>
      <c r="H122" s="950">
        <v>0</v>
      </c>
      <c r="I122" s="950">
        <v>0</v>
      </c>
      <c r="J122" s="950">
        <v>0</v>
      </c>
      <c r="K122" s="950">
        <v>0</v>
      </c>
      <c r="L122" s="950">
        <v>0</v>
      </c>
      <c r="M122" s="950">
        <v>0</v>
      </c>
      <c r="N122" s="951">
        <v>0</v>
      </c>
      <c r="O122" s="952">
        <f>SUM(C122:N122)</f>
        <v>0</v>
      </c>
      <c r="P122" s="953"/>
      <c r="Q122" s="16"/>
    </row>
    <row r="123" spans="1:18">
      <c r="A123" s="692"/>
      <c r="B123" s="692" t="s">
        <v>6861</v>
      </c>
      <c r="C123" s="996">
        <f t="shared" ref="C123:O123" si="27">C121-C122</f>
        <v>2579.9</v>
      </c>
      <c r="D123" s="996">
        <f t="shared" si="27"/>
        <v>2498.17</v>
      </c>
      <c r="E123" s="996">
        <f t="shared" si="27"/>
        <v>2497.87</v>
      </c>
      <c r="F123" s="956">
        <f t="shared" si="27"/>
        <v>1330.48</v>
      </c>
      <c r="G123" s="996">
        <f t="shared" si="27"/>
        <v>2102.85</v>
      </c>
      <c r="H123" s="956">
        <f t="shared" si="27"/>
        <v>1636.1399999999999</v>
      </c>
      <c r="I123" s="956">
        <f t="shared" si="27"/>
        <v>520.15000000000009</v>
      </c>
      <c r="J123" s="956">
        <f t="shared" si="27"/>
        <v>4361.2299999999996</v>
      </c>
      <c r="K123" s="956">
        <f t="shared" si="27"/>
        <v>6136.13</v>
      </c>
      <c r="L123" s="956">
        <f t="shared" si="27"/>
        <v>4379.1900000000005</v>
      </c>
      <c r="M123" s="956">
        <f t="shared" si="27"/>
        <v>1211.54</v>
      </c>
      <c r="N123" s="956">
        <f t="shared" si="27"/>
        <v>5777.5</v>
      </c>
      <c r="O123" s="996">
        <f t="shared" si="27"/>
        <v>37767.550000000003</v>
      </c>
      <c r="P123" s="709"/>
      <c r="Q123" s="16"/>
    </row>
    <row r="124" spans="1:18">
      <c r="B124" s="2161" t="s">
        <v>7956</v>
      </c>
      <c r="C124" s="2087"/>
      <c r="D124" s="2087"/>
      <c r="E124" s="2087"/>
      <c r="F124" s="2087"/>
      <c r="G124" s="2087"/>
      <c r="H124" s="2087"/>
      <c r="I124" s="2087"/>
      <c r="J124" s="2087"/>
      <c r="K124" s="2087"/>
      <c r="L124" s="2087"/>
      <c r="M124" s="2087"/>
      <c r="N124" s="2087"/>
      <c r="O124" s="2087"/>
      <c r="Q124" s="16" t="s">
        <v>7957</v>
      </c>
      <c r="R124" s="9" t="s">
        <v>3616</v>
      </c>
    </row>
    <row r="125" spans="1:18">
      <c r="B125" s="578"/>
      <c r="C125" s="578"/>
      <c r="D125" s="578"/>
      <c r="E125" s="578"/>
      <c r="F125" s="578"/>
      <c r="G125" s="578"/>
      <c r="H125" s="578"/>
      <c r="I125" s="578"/>
      <c r="J125" s="578"/>
      <c r="K125" s="578"/>
      <c r="L125" s="578"/>
      <c r="M125" s="578"/>
      <c r="N125" s="578"/>
      <c r="O125" s="578"/>
      <c r="Q125" s="16"/>
    </row>
    <row r="126" spans="1:18">
      <c r="A126" s="714"/>
      <c r="B126" s="2126" t="s">
        <v>7395</v>
      </c>
      <c r="C126" s="2127"/>
      <c r="D126" s="2127"/>
      <c r="E126" s="2127"/>
      <c r="F126" s="2127"/>
      <c r="G126" s="2127"/>
      <c r="H126" s="2127"/>
      <c r="I126" s="2127"/>
      <c r="J126" s="2127"/>
      <c r="K126" s="2127"/>
      <c r="L126" s="2127"/>
      <c r="M126" s="2127"/>
      <c r="N126" s="2127"/>
      <c r="O126" s="2128"/>
      <c r="P126" s="661"/>
      <c r="Q126" s="1408"/>
    </row>
    <row r="127" spans="1:18">
      <c r="A127" s="714"/>
      <c r="B127" s="662" t="s">
        <v>7951</v>
      </c>
      <c r="C127" s="663" t="s">
        <v>143</v>
      </c>
      <c r="D127" s="663" t="s">
        <v>26</v>
      </c>
      <c r="E127" s="663" t="s">
        <v>25</v>
      </c>
      <c r="F127" s="663" t="s">
        <v>24</v>
      </c>
      <c r="G127" s="663" t="s">
        <v>23</v>
      </c>
      <c r="H127" s="663" t="s">
        <v>22</v>
      </c>
      <c r="I127" s="663" t="s">
        <v>21</v>
      </c>
      <c r="J127" s="663" t="s">
        <v>20</v>
      </c>
      <c r="K127" s="663" t="s">
        <v>256</v>
      </c>
      <c r="L127" s="663" t="s">
        <v>18</v>
      </c>
      <c r="M127" s="663" t="s">
        <v>17</v>
      </c>
      <c r="N127" s="663" t="s">
        <v>86</v>
      </c>
      <c r="O127" s="664" t="s">
        <v>67</v>
      </c>
      <c r="P127" s="665"/>
      <c r="Q127" s="1408"/>
    </row>
    <row r="128" spans="1:18">
      <c r="A128" s="714"/>
      <c r="B128" s="666" t="s">
        <v>4395</v>
      </c>
      <c r="C128" s="667">
        <v>0</v>
      </c>
      <c r="D128" s="667">
        <v>0</v>
      </c>
      <c r="E128" s="667">
        <v>0</v>
      </c>
      <c r="F128" s="667">
        <v>0</v>
      </c>
      <c r="G128" s="667">
        <v>0</v>
      </c>
      <c r="H128" s="667">
        <v>0</v>
      </c>
      <c r="I128" s="667">
        <v>0</v>
      </c>
      <c r="J128" s="667">
        <v>0</v>
      </c>
      <c r="K128" s="667">
        <v>0</v>
      </c>
      <c r="L128" s="667">
        <v>0</v>
      </c>
      <c r="M128" s="667">
        <v>0</v>
      </c>
      <c r="N128" s="999">
        <v>675</v>
      </c>
      <c r="O128" s="668">
        <f>SUM(C128:N128)</f>
        <v>675</v>
      </c>
      <c r="P128" s="669"/>
      <c r="Q128" s="1408"/>
    </row>
    <row r="129" spans="1:19">
      <c r="A129" s="714"/>
      <c r="B129" s="1342" t="s">
        <v>6389</v>
      </c>
      <c r="C129" s="1343" t="s">
        <v>135</v>
      </c>
      <c r="D129" s="1343" t="s">
        <v>135</v>
      </c>
      <c r="E129" s="1343" t="s">
        <v>135</v>
      </c>
      <c r="F129" s="1343" t="s">
        <v>135</v>
      </c>
      <c r="G129" s="1343" t="s">
        <v>135</v>
      </c>
      <c r="H129" s="1343" t="s">
        <v>135</v>
      </c>
      <c r="I129" s="1343" t="s">
        <v>135</v>
      </c>
      <c r="J129" s="1343" t="s">
        <v>135</v>
      </c>
      <c r="K129" s="1343"/>
      <c r="L129" s="1343"/>
      <c r="M129" s="1343"/>
      <c r="N129" s="1343"/>
      <c r="O129" s="1344">
        <f>SUM(C129:N129)</f>
        <v>0</v>
      </c>
      <c r="P129" s="672"/>
      <c r="Q129" s="1408"/>
    </row>
    <row r="130" spans="1:19">
      <c r="A130" s="714"/>
      <c r="B130" s="666" t="s">
        <v>4397</v>
      </c>
      <c r="C130" s="671"/>
      <c r="D130" s="671"/>
      <c r="E130" s="671"/>
      <c r="F130" s="671"/>
      <c r="G130" s="671"/>
      <c r="H130" s="671"/>
      <c r="I130" s="671"/>
      <c r="J130" s="671"/>
      <c r="K130" s="671"/>
      <c r="L130" s="671"/>
      <c r="M130" s="671"/>
      <c r="N130" s="671"/>
      <c r="O130" s="668"/>
      <c r="P130" s="672"/>
      <c r="Q130" s="1408"/>
    </row>
    <row r="131" spans="1:19">
      <c r="A131" s="714"/>
      <c r="B131" s="674" t="s">
        <v>5024</v>
      </c>
      <c r="C131" s="675"/>
      <c r="D131" s="675"/>
      <c r="E131" s="675"/>
      <c r="F131" s="675"/>
      <c r="G131" s="675"/>
      <c r="H131" s="675"/>
      <c r="I131" s="675"/>
      <c r="J131" s="675"/>
      <c r="K131" s="675"/>
      <c r="L131" s="675"/>
      <c r="M131" s="675"/>
      <c r="N131" s="675"/>
      <c r="O131" s="668">
        <f t="shared" ref="O131:O139" si="28">SUM(C131:N131)</f>
        <v>0</v>
      </c>
      <c r="P131" s="672"/>
      <c r="Q131" s="1408"/>
    </row>
    <row r="132" spans="1:19">
      <c r="A132" s="714"/>
      <c r="B132" s="674" t="s">
        <v>4399</v>
      </c>
      <c r="C132" s="675"/>
      <c r="D132" s="675"/>
      <c r="E132" s="675"/>
      <c r="F132" s="1001"/>
      <c r="G132" s="675"/>
      <c r="H132" s="675"/>
      <c r="I132" s="675"/>
      <c r="J132" s="675"/>
      <c r="K132" s="675"/>
      <c r="L132" s="675"/>
      <c r="M132" s="676"/>
      <c r="N132" s="675"/>
      <c r="O132" s="677">
        <f t="shared" si="28"/>
        <v>0</v>
      </c>
      <c r="P132" s="672"/>
      <c r="Q132" s="1408"/>
    </row>
    <row r="133" spans="1:19">
      <c r="A133" s="714"/>
      <c r="B133" s="674" t="s">
        <v>7031</v>
      </c>
      <c r="C133" s="675"/>
      <c r="D133" s="675"/>
      <c r="E133" s="675"/>
      <c r="F133" s="675"/>
      <c r="G133" s="675"/>
      <c r="H133" s="675"/>
      <c r="I133" s="675"/>
      <c r="J133" s="675"/>
      <c r="K133" s="675"/>
      <c r="L133" s="675"/>
      <c r="M133" s="675">
        <v>21.36</v>
      </c>
      <c r="N133" s="675">
        <v>77.53</v>
      </c>
      <c r="O133" s="677">
        <f t="shared" si="28"/>
        <v>98.89</v>
      </c>
      <c r="P133" s="681"/>
      <c r="Q133" s="16"/>
    </row>
    <row r="134" spans="1:19">
      <c r="A134" s="714"/>
      <c r="B134" s="674" t="s">
        <v>6850</v>
      </c>
      <c r="C134" s="675"/>
      <c r="D134" s="675"/>
      <c r="E134" s="675"/>
      <c r="F134" s="675"/>
      <c r="G134" s="675"/>
      <c r="H134" s="675"/>
      <c r="I134" s="675"/>
      <c r="J134" s="675"/>
      <c r="K134" s="675"/>
      <c r="L134" s="675"/>
      <c r="M134" s="675">
        <v>25.89</v>
      </c>
      <c r="N134" s="675">
        <v>49.37</v>
      </c>
      <c r="O134" s="677">
        <f t="shared" si="28"/>
        <v>75.259999999999991</v>
      </c>
      <c r="P134" s="672"/>
      <c r="Q134" s="1408"/>
    </row>
    <row r="135" spans="1:19">
      <c r="A135" s="714"/>
      <c r="B135" s="674" t="s">
        <v>7019</v>
      </c>
      <c r="C135" s="675"/>
      <c r="D135" s="675"/>
      <c r="E135" s="675"/>
      <c r="F135" s="675"/>
      <c r="G135" s="675"/>
      <c r="H135" s="675"/>
      <c r="I135" s="675"/>
      <c r="J135" s="675"/>
      <c r="K135" s="675"/>
      <c r="L135" s="675"/>
      <c r="M135" s="675"/>
      <c r="N135" s="675"/>
      <c r="O135" s="677">
        <f t="shared" si="28"/>
        <v>0</v>
      </c>
      <c r="P135" s="672"/>
      <c r="Q135" s="1408"/>
    </row>
    <row r="136" spans="1:19">
      <c r="A136" s="714"/>
      <c r="B136" s="674" t="s">
        <v>7043</v>
      </c>
      <c r="C136" s="687"/>
      <c r="D136" s="687"/>
      <c r="E136" s="687"/>
      <c r="F136" s="687"/>
      <c r="G136" s="687"/>
      <c r="H136" s="687"/>
      <c r="I136" s="687"/>
      <c r="J136" s="687"/>
      <c r="K136" s="687"/>
      <c r="L136" s="688">
        <v>454.86</v>
      </c>
      <c r="M136" s="687"/>
      <c r="N136" s="687"/>
      <c r="O136" s="677">
        <f t="shared" si="28"/>
        <v>454.86</v>
      </c>
      <c r="P136" s="672"/>
      <c r="Q136" s="1408"/>
    </row>
    <row r="137" spans="1:19">
      <c r="A137" s="714"/>
      <c r="B137" s="674" t="s">
        <v>6860</v>
      </c>
      <c r="C137" s="945"/>
      <c r="D137" s="945"/>
      <c r="E137" s="945"/>
      <c r="F137" s="945"/>
      <c r="G137" s="945"/>
      <c r="H137" s="945"/>
      <c r="I137" s="945"/>
      <c r="J137" s="945"/>
      <c r="K137" s="945"/>
      <c r="L137" s="945"/>
      <c r="M137" s="945"/>
      <c r="N137" s="945"/>
      <c r="O137" s="668">
        <f t="shared" si="28"/>
        <v>0</v>
      </c>
      <c r="P137" s="672"/>
      <c r="Q137" s="1408"/>
    </row>
    <row r="138" spans="1:19">
      <c r="A138" s="714"/>
      <c r="B138" s="674" t="s">
        <v>7035</v>
      </c>
      <c r="C138" s="675"/>
      <c r="D138" s="675"/>
      <c r="E138" s="675"/>
      <c r="F138" s="675"/>
      <c r="G138" s="675"/>
      <c r="H138" s="675"/>
      <c r="I138" s="675"/>
      <c r="J138" s="675"/>
      <c r="K138" s="675"/>
      <c r="L138" s="675"/>
      <c r="M138" s="675"/>
      <c r="N138" s="675"/>
      <c r="O138" s="668">
        <f t="shared" si="28"/>
        <v>0</v>
      </c>
      <c r="P138" s="672"/>
      <c r="Q138" s="1408"/>
    </row>
    <row r="139" spans="1:19">
      <c r="A139" s="714"/>
      <c r="B139" s="666" t="s">
        <v>6323</v>
      </c>
      <c r="C139" s="677">
        <f t="shared" ref="C139:N139" si="29">SUM(C137:C138)</f>
        <v>0</v>
      </c>
      <c r="D139" s="677">
        <f t="shared" si="29"/>
        <v>0</v>
      </c>
      <c r="E139" s="677">
        <f t="shared" si="29"/>
        <v>0</v>
      </c>
      <c r="F139" s="677">
        <f t="shared" si="29"/>
        <v>0</v>
      </c>
      <c r="G139" s="677">
        <f t="shared" si="29"/>
        <v>0</v>
      </c>
      <c r="H139" s="677">
        <f t="shared" si="29"/>
        <v>0</v>
      </c>
      <c r="I139" s="677">
        <f t="shared" si="29"/>
        <v>0</v>
      </c>
      <c r="J139" s="677">
        <f t="shared" si="29"/>
        <v>0</v>
      </c>
      <c r="K139" s="677">
        <f t="shared" si="29"/>
        <v>0</v>
      </c>
      <c r="L139" s="677">
        <f t="shared" si="29"/>
        <v>0</v>
      </c>
      <c r="M139" s="677">
        <f t="shared" si="29"/>
        <v>0</v>
      </c>
      <c r="N139" s="677">
        <f t="shared" si="29"/>
        <v>0</v>
      </c>
      <c r="O139" s="668">
        <f t="shared" si="28"/>
        <v>0</v>
      </c>
      <c r="P139" s="669"/>
      <c r="Q139" s="1408"/>
    </row>
    <row r="140" spans="1:19">
      <c r="A140" s="714"/>
      <c r="B140" s="689" t="s">
        <v>1126</v>
      </c>
      <c r="C140" s="690">
        <f t="shared" ref="C140:N140" si="30">SUM(C131:C138)</f>
        <v>0</v>
      </c>
      <c r="D140" s="690">
        <f t="shared" si="30"/>
        <v>0</v>
      </c>
      <c r="E140" s="690">
        <f t="shared" si="30"/>
        <v>0</v>
      </c>
      <c r="F140" s="690">
        <f t="shared" si="30"/>
        <v>0</v>
      </c>
      <c r="G140" s="690">
        <f t="shared" si="30"/>
        <v>0</v>
      </c>
      <c r="H140" s="690">
        <f t="shared" si="30"/>
        <v>0</v>
      </c>
      <c r="I140" s="690">
        <f t="shared" si="30"/>
        <v>0</v>
      </c>
      <c r="J140" s="690">
        <f t="shared" si="30"/>
        <v>0</v>
      </c>
      <c r="K140" s="690">
        <f t="shared" si="30"/>
        <v>0</v>
      </c>
      <c r="L140" s="690">
        <f t="shared" si="30"/>
        <v>454.86</v>
      </c>
      <c r="M140" s="690">
        <f t="shared" si="30"/>
        <v>47.25</v>
      </c>
      <c r="N140" s="690">
        <f t="shared" si="30"/>
        <v>126.9</v>
      </c>
      <c r="O140" s="995">
        <f>SUM(O132:O138)</f>
        <v>629.01</v>
      </c>
      <c r="P140" s="691"/>
      <c r="Q140" s="1408"/>
    </row>
    <row r="141" spans="1:19">
      <c r="A141" s="715"/>
      <c r="B141" s="692" t="s">
        <v>791</v>
      </c>
      <c r="C141" s="693">
        <f t="shared" ref="C141:O141" si="31">C128-C140</f>
        <v>0</v>
      </c>
      <c r="D141" s="693">
        <f t="shared" si="31"/>
        <v>0</v>
      </c>
      <c r="E141" s="693">
        <f t="shared" si="31"/>
        <v>0</v>
      </c>
      <c r="F141" s="693">
        <f t="shared" si="31"/>
        <v>0</v>
      </c>
      <c r="G141" s="693">
        <f t="shared" si="31"/>
        <v>0</v>
      </c>
      <c r="H141" s="693">
        <f t="shared" si="31"/>
        <v>0</v>
      </c>
      <c r="I141" s="693">
        <f t="shared" si="31"/>
        <v>0</v>
      </c>
      <c r="J141" s="693">
        <f t="shared" si="31"/>
        <v>0</v>
      </c>
      <c r="K141" s="693">
        <f t="shared" si="31"/>
        <v>0</v>
      </c>
      <c r="L141" s="693">
        <f t="shared" si="31"/>
        <v>-454.86</v>
      </c>
      <c r="M141" s="693">
        <f t="shared" si="31"/>
        <v>-47.25</v>
      </c>
      <c r="N141" s="693">
        <f t="shared" si="31"/>
        <v>548.1</v>
      </c>
      <c r="O141" s="693">
        <f t="shared" si="31"/>
        <v>45.990000000000009</v>
      </c>
      <c r="P141" s="694"/>
      <c r="Q141" s="16">
        <f>O141/12</f>
        <v>3.8325000000000009</v>
      </c>
      <c r="R141" s="9" t="s">
        <v>7953</v>
      </c>
    </row>
    <row r="142" spans="1:19">
      <c r="B142" s="2161" t="s">
        <v>7396</v>
      </c>
      <c r="C142" s="2087"/>
      <c r="D142" s="2087"/>
      <c r="E142" s="2087"/>
      <c r="F142" s="2087"/>
      <c r="G142" s="2087"/>
      <c r="H142" s="2087"/>
      <c r="I142" s="2087"/>
      <c r="J142" s="2087"/>
      <c r="K142" s="2087"/>
      <c r="L142" s="2087"/>
      <c r="M142" s="2087"/>
      <c r="N142" s="2087"/>
      <c r="O142" s="2087"/>
      <c r="Q142" s="16"/>
    </row>
    <row r="143" spans="1:19">
      <c r="Q143" s="16"/>
      <c r="S143" s="9"/>
    </row>
    <row r="144" spans="1:19">
      <c r="Q144" s="16"/>
      <c r="S144" s="9"/>
    </row>
    <row r="145" spans="1:17">
      <c r="A145" s="714"/>
      <c r="B145" s="2126" t="s">
        <v>4423</v>
      </c>
      <c r="C145" s="2127"/>
      <c r="D145" s="2127"/>
      <c r="E145" s="2127"/>
      <c r="F145" s="2127"/>
      <c r="G145" s="2127"/>
      <c r="H145" s="2127"/>
      <c r="I145" s="2127"/>
      <c r="J145" s="2127"/>
      <c r="K145" s="2127"/>
      <c r="L145" s="2127"/>
      <c r="M145" s="2127"/>
      <c r="N145" s="2127"/>
      <c r="O145" s="2128"/>
      <c r="P145" s="661"/>
      <c r="Q145" s="1408" t="s">
        <v>576</v>
      </c>
    </row>
    <row r="146" spans="1:17">
      <c r="A146" s="714"/>
      <c r="B146" s="662">
        <v>2015</v>
      </c>
      <c r="C146" s="663" t="s">
        <v>143</v>
      </c>
      <c r="D146" s="663" t="s">
        <v>26</v>
      </c>
      <c r="E146" s="663" t="s">
        <v>25</v>
      </c>
      <c r="F146" s="663" t="s">
        <v>24</v>
      </c>
      <c r="G146" s="663" t="s">
        <v>23</v>
      </c>
      <c r="H146" s="663" t="s">
        <v>22</v>
      </c>
      <c r="I146" s="663" t="s">
        <v>21</v>
      </c>
      <c r="J146" s="663" t="s">
        <v>20</v>
      </c>
      <c r="K146" s="663" t="s">
        <v>256</v>
      </c>
      <c r="L146" s="663" t="s">
        <v>18</v>
      </c>
      <c r="M146" s="663" t="s">
        <v>17</v>
      </c>
      <c r="N146" s="663" t="s">
        <v>86</v>
      </c>
      <c r="O146" s="664" t="s">
        <v>67</v>
      </c>
      <c r="P146" s="665"/>
      <c r="Q146" s="1408" t="s">
        <v>7958</v>
      </c>
    </row>
    <row r="147" spans="1:17">
      <c r="A147" s="714"/>
      <c r="B147" s="666" t="s">
        <v>4424</v>
      </c>
      <c r="C147" s="671"/>
      <c r="D147" s="671"/>
      <c r="E147" s="671"/>
      <c r="F147" s="671"/>
      <c r="G147" s="671"/>
      <c r="H147" s="671"/>
      <c r="I147" s="671"/>
      <c r="J147" s="671"/>
      <c r="K147" s="671"/>
      <c r="L147" s="671"/>
      <c r="M147" s="671"/>
      <c r="N147" s="671"/>
      <c r="O147" s="668"/>
      <c r="P147" s="672"/>
      <c r="Q147" s="1408"/>
    </row>
    <row r="148" spans="1:17">
      <c r="A148" s="714"/>
      <c r="B148" s="674" t="s">
        <v>5056</v>
      </c>
      <c r="C148" s="685">
        <v>120</v>
      </c>
      <c r="D148" s="675"/>
      <c r="E148" s="675"/>
      <c r="F148" s="675"/>
      <c r="G148" s="675"/>
      <c r="H148" s="675"/>
      <c r="I148" s="675"/>
      <c r="J148" s="675"/>
      <c r="K148" s="675"/>
      <c r="L148" s="675"/>
      <c r="M148" s="675"/>
      <c r="N148" s="675"/>
      <c r="O148" s="668">
        <f t="shared" ref="O148:O154" si="32">SUM(C148:N148)</f>
        <v>120</v>
      </c>
      <c r="P148" s="672"/>
      <c r="Q148" s="1408">
        <v>100</v>
      </c>
    </row>
    <row r="149" spans="1:17">
      <c r="A149" s="714"/>
      <c r="B149" s="674" t="s">
        <v>7401</v>
      </c>
      <c r="C149" s="685">
        <v>16.5</v>
      </c>
      <c r="D149" s="685">
        <v>16.5</v>
      </c>
      <c r="E149" s="685">
        <v>16.5</v>
      </c>
      <c r="F149" s="685">
        <v>16.5</v>
      </c>
      <c r="G149" s="685">
        <v>16.5</v>
      </c>
      <c r="H149" s="1414">
        <v>16.5</v>
      </c>
      <c r="I149" s="685">
        <v>16.5</v>
      </c>
      <c r="J149" s="685">
        <v>16.5</v>
      </c>
      <c r="K149" s="685">
        <v>16.5</v>
      </c>
      <c r="L149" s="685">
        <v>16.5</v>
      </c>
      <c r="M149" s="685">
        <v>16.5</v>
      </c>
      <c r="N149" s="685">
        <v>16.5</v>
      </c>
      <c r="O149" s="668">
        <f t="shared" si="32"/>
        <v>198</v>
      </c>
      <c r="P149" s="672"/>
      <c r="Q149" s="1408">
        <f>15*12</f>
        <v>180</v>
      </c>
    </row>
    <row r="150" spans="1:17">
      <c r="A150" s="714"/>
      <c r="B150" s="674" t="s">
        <v>4426</v>
      </c>
      <c r="C150" s="685">
        <v>50</v>
      </c>
      <c r="D150" s="675"/>
      <c r="E150" s="675"/>
      <c r="F150" s="675"/>
      <c r="G150" s="675"/>
      <c r="H150" s="675"/>
      <c r="I150" s="675"/>
      <c r="J150" s="675"/>
      <c r="K150" s="675"/>
      <c r="L150" s="675"/>
      <c r="M150" s="675"/>
      <c r="N150" s="675"/>
      <c r="O150" s="668">
        <f t="shared" si="32"/>
        <v>50</v>
      </c>
      <c r="P150" s="672"/>
      <c r="Q150" s="1408">
        <v>60</v>
      </c>
    </row>
    <row r="151" spans="1:17">
      <c r="A151" s="714"/>
      <c r="B151" s="674" t="s">
        <v>2329</v>
      </c>
      <c r="C151" s="685">
        <v>120</v>
      </c>
      <c r="D151" s="675"/>
      <c r="E151" s="675"/>
      <c r="F151" s="675"/>
      <c r="G151" s="675"/>
      <c r="H151" s="675"/>
      <c r="I151" s="675"/>
      <c r="J151" s="675"/>
      <c r="K151" s="675"/>
      <c r="L151" s="675"/>
      <c r="M151" s="675"/>
      <c r="N151" s="675"/>
      <c r="O151" s="668">
        <f t="shared" si="32"/>
        <v>120</v>
      </c>
      <c r="P151" s="672"/>
      <c r="Q151" s="1408">
        <v>100</v>
      </c>
    </row>
    <row r="152" spans="1:17">
      <c r="A152" s="714"/>
      <c r="B152" s="674" t="s">
        <v>7047</v>
      </c>
      <c r="C152" s="675"/>
      <c r="D152" s="675"/>
      <c r="E152" s="685">
        <v>120</v>
      </c>
      <c r="F152" s="675"/>
      <c r="G152" s="675"/>
      <c r="H152" s="675"/>
      <c r="I152" s="685">
        <v>30</v>
      </c>
      <c r="J152" s="675"/>
      <c r="K152" s="675"/>
      <c r="L152" s="675"/>
      <c r="M152" s="675"/>
      <c r="N152" s="675"/>
      <c r="O152" s="668">
        <f t="shared" si="32"/>
        <v>150</v>
      </c>
      <c r="P152" s="672"/>
      <c r="Q152" s="1408">
        <v>100</v>
      </c>
    </row>
    <row r="153" spans="1:17">
      <c r="A153" s="714"/>
      <c r="B153" s="674" t="s">
        <v>6865</v>
      </c>
      <c r="C153" s="675"/>
      <c r="D153" s="675"/>
      <c r="E153" s="675"/>
      <c r="F153" s="675"/>
      <c r="G153" s="685">
        <v>280</v>
      </c>
      <c r="H153" s="675"/>
      <c r="I153" s="675"/>
      <c r="J153" s="675"/>
      <c r="K153" s="675"/>
      <c r="L153" s="675"/>
      <c r="M153" s="675"/>
      <c r="N153" s="675"/>
      <c r="O153" s="668">
        <f t="shared" si="32"/>
        <v>280</v>
      </c>
      <c r="P153" s="672"/>
      <c r="Q153" s="1408">
        <v>150</v>
      </c>
    </row>
    <row r="154" spans="1:17">
      <c r="A154" s="714"/>
      <c r="B154" s="674" t="s">
        <v>7959</v>
      </c>
      <c r="C154" s="675"/>
      <c r="D154" s="675"/>
      <c r="E154" s="675"/>
      <c r="F154" s="675"/>
      <c r="G154" s="685">
        <v>100</v>
      </c>
      <c r="H154" s="675"/>
      <c r="I154" s="675"/>
      <c r="J154" s="675" t="s">
        <v>7960</v>
      </c>
      <c r="K154" s="675"/>
      <c r="L154" s="675"/>
      <c r="M154" s="675"/>
      <c r="N154" s="675"/>
      <c r="O154" s="668">
        <f t="shared" si="32"/>
        <v>100</v>
      </c>
      <c r="P154" s="672"/>
      <c r="Q154" s="1408">
        <v>160</v>
      </c>
    </row>
    <row r="155" spans="1:17">
      <c r="A155" s="714"/>
      <c r="B155" s="674" t="s">
        <v>4441</v>
      </c>
      <c r="C155" s="675"/>
      <c r="D155" s="675"/>
      <c r="E155" s="675"/>
      <c r="F155" s="675"/>
      <c r="G155" s="685"/>
      <c r="H155" s="675"/>
      <c r="I155" s="675"/>
      <c r="J155" s="675"/>
      <c r="K155" s="675"/>
      <c r="L155" s="675"/>
      <c r="M155" s="675"/>
      <c r="N155" s="685">
        <v>288</v>
      </c>
      <c r="O155" s="668"/>
      <c r="P155" s="672"/>
      <c r="Q155" s="1408"/>
    </row>
    <row r="156" spans="1:17">
      <c r="A156" s="714"/>
      <c r="B156" s="674" t="s">
        <v>4310</v>
      </c>
      <c r="C156" s="675"/>
      <c r="D156" s="675"/>
      <c r="E156" s="675"/>
      <c r="F156" s="675"/>
      <c r="G156" s="685">
        <v>100</v>
      </c>
      <c r="H156" s="675"/>
      <c r="I156" s="675"/>
      <c r="J156" s="675"/>
      <c r="K156" s="675"/>
      <c r="L156" s="675"/>
      <c r="M156" s="675"/>
      <c r="N156" s="675"/>
      <c r="O156" s="668">
        <f>SUM(C156:N156)</f>
        <v>100</v>
      </c>
      <c r="P156" s="672"/>
      <c r="Q156" s="1408">
        <v>100</v>
      </c>
    </row>
    <row r="157" spans="1:17">
      <c r="A157" s="714"/>
      <c r="B157" s="674" t="s">
        <v>7418</v>
      </c>
      <c r="C157" s="685">
        <v>80</v>
      </c>
      <c r="D157" s="675"/>
      <c r="E157" s="675"/>
      <c r="F157" s="675"/>
      <c r="G157" s="675"/>
      <c r="H157" s="675"/>
      <c r="I157" s="675"/>
      <c r="J157" s="675"/>
      <c r="K157" s="675"/>
      <c r="L157" s="675"/>
      <c r="M157" s="675"/>
      <c r="N157" s="675"/>
      <c r="O157" s="668">
        <f>SUM(C157:N157)</f>
        <v>80</v>
      </c>
      <c r="P157" s="672"/>
      <c r="Q157" s="1408">
        <v>100</v>
      </c>
    </row>
    <row r="158" spans="1:17">
      <c r="A158" s="714"/>
      <c r="B158" s="674" t="s">
        <v>7049</v>
      </c>
      <c r="C158" s="675"/>
      <c r="D158" s="675"/>
      <c r="E158" s="675"/>
      <c r="F158" s="675"/>
      <c r="G158" s="675">
        <v>120</v>
      </c>
      <c r="H158" s="675"/>
      <c r="I158" s="675"/>
      <c r="J158" s="675"/>
      <c r="K158" s="675"/>
      <c r="L158" s="675"/>
      <c r="M158" s="675"/>
      <c r="N158" s="675"/>
      <c r="O158" s="668">
        <f>SUM(C158:N158)</f>
        <v>120</v>
      </c>
      <c r="P158" s="672"/>
      <c r="Q158" s="1408"/>
    </row>
    <row r="159" spans="1:17">
      <c r="A159" s="714"/>
      <c r="B159" s="674" t="s">
        <v>4433</v>
      </c>
      <c r="C159" s="675"/>
      <c r="D159" s="675"/>
      <c r="E159" s="675"/>
      <c r="F159" s="675"/>
      <c r="G159" s="675"/>
      <c r="H159" s="675"/>
      <c r="I159" s="675"/>
      <c r="J159" s="675"/>
      <c r="K159" s="675"/>
      <c r="L159" s="675"/>
      <c r="M159" s="675"/>
      <c r="N159" s="675">
        <f>72.06+23.24</f>
        <v>95.3</v>
      </c>
      <c r="O159" s="668"/>
      <c r="P159" s="672"/>
      <c r="Q159" s="1408"/>
    </row>
    <row r="160" spans="1:17">
      <c r="A160" s="714"/>
      <c r="B160" s="674" t="s">
        <v>4434</v>
      </c>
      <c r="C160" s="675">
        <v>-20</v>
      </c>
      <c r="D160" s="675">
        <v>-20</v>
      </c>
      <c r="E160" s="675">
        <v>-20</v>
      </c>
      <c r="F160" s="675">
        <v>-20</v>
      </c>
      <c r="G160" s="675">
        <v>-20</v>
      </c>
      <c r="H160" s="675">
        <v>-20</v>
      </c>
      <c r="I160" s="675">
        <v>-20</v>
      </c>
      <c r="J160" s="675">
        <v>-20</v>
      </c>
      <c r="K160" s="675">
        <v>-20</v>
      </c>
      <c r="L160" s="675">
        <v>-20</v>
      </c>
      <c r="M160" s="675">
        <v>-20</v>
      </c>
      <c r="N160" s="675">
        <v>-20</v>
      </c>
      <c r="O160" s="668">
        <f>SUM(C160:N160)</f>
        <v>-240</v>
      </c>
      <c r="P160" s="672"/>
      <c r="Q160" s="1408">
        <v>-240</v>
      </c>
    </row>
    <row r="161" spans="1:22">
      <c r="A161" s="715"/>
      <c r="B161" s="677" t="s">
        <v>4435</v>
      </c>
      <c r="C161" s="677">
        <f t="shared" ref="C161:O161" si="33">SUM(C148:C160)</f>
        <v>366.5</v>
      </c>
      <c r="D161" s="677">
        <f t="shared" si="33"/>
        <v>-3.5</v>
      </c>
      <c r="E161" s="677">
        <f t="shared" si="33"/>
        <v>116.5</v>
      </c>
      <c r="F161" s="677">
        <f t="shared" si="33"/>
        <v>-3.5</v>
      </c>
      <c r="G161" s="677">
        <f t="shared" si="33"/>
        <v>596.5</v>
      </c>
      <c r="H161" s="677">
        <f t="shared" si="33"/>
        <v>-3.5</v>
      </c>
      <c r="I161" s="677">
        <f t="shared" si="33"/>
        <v>26.5</v>
      </c>
      <c r="J161" s="677">
        <f t="shared" si="33"/>
        <v>-3.5</v>
      </c>
      <c r="K161" s="677">
        <f t="shared" si="33"/>
        <v>-3.5</v>
      </c>
      <c r="L161" s="677">
        <f t="shared" si="33"/>
        <v>-3.5</v>
      </c>
      <c r="M161" s="677">
        <f t="shared" si="33"/>
        <v>-3.5</v>
      </c>
      <c r="N161" s="677">
        <f t="shared" si="33"/>
        <v>379.8</v>
      </c>
      <c r="O161" s="677">
        <f t="shared" si="33"/>
        <v>1078</v>
      </c>
      <c r="P161" s="691"/>
      <c r="Q161" s="1408">
        <f>SUM(Q148:Q160)</f>
        <v>810</v>
      </c>
    </row>
    <row r="162" spans="1:22">
      <c r="A162" s="715" t="s">
        <v>135</v>
      </c>
      <c r="B162" s="709" t="s">
        <v>135</v>
      </c>
      <c r="C162" s="709"/>
      <c r="D162" s="709"/>
      <c r="E162" s="709"/>
      <c r="F162" s="709"/>
      <c r="G162" s="709"/>
      <c r="H162" s="709"/>
      <c r="I162" s="709"/>
      <c r="J162" s="709"/>
      <c r="K162" s="709"/>
      <c r="L162" s="709"/>
      <c r="M162" s="709"/>
      <c r="N162" s="709"/>
      <c r="O162" s="709"/>
      <c r="P162" s="710"/>
      <c r="Q162" s="16"/>
    </row>
    <row r="163" spans="1:22">
      <c r="B163" s="578"/>
      <c r="C163" s="578"/>
      <c r="D163" s="578"/>
      <c r="E163" s="578"/>
      <c r="F163" s="578"/>
      <c r="G163" s="578"/>
      <c r="H163" s="578"/>
      <c r="I163" s="578"/>
      <c r="J163" s="578"/>
      <c r="K163" s="578"/>
      <c r="L163" s="578"/>
      <c r="M163" s="2129" t="s">
        <v>4436</v>
      </c>
      <c r="N163" s="2087"/>
      <c r="O163" s="711">
        <f>800/12</f>
        <v>66.666666666666671</v>
      </c>
      <c r="P163" s="712"/>
      <c r="Q163" s="16">
        <f>Q161/12</f>
        <v>67.5</v>
      </c>
    </row>
    <row r="164" spans="1:22">
      <c r="B164" s="578"/>
      <c r="C164" s="578"/>
      <c r="D164" s="578"/>
      <c r="E164" s="578"/>
      <c r="F164" s="578"/>
      <c r="G164" s="578"/>
      <c r="H164" s="578"/>
      <c r="I164" s="578"/>
      <c r="J164" s="578"/>
      <c r="K164" s="578"/>
      <c r="L164" s="578"/>
      <c r="M164" s="578"/>
      <c r="N164" s="578"/>
      <c r="O164" s="578"/>
      <c r="Q164" s="16"/>
    </row>
    <row r="165" spans="1:22">
      <c r="B165" s="578"/>
      <c r="C165" s="578"/>
      <c r="D165" s="578"/>
      <c r="E165" s="578"/>
      <c r="F165" s="578"/>
      <c r="G165" s="578"/>
      <c r="H165" s="578"/>
      <c r="I165" s="578"/>
      <c r="J165" s="578"/>
      <c r="K165" s="578"/>
      <c r="L165" s="578"/>
      <c r="M165" s="578"/>
      <c r="N165" s="578"/>
      <c r="O165" s="578"/>
      <c r="Q165" s="16"/>
    </row>
    <row r="166" spans="1:22">
      <c r="B166" s="578"/>
      <c r="C166" s="578"/>
      <c r="D166" s="578"/>
      <c r="E166" s="578"/>
      <c r="F166" s="578"/>
      <c r="G166" s="578"/>
      <c r="H166" s="578"/>
      <c r="I166" s="578"/>
      <c r="J166" s="578"/>
      <c r="K166" s="578"/>
      <c r="L166" s="578"/>
      <c r="M166" s="578"/>
      <c r="N166" s="578"/>
      <c r="O166" s="578"/>
      <c r="Q166" s="16">
        <f>Q49</f>
        <v>430.08499999999998</v>
      </c>
      <c r="R166" s="9">
        <v>344</v>
      </c>
    </row>
    <row r="167" spans="1:22">
      <c r="B167" s="997"/>
      <c r="C167" s="997"/>
      <c r="D167" s="997"/>
      <c r="E167" s="997"/>
      <c r="F167" s="997"/>
      <c r="G167" s="997"/>
      <c r="H167" s="997"/>
      <c r="I167" s="997"/>
      <c r="J167" s="997"/>
      <c r="K167" s="997"/>
      <c r="L167" s="997"/>
      <c r="M167" s="997"/>
      <c r="N167" s="997"/>
      <c r="O167" s="997"/>
      <c r="P167" s="660"/>
      <c r="Q167" s="16"/>
    </row>
    <row r="168" spans="1:22">
      <c r="A168" s="714"/>
      <c r="B168" s="2126" t="s">
        <v>7051</v>
      </c>
      <c r="C168" s="2127"/>
      <c r="D168" s="2127"/>
      <c r="E168" s="2127"/>
      <c r="F168" s="2127"/>
      <c r="G168" s="2127"/>
      <c r="H168" s="2127"/>
      <c r="I168" s="2127"/>
      <c r="J168" s="2127"/>
      <c r="K168" s="2127"/>
      <c r="L168" s="2127"/>
      <c r="M168" s="2127"/>
      <c r="N168" s="2127"/>
      <c r="O168" s="2128"/>
      <c r="P168" s="661"/>
      <c r="Q168" s="1408"/>
    </row>
    <row r="169" spans="1:22">
      <c r="A169" s="714"/>
      <c r="B169" s="662">
        <v>2014</v>
      </c>
      <c r="C169" s="663" t="s">
        <v>143</v>
      </c>
      <c r="D169" s="663" t="s">
        <v>26</v>
      </c>
      <c r="E169" s="663" t="s">
        <v>25</v>
      </c>
      <c r="F169" s="663" t="s">
        <v>24</v>
      </c>
      <c r="G169" s="663" t="s">
        <v>23</v>
      </c>
      <c r="H169" s="663" t="s">
        <v>22</v>
      </c>
      <c r="I169" s="663" t="s">
        <v>21</v>
      </c>
      <c r="J169" s="663" t="s">
        <v>20</v>
      </c>
      <c r="K169" s="663" t="s">
        <v>256</v>
      </c>
      <c r="L169" s="663" t="s">
        <v>18</v>
      </c>
      <c r="M169" s="663" t="s">
        <v>17</v>
      </c>
      <c r="N169" s="663" t="s">
        <v>86</v>
      </c>
      <c r="O169" s="664" t="s">
        <v>67</v>
      </c>
      <c r="P169" s="665"/>
      <c r="Q169" s="1408"/>
      <c r="R169" s="578"/>
      <c r="S169" s="578"/>
      <c r="T169" s="578"/>
      <c r="U169" s="578"/>
      <c r="V169" s="578"/>
    </row>
    <row r="170" spans="1:22">
      <c r="A170" s="714"/>
      <c r="B170" s="666" t="s">
        <v>4397</v>
      </c>
      <c r="C170" s="671"/>
      <c r="D170" s="671"/>
      <c r="E170" s="671"/>
      <c r="F170" s="671"/>
      <c r="G170" s="671"/>
      <c r="H170" s="671"/>
      <c r="I170" s="671"/>
      <c r="J170" s="671"/>
      <c r="K170" s="671"/>
      <c r="L170" s="671"/>
      <c r="M170" s="671"/>
      <c r="N170" s="671"/>
      <c r="O170" s="668"/>
      <c r="P170" s="672"/>
      <c r="Q170" s="1408"/>
    </row>
    <row r="171" spans="1:22">
      <c r="A171" s="714"/>
      <c r="B171" s="674" t="s">
        <v>4399</v>
      </c>
      <c r="C171" s="675"/>
      <c r="D171" s="675"/>
      <c r="E171" s="675"/>
      <c r="F171" s="675"/>
      <c r="G171" s="675"/>
      <c r="H171" s="675"/>
      <c r="I171" s="675"/>
      <c r="J171" s="675"/>
      <c r="K171" s="675"/>
      <c r="L171" s="675"/>
      <c r="M171" s="675"/>
      <c r="N171" s="675"/>
      <c r="O171" s="668">
        <f>SUM(C171:N171)</f>
        <v>0</v>
      </c>
      <c r="P171" s="672"/>
      <c r="Q171" s="1408"/>
    </row>
    <row r="172" spans="1:22">
      <c r="A172" s="714"/>
      <c r="B172" s="674" t="s">
        <v>6850</v>
      </c>
      <c r="C172" s="675"/>
      <c r="D172" s="675"/>
      <c r="E172" s="675"/>
      <c r="F172" s="675"/>
      <c r="G172" s="675"/>
      <c r="H172" s="675"/>
      <c r="I172" s="675"/>
      <c r="J172" s="675"/>
      <c r="K172" s="675"/>
      <c r="L172" s="675"/>
      <c r="M172" s="675"/>
      <c r="N172" s="675"/>
      <c r="O172" s="668">
        <f>SUM(C172:N172)</f>
        <v>0</v>
      </c>
      <c r="P172" s="672"/>
      <c r="Q172" s="1408"/>
    </row>
    <row r="173" spans="1:22">
      <c r="A173" s="714"/>
      <c r="B173" s="674" t="s">
        <v>5684</v>
      </c>
      <c r="C173" s="675"/>
      <c r="D173" s="675"/>
      <c r="E173" s="675"/>
      <c r="F173" s="675"/>
      <c r="G173" s="675"/>
      <c r="H173" s="675"/>
      <c r="I173" s="675"/>
      <c r="J173" s="675"/>
      <c r="K173" s="675"/>
      <c r="L173" s="675"/>
      <c r="M173" s="675"/>
      <c r="N173" s="675"/>
      <c r="O173" s="668">
        <f>SUM(C173:N173)</f>
        <v>0</v>
      </c>
      <c r="P173" s="672"/>
      <c r="Q173" s="1408"/>
    </row>
    <row r="174" spans="1:22">
      <c r="A174" s="714"/>
      <c r="B174" s="674" t="s">
        <v>7052</v>
      </c>
      <c r="C174" s="675"/>
      <c r="D174" s="675"/>
      <c r="E174" s="675"/>
      <c r="F174" s="675"/>
      <c r="G174" s="675"/>
      <c r="H174" s="675"/>
      <c r="I174" s="675"/>
      <c r="J174" s="675"/>
      <c r="K174" s="675"/>
      <c r="L174" s="675"/>
      <c r="M174" s="675"/>
      <c r="N174" s="675"/>
      <c r="O174" s="668"/>
      <c r="P174" s="672"/>
      <c r="Q174" s="1408"/>
    </row>
    <row r="175" spans="1:22">
      <c r="A175" s="714"/>
      <c r="B175" s="674" t="s">
        <v>7053</v>
      </c>
      <c r="C175" s="675"/>
      <c r="D175" s="675"/>
      <c r="E175" s="675"/>
      <c r="F175" s="675"/>
      <c r="G175" s="675"/>
      <c r="H175" s="675"/>
      <c r="I175" s="675"/>
      <c r="J175" s="675"/>
      <c r="K175" s="675"/>
      <c r="L175" s="675"/>
      <c r="M175" s="675"/>
      <c r="N175" s="675"/>
      <c r="O175" s="668"/>
      <c r="P175" s="672"/>
      <c r="Q175" s="1408"/>
    </row>
    <row r="176" spans="1:22">
      <c r="A176" s="714"/>
      <c r="B176" s="674" t="s">
        <v>7054</v>
      </c>
      <c r="C176" s="675"/>
      <c r="D176" s="675"/>
      <c r="E176" s="675"/>
      <c r="F176" s="675"/>
      <c r="G176" s="675"/>
      <c r="H176" s="675"/>
      <c r="I176" s="675"/>
      <c r="J176" s="675"/>
      <c r="K176" s="675"/>
      <c r="L176" s="675"/>
      <c r="M176" s="675"/>
      <c r="N176" s="675"/>
      <c r="O176" s="668"/>
      <c r="P176" s="672"/>
      <c r="Q176" s="1408"/>
    </row>
    <row r="177" spans="1:22">
      <c r="A177" s="714"/>
      <c r="B177" s="674" t="s">
        <v>7055</v>
      </c>
      <c r="C177" s="675"/>
      <c r="D177" s="675"/>
      <c r="E177" s="675"/>
      <c r="F177" s="675"/>
      <c r="G177" s="675"/>
      <c r="H177" s="675"/>
      <c r="I177" s="675"/>
      <c r="J177" s="675"/>
      <c r="K177" s="675"/>
      <c r="L177" s="675"/>
      <c r="M177" s="675"/>
      <c r="N177" s="675"/>
      <c r="O177" s="668"/>
      <c r="P177" s="672"/>
      <c r="Q177" s="1408"/>
    </row>
    <row r="178" spans="1:22">
      <c r="A178" s="714"/>
      <c r="B178" s="674" t="s">
        <v>7056</v>
      </c>
      <c r="C178" s="675"/>
      <c r="D178" s="675"/>
      <c r="E178" s="675"/>
      <c r="F178" s="675"/>
      <c r="G178" s="675"/>
      <c r="H178" s="675"/>
      <c r="I178" s="675"/>
      <c r="J178" s="675"/>
      <c r="K178" s="675"/>
      <c r="L178" s="675"/>
      <c r="M178" s="675"/>
      <c r="N178" s="675"/>
      <c r="O178" s="668"/>
      <c r="P178" s="672"/>
      <c r="Q178" s="1408"/>
    </row>
    <row r="179" spans="1:22">
      <c r="A179" s="714"/>
      <c r="B179" s="674" t="s">
        <v>5024</v>
      </c>
      <c r="C179" s="675"/>
      <c r="D179" s="675"/>
      <c r="E179" s="675"/>
      <c r="F179" s="675"/>
      <c r="G179" s="675"/>
      <c r="H179" s="675"/>
      <c r="I179" s="675"/>
      <c r="J179" s="675"/>
      <c r="K179" s="675"/>
      <c r="L179" s="675"/>
      <c r="M179" s="675"/>
      <c r="N179" s="675"/>
      <c r="O179" s="668"/>
      <c r="P179" s="672"/>
      <c r="Q179" s="1408"/>
    </row>
    <row r="180" spans="1:22">
      <c r="A180" s="714"/>
      <c r="B180" s="674" t="s">
        <v>1125</v>
      </c>
      <c r="C180" s="675"/>
      <c r="D180" s="675"/>
      <c r="E180" s="675"/>
      <c r="F180" s="675"/>
      <c r="G180" s="675"/>
      <c r="H180" s="675"/>
      <c r="I180" s="675"/>
      <c r="J180" s="675"/>
      <c r="K180" s="675"/>
      <c r="L180" s="675"/>
      <c r="M180" s="675"/>
      <c r="N180" s="675"/>
      <c r="O180" s="668">
        <f>SUM(C180:N180)</f>
        <v>0</v>
      </c>
      <c r="P180" s="672"/>
      <c r="Q180" s="1408"/>
    </row>
    <row r="181" spans="1:22">
      <c r="A181" s="714"/>
      <c r="B181" s="674" t="s">
        <v>7057</v>
      </c>
      <c r="C181" s="675"/>
      <c r="D181" s="675" t="s">
        <v>135</v>
      </c>
      <c r="E181" s="675"/>
      <c r="F181" s="675" t="s">
        <v>135</v>
      </c>
      <c r="G181" s="675"/>
      <c r="H181" s="675"/>
      <c r="I181" s="675"/>
      <c r="J181" s="675"/>
      <c r="K181" s="675"/>
      <c r="L181" s="675"/>
      <c r="M181" s="675"/>
      <c r="N181" s="675"/>
      <c r="O181" s="668">
        <f>SUM(C181:N181)</f>
        <v>0</v>
      </c>
      <c r="P181" s="672"/>
      <c r="Q181" s="1408"/>
    </row>
    <row r="182" spans="1:22">
      <c r="A182" s="714"/>
      <c r="B182" s="689" t="s">
        <v>1126</v>
      </c>
      <c r="C182" s="690">
        <f t="shared" ref="C182:O182" si="34">SUM(C171:C181)</f>
        <v>0</v>
      </c>
      <c r="D182" s="690">
        <f t="shared" si="34"/>
        <v>0</v>
      </c>
      <c r="E182" s="690">
        <f t="shared" si="34"/>
        <v>0</v>
      </c>
      <c r="F182" s="690">
        <f t="shared" si="34"/>
        <v>0</v>
      </c>
      <c r="G182" s="690">
        <f t="shared" si="34"/>
        <v>0</v>
      </c>
      <c r="H182" s="690">
        <f t="shared" si="34"/>
        <v>0</v>
      </c>
      <c r="I182" s="690">
        <f t="shared" si="34"/>
        <v>0</v>
      </c>
      <c r="J182" s="690">
        <f t="shared" si="34"/>
        <v>0</v>
      </c>
      <c r="K182" s="690">
        <f t="shared" si="34"/>
        <v>0</v>
      </c>
      <c r="L182" s="690">
        <f t="shared" si="34"/>
        <v>0</v>
      </c>
      <c r="M182" s="690">
        <f t="shared" si="34"/>
        <v>0</v>
      </c>
      <c r="N182" s="690">
        <f t="shared" si="34"/>
        <v>0</v>
      </c>
      <c r="O182" s="995">
        <f t="shared" si="34"/>
        <v>0</v>
      </c>
      <c r="P182" s="691"/>
      <c r="Q182" s="1411"/>
      <c r="R182" s="1412"/>
      <c r="S182" s="1412"/>
      <c r="T182" s="1412"/>
      <c r="U182" s="1412"/>
      <c r="V182" s="1412"/>
    </row>
    <row r="183" spans="1:22">
      <c r="A183" s="715"/>
      <c r="B183" s="692" t="s">
        <v>791</v>
      </c>
      <c r="C183" s="693" t="e">
        <f t="shared" ref="C183:O183" si="35">""-C182</f>
        <v>#VALUE!</v>
      </c>
      <c r="D183" s="693" t="e">
        <f t="shared" si="35"/>
        <v>#VALUE!</v>
      </c>
      <c r="E183" s="693" t="e">
        <f t="shared" si="35"/>
        <v>#VALUE!</v>
      </c>
      <c r="F183" s="693" t="e">
        <f t="shared" si="35"/>
        <v>#VALUE!</v>
      </c>
      <c r="G183" s="693" t="e">
        <f t="shared" si="35"/>
        <v>#VALUE!</v>
      </c>
      <c r="H183" s="693" t="e">
        <f t="shared" si="35"/>
        <v>#VALUE!</v>
      </c>
      <c r="I183" s="693" t="e">
        <f t="shared" si="35"/>
        <v>#VALUE!</v>
      </c>
      <c r="J183" s="693" t="e">
        <f t="shared" si="35"/>
        <v>#VALUE!</v>
      </c>
      <c r="K183" s="693" t="e">
        <f t="shared" si="35"/>
        <v>#VALUE!</v>
      </c>
      <c r="L183" s="693" t="e">
        <f t="shared" si="35"/>
        <v>#VALUE!</v>
      </c>
      <c r="M183" s="693" t="e">
        <f t="shared" si="35"/>
        <v>#VALUE!</v>
      </c>
      <c r="N183" s="693" t="e">
        <f t="shared" si="35"/>
        <v>#VALUE!</v>
      </c>
      <c r="O183" s="693" t="e">
        <f t="shared" si="35"/>
        <v>#VALUE!</v>
      </c>
      <c r="P183" s="694"/>
      <c r="Q183" s="16"/>
    </row>
    <row r="184" spans="1:22">
      <c r="B184" s="2130" t="s">
        <v>5766</v>
      </c>
      <c r="C184" s="2087"/>
      <c r="D184" s="2087"/>
      <c r="E184" s="2087"/>
      <c r="F184" s="2087"/>
      <c r="G184" s="2087"/>
      <c r="H184" s="2087"/>
      <c r="I184" s="2087"/>
      <c r="J184" s="2087"/>
      <c r="K184" s="2087"/>
      <c r="L184" s="2087"/>
      <c r="M184" s="2087"/>
      <c r="N184" s="2087"/>
      <c r="P184" s="712"/>
      <c r="Q184" s="16"/>
    </row>
    <row r="185" spans="1:22">
      <c r="Q185" s="16"/>
    </row>
    <row r="186" spans="1:22">
      <c r="Q186" s="16"/>
    </row>
    <row r="187" spans="1:22">
      <c r="Q187" s="16"/>
    </row>
    <row r="188" spans="1:22">
      <c r="Q188" s="16"/>
    </row>
    <row r="189" spans="1:22">
      <c r="Q189" s="16"/>
    </row>
    <row r="190" spans="1:22">
      <c r="Q190" s="16"/>
    </row>
    <row r="191" spans="1:22">
      <c r="Q191" s="16"/>
    </row>
    <row r="192" spans="1:22">
      <c r="Q192" s="16"/>
    </row>
    <row r="193" spans="1:22">
      <c r="A193" s="660"/>
      <c r="B193" s="660"/>
      <c r="C193" s="660"/>
      <c r="D193" s="660"/>
      <c r="E193" s="660"/>
      <c r="F193" s="660"/>
      <c r="G193" s="660"/>
      <c r="H193" s="1415"/>
      <c r="I193" s="1415"/>
      <c r="J193" s="1415"/>
      <c r="K193" s="1415"/>
      <c r="L193" s="1415"/>
      <c r="M193" s="1415"/>
      <c r="N193" s="1416"/>
      <c r="O193" s="1416"/>
      <c r="P193" s="1416"/>
      <c r="Q193" s="912"/>
      <c r="R193" s="581"/>
      <c r="S193" s="581"/>
      <c r="T193" s="581"/>
      <c r="U193" s="581"/>
      <c r="V193" s="581"/>
    </row>
    <row r="194" spans="1:22">
      <c r="A194" s="712"/>
      <c r="B194" s="2280"/>
      <c r="C194" s="2281"/>
      <c r="D194" s="2281"/>
      <c r="E194" s="2281"/>
      <c r="F194" s="2281"/>
      <c r="G194" s="2281"/>
      <c r="H194" s="2281"/>
      <c r="I194" s="2281"/>
      <c r="J194" s="2281"/>
      <c r="K194" s="2281"/>
      <c r="L194" s="2281"/>
      <c r="M194" s="2281"/>
      <c r="N194" s="2281"/>
      <c r="O194" s="2281"/>
      <c r="P194" s="1417"/>
      <c r="Q194" s="16"/>
    </row>
  </sheetData>
  <mergeCells count="25">
    <mergeCell ref="B82:O82"/>
    <mergeCell ref="B101:O101"/>
    <mergeCell ref="B184:N184"/>
    <mergeCell ref="B194:O194"/>
    <mergeCell ref="B103:O103"/>
    <mergeCell ref="B124:O124"/>
    <mergeCell ref="B126:O126"/>
    <mergeCell ref="B142:O142"/>
    <mergeCell ref="B145:O145"/>
    <mergeCell ref="M163:N163"/>
    <mergeCell ref="B168:O168"/>
    <mergeCell ref="C31:F31"/>
    <mergeCell ref="B33:O33"/>
    <mergeCell ref="B52:O52"/>
    <mergeCell ref="B54:O54"/>
    <mergeCell ref="B77:O77"/>
    <mergeCell ref="F8:G8"/>
    <mergeCell ref="B10:O10"/>
    <mergeCell ref="F1:G1"/>
    <mergeCell ref="F2:G2"/>
    <mergeCell ref="F3:G3"/>
    <mergeCell ref="F4:G4"/>
    <mergeCell ref="F5:G5"/>
    <mergeCell ref="F6:G6"/>
    <mergeCell ref="F7:G7"/>
  </mergeCell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outlinePr summaryBelow="0" summaryRight="0"/>
  </sheetPr>
  <dimension ref="A1:M46"/>
  <sheetViews>
    <sheetView workbookViewId="0"/>
  </sheetViews>
  <sheetFormatPr defaultColWidth="12.7109375" defaultRowHeight="12.75" customHeight="1"/>
  <cols>
    <col min="1" max="1" width="13.85546875" customWidth="1"/>
    <col min="2" max="2" width="10.7109375" customWidth="1"/>
    <col min="3" max="3" width="11.140625" customWidth="1"/>
    <col min="4" max="4" width="11.7109375" customWidth="1"/>
    <col min="5" max="5" width="12.140625" customWidth="1"/>
    <col min="6" max="6" width="13.28515625" customWidth="1"/>
    <col min="7" max="7" width="9.7109375" customWidth="1"/>
    <col min="8" max="8" width="2.7109375" customWidth="1"/>
    <col min="9" max="9" width="15.140625" customWidth="1"/>
    <col min="10" max="10" width="9.85546875" customWidth="1"/>
    <col min="11" max="11" width="9" customWidth="1"/>
    <col min="12" max="12" width="15.140625" customWidth="1"/>
    <col min="13" max="13" width="19.85546875" customWidth="1"/>
    <col min="14" max="22" width="15.140625" customWidth="1"/>
  </cols>
  <sheetData>
    <row r="1" spans="1:13">
      <c r="A1" s="9" t="s">
        <v>7260</v>
      </c>
      <c r="B1" s="40">
        <v>2013</v>
      </c>
      <c r="I1" s="578" t="s">
        <v>7961</v>
      </c>
      <c r="J1" s="9">
        <v>2013</v>
      </c>
      <c r="K1" s="9">
        <v>2012</v>
      </c>
      <c r="M1" s="9" t="s">
        <v>7962</v>
      </c>
    </row>
    <row r="2" spans="1:13">
      <c r="A2" s="578" t="s">
        <v>7261</v>
      </c>
      <c r="B2" s="9" t="s">
        <v>7963</v>
      </c>
      <c r="C2" s="9" t="s">
        <v>7869</v>
      </c>
      <c r="D2" s="9" t="s">
        <v>7869</v>
      </c>
      <c r="E2" s="9" t="s">
        <v>7870</v>
      </c>
      <c r="F2" s="9" t="s">
        <v>7871</v>
      </c>
      <c r="I2" s="9" t="s">
        <v>7964</v>
      </c>
      <c r="J2" s="9">
        <v>2360</v>
      </c>
      <c r="M2" s="9" t="s">
        <v>7965</v>
      </c>
    </row>
    <row r="3" spans="1:13">
      <c r="B3" s="9" t="s">
        <v>7966</v>
      </c>
      <c r="M3" s="9" t="s">
        <v>7967</v>
      </c>
    </row>
    <row r="4" spans="1:13">
      <c r="B4" s="888" t="s">
        <v>6381</v>
      </c>
      <c r="C4" s="888" t="s">
        <v>7268</v>
      </c>
      <c r="D4" s="888" t="s">
        <v>5752</v>
      </c>
      <c r="E4" s="888" t="s">
        <v>5747</v>
      </c>
      <c r="F4" s="888" t="s">
        <v>7269</v>
      </c>
      <c r="G4" s="82" t="s">
        <v>7968</v>
      </c>
      <c r="I4" s="9" t="s">
        <v>7969</v>
      </c>
      <c r="J4" s="9">
        <v>11752</v>
      </c>
      <c r="K4" s="9">
        <v>12443.32</v>
      </c>
      <c r="M4" s="9" t="s">
        <v>7970</v>
      </c>
    </row>
    <row r="5" spans="1:13">
      <c r="A5" s="9" t="s">
        <v>7274</v>
      </c>
      <c r="B5" s="12">
        <v>116998</v>
      </c>
      <c r="C5" s="12">
        <v>8160</v>
      </c>
      <c r="D5" s="9">
        <v>11500</v>
      </c>
      <c r="E5" s="9">
        <v>2300</v>
      </c>
      <c r="F5" s="9">
        <v>0</v>
      </c>
      <c r="G5" s="12">
        <v>136658</v>
      </c>
      <c r="I5" s="9" t="s">
        <v>7299</v>
      </c>
      <c r="J5" s="9">
        <v>45</v>
      </c>
      <c r="K5" s="9">
        <v>40</v>
      </c>
      <c r="M5" s="9" t="s">
        <v>7971</v>
      </c>
    </row>
    <row r="6" spans="1:13">
      <c r="A6" s="9" t="s">
        <v>7875</v>
      </c>
      <c r="B6" s="12">
        <v>0</v>
      </c>
      <c r="C6" s="12"/>
      <c r="F6" s="9">
        <v>0</v>
      </c>
      <c r="G6" s="12">
        <v>0</v>
      </c>
      <c r="I6" s="9" t="s">
        <v>7300</v>
      </c>
      <c r="J6" s="9" t="s">
        <v>2654</v>
      </c>
      <c r="M6" s="9" t="s">
        <v>7972</v>
      </c>
    </row>
    <row r="7" spans="1:13">
      <c r="A7" s="9" t="s">
        <v>1124</v>
      </c>
      <c r="B7" s="667">
        <v>116998</v>
      </c>
      <c r="C7" s="667">
        <v>8160</v>
      </c>
      <c r="D7" s="667">
        <v>11500</v>
      </c>
      <c r="E7" s="667">
        <v>2300</v>
      </c>
      <c r="F7" s="667">
        <v>0</v>
      </c>
      <c r="G7" s="667">
        <v>136658</v>
      </c>
      <c r="I7" s="9" t="s">
        <v>7973</v>
      </c>
      <c r="J7" s="9">
        <v>315</v>
      </c>
      <c r="K7" s="9">
        <v>300</v>
      </c>
      <c r="M7" s="9" t="s">
        <v>7974</v>
      </c>
    </row>
    <row r="8" spans="1:13">
      <c r="A8" s="578" t="s">
        <v>270</v>
      </c>
      <c r="B8" s="12"/>
      <c r="C8" s="12"/>
      <c r="G8" s="12">
        <v>0</v>
      </c>
      <c r="I8" s="9" t="s">
        <v>7975</v>
      </c>
    </row>
    <row r="9" spans="1:13">
      <c r="A9" s="9" t="s">
        <v>7877</v>
      </c>
      <c r="B9" s="12">
        <v>0</v>
      </c>
      <c r="C9" s="12">
        <v>1085.05</v>
      </c>
      <c r="D9" s="9">
        <v>0</v>
      </c>
      <c r="E9" s="9">
        <v>0</v>
      </c>
      <c r="F9" s="9">
        <v>134.52000000000001</v>
      </c>
      <c r="G9" s="12">
        <v>1085.05</v>
      </c>
      <c r="I9" s="9" t="s">
        <v>7976</v>
      </c>
      <c r="K9" s="9">
        <v>200</v>
      </c>
      <c r="M9" s="9" t="s">
        <v>7977</v>
      </c>
    </row>
    <row r="10" spans="1:13">
      <c r="A10" s="9" t="s">
        <v>7878</v>
      </c>
      <c r="B10" s="12">
        <v>13009</v>
      </c>
      <c r="C10" s="12">
        <v>468.59</v>
      </c>
      <c r="D10" s="9">
        <v>1306.22</v>
      </c>
      <c r="E10" s="9">
        <v>245.25</v>
      </c>
      <c r="F10" s="9">
        <v>286.39999999999998</v>
      </c>
      <c r="G10" s="12">
        <v>14783.81</v>
      </c>
      <c r="I10" s="9" t="s">
        <v>7335</v>
      </c>
      <c r="J10" s="9">
        <v>45</v>
      </c>
      <c r="K10" s="9">
        <v>100</v>
      </c>
      <c r="M10" s="9" t="s">
        <v>7381</v>
      </c>
    </row>
    <row r="11" spans="1:13">
      <c r="A11" s="9" t="s">
        <v>7882</v>
      </c>
      <c r="B11" s="12"/>
      <c r="C11" s="1418"/>
      <c r="E11" s="9" t="s">
        <v>135</v>
      </c>
      <c r="G11" s="12">
        <v>0</v>
      </c>
      <c r="I11" s="9" t="s">
        <v>7336</v>
      </c>
      <c r="J11" s="9" t="s">
        <v>2654</v>
      </c>
      <c r="M11" s="9" t="s">
        <v>7978</v>
      </c>
    </row>
    <row r="12" spans="1:13">
      <c r="A12" s="9" t="s">
        <v>4822</v>
      </c>
      <c r="B12" s="12">
        <v>9909.94</v>
      </c>
      <c r="C12" s="12">
        <v>808</v>
      </c>
      <c r="D12" s="9">
        <v>906.07</v>
      </c>
      <c r="E12" s="9">
        <v>511.61</v>
      </c>
      <c r="F12" s="9">
        <v>1374.23</v>
      </c>
      <c r="G12" s="12">
        <v>11624.01</v>
      </c>
      <c r="I12" s="9" t="s">
        <v>7338</v>
      </c>
      <c r="J12" s="9" t="s">
        <v>2654</v>
      </c>
      <c r="M12" s="9" t="s">
        <v>7979</v>
      </c>
    </row>
    <row r="13" spans="1:13">
      <c r="A13" s="9" t="s">
        <v>7887</v>
      </c>
      <c r="B13" s="12">
        <v>22334.85</v>
      </c>
      <c r="C13" s="12">
        <v>120.29</v>
      </c>
      <c r="D13" s="9">
        <v>2745.01</v>
      </c>
      <c r="E13" s="9">
        <v>121</v>
      </c>
      <c r="F13" s="9">
        <v>79.48</v>
      </c>
      <c r="G13" s="12">
        <v>25200.15</v>
      </c>
      <c r="I13" s="9" t="s">
        <v>7339</v>
      </c>
      <c r="J13" s="9">
        <v>225</v>
      </c>
    </row>
    <row r="14" spans="1:13">
      <c r="A14" s="9" t="s">
        <v>7889</v>
      </c>
      <c r="B14" s="12">
        <v>28652.49</v>
      </c>
      <c r="C14" s="12">
        <v>411</v>
      </c>
      <c r="D14" s="9">
        <v>879</v>
      </c>
      <c r="E14" s="9">
        <v>2113</v>
      </c>
      <c r="F14" s="9">
        <v>7000</v>
      </c>
      <c r="G14" s="12">
        <v>29942.49</v>
      </c>
      <c r="I14" s="9" t="s">
        <v>7343</v>
      </c>
      <c r="J14" s="9">
        <v>275</v>
      </c>
      <c r="M14" s="9" t="s">
        <v>7980</v>
      </c>
    </row>
    <row r="15" spans="1:13">
      <c r="A15" s="9" t="s">
        <v>7890</v>
      </c>
      <c r="B15" s="12"/>
      <c r="C15" s="12"/>
      <c r="E15" s="9">
        <v>1250</v>
      </c>
      <c r="F15" s="9">
        <v>3000</v>
      </c>
      <c r="G15" s="12"/>
      <c r="J15" s="9">
        <v>2572</v>
      </c>
    </row>
    <row r="16" spans="1:13">
      <c r="A16" s="9" t="s">
        <v>7891</v>
      </c>
      <c r="B16" s="12">
        <v>8111.9</v>
      </c>
      <c r="C16" s="12"/>
      <c r="E16" s="9" t="s">
        <v>7981</v>
      </c>
      <c r="F16" s="9" t="s">
        <v>7981</v>
      </c>
      <c r="G16" s="12">
        <v>8111.9</v>
      </c>
      <c r="I16" s="9" t="s">
        <v>7275</v>
      </c>
    </row>
    <row r="17" spans="1:11">
      <c r="A17" s="9" t="s">
        <v>7294</v>
      </c>
      <c r="B17" s="12">
        <v>3078.95</v>
      </c>
      <c r="C17" s="12">
        <v>85</v>
      </c>
      <c r="D17" s="9">
        <v>85</v>
      </c>
      <c r="E17" s="9">
        <v>85</v>
      </c>
      <c r="F17" s="9">
        <v>0</v>
      </c>
      <c r="G17" s="12">
        <v>3248.95</v>
      </c>
      <c r="I17" s="9" t="s">
        <v>7277</v>
      </c>
      <c r="J17" s="9" t="s">
        <v>2654</v>
      </c>
    </row>
    <row r="18" spans="1:11">
      <c r="A18" s="9" t="s">
        <v>3313</v>
      </c>
      <c r="B18" s="12">
        <v>523.22</v>
      </c>
      <c r="C18" s="12"/>
      <c r="D18" s="9">
        <v>175</v>
      </c>
      <c r="E18" s="9">
        <v>225</v>
      </c>
      <c r="F18" s="9">
        <v>175</v>
      </c>
      <c r="G18" s="12"/>
      <c r="I18" s="9" t="s">
        <v>7278</v>
      </c>
      <c r="J18" s="9" t="s">
        <v>7876</v>
      </c>
      <c r="K18" s="9">
        <v>0</v>
      </c>
    </row>
    <row r="19" spans="1:11">
      <c r="A19" s="9" t="s">
        <v>7033</v>
      </c>
      <c r="B19" s="12">
        <v>185</v>
      </c>
      <c r="C19" s="12"/>
      <c r="F19" s="9" t="s">
        <v>7982</v>
      </c>
      <c r="G19" s="12"/>
      <c r="I19" s="9" t="s">
        <v>7354</v>
      </c>
      <c r="J19" s="9" t="s">
        <v>2654</v>
      </c>
    </row>
    <row r="20" spans="1:11">
      <c r="A20" s="9" t="s">
        <v>7893</v>
      </c>
      <c r="B20" s="12">
        <v>181</v>
      </c>
      <c r="C20" s="12">
        <v>89</v>
      </c>
      <c r="D20" s="9">
        <v>166</v>
      </c>
      <c r="E20" s="9">
        <v>125</v>
      </c>
      <c r="F20" s="9">
        <v>225</v>
      </c>
      <c r="G20" s="12">
        <v>436</v>
      </c>
      <c r="I20" s="9" t="s">
        <v>3314</v>
      </c>
      <c r="J20" s="9">
        <v>50</v>
      </c>
    </row>
    <row r="21" spans="1:11">
      <c r="A21" s="578" t="s">
        <v>1126</v>
      </c>
      <c r="B21" s="667">
        <v>85986.35</v>
      </c>
      <c r="C21" s="667">
        <v>3066.93</v>
      </c>
      <c r="D21" s="667">
        <v>6262.3</v>
      </c>
      <c r="E21" s="667">
        <v>4675.8599999999997</v>
      </c>
      <c r="F21" s="667">
        <v>12274.63</v>
      </c>
      <c r="G21" s="667">
        <v>95315.58</v>
      </c>
      <c r="I21" s="9" t="s">
        <v>7983</v>
      </c>
      <c r="J21" s="9">
        <v>95</v>
      </c>
    </row>
    <row r="22" spans="1:11">
      <c r="A22" s="578" t="s">
        <v>7894</v>
      </c>
      <c r="B22" s="667">
        <v>31011.65</v>
      </c>
      <c r="C22" s="667">
        <v>5093.07</v>
      </c>
      <c r="D22" s="667">
        <v>5237.7</v>
      </c>
      <c r="E22" s="667">
        <v>-2375.86</v>
      </c>
      <c r="F22" s="667">
        <v>-12274.63</v>
      </c>
      <c r="G22" s="667">
        <v>41342.42</v>
      </c>
      <c r="I22" s="9" t="s">
        <v>7305</v>
      </c>
      <c r="J22" s="9">
        <v>8460</v>
      </c>
      <c r="K22" s="9">
        <v>8412</v>
      </c>
    </row>
    <row r="23" spans="1:11">
      <c r="I23" s="9" t="s">
        <v>7308</v>
      </c>
      <c r="J23" s="9">
        <v>854</v>
      </c>
    </row>
    <row r="24" spans="1:11">
      <c r="A24" s="9" t="s">
        <v>7303</v>
      </c>
      <c r="C24" s="9" t="s">
        <v>135</v>
      </c>
      <c r="D24" s="9" t="s">
        <v>135</v>
      </c>
      <c r="E24" s="9">
        <v>306.99</v>
      </c>
      <c r="F24" s="9">
        <v>6173.36</v>
      </c>
      <c r="I24" s="9" t="s">
        <v>7984</v>
      </c>
      <c r="J24" s="9">
        <v>1215</v>
      </c>
    </row>
    <row r="25" spans="1:11">
      <c r="A25" s="9" t="s">
        <v>7898</v>
      </c>
      <c r="B25" s="9">
        <v>7800</v>
      </c>
      <c r="C25" s="9">
        <v>240</v>
      </c>
      <c r="D25" s="9">
        <v>280</v>
      </c>
      <c r="E25" s="9">
        <v>480</v>
      </c>
      <c r="F25" s="9">
        <v>420</v>
      </c>
      <c r="I25" s="9" t="s">
        <v>7985</v>
      </c>
    </row>
    <row r="26" spans="1:11">
      <c r="A26" s="9" t="s">
        <v>7306</v>
      </c>
      <c r="C26" s="9">
        <v>45000</v>
      </c>
      <c r="D26" s="9">
        <v>45000</v>
      </c>
      <c r="E26" s="9">
        <v>33000</v>
      </c>
      <c r="F26" s="9">
        <v>122000</v>
      </c>
    </row>
    <row r="27" spans="1:11">
      <c r="A27" s="578" t="s">
        <v>7309</v>
      </c>
      <c r="B27" s="82"/>
      <c r="I27" s="578"/>
      <c r="J27" s="578"/>
    </row>
    <row r="29" spans="1:11">
      <c r="A29" s="9" t="s">
        <v>42</v>
      </c>
      <c r="B29" s="9" t="s">
        <v>7986</v>
      </c>
      <c r="D29" s="9" t="s">
        <v>7350</v>
      </c>
      <c r="I29" s="9" t="s">
        <v>7348</v>
      </c>
      <c r="J29" s="9" t="s">
        <v>3258</v>
      </c>
    </row>
    <row r="30" spans="1:11">
      <c r="A30" s="9" t="s">
        <v>7987</v>
      </c>
      <c r="B30" s="9">
        <v>0</v>
      </c>
      <c r="D30" s="9" t="s">
        <v>725</v>
      </c>
      <c r="E30" s="9">
        <v>124.74</v>
      </c>
      <c r="I30" s="9" t="s">
        <v>7988</v>
      </c>
    </row>
    <row r="31" spans="1:11">
      <c r="A31" s="9">
        <v>5</v>
      </c>
      <c r="B31" s="9">
        <v>1735.6</v>
      </c>
      <c r="D31" s="9" t="s">
        <v>725</v>
      </c>
      <c r="E31" s="9">
        <v>93.59</v>
      </c>
      <c r="I31" s="9" t="s">
        <v>7278</v>
      </c>
      <c r="J31" s="9" t="s">
        <v>5703</v>
      </c>
    </row>
    <row r="32" spans="1:11">
      <c r="A32" s="9">
        <v>6</v>
      </c>
      <c r="B32" s="9">
        <v>426.45</v>
      </c>
      <c r="D32" s="9" t="s">
        <v>7355</v>
      </c>
      <c r="E32" s="9">
        <v>325.12</v>
      </c>
      <c r="I32" s="9" t="s">
        <v>7354</v>
      </c>
    </row>
    <row r="33" spans="1:9">
      <c r="A33" s="9">
        <v>7</v>
      </c>
      <c r="B33" s="9">
        <v>1180.72</v>
      </c>
      <c r="D33" s="9" t="s">
        <v>67</v>
      </c>
      <c r="E33" s="9">
        <v>543.45000000000005</v>
      </c>
      <c r="I33" s="9" t="s">
        <v>7866</v>
      </c>
    </row>
    <row r="34" spans="1:9">
      <c r="A34" s="9">
        <v>11</v>
      </c>
      <c r="B34" s="9">
        <v>993.14</v>
      </c>
      <c r="I34" s="9" t="s">
        <v>7989</v>
      </c>
    </row>
    <row r="35" spans="1:9">
      <c r="A35" s="9">
        <v>12</v>
      </c>
      <c r="B35" s="9">
        <v>1704.88</v>
      </c>
    </row>
    <row r="36" spans="1:9">
      <c r="A36" s="9" t="s">
        <v>67</v>
      </c>
      <c r="B36" s="9">
        <v>6040.79</v>
      </c>
    </row>
    <row r="38" spans="1:9">
      <c r="A38" s="9" t="s">
        <v>7990</v>
      </c>
    </row>
    <row r="39" spans="1:9">
      <c r="A39" s="9" t="s">
        <v>3534</v>
      </c>
      <c r="B39" s="9" t="s">
        <v>7863</v>
      </c>
    </row>
    <row r="40" spans="1:9">
      <c r="A40" s="9" t="s">
        <v>38</v>
      </c>
    </row>
    <row r="42" spans="1:9">
      <c r="A42" s="9" t="s">
        <v>270</v>
      </c>
    </row>
    <row r="43" spans="1:9">
      <c r="A43" s="9" t="s">
        <v>7287</v>
      </c>
      <c r="B43" s="9">
        <v>1200</v>
      </c>
    </row>
    <row r="44" spans="1:9">
      <c r="A44" s="9" t="s">
        <v>7991</v>
      </c>
      <c r="B44" s="9">
        <v>2300</v>
      </c>
    </row>
    <row r="45" spans="1:9">
      <c r="A45" s="9" t="s">
        <v>7992</v>
      </c>
      <c r="B45" s="9">
        <v>85</v>
      </c>
    </row>
    <row r="46" spans="1:9">
      <c r="A46" s="9" t="s">
        <v>7993</v>
      </c>
      <c r="B46" s="9">
        <v>227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pageSetUpPr fitToPage="1"/>
  </sheetPr>
  <dimension ref="A1:DF349"/>
  <sheetViews>
    <sheetView workbookViewId="0">
      <selection activeCell="E19" sqref="E19"/>
    </sheetView>
  </sheetViews>
  <sheetFormatPr defaultColWidth="12.7109375" defaultRowHeight="12.75" customHeight="1"/>
  <cols>
    <col min="1" max="1" width="27.140625" customWidth="1"/>
    <col min="2" max="6" width="8.28515625" customWidth="1"/>
    <col min="7" max="62" width="9" customWidth="1"/>
    <col min="63" max="63" width="8.28515625" customWidth="1"/>
    <col min="64" max="65" width="9" customWidth="1"/>
    <col min="66" max="66" width="8.7109375" customWidth="1"/>
    <col min="67" max="67" width="8.28515625" customWidth="1"/>
    <col min="68" max="68" width="8.7109375" customWidth="1"/>
    <col min="69" max="69" width="9" customWidth="1"/>
    <col min="70" max="70" width="9.42578125" customWidth="1"/>
    <col min="71" max="71" width="6.85546875" customWidth="1"/>
    <col min="72" max="72" width="7.28515625" customWidth="1"/>
    <col min="73" max="77" width="6.85546875" customWidth="1"/>
    <col min="78" max="78" width="7.7109375" customWidth="1"/>
    <col min="79" max="82" width="6.85546875" customWidth="1"/>
    <col min="83" max="88" width="6.28515625" customWidth="1"/>
    <col min="89" max="89" width="8.85546875" customWidth="1"/>
    <col min="90" max="90" width="12.28515625" customWidth="1"/>
    <col min="94" max="94" width="14.140625" customWidth="1"/>
    <col min="95" max="95" width="7.28515625" customWidth="1"/>
    <col min="96" max="96" width="10.7109375" customWidth="1"/>
    <col min="97" max="97" width="7.28515625" customWidth="1"/>
    <col min="98" max="98" width="6.7109375" customWidth="1"/>
    <col min="99" max="99" width="6.28515625" customWidth="1"/>
    <col min="103" max="103" width="27.42578125" customWidth="1"/>
    <col min="104" max="105" width="7.28515625" customWidth="1"/>
    <col min="106" max="106" width="9.28515625" customWidth="1"/>
    <col min="107" max="107" width="9" customWidth="1"/>
    <col min="108" max="108" width="9.140625" customWidth="1"/>
    <col min="109" max="109" width="7.28515625" customWidth="1"/>
    <col min="110" max="110" width="69.85546875" customWidth="1"/>
  </cols>
  <sheetData>
    <row r="1" spans="1:110" s="1875" customFormat="1" ht="25.5">
      <c r="A1" s="1920" t="s">
        <v>3317</v>
      </c>
      <c r="B1" s="1866" t="s">
        <v>659</v>
      </c>
      <c r="C1" s="2040" t="s">
        <v>26</v>
      </c>
      <c r="D1" s="2040">
        <v>45316</v>
      </c>
      <c r="E1" s="1970" t="s">
        <v>8941</v>
      </c>
      <c r="F1" s="1867" t="s">
        <v>17</v>
      </c>
      <c r="G1" s="1867" t="s">
        <v>18</v>
      </c>
      <c r="H1" s="1867" t="s">
        <v>256</v>
      </c>
      <c r="I1" s="1866" t="s">
        <v>20</v>
      </c>
      <c r="J1" s="1866" t="s">
        <v>21</v>
      </c>
      <c r="K1" s="1866" t="s">
        <v>22</v>
      </c>
      <c r="L1" s="1866" t="s">
        <v>23</v>
      </c>
      <c r="M1" s="1866" t="s">
        <v>24</v>
      </c>
      <c r="N1" s="1866" t="s">
        <v>25</v>
      </c>
      <c r="O1" s="1866" t="s">
        <v>26</v>
      </c>
      <c r="P1" s="1868" t="s">
        <v>3318</v>
      </c>
      <c r="Q1" s="1869">
        <v>45283</v>
      </c>
      <c r="R1" s="1866" t="s">
        <v>17</v>
      </c>
      <c r="S1" s="1866" t="s">
        <v>18</v>
      </c>
      <c r="T1" s="1866" t="s">
        <v>256</v>
      </c>
      <c r="U1" s="1866" t="s">
        <v>20</v>
      </c>
      <c r="V1" s="1866" t="s">
        <v>21</v>
      </c>
      <c r="W1" s="1866" t="s">
        <v>22</v>
      </c>
      <c r="X1" s="1866" t="s">
        <v>23</v>
      </c>
      <c r="Y1" s="1866" t="s">
        <v>24</v>
      </c>
      <c r="Z1" s="1866" t="s">
        <v>25</v>
      </c>
      <c r="AA1" s="1866" t="s">
        <v>26</v>
      </c>
      <c r="AB1" s="1869">
        <v>44949</v>
      </c>
      <c r="AC1" s="1869">
        <v>45282</v>
      </c>
      <c r="AD1" s="1866" t="s">
        <v>17</v>
      </c>
      <c r="AE1" s="1866" t="s">
        <v>18</v>
      </c>
      <c r="AF1" s="1866" t="s">
        <v>19</v>
      </c>
      <c r="AG1" s="1866" t="s">
        <v>20</v>
      </c>
      <c r="AH1" s="1866" t="s">
        <v>21</v>
      </c>
      <c r="AI1" s="1866" t="s">
        <v>22</v>
      </c>
      <c r="AJ1" s="1866" t="s">
        <v>23</v>
      </c>
      <c r="AK1" s="1866" t="s">
        <v>24</v>
      </c>
      <c r="AL1" s="1866" t="s">
        <v>25</v>
      </c>
      <c r="AM1" s="1866" t="s">
        <v>26</v>
      </c>
      <c r="AN1" s="1869">
        <v>44583</v>
      </c>
      <c r="AO1" s="1869">
        <v>44551</v>
      </c>
      <c r="AP1" s="1866" t="s">
        <v>17</v>
      </c>
      <c r="AQ1" s="1866" t="s">
        <v>18</v>
      </c>
      <c r="AR1" s="1866" t="s">
        <v>256</v>
      </c>
      <c r="AS1" s="1866" t="s">
        <v>20</v>
      </c>
      <c r="AT1" s="1866" t="s">
        <v>21</v>
      </c>
      <c r="AU1" s="1866" t="s">
        <v>22</v>
      </c>
      <c r="AV1" s="1866" t="s">
        <v>23</v>
      </c>
      <c r="AW1" s="1866" t="s">
        <v>24</v>
      </c>
      <c r="AX1" s="1866" t="s">
        <v>25</v>
      </c>
      <c r="AY1" s="1866" t="s">
        <v>26</v>
      </c>
      <c r="AZ1" s="1869">
        <v>44217</v>
      </c>
      <c r="BA1" s="1869">
        <v>44550</v>
      </c>
      <c r="BB1" s="1866" t="s">
        <v>17</v>
      </c>
      <c r="BC1" s="1866" t="s">
        <v>18</v>
      </c>
      <c r="BD1" s="1866" t="s">
        <v>256</v>
      </c>
      <c r="BE1" s="1866" t="s">
        <v>20</v>
      </c>
      <c r="BF1" s="1866" t="s">
        <v>21</v>
      </c>
      <c r="BG1" s="1866" t="s">
        <v>22</v>
      </c>
      <c r="BH1" s="1866" t="s">
        <v>23</v>
      </c>
      <c r="BI1" s="1866" t="s">
        <v>24</v>
      </c>
      <c r="BJ1" s="1866" t="s">
        <v>25</v>
      </c>
      <c r="BK1" s="1866" t="s">
        <v>26</v>
      </c>
      <c r="BL1" s="1868" t="s">
        <v>3319</v>
      </c>
      <c r="BM1" s="1869">
        <v>44184</v>
      </c>
      <c r="BN1" s="1866" t="s">
        <v>17</v>
      </c>
      <c r="BO1" s="1866" t="s">
        <v>18</v>
      </c>
      <c r="BP1" s="1866" t="s">
        <v>256</v>
      </c>
      <c r="BQ1" s="1866" t="s">
        <v>20</v>
      </c>
      <c r="BR1" s="1866" t="s">
        <v>21</v>
      </c>
      <c r="BS1" s="1866" t="s">
        <v>22</v>
      </c>
      <c r="BT1" s="1866" t="s">
        <v>23</v>
      </c>
      <c r="BU1" s="1866" t="s">
        <v>24</v>
      </c>
      <c r="BV1" s="1866" t="s">
        <v>25</v>
      </c>
      <c r="BW1" s="1866" t="s">
        <v>26</v>
      </c>
      <c r="BX1" s="1869">
        <v>43484</v>
      </c>
      <c r="BY1" s="1870">
        <v>43817</v>
      </c>
      <c r="BZ1" s="1871" t="s">
        <v>17</v>
      </c>
      <c r="CA1" s="1871" t="s">
        <v>18</v>
      </c>
      <c r="CB1" s="1871" t="s">
        <v>256</v>
      </c>
      <c r="CC1" s="1871" t="s">
        <v>20</v>
      </c>
      <c r="CD1" s="1871" t="s">
        <v>21</v>
      </c>
      <c r="CE1" s="1871" t="s">
        <v>22</v>
      </c>
      <c r="CF1" s="1871" t="s">
        <v>23</v>
      </c>
      <c r="CG1" s="1871" t="s">
        <v>24</v>
      </c>
      <c r="CH1" s="1871" t="s">
        <v>25</v>
      </c>
      <c r="CI1" s="1871" t="s">
        <v>26</v>
      </c>
      <c r="CJ1" s="1870">
        <v>43118</v>
      </c>
      <c r="CK1" s="1872" t="s">
        <v>3320</v>
      </c>
      <c r="CL1" s="1873"/>
      <c r="CM1" s="2109" t="s">
        <v>3321</v>
      </c>
      <c r="CN1" s="2110"/>
      <c r="CO1" s="1873"/>
      <c r="CP1" s="1874"/>
      <c r="CQ1" s="1873"/>
      <c r="CR1" s="1873"/>
      <c r="CS1" s="1873"/>
      <c r="CT1" s="1873"/>
      <c r="CU1" s="1873"/>
      <c r="CV1" s="2109"/>
      <c r="CW1" s="2111"/>
      <c r="CX1" s="1873"/>
      <c r="CY1" s="1876"/>
      <c r="CZ1" s="1877"/>
      <c r="DA1" s="1877"/>
      <c r="DB1" s="1878"/>
      <c r="DC1" s="1878"/>
      <c r="DD1" s="1878"/>
      <c r="DE1" s="1878"/>
      <c r="DF1" s="1877"/>
    </row>
    <row r="2" spans="1:110" s="1879" customFormat="1">
      <c r="A2" s="1879" t="s">
        <v>725</v>
      </c>
      <c r="B2" s="1880">
        <f>AVERAGE(G2:W2)</f>
        <v>1518.9494117647059</v>
      </c>
      <c r="C2" s="1882">
        <v>1701.54</v>
      </c>
      <c r="D2" s="1882">
        <v>1701.54</v>
      </c>
      <c r="E2" s="1971">
        <v>2359</v>
      </c>
      <c r="F2" s="1971">
        <v>1701.54</v>
      </c>
      <c r="G2" s="1881">
        <v>1236.6099999999999</v>
      </c>
      <c r="H2" s="1881">
        <v>1088.51</v>
      </c>
      <c r="I2" s="1881">
        <v>1011.92</v>
      </c>
      <c r="J2" s="1881">
        <v>926.72</v>
      </c>
      <c r="K2" s="1881">
        <v>1015.59</v>
      </c>
      <c r="L2" s="1881">
        <v>1382.87</v>
      </c>
      <c r="M2" s="1881">
        <v>1322.98</v>
      </c>
      <c r="N2" s="1881">
        <v>1736.81</v>
      </c>
      <c r="O2" s="1881">
        <v>1855.8</v>
      </c>
      <c r="P2" s="1881">
        <v>2079.52</v>
      </c>
      <c r="Q2" s="1881">
        <v>2790.15</v>
      </c>
      <c r="R2" s="1881">
        <v>1974</v>
      </c>
      <c r="S2" s="1881">
        <v>1433</v>
      </c>
      <c r="T2" s="1881">
        <v>1097.1099999999999</v>
      </c>
      <c r="U2" s="1881">
        <v>1450.05</v>
      </c>
      <c r="V2" s="1881">
        <v>1660.23</v>
      </c>
      <c r="W2" s="1881">
        <v>1760.27</v>
      </c>
      <c r="X2" s="1881">
        <v>2548.36</v>
      </c>
      <c r="Y2" s="1881">
        <v>2147.83</v>
      </c>
      <c r="Z2" s="1881">
        <v>2850.4</v>
      </c>
      <c r="AA2" s="1881">
        <v>2811.58</v>
      </c>
      <c r="AB2" s="1881">
        <v>1999.98</v>
      </c>
      <c r="AC2" s="1882">
        <v>2826.16</v>
      </c>
      <c r="AD2" s="1882">
        <v>1945.57</v>
      </c>
      <c r="AE2" s="1882">
        <v>1405.85</v>
      </c>
      <c r="AF2" s="1882">
        <v>1395</v>
      </c>
      <c r="AG2" s="1882">
        <v>1401</v>
      </c>
      <c r="AH2" s="1882">
        <v>1078</v>
      </c>
      <c r="AI2" s="1882">
        <v>1376.14</v>
      </c>
      <c r="AJ2" s="1882">
        <v>1310.98</v>
      </c>
      <c r="AK2" s="1882">
        <v>1626</v>
      </c>
      <c r="AL2" s="1882">
        <v>1620</v>
      </c>
      <c r="AM2" s="1882">
        <v>1971</v>
      </c>
      <c r="AN2" s="1882">
        <v>2007</v>
      </c>
      <c r="AO2" s="1882">
        <v>3814</v>
      </c>
      <c r="AP2" s="1882">
        <v>2216</v>
      </c>
      <c r="AQ2" s="1882">
        <v>1830.74</v>
      </c>
      <c r="AR2" s="1882">
        <v>1819.59</v>
      </c>
      <c r="AS2" s="1882">
        <v>1432.67</v>
      </c>
      <c r="AT2" s="1882">
        <v>1409</v>
      </c>
      <c r="AU2" s="1882">
        <v>1195.76</v>
      </c>
      <c r="AV2" s="1882">
        <v>1307</v>
      </c>
      <c r="AW2" s="1882">
        <v>1205</v>
      </c>
      <c r="AX2" s="1882">
        <v>1788</v>
      </c>
      <c r="AY2" s="1882">
        <v>1525.19</v>
      </c>
      <c r="AZ2" s="1882">
        <v>1558.41</v>
      </c>
      <c r="BA2" s="1882">
        <v>2402.65</v>
      </c>
      <c r="BB2" s="1882">
        <v>1357.53</v>
      </c>
      <c r="BC2" s="1882">
        <v>1104.21</v>
      </c>
      <c r="BD2" s="1882">
        <v>690.33</v>
      </c>
      <c r="BE2" s="1882">
        <v>746.12</v>
      </c>
      <c r="BF2" s="1882">
        <v>912.51</v>
      </c>
      <c r="BG2" s="1882">
        <v>821.88</v>
      </c>
      <c r="BH2" s="1882">
        <v>815.32</v>
      </c>
      <c r="BI2" s="1882">
        <v>442.87</v>
      </c>
      <c r="BJ2" s="1882">
        <v>727.51</v>
      </c>
      <c r="BK2" s="1883">
        <v>1457.87</v>
      </c>
      <c r="BL2" s="1883">
        <v>1361.45</v>
      </c>
      <c r="BM2" s="1883">
        <v>1365.82</v>
      </c>
      <c r="BN2" s="1884">
        <v>850.66</v>
      </c>
      <c r="BO2" s="1884">
        <v>745.64</v>
      </c>
      <c r="BP2" s="1884">
        <v>519.32000000000005</v>
      </c>
      <c r="BQ2" s="1884">
        <v>595.26</v>
      </c>
      <c r="BR2" s="1884">
        <v>471.13</v>
      </c>
      <c r="BS2" s="1884">
        <v>499.6</v>
      </c>
      <c r="BT2" s="1884">
        <v>409.45</v>
      </c>
      <c r="BU2" s="1884">
        <v>563.6</v>
      </c>
      <c r="BV2" s="1884">
        <v>540.52</v>
      </c>
      <c r="BW2" s="1885">
        <v>587.30999999999995</v>
      </c>
      <c r="BX2" s="1885">
        <v>713.4</v>
      </c>
      <c r="BY2" s="1885">
        <v>673.52</v>
      </c>
      <c r="BZ2" s="1885">
        <v>368.57</v>
      </c>
      <c r="CA2" s="1885">
        <v>375.33</v>
      </c>
      <c r="CB2" s="1885">
        <v>512.6</v>
      </c>
      <c r="CC2" s="1885">
        <v>410.12</v>
      </c>
      <c r="CD2" s="1886">
        <v>41.98</v>
      </c>
      <c r="CE2" s="1886">
        <v>27.22</v>
      </c>
      <c r="CF2" s="1886">
        <v>36.4</v>
      </c>
      <c r="CG2" s="1886">
        <v>51.19</v>
      </c>
      <c r="CH2" s="1884">
        <v>39.380000000000003</v>
      </c>
      <c r="CI2" s="1884">
        <v>38.39</v>
      </c>
      <c r="CJ2" s="1884">
        <v>52.94</v>
      </c>
      <c r="CM2" s="1887">
        <v>23</v>
      </c>
      <c r="CN2" s="1887">
        <v>35</v>
      </c>
      <c r="CO2" s="1888">
        <f>CM2*CN2</f>
        <v>805</v>
      </c>
      <c r="CP2" s="1888"/>
      <c r="CQ2" s="1887">
        <f>SUM(CQ19:CQ31)</f>
        <v>5.5</v>
      </c>
      <c r="CR2" s="1889">
        <v>20</v>
      </c>
      <c r="CS2" s="1887">
        <f>SUM(CS19:CS31)</f>
        <v>18</v>
      </c>
      <c r="CT2" s="1889">
        <f>CR2*CS2</f>
        <v>360</v>
      </c>
      <c r="CY2" s="1890"/>
      <c r="CZ2" s="1890"/>
      <c r="DA2" s="1890"/>
      <c r="DB2" s="1891"/>
      <c r="DC2" s="1891"/>
      <c r="DD2" s="1891"/>
      <c r="DE2" s="1891"/>
      <c r="DF2" s="1890"/>
    </row>
    <row r="3" spans="1:110" s="1879" customFormat="1">
      <c r="A3" s="1879" t="s">
        <v>3322</v>
      </c>
      <c r="B3" s="1880">
        <f>AVERAGE(G3:W3)</f>
        <v>231.35176470588232</v>
      </c>
      <c r="C3" s="1899">
        <f>170.08</f>
        <v>170.08</v>
      </c>
      <c r="D3" s="1892">
        <f>170.08</f>
        <v>170.08</v>
      </c>
      <c r="E3" s="1892">
        <f>245.85+9.14+12.87</f>
        <v>267.86</v>
      </c>
      <c r="F3" s="1892">
        <f>200.56+13.88</f>
        <v>214.44</v>
      </c>
      <c r="G3" s="1892">
        <f>319.39+2.35+12.22</f>
        <v>333.96000000000004</v>
      </c>
      <c r="H3" s="1892">
        <f>217.62+8.82</f>
        <v>226.44</v>
      </c>
      <c r="I3" s="1881">
        <f>200.99+18.61</f>
        <v>219.60000000000002</v>
      </c>
      <c r="J3" s="1881">
        <f>30.86+287.85</f>
        <v>318.71000000000004</v>
      </c>
      <c r="K3" s="1881">
        <f>242.67+31.47</f>
        <v>274.14</v>
      </c>
      <c r="L3" s="1881">
        <f>40.54+218.85</f>
        <v>259.39</v>
      </c>
      <c r="M3" s="1881">
        <f>16.07+8.47</f>
        <v>24.54</v>
      </c>
      <c r="N3" s="1881">
        <f>2.45+268.61</f>
        <v>271.06</v>
      </c>
      <c r="O3" s="1881">
        <f>21.57+18.06+263.28</f>
        <v>302.90999999999997</v>
      </c>
      <c r="P3" s="1881">
        <f>26.94+217.21</f>
        <v>244.15</v>
      </c>
      <c r="Q3" s="1881">
        <f>272.38+13.82</f>
        <v>286.2</v>
      </c>
      <c r="R3" s="1881">
        <v>213.89</v>
      </c>
      <c r="S3" s="1881">
        <v>115.94</v>
      </c>
      <c r="T3" s="1881">
        <f>232.65+6.54</f>
        <v>239.19</v>
      </c>
      <c r="U3" s="1881">
        <v>133.49</v>
      </c>
      <c r="V3" s="1881">
        <f>127.03+7.05</f>
        <v>134.08000000000001</v>
      </c>
      <c r="W3" s="1881">
        <f>329.02+6.27</f>
        <v>335.28999999999996</v>
      </c>
      <c r="X3" s="1881">
        <f>12.09+36.72+11.17</f>
        <v>59.980000000000004</v>
      </c>
      <c r="Y3" s="1882"/>
      <c r="Z3" s="1882"/>
      <c r="AA3" s="1882"/>
      <c r="AB3" s="1882"/>
      <c r="AC3" s="1893"/>
      <c r="AD3" s="1893"/>
      <c r="AE3" s="1893"/>
      <c r="AF3" s="1893"/>
      <c r="AG3" s="1893"/>
      <c r="AH3" s="1893"/>
      <c r="AI3" s="1893"/>
      <c r="AJ3" s="1893"/>
      <c r="AK3" s="1893"/>
      <c r="AL3" s="1893"/>
      <c r="AM3" s="1893"/>
      <c r="AN3" s="1893"/>
      <c r="AO3" s="1893"/>
      <c r="AP3" s="1893"/>
      <c r="AQ3" s="1893"/>
      <c r="AR3" s="1893"/>
      <c r="AS3" s="1893"/>
      <c r="AT3" s="1893"/>
      <c r="AU3" s="1893"/>
      <c r="AV3" s="1893"/>
      <c r="AW3" s="1893"/>
      <c r="AX3" s="1893"/>
      <c r="AY3" s="1893"/>
      <c r="AZ3" s="1893"/>
      <c r="BA3" s="1893"/>
      <c r="BB3" s="1893"/>
      <c r="BC3" s="1893"/>
      <c r="BD3" s="1893"/>
      <c r="BE3" s="1893"/>
      <c r="BF3" s="1893"/>
      <c r="BG3" s="1893"/>
      <c r="BH3" s="1893"/>
      <c r="BI3" s="1893"/>
      <c r="BJ3" s="1893"/>
      <c r="BK3" s="1893"/>
      <c r="BL3" s="1893"/>
      <c r="BM3" s="1893"/>
      <c r="BN3" s="1893"/>
      <c r="BO3" s="1893"/>
      <c r="BP3" s="1893"/>
      <c r="BQ3" s="1893"/>
      <c r="BR3" s="1893"/>
      <c r="BS3" s="1893"/>
      <c r="BT3" s="1893"/>
      <c r="BU3" s="1893"/>
      <c r="BV3" s="1893"/>
      <c r="BW3" s="1893"/>
      <c r="BX3" s="1893"/>
      <c r="BY3" s="1893"/>
      <c r="BZ3" s="1893"/>
      <c r="CA3" s="1893"/>
      <c r="CB3" s="1893"/>
      <c r="CC3" s="1893"/>
      <c r="CD3" s="1894"/>
      <c r="CE3" s="1894"/>
      <c r="CF3" s="1894"/>
      <c r="CG3" s="1894"/>
      <c r="CH3" s="1894"/>
      <c r="CI3" s="1894"/>
      <c r="CJ3" s="1894"/>
      <c r="CM3" s="1887"/>
      <c r="CN3" s="1887"/>
      <c r="CP3" s="1887"/>
      <c r="CQ3" s="1887"/>
      <c r="CR3" s="1887"/>
      <c r="CS3" s="1887"/>
      <c r="CV3" s="1887"/>
      <c r="CW3" s="1887"/>
      <c r="CX3" s="1887"/>
      <c r="CY3" s="1895"/>
      <c r="CZ3" s="1896"/>
      <c r="DA3" s="1896"/>
      <c r="DB3" s="1891"/>
      <c r="DC3" s="1891"/>
      <c r="DD3" s="1891"/>
      <c r="DE3" s="1891"/>
      <c r="DF3" s="1890"/>
    </row>
    <row r="4" spans="1:110" s="1879" customFormat="1">
      <c r="A4" s="1879" t="s">
        <v>3323</v>
      </c>
      <c r="B4" s="1880">
        <f>AVERAGE(G4:W4)</f>
        <v>144.31176470588235</v>
      </c>
      <c r="C4" s="1899">
        <f>151.37</f>
        <v>151.37</v>
      </c>
      <c r="D4" s="1899">
        <f>151.37</f>
        <v>151.37</v>
      </c>
      <c r="E4" s="1892">
        <v>242.34</v>
      </c>
      <c r="F4" s="1892">
        <f>151.37</f>
        <v>151.37</v>
      </c>
      <c r="G4" s="1892">
        <f>144</f>
        <v>144</v>
      </c>
      <c r="H4" s="1892">
        <v>139.35</v>
      </c>
      <c r="I4" s="1881">
        <v>139.77000000000001</v>
      </c>
      <c r="J4" s="1881">
        <v>186.7</v>
      </c>
      <c r="K4" s="1881">
        <v>157.4</v>
      </c>
      <c r="L4" s="1881">
        <v>203.94</v>
      </c>
      <c r="M4" s="1881">
        <v>190.4</v>
      </c>
      <c r="N4" s="1881">
        <v>194.75</v>
      </c>
      <c r="O4" s="1881">
        <v>125.72</v>
      </c>
      <c r="P4" s="1881">
        <v>53.7</v>
      </c>
      <c r="Q4" s="1881">
        <v>68.12</v>
      </c>
      <c r="R4" s="1881">
        <v>171.27</v>
      </c>
      <c r="S4" s="1881">
        <v>43.17</v>
      </c>
      <c r="T4" s="1881">
        <v>87.89</v>
      </c>
      <c r="U4" s="1881">
        <v>62.3</v>
      </c>
      <c r="V4" s="1881">
        <v>117.69</v>
      </c>
      <c r="W4" s="1881">
        <v>367.13</v>
      </c>
      <c r="X4" s="1881">
        <v>741.34</v>
      </c>
      <c r="Y4" s="1881">
        <v>33.11</v>
      </c>
      <c r="Z4" s="1881">
        <v>25.39</v>
      </c>
      <c r="AA4" s="1882"/>
      <c r="AB4" s="1882"/>
      <c r="AC4" s="1893"/>
      <c r="AD4" s="1893"/>
      <c r="AE4" s="1893"/>
      <c r="AF4" s="1893"/>
      <c r="AG4" s="1893"/>
      <c r="AH4" s="1893"/>
      <c r="AI4" s="1893"/>
      <c r="AJ4" s="1893"/>
      <c r="AK4" s="1893"/>
      <c r="AL4" s="1893"/>
      <c r="AM4" s="1893"/>
      <c r="AN4" s="1893"/>
      <c r="AO4" s="1893"/>
      <c r="AP4" s="1893"/>
      <c r="AQ4" s="1893"/>
      <c r="AR4" s="1893"/>
      <c r="AS4" s="1893"/>
      <c r="AT4" s="1893"/>
      <c r="AU4" s="1893"/>
      <c r="AV4" s="1893"/>
      <c r="AW4" s="1893"/>
      <c r="AX4" s="1893"/>
      <c r="AY4" s="1893"/>
      <c r="AZ4" s="1893"/>
      <c r="BA4" s="1893"/>
      <c r="BB4" s="1893"/>
      <c r="BC4" s="1893"/>
      <c r="BD4" s="1893"/>
      <c r="BE4" s="1893"/>
      <c r="BF4" s="1893"/>
      <c r="BG4" s="1893"/>
      <c r="BH4" s="1893"/>
      <c r="BI4" s="1893"/>
      <c r="BJ4" s="1893"/>
      <c r="BK4" s="1893"/>
      <c r="BL4" s="1893"/>
      <c r="BM4" s="1893"/>
      <c r="BN4" s="1893"/>
      <c r="BO4" s="1893"/>
      <c r="BP4" s="1893"/>
      <c r="BQ4" s="1893"/>
      <c r="BR4" s="1893"/>
      <c r="BS4" s="1893"/>
      <c r="BT4" s="1893"/>
      <c r="BU4" s="1893"/>
      <c r="BV4" s="1893"/>
      <c r="BW4" s="1893"/>
      <c r="BX4" s="1893"/>
      <c r="BY4" s="1893"/>
      <c r="BZ4" s="1893"/>
      <c r="CA4" s="1893"/>
      <c r="CB4" s="1893"/>
      <c r="CC4" s="1893"/>
      <c r="CD4" s="1894"/>
      <c r="CE4" s="1894"/>
      <c r="CF4" s="1894"/>
      <c r="CG4" s="1894"/>
      <c r="CH4" s="1894"/>
      <c r="CI4" s="1894"/>
      <c r="CJ4" s="1894"/>
      <c r="CM4" s="1887"/>
      <c r="CN4" s="1887"/>
      <c r="CP4" s="1887"/>
      <c r="CQ4" s="1887"/>
      <c r="CR4" s="1887"/>
      <c r="CS4" s="1887"/>
      <c r="CV4" s="1887"/>
      <c r="CW4" s="1887"/>
      <c r="CX4" s="1887"/>
      <c r="CY4" s="1895"/>
      <c r="CZ4" s="1896"/>
      <c r="DA4" s="1896"/>
      <c r="DB4" s="1891"/>
      <c r="DC4" s="1891"/>
      <c r="DD4" s="1891"/>
      <c r="DE4" s="1891"/>
      <c r="DF4" s="1890"/>
    </row>
    <row r="5" spans="1:110" s="1879" customFormat="1">
      <c r="A5" s="1879" t="s">
        <v>3324</v>
      </c>
      <c r="B5" s="1880"/>
      <c r="E5" s="1892">
        <v>18.48</v>
      </c>
      <c r="V5" s="1882"/>
      <c r="W5" s="1882"/>
      <c r="X5" s="1882"/>
      <c r="Y5" s="1882"/>
      <c r="Z5" s="1881">
        <v>18.48</v>
      </c>
      <c r="AA5" s="1882"/>
      <c r="AB5" s="1882"/>
      <c r="AC5" s="1893"/>
      <c r="AD5" s="1893"/>
      <c r="AE5" s="1893"/>
      <c r="AF5" s="1893"/>
      <c r="AG5" s="1893"/>
      <c r="AH5" s="1893"/>
      <c r="AI5" s="1893"/>
      <c r="AJ5" s="1893"/>
      <c r="AK5" s="1893"/>
      <c r="AL5" s="1893"/>
      <c r="AM5" s="1893"/>
      <c r="AN5" s="1893"/>
      <c r="AO5" s="1893"/>
      <c r="AP5" s="1893"/>
      <c r="AQ5" s="1893"/>
      <c r="AR5" s="1893"/>
      <c r="AS5" s="1893"/>
      <c r="AT5" s="1893"/>
      <c r="AU5" s="1893"/>
      <c r="AV5" s="1893"/>
      <c r="AW5" s="1893"/>
      <c r="AX5" s="1893"/>
      <c r="AY5" s="1893"/>
      <c r="AZ5" s="1893"/>
      <c r="BA5" s="1893"/>
      <c r="BB5" s="1893"/>
      <c r="BC5" s="1893"/>
      <c r="BD5" s="1893"/>
      <c r="BE5" s="1893"/>
      <c r="BF5" s="1893"/>
      <c r="BG5" s="1893"/>
      <c r="BH5" s="1893"/>
      <c r="BI5" s="1893"/>
      <c r="BJ5" s="1893"/>
      <c r="BK5" s="1893"/>
      <c r="BL5" s="1893"/>
      <c r="BM5" s="1893"/>
      <c r="BN5" s="1893"/>
      <c r="BO5" s="1893"/>
      <c r="BP5" s="1893"/>
      <c r="BQ5" s="1893"/>
      <c r="BR5" s="1893"/>
      <c r="BS5" s="1893"/>
      <c r="BT5" s="1893"/>
      <c r="BU5" s="1893"/>
      <c r="BV5" s="1893"/>
      <c r="BW5" s="1893"/>
      <c r="BX5" s="1893"/>
      <c r="BY5" s="1893"/>
      <c r="BZ5" s="1893"/>
      <c r="CA5" s="1893"/>
      <c r="CB5" s="1893"/>
      <c r="CC5" s="1893"/>
      <c r="CD5" s="1894"/>
      <c r="CE5" s="1894"/>
      <c r="CF5" s="1894"/>
      <c r="CG5" s="1894"/>
      <c r="CH5" s="1894"/>
      <c r="CI5" s="1894"/>
      <c r="CJ5" s="1894"/>
      <c r="CM5" s="1887"/>
      <c r="CN5" s="1887"/>
      <c r="CP5" s="1887"/>
      <c r="CQ5" s="1887"/>
      <c r="CR5" s="1887"/>
      <c r="CS5" s="1887"/>
      <c r="CV5" s="1887"/>
      <c r="CW5" s="1887"/>
      <c r="CX5" s="1887"/>
      <c r="CY5" s="1895"/>
      <c r="CZ5" s="1896"/>
      <c r="DA5" s="1896"/>
      <c r="DB5" s="1891"/>
      <c r="DC5" s="1891"/>
      <c r="DD5" s="1891"/>
      <c r="DE5" s="1891"/>
      <c r="DF5" s="1890"/>
    </row>
    <row r="6" spans="1:110" s="1879" customFormat="1">
      <c r="A6" s="1879" t="s">
        <v>3325</v>
      </c>
      <c r="B6" s="1880"/>
      <c r="V6" s="1882"/>
      <c r="W6" s="1882"/>
      <c r="X6" s="1882"/>
      <c r="Y6" s="1882"/>
      <c r="Z6" s="1882"/>
      <c r="AA6" s="1882"/>
      <c r="AB6" s="1882"/>
      <c r="AC6" s="1893"/>
      <c r="AD6" s="1893"/>
      <c r="AE6" s="1893"/>
      <c r="AF6" s="1893"/>
      <c r="AG6" s="1893"/>
      <c r="AH6" s="1893"/>
      <c r="AI6" s="1893"/>
      <c r="AJ6" s="1893"/>
      <c r="AK6" s="1893"/>
      <c r="AL6" s="1893"/>
      <c r="AM6" s="1893"/>
      <c r="AN6" s="1893"/>
      <c r="AO6" s="1893"/>
      <c r="AP6" s="1893"/>
      <c r="AQ6" s="1893"/>
      <c r="AR6" s="1893"/>
      <c r="AS6" s="1893"/>
      <c r="AT6" s="1893"/>
      <c r="AU6" s="1893"/>
      <c r="AV6" s="1893"/>
      <c r="AW6" s="1893"/>
      <c r="AX6" s="1893"/>
      <c r="AY6" s="1893"/>
      <c r="AZ6" s="1893"/>
      <c r="BA6" s="1893"/>
      <c r="BB6" s="1893"/>
      <c r="BC6" s="1893"/>
      <c r="BD6" s="1893"/>
      <c r="BE6" s="1893"/>
      <c r="BF6" s="1893"/>
      <c r="BG6" s="1893"/>
      <c r="BH6" s="1893"/>
      <c r="BI6" s="1893"/>
      <c r="BJ6" s="1893"/>
      <c r="BK6" s="1893"/>
      <c r="BL6" s="1893"/>
      <c r="BM6" s="1893"/>
      <c r="BN6" s="1893"/>
      <c r="BO6" s="1893"/>
      <c r="BP6" s="1893"/>
      <c r="BQ6" s="1893"/>
      <c r="BR6" s="1893"/>
      <c r="BS6" s="1893"/>
      <c r="BT6" s="1893"/>
      <c r="BU6" s="1893"/>
      <c r="BV6" s="1893"/>
      <c r="BW6" s="1893"/>
      <c r="BX6" s="1893"/>
      <c r="BY6" s="1893"/>
      <c r="BZ6" s="1893"/>
      <c r="CA6" s="1893"/>
      <c r="CB6" s="1893"/>
      <c r="CC6" s="1893"/>
      <c r="CD6" s="1894"/>
      <c r="CE6" s="1894"/>
      <c r="CF6" s="1894"/>
      <c r="CG6" s="1894"/>
      <c r="CH6" s="1894"/>
      <c r="CI6" s="1894"/>
      <c r="CJ6" s="1894"/>
      <c r="CM6" s="1887"/>
      <c r="CN6" s="1887"/>
      <c r="CP6" s="1887"/>
      <c r="CQ6" s="1887"/>
      <c r="CR6" s="1887"/>
      <c r="CS6" s="1887"/>
      <c r="CV6" s="1887"/>
      <c r="CW6" s="1887"/>
      <c r="CX6" s="1887"/>
      <c r="CY6" s="1895"/>
      <c r="CZ6" s="1896"/>
      <c r="DA6" s="1896"/>
      <c r="DB6" s="1891"/>
      <c r="DC6" s="1891"/>
      <c r="DD6" s="1891"/>
      <c r="DE6" s="1891"/>
      <c r="DF6" s="1890"/>
    </row>
    <row r="7" spans="1:110" s="1879" customFormat="1">
      <c r="A7" s="1879" t="s">
        <v>3326</v>
      </c>
      <c r="B7" s="1880">
        <f>AVERAGE(G7:W7)</f>
        <v>16.562352941176471</v>
      </c>
      <c r="C7" s="1899">
        <f>13.2</f>
        <v>13.2</v>
      </c>
      <c r="D7" s="1899">
        <f>13.2</f>
        <v>13.2</v>
      </c>
      <c r="E7" s="1899">
        <f>13.2</f>
        <v>13.2</v>
      </c>
      <c r="F7" s="1899">
        <f>13.2</f>
        <v>13.2</v>
      </c>
      <c r="G7" s="1892">
        <f>13.2</f>
        <v>13.2</v>
      </c>
      <c r="H7" s="1892">
        <v>35.590000000000003</v>
      </c>
      <c r="I7" s="1897">
        <v>0</v>
      </c>
      <c r="J7" s="1881">
        <v>31.7</v>
      </c>
      <c r="K7" s="1881">
        <v>12.56</v>
      </c>
      <c r="L7" s="1881">
        <v>29.99</v>
      </c>
      <c r="M7" s="1897">
        <v>0</v>
      </c>
      <c r="N7" s="1881">
        <v>12.54</v>
      </c>
      <c r="O7" s="1879">
        <v>0</v>
      </c>
      <c r="P7" s="1881">
        <v>51.87</v>
      </c>
      <c r="Q7" s="1879">
        <v>11.79</v>
      </c>
      <c r="R7" s="1881">
        <v>11.79</v>
      </c>
      <c r="S7" s="1881">
        <v>12.54</v>
      </c>
      <c r="T7" s="1879">
        <v>0</v>
      </c>
      <c r="U7" s="1881">
        <v>24.46</v>
      </c>
      <c r="V7" s="1898">
        <v>0</v>
      </c>
      <c r="W7" s="1881">
        <v>33.53</v>
      </c>
      <c r="X7" s="1881">
        <v>8.8000000000000007</v>
      </c>
      <c r="Y7" s="1881">
        <v>33.92</v>
      </c>
      <c r="Z7" s="1882">
        <v>0</v>
      </c>
      <c r="AA7" s="1881">
        <v>11.48</v>
      </c>
      <c r="AB7" s="1882">
        <v>0</v>
      </c>
      <c r="AC7" s="1893"/>
      <c r="AD7" s="1893"/>
      <c r="AE7" s="1893"/>
      <c r="AF7" s="1893"/>
      <c r="AG7" s="1893"/>
      <c r="AH7" s="1893"/>
      <c r="AI7" s="1893"/>
      <c r="AJ7" s="1893"/>
      <c r="AK7" s="1893"/>
      <c r="AL7" s="1893"/>
      <c r="AM7" s="1893"/>
      <c r="AN7" s="1893"/>
      <c r="AO7" s="1893"/>
      <c r="AP7" s="1893"/>
      <c r="AQ7" s="1893"/>
      <c r="AR7" s="1893"/>
      <c r="AS7" s="1893"/>
      <c r="AT7" s="1893"/>
      <c r="AU7" s="1893"/>
      <c r="AV7" s="1893"/>
      <c r="AW7" s="1893"/>
      <c r="AX7" s="1893"/>
      <c r="AY7" s="1893"/>
      <c r="AZ7" s="1893"/>
      <c r="BA7" s="1893"/>
      <c r="BB7" s="1893"/>
      <c r="BC7" s="1893"/>
      <c r="BD7" s="1893"/>
      <c r="BE7" s="1893"/>
      <c r="BF7" s="1893"/>
      <c r="BG7" s="1893"/>
      <c r="BH7" s="1893"/>
      <c r="BI7" s="1893"/>
      <c r="BJ7" s="1893"/>
      <c r="BK7" s="1893"/>
      <c r="BL7" s="1893"/>
      <c r="BM7" s="1893"/>
      <c r="BN7" s="1893"/>
      <c r="BO7" s="1893"/>
      <c r="BP7" s="1893"/>
      <c r="BQ7" s="1893"/>
      <c r="BR7" s="1893"/>
      <c r="BS7" s="1893"/>
      <c r="BT7" s="1893"/>
      <c r="BU7" s="1893"/>
      <c r="BV7" s="1893"/>
      <c r="BW7" s="1893"/>
      <c r="BX7" s="1893"/>
      <c r="BY7" s="1893"/>
      <c r="BZ7" s="1893"/>
      <c r="CA7" s="1893"/>
      <c r="CB7" s="1893"/>
      <c r="CC7" s="1893"/>
      <c r="CD7" s="1894"/>
      <c r="CE7" s="1894"/>
      <c r="CF7" s="1894"/>
      <c r="CG7" s="1894"/>
      <c r="CH7" s="1894"/>
      <c r="CI7" s="1894"/>
      <c r="CJ7" s="1894"/>
      <c r="CM7" s="1887"/>
      <c r="CN7" s="1887"/>
      <c r="CP7" s="1887"/>
      <c r="CQ7" s="1887"/>
      <c r="CR7" s="1887"/>
      <c r="CS7" s="1887"/>
      <c r="CV7" s="1887"/>
      <c r="CW7" s="1887"/>
      <c r="CX7" s="1887"/>
      <c r="CY7" s="1895"/>
      <c r="CZ7" s="1896"/>
      <c r="DA7" s="1896"/>
      <c r="DB7" s="1891"/>
      <c r="DC7" s="1891"/>
      <c r="DD7" s="1891"/>
      <c r="DE7" s="1891"/>
      <c r="DF7" s="1890"/>
    </row>
    <row r="8" spans="1:110" s="1879" customFormat="1">
      <c r="A8" s="1879" t="s">
        <v>3327</v>
      </c>
      <c r="B8" s="1880"/>
      <c r="C8" s="1897"/>
      <c r="D8" s="1897"/>
      <c r="E8" s="1897"/>
      <c r="F8" s="1897"/>
      <c r="G8" s="1897"/>
      <c r="I8" s="1897"/>
      <c r="J8" s="1897"/>
      <c r="K8" s="1897"/>
      <c r="L8" s="1897"/>
      <c r="M8" s="1897"/>
      <c r="N8" s="1897"/>
      <c r="O8" s="1897"/>
      <c r="P8" s="1897"/>
      <c r="Q8" s="1897"/>
      <c r="R8" s="1897"/>
      <c r="S8" s="1897"/>
      <c r="T8" s="1897"/>
      <c r="U8" s="1897"/>
      <c r="V8" s="1882"/>
      <c r="W8" s="1882"/>
      <c r="X8" s="1882"/>
      <c r="Y8" s="1882"/>
      <c r="Z8" s="1882"/>
      <c r="AA8" s="1882"/>
      <c r="AB8" s="1882"/>
      <c r="AC8" s="1893"/>
      <c r="AD8" s="1893"/>
      <c r="AE8" s="1893"/>
      <c r="AF8" s="1893"/>
      <c r="AG8" s="1893"/>
      <c r="AH8" s="1893"/>
      <c r="AI8" s="1893"/>
      <c r="AJ8" s="1893"/>
      <c r="AK8" s="1893"/>
      <c r="AL8" s="1893"/>
      <c r="AM8" s="1893"/>
      <c r="AN8" s="1893"/>
      <c r="AO8" s="1893"/>
      <c r="AP8" s="1893"/>
      <c r="AQ8" s="1893"/>
      <c r="AR8" s="1893"/>
      <c r="AS8" s="1893"/>
      <c r="AT8" s="1893"/>
      <c r="AU8" s="1893"/>
      <c r="AV8" s="1893"/>
      <c r="AW8" s="1893"/>
      <c r="AX8" s="1893"/>
      <c r="AY8" s="1893"/>
      <c r="AZ8" s="1893"/>
      <c r="BA8" s="1893"/>
      <c r="BB8" s="1893"/>
      <c r="BC8" s="1893"/>
      <c r="BD8" s="1893"/>
      <c r="BE8" s="1893"/>
      <c r="BF8" s="1893"/>
      <c r="BG8" s="1893"/>
      <c r="BH8" s="1893"/>
      <c r="BI8" s="1893"/>
      <c r="BJ8" s="1893"/>
      <c r="BK8" s="1893"/>
      <c r="BL8" s="1893"/>
      <c r="BM8" s="1893"/>
      <c r="BN8" s="1893"/>
      <c r="BO8" s="1893"/>
      <c r="BP8" s="1893"/>
      <c r="BQ8" s="1893"/>
      <c r="BR8" s="1893"/>
      <c r="BS8" s="1893"/>
      <c r="BT8" s="1893"/>
      <c r="BU8" s="1893"/>
      <c r="BV8" s="1893"/>
      <c r="BW8" s="1893"/>
      <c r="BX8" s="1893"/>
      <c r="BY8" s="1893"/>
      <c r="BZ8" s="1893"/>
      <c r="CA8" s="1893"/>
      <c r="CB8" s="1893"/>
      <c r="CC8" s="1893"/>
      <c r="CD8" s="1894"/>
      <c r="CE8" s="1894"/>
      <c r="CF8" s="1894"/>
      <c r="CG8" s="1894"/>
      <c r="CH8" s="1894"/>
      <c r="CI8" s="1894"/>
      <c r="CJ8" s="1894"/>
      <c r="CM8" s="1887"/>
      <c r="CN8" s="1887"/>
      <c r="CP8" s="1887"/>
      <c r="CQ8" s="1887"/>
      <c r="CR8" s="1887"/>
      <c r="CS8" s="1887"/>
      <c r="CV8" s="1887"/>
      <c r="CW8" s="1887"/>
      <c r="CX8" s="1887"/>
      <c r="CY8" s="1895"/>
      <c r="CZ8" s="1896"/>
      <c r="DA8" s="1896"/>
      <c r="DB8" s="1891"/>
      <c r="DC8" s="1891"/>
      <c r="DD8" s="1891"/>
      <c r="DE8" s="1891"/>
      <c r="DF8" s="1890"/>
    </row>
    <row r="9" spans="1:110" s="1879" customFormat="1">
      <c r="B9" s="1880"/>
      <c r="C9" s="1897"/>
      <c r="D9" s="1897"/>
      <c r="E9" s="1897"/>
      <c r="F9" s="1897"/>
      <c r="G9" s="1897"/>
      <c r="I9" s="1897"/>
      <c r="J9" s="1897"/>
      <c r="K9" s="1897"/>
      <c r="L9" s="1897"/>
      <c r="M9" s="1897"/>
      <c r="N9" s="1897"/>
      <c r="O9" s="1897"/>
      <c r="P9" s="1897"/>
      <c r="Q9" s="1897"/>
      <c r="R9" s="1897"/>
      <c r="S9" s="1897"/>
      <c r="T9" s="1897"/>
      <c r="U9" s="1897"/>
      <c r="V9" s="1882"/>
      <c r="W9" s="1882"/>
      <c r="X9" s="1882"/>
      <c r="Y9" s="1882"/>
      <c r="Z9" s="1882"/>
      <c r="AA9" s="1882"/>
      <c r="AB9" s="1882"/>
      <c r="AC9" s="1893"/>
      <c r="AD9" s="1893"/>
      <c r="AE9" s="1893"/>
      <c r="AF9" s="1893"/>
      <c r="AG9" s="1893"/>
      <c r="AH9" s="1893"/>
      <c r="AI9" s="1893"/>
      <c r="AJ9" s="1893"/>
      <c r="AK9" s="1893"/>
      <c r="AL9" s="1893"/>
      <c r="AM9" s="1893"/>
      <c r="AN9" s="1893"/>
      <c r="AO9" s="1893"/>
      <c r="AP9" s="1893"/>
      <c r="AQ9" s="1893"/>
      <c r="AR9" s="1893"/>
      <c r="AS9" s="1893"/>
      <c r="AT9" s="1893"/>
      <c r="AU9" s="1893"/>
      <c r="AV9" s="1893"/>
      <c r="AW9" s="1893"/>
      <c r="AX9" s="1893"/>
      <c r="AY9" s="1893"/>
      <c r="AZ9" s="1893"/>
      <c r="BA9" s="1893"/>
      <c r="BB9" s="1893"/>
      <c r="BC9" s="1893"/>
      <c r="BD9" s="1893"/>
      <c r="BE9" s="1893"/>
      <c r="BF9" s="1893"/>
      <c r="BG9" s="1893"/>
      <c r="BH9" s="1893"/>
      <c r="BI9" s="1893"/>
      <c r="BJ9" s="1893"/>
      <c r="BK9" s="1893"/>
      <c r="BL9" s="1893"/>
      <c r="BM9" s="1893"/>
      <c r="BN9" s="1893"/>
      <c r="BO9" s="1893"/>
      <c r="BP9" s="1893"/>
      <c r="BQ9" s="1893"/>
      <c r="BR9" s="1893"/>
      <c r="BS9" s="1893"/>
      <c r="BT9" s="1893"/>
      <c r="BU9" s="1893"/>
      <c r="BV9" s="1893"/>
      <c r="BW9" s="1893"/>
      <c r="BX9" s="1893"/>
      <c r="BY9" s="1893"/>
      <c r="BZ9" s="1893"/>
      <c r="CA9" s="1893"/>
      <c r="CB9" s="1893"/>
      <c r="CC9" s="1893"/>
      <c r="CD9" s="1894"/>
      <c r="CE9" s="1894"/>
      <c r="CF9" s="1894"/>
      <c r="CG9" s="1894"/>
      <c r="CH9" s="1894"/>
      <c r="CI9" s="1894"/>
      <c r="CJ9" s="1894"/>
      <c r="CM9" s="1887"/>
      <c r="CN9" s="1887"/>
      <c r="CP9" s="1887"/>
      <c r="CQ9" s="1887"/>
      <c r="CR9" s="1887"/>
      <c r="CS9" s="1887"/>
      <c r="CV9" s="1887"/>
      <c r="CW9" s="1887"/>
      <c r="CX9" s="1887"/>
      <c r="CY9" s="1895"/>
      <c r="CZ9" s="1896"/>
      <c r="DA9" s="1896"/>
      <c r="DB9" s="1891"/>
      <c r="DC9" s="1891"/>
      <c r="DD9" s="1891"/>
      <c r="DE9" s="1891"/>
      <c r="DF9" s="1890"/>
    </row>
    <row r="10" spans="1:110" s="1879" customFormat="1">
      <c r="A10" s="1879" t="s">
        <v>3328</v>
      </c>
      <c r="B10" s="1880">
        <f>AVERAGE(G10:W10)</f>
        <v>124.14705882352941</v>
      </c>
      <c r="C10" s="1899">
        <v>73.2</v>
      </c>
      <c r="D10" s="1899">
        <v>73.2</v>
      </c>
      <c r="E10" s="1892">
        <f>4.94+10.65+11.08</f>
        <v>26.67</v>
      </c>
      <c r="F10" s="1892">
        <v>47.68</v>
      </c>
      <c r="G10" s="1892">
        <v>75.52</v>
      </c>
      <c r="H10" s="1920">
        <v>159.06</v>
      </c>
      <c r="I10" s="1921">
        <v>181</v>
      </c>
      <c r="J10" s="1921">
        <v>0</v>
      </c>
      <c r="K10" s="1921">
        <v>0</v>
      </c>
      <c r="L10" s="1921">
        <v>0</v>
      </c>
      <c r="M10" s="1921">
        <v>0</v>
      </c>
      <c r="N10" s="1921">
        <v>0</v>
      </c>
      <c r="O10" s="1921">
        <v>40</v>
      </c>
      <c r="P10" s="1921">
        <v>74.760000000000005</v>
      </c>
      <c r="Q10" s="1921">
        <v>319</v>
      </c>
      <c r="R10" s="1898">
        <v>119.45</v>
      </c>
      <c r="S10" s="1898">
        <v>400.88</v>
      </c>
      <c r="T10" s="1898">
        <v>400.88</v>
      </c>
      <c r="U10" s="1881">
        <v>0</v>
      </c>
      <c r="V10" s="1881">
        <v>183.95</v>
      </c>
      <c r="W10" s="1881">
        <v>156</v>
      </c>
      <c r="X10" s="1882">
        <v>382.11</v>
      </c>
      <c r="Y10" s="1882">
        <v>147.94</v>
      </c>
      <c r="Z10" s="1882">
        <v>463.26</v>
      </c>
      <c r="AA10" s="1882">
        <v>1008.92</v>
      </c>
      <c r="AB10" s="1882">
        <v>541.91</v>
      </c>
      <c r="AC10" s="1882">
        <v>1317.71</v>
      </c>
      <c r="AD10" s="1882">
        <v>828.1</v>
      </c>
      <c r="AE10" s="1882">
        <v>435.35</v>
      </c>
      <c r="AF10" s="1882">
        <v>261.87</v>
      </c>
      <c r="AG10" s="1882">
        <v>149.21</v>
      </c>
      <c r="AH10" s="1882">
        <v>314.02999999999997</v>
      </c>
      <c r="AI10" s="1882">
        <v>248.32</v>
      </c>
      <c r="AJ10" s="1882">
        <v>29.74</v>
      </c>
      <c r="AK10" s="1882">
        <v>21.29</v>
      </c>
      <c r="AL10" s="1882">
        <v>14.32</v>
      </c>
      <c r="AM10" s="1882">
        <v>0</v>
      </c>
      <c r="AN10" s="1882">
        <v>20.46</v>
      </c>
      <c r="AO10" s="1882">
        <v>301.73</v>
      </c>
      <c r="AP10" s="1882">
        <v>172.53</v>
      </c>
      <c r="AQ10" s="1882">
        <v>294.77</v>
      </c>
      <c r="AR10" s="1882">
        <v>59.42</v>
      </c>
      <c r="AS10" s="1882">
        <v>204.49</v>
      </c>
      <c r="AT10" s="1882">
        <v>259.23</v>
      </c>
      <c r="AU10" s="1882">
        <v>96.46</v>
      </c>
      <c r="AV10" s="1882">
        <v>417</v>
      </c>
      <c r="AW10" s="1882">
        <f>549-67</f>
        <v>482</v>
      </c>
      <c r="AX10" s="1882">
        <f>586-73.8</f>
        <v>512.20000000000005</v>
      </c>
      <c r="AY10" s="1882">
        <f>703.39-203</f>
        <v>500.39</v>
      </c>
      <c r="AZ10" s="1882">
        <v>738.5</v>
      </c>
      <c r="BA10" s="1885">
        <v>504.7</v>
      </c>
      <c r="BB10" s="1885">
        <f>580.62-63.42</f>
        <v>517.20000000000005</v>
      </c>
      <c r="BC10" s="1885">
        <f>322.89-111.12</f>
        <v>211.76999999999998</v>
      </c>
      <c r="BD10" s="1885">
        <v>142.88</v>
      </c>
      <c r="BE10" s="1885">
        <v>264.26</v>
      </c>
      <c r="BF10" s="1885">
        <v>669.04</v>
      </c>
      <c r="BG10" s="1885">
        <f>812-93.53</f>
        <v>718.47</v>
      </c>
      <c r="BH10" s="1885">
        <f>336.19-46.92</f>
        <v>289.27</v>
      </c>
      <c r="BI10" s="1885">
        <f>665.37-91.87</f>
        <v>573.5</v>
      </c>
      <c r="BJ10" s="1885">
        <f>370.27-55.88</f>
        <v>314.39</v>
      </c>
      <c r="BK10" s="1886">
        <f>547-85.5</f>
        <v>461.5</v>
      </c>
      <c r="BL10" s="1886">
        <f>521.56-79.77</f>
        <v>441.78999999999996</v>
      </c>
      <c r="BM10" s="1886">
        <v>253.41</v>
      </c>
      <c r="BN10" s="1886">
        <v>153.77000000000001</v>
      </c>
      <c r="BO10" s="1886">
        <v>207.37</v>
      </c>
      <c r="BP10" s="1900"/>
      <c r="BQ10" s="1900"/>
      <c r="BR10" s="1900"/>
      <c r="BS10" s="1900"/>
      <c r="BT10" s="1900"/>
      <c r="BU10" s="1900">
        <v>197.91</v>
      </c>
      <c r="BV10" s="1900">
        <v>168</v>
      </c>
      <c r="BW10" s="1900">
        <v>46</v>
      </c>
      <c r="BX10" s="1900">
        <v>244.4</v>
      </c>
      <c r="BY10" s="1900">
        <f>850-560</f>
        <v>290</v>
      </c>
      <c r="BZ10" s="1900">
        <v>220</v>
      </c>
      <c r="CA10" s="1900">
        <v>208.09</v>
      </c>
      <c r="CB10" s="1900">
        <v>133.88</v>
      </c>
      <c r="CC10" s="1900">
        <v>312</v>
      </c>
      <c r="CD10" s="1900">
        <v>61.95</v>
      </c>
      <c r="CE10" s="1886">
        <v>20</v>
      </c>
      <c r="CF10" s="1886"/>
      <c r="CG10" s="1886"/>
      <c r="CY10" s="1890"/>
      <c r="CZ10" s="1890"/>
      <c r="DA10" s="1890"/>
      <c r="DB10" s="1891"/>
      <c r="DC10" s="1891"/>
      <c r="DD10" s="1891"/>
      <c r="DE10" s="1891"/>
      <c r="DF10" s="1890"/>
    </row>
    <row r="11" spans="1:110" s="1897" customFormat="1">
      <c r="A11" s="1897" t="s">
        <v>3329</v>
      </c>
      <c r="B11" s="2063">
        <f>AVERAGE(G11:W11)</f>
        <v>92.885294117647049</v>
      </c>
      <c r="C11" s="2064">
        <f>149.32</f>
        <v>149.32</v>
      </c>
      <c r="D11" s="2064">
        <f>149.32</f>
        <v>149.32</v>
      </c>
      <c r="E11" s="2065">
        <v>149.63</v>
      </c>
      <c r="F11" s="2065">
        <v>146.77000000000001</v>
      </c>
      <c r="G11" s="2065">
        <f>32.97</f>
        <v>32.97</v>
      </c>
      <c r="H11" s="2065">
        <v>19.5</v>
      </c>
      <c r="I11" s="2066">
        <v>98.47</v>
      </c>
      <c r="J11" s="2066">
        <v>70.05</v>
      </c>
      <c r="K11" s="2066">
        <v>97.37</v>
      </c>
      <c r="L11" s="2066">
        <v>91.4</v>
      </c>
      <c r="M11" s="2066">
        <v>80.5</v>
      </c>
      <c r="N11" s="2066">
        <v>130.24</v>
      </c>
      <c r="O11" s="2066">
        <v>135.15</v>
      </c>
      <c r="P11" s="2066">
        <v>165.15</v>
      </c>
      <c r="Q11" s="2066">
        <v>164.48</v>
      </c>
      <c r="R11" s="2066">
        <v>153.30000000000001</v>
      </c>
      <c r="S11" s="2066">
        <v>0.02</v>
      </c>
      <c r="T11" s="2066">
        <v>81.290000000000006</v>
      </c>
      <c r="U11" s="2066">
        <v>161.33000000000001</v>
      </c>
      <c r="V11" s="2066">
        <v>40.67</v>
      </c>
      <c r="W11" s="2066">
        <v>57.16</v>
      </c>
      <c r="X11" s="2066">
        <v>33.82</v>
      </c>
      <c r="Y11" s="2066">
        <v>97.86</v>
      </c>
      <c r="Z11" s="2066">
        <v>123.9</v>
      </c>
      <c r="AA11" s="2066">
        <v>180.54</v>
      </c>
      <c r="AB11" s="2066">
        <v>122.42</v>
      </c>
      <c r="AC11" s="2067">
        <v>104.69</v>
      </c>
      <c r="AD11" s="2067">
        <v>102.28</v>
      </c>
      <c r="AE11" s="2067">
        <v>140.28</v>
      </c>
      <c r="AF11" s="2067">
        <v>80.39</v>
      </c>
      <c r="AG11" s="2067">
        <v>85.62</v>
      </c>
      <c r="AH11" s="2067">
        <v>-1.4</v>
      </c>
      <c r="AI11" s="2067">
        <v>25.38</v>
      </c>
      <c r="AJ11" s="2067">
        <v>75.81</v>
      </c>
      <c r="AK11" s="2067">
        <v>62.1</v>
      </c>
      <c r="AL11" s="2067">
        <v>108.54</v>
      </c>
      <c r="AM11" s="2067">
        <v>39.03</v>
      </c>
      <c r="AN11" s="2067">
        <v>102.47</v>
      </c>
      <c r="AO11" s="2067">
        <v>260.38</v>
      </c>
      <c r="AP11" s="2067">
        <v>197</v>
      </c>
      <c r="AQ11" s="2067">
        <v>0</v>
      </c>
      <c r="AR11" s="2067">
        <v>292</v>
      </c>
      <c r="AS11" s="2067">
        <v>102</v>
      </c>
      <c r="AT11" s="2067">
        <v>20</v>
      </c>
      <c r="AU11" s="2067">
        <v>39.82</v>
      </c>
      <c r="AV11" s="2067">
        <v>239</v>
      </c>
      <c r="AW11" s="2067">
        <v>182</v>
      </c>
      <c r="AX11" s="2067">
        <f>372-50</f>
        <v>322</v>
      </c>
      <c r="AY11" s="2067">
        <v>118</v>
      </c>
      <c r="AZ11" s="2067">
        <v>279</v>
      </c>
      <c r="BA11" s="2067">
        <v>228</v>
      </c>
      <c r="BB11" s="2067">
        <v>84.21</v>
      </c>
      <c r="BC11" s="2067">
        <v>60</v>
      </c>
      <c r="BD11" s="2067">
        <f>15*12</f>
        <v>180</v>
      </c>
      <c r="BE11" s="2067">
        <v>120</v>
      </c>
      <c r="BF11" s="2067">
        <v>280</v>
      </c>
      <c r="BG11" s="2067">
        <v>108</v>
      </c>
      <c r="BH11" s="2067">
        <v>360.99</v>
      </c>
      <c r="BI11" s="2067">
        <v>149.99</v>
      </c>
      <c r="BJ11" s="2067">
        <v>125.99</v>
      </c>
      <c r="BK11" s="2068">
        <v>58</v>
      </c>
      <c r="BL11" s="2068">
        <v>61</v>
      </c>
      <c r="BM11" s="2068">
        <v>18</v>
      </c>
      <c r="BN11" s="2068">
        <v>25</v>
      </c>
      <c r="BO11" s="2068">
        <v>39</v>
      </c>
      <c r="BP11" s="2068"/>
      <c r="BQ11" s="2068"/>
      <c r="BR11" s="2068"/>
      <c r="BS11" s="2068"/>
      <c r="BT11" s="2068"/>
      <c r="BU11" s="2068">
        <v>24</v>
      </c>
      <c r="BV11" s="2068">
        <v>36</v>
      </c>
      <c r="BW11" s="2068">
        <v>21</v>
      </c>
      <c r="BX11" s="2068">
        <v>8</v>
      </c>
      <c r="BY11" s="2068">
        <v>48</v>
      </c>
      <c r="BZ11" s="2068">
        <v>12</v>
      </c>
      <c r="CA11" s="2068">
        <v>8</v>
      </c>
      <c r="CB11" s="2068">
        <v>8</v>
      </c>
      <c r="CC11" s="2068">
        <v>0</v>
      </c>
      <c r="CD11" s="2068">
        <v>30.47</v>
      </c>
      <c r="CE11" s="2069">
        <v>0</v>
      </c>
      <c r="CF11" s="2069">
        <v>0</v>
      </c>
      <c r="CG11" s="2069">
        <v>6.47</v>
      </c>
      <c r="CK11" s="2070" t="s">
        <v>3330</v>
      </c>
      <c r="CL11" s="2071" t="s">
        <v>3331</v>
      </c>
      <c r="CM11" s="2071" t="s">
        <v>3331</v>
      </c>
      <c r="CN11" s="2071" t="s">
        <v>3332</v>
      </c>
      <c r="CO11" s="2071" t="s">
        <v>3333</v>
      </c>
      <c r="CP11" s="2070" t="s">
        <v>3334</v>
      </c>
      <c r="CQ11" s="2071" t="s">
        <v>3332</v>
      </c>
      <c r="CR11" s="2071" t="s">
        <v>3335</v>
      </c>
      <c r="CS11" s="2071" t="s">
        <v>3332</v>
      </c>
      <c r="CT11" s="2071" t="s">
        <v>3336</v>
      </c>
      <c r="CY11" s="1907"/>
      <c r="CZ11" s="1907"/>
      <c r="DA11" s="1907"/>
      <c r="DB11" s="1906"/>
      <c r="DC11" s="1906"/>
      <c r="DD11" s="1906"/>
      <c r="DE11" s="1906"/>
      <c r="DF11" s="1907"/>
    </row>
    <row r="12" spans="1:110" s="1879" customFormat="1">
      <c r="A12" s="1879" t="s">
        <v>3337</v>
      </c>
      <c r="B12" s="1880">
        <f>AVERAGE(G12:W12)</f>
        <v>89.890588235294103</v>
      </c>
      <c r="C12" s="1899">
        <f>53.87+61.53</f>
        <v>115.4</v>
      </c>
      <c r="D12" s="1892">
        <f>53.87+61.53</f>
        <v>115.4</v>
      </c>
      <c r="E12" s="1892">
        <v>73.86</v>
      </c>
      <c r="F12" s="1892">
        <v>78.77</v>
      </c>
      <c r="G12" s="1892">
        <v>54.89</v>
      </c>
      <c r="H12" s="1922">
        <v>108.59</v>
      </c>
      <c r="I12" s="1923">
        <v>90.27</v>
      </c>
      <c r="J12" s="1923">
        <v>67.84</v>
      </c>
      <c r="K12" s="1923">
        <v>77.86</v>
      </c>
      <c r="L12" s="1923">
        <v>97.73</v>
      </c>
      <c r="M12" s="1923">
        <v>160.56</v>
      </c>
      <c r="N12" s="1923">
        <v>227.84</v>
      </c>
      <c r="O12" s="1923">
        <v>147.16999999999999</v>
      </c>
      <c r="P12" s="1923">
        <v>189</v>
      </c>
      <c r="Q12" s="1923">
        <v>43.77</v>
      </c>
      <c r="R12" s="1893">
        <v>43.77</v>
      </c>
      <c r="S12" s="1893">
        <v>43.77</v>
      </c>
      <c r="T12" s="1893">
        <v>43.77</v>
      </c>
      <c r="U12" s="1893">
        <v>43.77</v>
      </c>
      <c r="V12" s="1893">
        <v>43.77</v>
      </c>
      <c r="W12" s="1893">
        <v>43.77</v>
      </c>
      <c r="X12" s="1893">
        <v>43.77</v>
      </c>
      <c r="Y12" s="1893">
        <v>43.77</v>
      </c>
      <c r="Z12" s="1893">
        <v>43.77</v>
      </c>
      <c r="AA12" s="1893">
        <v>43.77</v>
      </c>
      <c r="AB12" s="1893">
        <v>43.77</v>
      </c>
      <c r="AC12" s="1893"/>
      <c r="AD12" s="1893"/>
      <c r="AE12" s="1893"/>
      <c r="AF12" s="1893"/>
      <c r="AG12" s="1893"/>
      <c r="AH12" s="1893"/>
      <c r="AI12" s="1893"/>
      <c r="AJ12" s="1893"/>
      <c r="AK12" s="1893"/>
      <c r="AL12" s="1893"/>
      <c r="AM12" s="1893"/>
      <c r="AN12" s="1893"/>
      <c r="AO12" s="1893"/>
      <c r="AP12" s="1893"/>
      <c r="AQ12" s="1893"/>
      <c r="AR12" s="1893"/>
      <c r="AS12" s="1893"/>
      <c r="AT12" s="1893"/>
      <c r="AU12" s="1893"/>
      <c r="AV12" s="1893"/>
      <c r="AW12" s="1893"/>
      <c r="AX12" s="1893"/>
      <c r="AY12" s="1893"/>
      <c r="AZ12" s="1893"/>
      <c r="BA12" s="1893"/>
      <c r="BB12" s="1893"/>
      <c r="BC12" s="1893"/>
      <c r="BD12" s="1893"/>
      <c r="BE12" s="1893"/>
      <c r="BF12" s="1893"/>
      <c r="BG12" s="1893"/>
      <c r="BH12" s="1893"/>
      <c r="BI12" s="1893"/>
      <c r="BJ12" s="1893"/>
      <c r="BK12" s="1893"/>
      <c r="BL12" s="1893"/>
      <c r="BM12" s="1893"/>
      <c r="BN12" s="1893"/>
      <c r="BO12" s="1893"/>
      <c r="BP12" s="1893"/>
      <c r="BQ12" s="1893"/>
      <c r="BR12" s="1893"/>
      <c r="BS12" s="1893"/>
      <c r="BT12" s="1893"/>
      <c r="BU12" s="1893"/>
      <c r="BV12" s="1893"/>
      <c r="BW12" s="1893"/>
      <c r="BX12" s="1893"/>
      <c r="BY12" s="1893"/>
      <c r="BZ12" s="1893"/>
      <c r="CA12" s="1893"/>
      <c r="CB12" s="1893"/>
      <c r="CC12" s="1893"/>
      <c r="CD12" s="1894"/>
      <c r="CE12" s="1894"/>
      <c r="CF12" s="1894"/>
      <c r="CG12" s="1894"/>
      <c r="CH12" s="1894"/>
      <c r="CI12" s="1894"/>
      <c r="CJ12" s="1894"/>
      <c r="CM12" s="1887"/>
      <c r="CN12" s="1887"/>
      <c r="CP12" s="1887"/>
      <c r="CQ12" s="1887"/>
      <c r="CR12" s="1887"/>
      <c r="CS12" s="1887"/>
      <c r="CV12" s="1887"/>
      <c r="CW12" s="1887"/>
      <c r="CX12" s="1887"/>
      <c r="CY12" s="1895"/>
      <c r="CZ12" s="1896"/>
      <c r="DA12" s="1896"/>
      <c r="DB12" s="1891"/>
      <c r="DC12" s="1891"/>
      <c r="DD12" s="1891"/>
      <c r="DE12" s="1891"/>
      <c r="DF12" s="1890"/>
    </row>
    <row r="13" spans="1:110" s="1897" customFormat="1">
      <c r="B13" s="1880"/>
      <c r="C13" s="1879"/>
      <c r="D13" s="1879"/>
      <c r="E13" s="1879"/>
      <c r="F13" s="1879"/>
      <c r="G13" s="1879"/>
      <c r="H13" s="1879"/>
      <c r="I13" s="1879"/>
      <c r="J13" s="1879"/>
      <c r="K13" s="1879"/>
      <c r="L13" s="1879"/>
      <c r="M13" s="1879"/>
      <c r="N13" s="1879"/>
      <c r="O13" s="1879"/>
      <c r="P13" s="1879"/>
      <c r="Q13" s="1879"/>
      <c r="R13" s="1901"/>
      <c r="S13" s="1901"/>
      <c r="T13" s="1901"/>
      <c r="U13" s="1901"/>
      <c r="V13" s="1901"/>
      <c r="W13" s="1901"/>
      <c r="X13" s="1901"/>
      <c r="Y13" s="1901"/>
      <c r="Z13" s="1901"/>
      <c r="AA13" s="1901"/>
      <c r="AB13" s="1901"/>
      <c r="AC13" s="1901"/>
      <c r="AD13" s="1901"/>
      <c r="AE13" s="1901"/>
      <c r="AF13" s="1901"/>
      <c r="AG13" s="1901"/>
      <c r="AH13" s="1901"/>
      <c r="AI13" s="1901"/>
      <c r="AJ13" s="1901"/>
      <c r="AK13" s="1901"/>
      <c r="AL13" s="1901"/>
      <c r="AM13" s="1901"/>
      <c r="AN13" s="1901"/>
      <c r="AO13" s="1901"/>
      <c r="AP13" s="1901"/>
      <c r="AQ13" s="1901"/>
      <c r="AR13" s="1901"/>
      <c r="AS13" s="1901"/>
      <c r="AT13" s="1901"/>
      <c r="AU13" s="1901"/>
      <c r="AV13" s="1901"/>
      <c r="AW13" s="1901"/>
      <c r="AX13" s="1901"/>
      <c r="AY13" s="1901"/>
      <c r="AZ13" s="1901"/>
      <c r="BA13" s="1901"/>
      <c r="BB13" s="1901"/>
      <c r="BC13" s="1901"/>
      <c r="BD13" s="1901"/>
      <c r="BE13" s="1901"/>
      <c r="BF13" s="1901"/>
      <c r="BG13" s="1901"/>
      <c r="BH13" s="1901"/>
      <c r="BI13" s="1901"/>
      <c r="BJ13" s="1901"/>
      <c r="BK13" s="1901"/>
      <c r="BL13" s="1901"/>
      <c r="BM13" s="1901"/>
      <c r="BN13" s="1901"/>
      <c r="BO13" s="1901"/>
      <c r="BP13" s="1901"/>
      <c r="BQ13" s="1901"/>
      <c r="BR13" s="1901"/>
      <c r="BS13" s="1901"/>
      <c r="BT13" s="1901"/>
      <c r="BU13" s="1901"/>
      <c r="BV13" s="1901"/>
      <c r="BW13" s="1901"/>
      <c r="BX13" s="1901"/>
      <c r="BY13" s="1901"/>
      <c r="BZ13" s="1901"/>
      <c r="CA13" s="1901"/>
      <c r="CB13" s="1901"/>
      <c r="CC13" s="1901"/>
      <c r="CD13" s="1902"/>
      <c r="CE13" s="1902"/>
      <c r="CF13" s="1902"/>
      <c r="CG13" s="1902"/>
      <c r="CH13" s="1902"/>
      <c r="CI13" s="1902"/>
      <c r="CJ13" s="1902"/>
      <c r="CM13" s="1903"/>
      <c r="CN13" s="1903"/>
      <c r="CP13" s="1903"/>
      <c r="CQ13" s="1903"/>
      <c r="CR13" s="1903"/>
      <c r="CS13" s="1903"/>
      <c r="CV13" s="1903"/>
      <c r="CW13" s="1903"/>
      <c r="CX13" s="1903"/>
      <c r="CY13" s="1904"/>
      <c r="CZ13" s="1905"/>
      <c r="DA13" s="1905"/>
      <c r="DB13" s="1906"/>
      <c r="DC13" s="1906"/>
      <c r="DD13" s="1906"/>
      <c r="DE13" s="1906"/>
      <c r="DF13" s="1907"/>
    </row>
    <row r="14" spans="1:110" s="1879" customFormat="1">
      <c r="A14" s="1908" t="s">
        <v>3338</v>
      </c>
      <c r="B14" s="1880">
        <f>AVERAGE(G14:W14)</f>
        <v>2218.0982352941173</v>
      </c>
      <c r="C14" s="1909">
        <f t="shared" ref="C14:D14" si="0">SUM(C2:C13)</f>
        <v>2374.11</v>
      </c>
      <c r="D14" s="1909">
        <f t="shared" si="0"/>
        <v>2374.11</v>
      </c>
      <c r="E14" s="1909">
        <f t="shared" ref="E14:F14" si="1">SUM(E2:E13)</f>
        <v>3151.0400000000004</v>
      </c>
      <c r="F14" s="1909">
        <f t="shared" si="1"/>
        <v>2353.7699999999995</v>
      </c>
      <c r="G14" s="1909">
        <f t="shared" ref="G14:AN14" si="2">SUM(G2:G13)</f>
        <v>1891.15</v>
      </c>
      <c r="H14" s="1909">
        <f t="shared" si="2"/>
        <v>1777.0399999999997</v>
      </c>
      <c r="I14" s="1909">
        <f t="shared" si="2"/>
        <v>1741.03</v>
      </c>
      <c r="J14" s="1909">
        <f t="shared" si="2"/>
        <v>1601.72</v>
      </c>
      <c r="K14" s="1909">
        <f t="shared" si="2"/>
        <v>1634.9199999999998</v>
      </c>
      <c r="L14" s="1909">
        <f t="shared" si="2"/>
        <v>2065.3199999999997</v>
      </c>
      <c r="M14" s="1909">
        <f t="shared" si="2"/>
        <v>1778.98</v>
      </c>
      <c r="N14" s="1909">
        <f t="shared" si="2"/>
        <v>2573.2399999999998</v>
      </c>
      <c r="O14" s="1909">
        <f t="shared" si="2"/>
        <v>2606.75</v>
      </c>
      <c r="P14" s="1909">
        <f t="shared" si="2"/>
        <v>2858.15</v>
      </c>
      <c r="Q14" s="1909">
        <f t="shared" si="2"/>
        <v>3683.5099999999998</v>
      </c>
      <c r="R14" s="1909">
        <f t="shared" si="2"/>
        <v>2687.47</v>
      </c>
      <c r="S14" s="1909">
        <f t="shared" si="2"/>
        <v>2049.3200000000002</v>
      </c>
      <c r="T14" s="1909">
        <f t="shared" si="2"/>
        <v>1950.13</v>
      </c>
      <c r="U14" s="1909">
        <f t="shared" si="2"/>
        <v>1875.3999999999999</v>
      </c>
      <c r="V14" s="1909">
        <f t="shared" si="2"/>
        <v>2180.39</v>
      </c>
      <c r="W14" s="1909">
        <f t="shared" si="2"/>
        <v>2753.15</v>
      </c>
      <c r="X14" s="1909">
        <f t="shared" si="2"/>
        <v>3818.1800000000007</v>
      </c>
      <c r="Y14" s="1909">
        <f t="shared" si="2"/>
        <v>2504.4300000000003</v>
      </c>
      <c r="Z14" s="1909">
        <f t="shared" si="2"/>
        <v>3525.2</v>
      </c>
      <c r="AA14" s="1909">
        <f t="shared" si="2"/>
        <v>4056.29</v>
      </c>
      <c r="AB14" s="1909">
        <f t="shared" si="2"/>
        <v>2708.08</v>
      </c>
      <c r="AC14" s="1909">
        <f t="shared" si="2"/>
        <v>4248.5599999999995</v>
      </c>
      <c r="AD14" s="1909">
        <f t="shared" si="2"/>
        <v>2875.9500000000003</v>
      </c>
      <c r="AE14" s="1909">
        <f t="shared" si="2"/>
        <v>1981.4799999999998</v>
      </c>
      <c r="AF14" s="1909">
        <f t="shared" si="2"/>
        <v>1737.26</v>
      </c>
      <c r="AG14" s="1909">
        <f t="shared" si="2"/>
        <v>1635.83</v>
      </c>
      <c r="AH14" s="1909">
        <f t="shared" si="2"/>
        <v>1390.6299999999999</v>
      </c>
      <c r="AI14" s="1909">
        <f t="shared" si="2"/>
        <v>1649.8400000000001</v>
      </c>
      <c r="AJ14" s="1909">
        <f t="shared" si="2"/>
        <v>1416.53</v>
      </c>
      <c r="AK14" s="1909">
        <f t="shared" si="2"/>
        <v>1709.3899999999999</v>
      </c>
      <c r="AL14" s="1909">
        <f t="shared" si="2"/>
        <v>1742.86</v>
      </c>
      <c r="AM14" s="1909">
        <f t="shared" si="2"/>
        <v>2010.03</v>
      </c>
      <c r="AN14" s="1909">
        <f t="shared" si="2"/>
        <v>2129.9299999999998</v>
      </c>
      <c r="AO14" s="1893"/>
      <c r="AP14" s="1893"/>
      <c r="AQ14" s="1893"/>
      <c r="AR14" s="1893"/>
      <c r="AS14" s="1893"/>
      <c r="AT14" s="1893"/>
      <c r="AU14" s="1893"/>
      <c r="AV14" s="1893"/>
      <c r="AW14" s="1893"/>
      <c r="AX14" s="1893"/>
      <c r="AY14" s="1893"/>
      <c r="AZ14" s="1893"/>
      <c r="BA14" s="1893"/>
      <c r="BB14" s="1893"/>
      <c r="BC14" s="1893"/>
      <c r="BD14" s="1893"/>
      <c r="BE14" s="1893"/>
      <c r="BF14" s="1893"/>
      <c r="BG14" s="1893"/>
      <c r="BH14" s="1893"/>
      <c r="BI14" s="1893"/>
      <c r="BJ14" s="1893"/>
      <c r="BK14" s="1893"/>
      <c r="BL14" s="1893"/>
      <c r="BM14" s="1893"/>
      <c r="BN14" s="1893"/>
      <c r="BO14" s="1893"/>
      <c r="BP14" s="1893"/>
      <c r="BQ14" s="1893"/>
      <c r="BR14" s="1893"/>
      <c r="BS14" s="1893"/>
      <c r="BT14" s="1893"/>
      <c r="BU14" s="1893"/>
      <c r="BV14" s="1893"/>
      <c r="BW14" s="1893"/>
      <c r="BX14" s="1893"/>
      <c r="BY14" s="1893"/>
      <c r="BZ14" s="1893"/>
      <c r="CA14" s="1893"/>
      <c r="CB14" s="1893"/>
      <c r="CC14" s="1893"/>
      <c r="CD14" s="1894"/>
      <c r="CE14" s="1894"/>
      <c r="CF14" s="1894"/>
      <c r="CG14" s="1894"/>
      <c r="CH14" s="1894"/>
      <c r="CI14" s="1894"/>
      <c r="CJ14" s="1894"/>
      <c r="CM14" s="1887"/>
      <c r="CN14" s="1887"/>
      <c r="CP14" s="1887"/>
      <c r="CQ14" s="1887"/>
      <c r="CR14" s="1887"/>
      <c r="CS14" s="1887"/>
      <c r="CV14" s="1887"/>
      <c r="CW14" s="1887"/>
      <c r="CX14" s="1887"/>
      <c r="CY14" s="1895"/>
      <c r="CZ14" s="1896"/>
      <c r="DA14" s="1896"/>
      <c r="DB14" s="1891"/>
      <c r="DC14" s="1891"/>
      <c r="DD14" s="1891"/>
      <c r="DE14" s="1891"/>
      <c r="DF14" s="1890"/>
    </row>
    <row r="15" spans="1:110" s="1879" customFormat="1">
      <c r="A15" s="1879" t="s">
        <v>44</v>
      </c>
      <c r="B15" s="1879">
        <f>B14*12</f>
        <v>26617.178823529408</v>
      </c>
      <c r="Z15" s="1893"/>
      <c r="AA15" s="1893"/>
      <c r="AB15" s="1893"/>
      <c r="AC15" s="1893"/>
      <c r="AD15" s="1893"/>
      <c r="AE15" s="1893"/>
      <c r="AF15" s="1893"/>
      <c r="AG15" s="1893"/>
      <c r="AH15" s="1893"/>
      <c r="AI15" s="1893"/>
      <c r="AJ15" s="1893"/>
      <c r="AK15" s="1893"/>
      <c r="AL15" s="1893"/>
      <c r="AM15" s="1893"/>
      <c r="AN15" s="1893"/>
      <c r="AO15" s="1893"/>
      <c r="AP15" s="1893"/>
      <c r="AQ15" s="1893"/>
      <c r="AR15" s="1893"/>
      <c r="AS15" s="1893"/>
      <c r="AT15" s="1893"/>
      <c r="AU15" s="1893"/>
      <c r="AV15" s="1893"/>
      <c r="AW15" s="1893"/>
      <c r="AX15" s="1893"/>
      <c r="AY15" s="1893"/>
      <c r="AZ15" s="1893"/>
      <c r="BA15" s="1893"/>
      <c r="BB15" s="1893"/>
      <c r="BC15" s="1893"/>
      <c r="BD15" s="1893"/>
      <c r="BE15" s="1893"/>
      <c r="BF15" s="1893"/>
      <c r="BG15" s="1893"/>
      <c r="BH15" s="1893"/>
      <c r="BI15" s="1893"/>
      <c r="BJ15" s="1893"/>
      <c r="BK15" s="1893"/>
      <c r="BL15" s="1893"/>
      <c r="BM15" s="1893"/>
      <c r="BN15" s="1893"/>
      <c r="BO15" s="1893"/>
      <c r="BP15" s="1893"/>
      <c r="BQ15" s="1893"/>
      <c r="BR15" s="1893"/>
      <c r="BS15" s="1893"/>
      <c r="BT15" s="1893"/>
      <c r="BU15" s="1893"/>
      <c r="BV15" s="1893"/>
      <c r="BW15" s="1893"/>
      <c r="BX15" s="1893"/>
      <c r="BY15" s="1893"/>
      <c r="BZ15" s="1893"/>
      <c r="CA15" s="1893"/>
      <c r="CB15" s="1893"/>
      <c r="CC15" s="1893"/>
      <c r="CD15" s="1894"/>
      <c r="CE15" s="1894"/>
      <c r="CF15" s="1894"/>
      <c r="CG15" s="1894"/>
      <c r="CH15" s="1894"/>
      <c r="CI15" s="1894"/>
      <c r="CJ15" s="1894"/>
      <c r="CM15" s="1887"/>
      <c r="CN15" s="1887"/>
      <c r="CP15" s="1887"/>
      <c r="CQ15" s="1887"/>
      <c r="CR15" s="1887"/>
      <c r="CS15" s="1887"/>
      <c r="CV15" s="1887"/>
      <c r="CW15" s="1887"/>
      <c r="CX15" s="1887"/>
      <c r="CY15" s="1895"/>
      <c r="CZ15" s="1896"/>
      <c r="DA15" s="1896"/>
      <c r="DB15" s="1891"/>
      <c r="DC15" s="1891"/>
      <c r="DD15" s="1891"/>
      <c r="DE15" s="1891"/>
      <c r="DF15" s="1890"/>
    </row>
    <row r="16" spans="1:110" s="1879" customFormat="1">
      <c r="E16" s="2041">
        <f>SUM(E14:P14)</f>
        <v>26033.11</v>
      </c>
      <c r="U16" s="1910" t="s">
        <v>8798</v>
      </c>
      <c r="V16" s="1879">
        <f>SUM(Q10:AB10)</f>
        <v>4124.3</v>
      </c>
      <c r="Z16" s="1893"/>
      <c r="AA16" s="1893"/>
      <c r="AB16" s="1893"/>
      <c r="AC16" s="1893"/>
      <c r="AD16" s="1893"/>
      <c r="AE16" s="1893"/>
      <c r="AF16" s="1893"/>
      <c r="AG16" s="1893"/>
      <c r="AH16" s="1893"/>
      <c r="AI16" s="1893"/>
      <c r="AJ16" s="1893"/>
      <c r="AK16" s="1893"/>
      <c r="AL16" s="1893"/>
      <c r="AM16" s="1893"/>
      <c r="AN16" s="1893"/>
      <c r="AO16" s="1893"/>
      <c r="AP16" s="1893"/>
      <c r="AQ16" s="1893"/>
      <c r="AR16" s="1893"/>
      <c r="AS16" s="1893"/>
      <c r="AT16" s="1893"/>
      <c r="AU16" s="1893"/>
      <c r="AV16" s="1893"/>
      <c r="AW16" s="1893"/>
      <c r="AX16" s="1893"/>
      <c r="AY16" s="1893"/>
      <c r="AZ16" s="1893"/>
      <c r="BA16" s="1893"/>
      <c r="BB16" s="1893"/>
      <c r="BC16" s="1893"/>
      <c r="BD16" s="1893"/>
      <c r="BE16" s="1893"/>
      <c r="BF16" s="1893"/>
      <c r="BG16" s="1893"/>
      <c r="BH16" s="1893"/>
      <c r="BI16" s="1893"/>
      <c r="BJ16" s="1893"/>
      <c r="BK16" s="1893"/>
      <c r="BL16" s="1893"/>
      <c r="BM16" s="1893"/>
      <c r="BN16" s="1893"/>
      <c r="BO16" s="1893"/>
      <c r="BP16" s="1893"/>
      <c r="BQ16" s="1893"/>
      <c r="BR16" s="1893"/>
      <c r="BS16" s="1893"/>
      <c r="BT16" s="1893"/>
      <c r="BU16" s="1893"/>
      <c r="BV16" s="1893"/>
      <c r="BW16" s="1893"/>
      <c r="BX16" s="1893"/>
      <c r="BY16" s="1893"/>
      <c r="BZ16" s="1893"/>
      <c r="CA16" s="1893"/>
      <c r="CB16" s="1893"/>
      <c r="CC16" s="1893"/>
      <c r="CD16" s="1894"/>
      <c r="CE16" s="1894"/>
      <c r="CF16" s="1894"/>
      <c r="CG16" s="1894"/>
      <c r="CH16" s="1894"/>
      <c r="CI16" s="1894"/>
      <c r="CJ16" s="1894"/>
      <c r="CM16" s="1887"/>
      <c r="CN16" s="1887"/>
      <c r="CP16" s="1887"/>
      <c r="CQ16" s="1887"/>
      <c r="CR16" s="1887"/>
      <c r="CS16" s="1887"/>
      <c r="CV16" s="1887"/>
      <c r="CW16" s="1887"/>
      <c r="CX16" s="1887"/>
      <c r="CY16" s="1895"/>
      <c r="CZ16" s="1896"/>
      <c r="DA16" s="1896"/>
      <c r="DB16" s="1891"/>
      <c r="DC16" s="1891"/>
      <c r="DD16" s="1891"/>
      <c r="DE16" s="1891"/>
      <c r="DF16" s="1890"/>
    </row>
    <row r="17" spans="1:110" s="1879" customFormat="1">
      <c r="A17" s="1879" t="s">
        <v>3339</v>
      </c>
      <c r="B17" s="1879">
        <f>AVERAGE(G14:W14)</f>
        <v>2218.0982352941173</v>
      </c>
      <c r="U17" s="1879" t="s">
        <v>574</v>
      </c>
      <c r="V17" s="1879">
        <f>V16/20</f>
        <v>206.215</v>
      </c>
      <c r="Z17" s="1893"/>
      <c r="AA17" s="1893"/>
      <c r="AB17" s="1893"/>
      <c r="AC17" s="1893"/>
      <c r="AD17" s="1893"/>
      <c r="AE17" s="1893"/>
      <c r="AF17" s="1893"/>
      <c r="AG17" s="1893"/>
      <c r="AH17" s="1893"/>
      <c r="AI17" s="1893"/>
      <c r="AJ17" s="1893"/>
      <c r="AK17" s="1893"/>
      <c r="AL17" s="1893"/>
      <c r="AM17" s="1893"/>
      <c r="AN17" s="1893"/>
      <c r="AO17" s="1893"/>
      <c r="AP17" s="1893"/>
      <c r="AQ17" s="1893"/>
      <c r="AR17" s="1893"/>
      <c r="AS17" s="1893"/>
      <c r="AT17" s="1893"/>
      <c r="AU17" s="1893"/>
      <c r="AV17" s="1893"/>
      <c r="AW17" s="1893"/>
      <c r="AX17" s="1893"/>
      <c r="AY17" s="1893"/>
      <c r="AZ17" s="1893"/>
      <c r="BA17" s="1893"/>
      <c r="BB17" s="1893"/>
      <c r="BC17" s="1893"/>
      <c r="BD17" s="1893"/>
      <c r="BE17" s="1893"/>
      <c r="BF17" s="1893"/>
      <c r="BG17" s="1893"/>
      <c r="BH17" s="1893"/>
      <c r="BI17" s="1893"/>
      <c r="BJ17" s="1893"/>
      <c r="BK17" s="1893"/>
      <c r="BL17" s="1893"/>
      <c r="BM17" s="1893"/>
      <c r="BN17" s="1893"/>
      <c r="BO17" s="1893"/>
      <c r="BP17" s="1893"/>
      <c r="BQ17" s="1893"/>
      <c r="BR17" s="1893"/>
      <c r="BS17" s="1893"/>
      <c r="BT17" s="1893"/>
      <c r="BU17" s="1893"/>
      <c r="BV17" s="1893"/>
      <c r="BW17" s="1893"/>
      <c r="BX17" s="1893"/>
      <c r="BY17" s="1893"/>
      <c r="BZ17" s="1893"/>
      <c r="CA17" s="1893"/>
      <c r="CB17" s="1893"/>
      <c r="CC17" s="1893"/>
      <c r="CD17" s="1894"/>
      <c r="CE17" s="1894"/>
      <c r="CF17" s="1894"/>
      <c r="CG17" s="1894"/>
      <c r="CH17" s="1894"/>
      <c r="CI17" s="1894"/>
      <c r="CJ17" s="1894"/>
      <c r="CM17" s="1887"/>
      <c r="CN17" s="1887"/>
      <c r="CP17" s="1887"/>
      <c r="CQ17" s="1887"/>
      <c r="CR17" s="1887"/>
      <c r="CS17" s="1887"/>
      <c r="CV17" s="1887"/>
      <c r="CW17" s="1887"/>
      <c r="CX17" s="1887"/>
      <c r="CY17" s="1895"/>
      <c r="CZ17" s="1896"/>
      <c r="DA17" s="1896"/>
      <c r="DB17" s="1891"/>
      <c r="DC17" s="1891"/>
      <c r="DD17" s="1891"/>
      <c r="DE17" s="1891"/>
      <c r="DF17" s="1890"/>
    </row>
    <row r="18" spans="1:110" s="1879" customFormat="1">
      <c r="R18" s="1879">
        <f>2500*12</f>
        <v>30000</v>
      </c>
      <c r="Z18" s="1893"/>
      <c r="AA18" s="1893"/>
      <c r="AB18" s="1893"/>
      <c r="AC18" s="1893"/>
      <c r="AD18" s="1893"/>
      <c r="AE18" s="1893"/>
      <c r="AF18" s="1893"/>
      <c r="AG18" s="1893"/>
      <c r="AH18" s="1893"/>
      <c r="AI18" s="1893"/>
      <c r="AJ18" s="1893"/>
      <c r="AK18" s="1893"/>
      <c r="AL18" s="1893"/>
      <c r="AM18" s="1893"/>
      <c r="AN18" s="1893"/>
      <c r="AO18" s="1893"/>
      <c r="AP18" s="1893"/>
      <c r="AQ18" s="1893"/>
      <c r="AR18" s="1893"/>
      <c r="AS18" s="1893"/>
      <c r="AT18" s="1893"/>
      <c r="AU18" s="1893"/>
      <c r="AV18" s="1893"/>
      <c r="AW18" s="1893"/>
      <c r="AX18" s="1893"/>
      <c r="AY18" s="1893"/>
      <c r="AZ18" s="1893"/>
      <c r="BA18" s="1893"/>
      <c r="BB18" s="1893"/>
      <c r="BC18" s="1893"/>
      <c r="BD18" s="1893"/>
      <c r="BE18" s="1893"/>
      <c r="BF18" s="1893"/>
      <c r="BG18" s="1893"/>
      <c r="BH18" s="1893"/>
      <c r="BI18" s="1893"/>
      <c r="BJ18" s="1893"/>
      <c r="BK18" s="1893"/>
      <c r="BL18" s="1893"/>
      <c r="BM18" s="1893"/>
      <c r="BN18" s="1893"/>
      <c r="BO18" s="1893"/>
      <c r="BP18" s="1893"/>
      <c r="BQ18" s="1893"/>
      <c r="BR18" s="1893"/>
      <c r="BS18" s="1893"/>
      <c r="BT18" s="1893"/>
      <c r="BU18" s="1893"/>
      <c r="BV18" s="1893"/>
      <c r="BW18" s="1893"/>
      <c r="BX18" s="1893"/>
      <c r="BY18" s="1893"/>
      <c r="BZ18" s="1893"/>
      <c r="CA18" s="1893"/>
      <c r="CB18" s="1893"/>
      <c r="CC18" s="1893"/>
      <c r="CD18" s="1894"/>
      <c r="CE18" s="1894"/>
      <c r="CF18" s="1894"/>
      <c r="CG18" s="1894"/>
      <c r="CH18" s="1894"/>
      <c r="CI18" s="1894"/>
      <c r="CJ18" s="1894"/>
      <c r="CM18" s="1887"/>
      <c r="CN18" s="1887"/>
      <c r="CP18" s="1887"/>
      <c r="CQ18" s="1887"/>
      <c r="CR18" s="1887"/>
      <c r="CS18" s="1887"/>
      <c r="CV18" s="1887"/>
      <c r="CW18" s="1887"/>
      <c r="CX18" s="1887"/>
      <c r="CY18" s="1895"/>
      <c r="CZ18" s="1896"/>
      <c r="DA18" s="1896"/>
      <c r="DB18" s="1891"/>
      <c r="DC18" s="1891"/>
      <c r="DD18" s="1891"/>
      <c r="DE18" s="1891"/>
      <c r="DF18" s="1890"/>
    </row>
    <row r="19" spans="1:110" s="1897" customFormat="1">
      <c r="Z19" s="1901"/>
      <c r="AA19" s="1901"/>
      <c r="AB19" s="1901"/>
      <c r="AC19" s="1901"/>
      <c r="AD19" s="1901"/>
      <c r="AE19" s="1901"/>
      <c r="AF19" s="1901"/>
      <c r="AG19" s="1901"/>
      <c r="AH19" s="1901"/>
      <c r="AI19" s="1901"/>
      <c r="AJ19" s="1901"/>
      <c r="AK19" s="1901"/>
      <c r="AL19" s="1901"/>
      <c r="AM19" s="1901"/>
      <c r="AN19" s="1901"/>
      <c r="AO19" s="1901"/>
      <c r="AP19" s="1901"/>
      <c r="AQ19" s="1901"/>
      <c r="AR19" s="1901"/>
      <c r="AS19" s="1901"/>
      <c r="AT19" s="1901"/>
      <c r="AU19" s="1901"/>
      <c r="AV19" s="1901"/>
      <c r="AW19" s="1901"/>
      <c r="AX19" s="1901"/>
      <c r="AY19" s="1901"/>
      <c r="AZ19" s="1901"/>
      <c r="BA19" s="1901"/>
      <c r="BB19" s="1901"/>
      <c r="BC19" s="1901"/>
      <c r="BD19" s="1901"/>
      <c r="BE19" s="1901"/>
      <c r="BF19" s="1901"/>
      <c r="BG19" s="1901"/>
      <c r="BH19" s="1901"/>
      <c r="BI19" s="1901"/>
      <c r="BJ19" s="1901"/>
      <c r="BK19" s="1901"/>
      <c r="BL19" s="1901"/>
      <c r="BM19" s="1901"/>
      <c r="BN19" s="1901"/>
      <c r="BO19" s="1901"/>
      <c r="BP19" s="1901"/>
      <c r="BQ19" s="1901"/>
      <c r="BR19" s="1901"/>
      <c r="BS19" s="1901"/>
      <c r="BT19" s="1901"/>
      <c r="BU19" s="1901"/>
      <c r="BV19" s="1901"/>
      <c r="BW19" s="1901"/>
      <c r="BX19" s="1901"/>
      <c r="BY19" s="1901"/>
      <c r="BZ19" s="1901"/>
      <c r="CA19" s="1901"/>
      <c r="CB19" s="1901"/>
      <c r="CC19" s="1901"/>
      <c r="CD19" s="1902">
        <v>213.06</v>
      </c>
      <c r="CE19" s="1902">
        <v>136</v>
      </c>
      <c r="CF19" s="1902">
        <v>114</v>
      </c>
      <c r="CG19" s="1902">
        <v>217</v>
      </c>
      <c r="CH19" s="1902">
        <v>268</v>
      </c>
      <c r="CI19" s="1902">
        <v>202</v>
      </c>
      <c r="CJ19" s="1902">
        <v>300</v>
      </c>
      <c r="CM19" s="2112" t="s">
        <v>3340</v>
      </c>
      <c r="CN19" s="2113"/>
      <c r="CP19" s="1903" t="s">
        <v>3341</v>
      </c>
      <c r="CQ19" s="1903">
        <v>1</v>
      </c>
      <c r="CR19" s="1903">
        <v>1</v>
      </c>
      <c r="CS19" s="1903">
        <v>4</v>
      </c>
      <c r="CV19" s="1903" t="s">
        <v>3342</v>
      </c>
      <c r="CW19" s="1903">
        <v>12.16</v>
      </c>
      <c r="CX19" s="1903">
        <v>1</v>
      </c>
      <c r="CY19" s="1904" t="s">
        <v>3343</v>
      </c>
      <c r="CZ19" s="1905"/>
      <c r="DA19" s="1905">
        <v>2020</v>
      </c>
      <c r="DB19" s="1906">
        <v>7</v>
      </c>
      <c r="DC19" s="1906">
        <v>8</v>
      </c>
      <c r="DD19" s="1906">
        <v>8</v>
      </c>
      <c r="DE19" s="1906">
        <v>8</v>
      </c>
      <c r="DF19" s="1907" t="s">
        <v>3344</v>
      </c>
    </row>
    <row r="20" spans="1:110" s="1911" customFormat="1" ht="14.25">
      <c r="A20" s="1911">
        <f>SUM(Q2:AB2)</f>
        <v>24522.960000000003</v>
      </c>
      <c r="Q20" s="1911" t="s">
        <v>3345</v>
      </c>
      <c r="R20" s="1911">
        <v>525.29</v>
      </c>
      <c r="Z20" s="1912"/>
      <c r="AA20" s="1912"/>
      <c r="AB20" s="1912"/>
      <c r="AC20" s="1912"/>
      <c r="AD20" s="1912"/>
      <c r="AE20" s="1912"/>
      <c r="AF20" s="1912"/>
      <c r="AG20" s="1912"/>
      <c r="AH20" s="1912"/>
      <c r="AI20" s="1912"/>
      <c r="AJ20" s="1912"/>
      <c r="AK20" s="1912"/>
      <c r="AL20" s="1912"/>
      <c r="AM20" s="1912"/>
      <c r="AN20" s="1912"/>
      <c r="AO20" s="1912"/>
      <c r="AP20" s="1912"/>
      <c r="AQ20" s="1912"/>
      <c r="AR20" s="1912"/>
      <c r="AS20" s="1912"/>
      <c r="AT20" s="1912"/>
      <c r="AU20" s="1912"/>
      <c r="AV20" s="1912"/>
      <c r="AW20" s="1912"/>
      <c r="AX20" s="1912"/>
      <c r="AY20" s="1912"/>
      <c r="AZ20" s="1913"/>
      <c r="BA20" s="1913"/>
      <c r="BB20" s="1913"/>
      <c r="BC20" s="1913"/>
      <c r="BD20" s="1913"/>
      <c r="BE20" s="1913"/>
      <c r="BF20" s="1913"/>
      <c r="BG20" s="1913"/>
      <c r="BH20" s="1913"/>
      <c r="BI20" s="1913"/>
      <c r="BJ20" s="1913"/>
      <c r="BK20" s="1913"/>
      <c r="BL20" s="1913"/>
      <c r="BM20" s="1913"/>
      <c r="BN20" s="1913"/>
      <c r="BO20" s="1913"/>
      <c r="BP20" s="1913"/>
      <c r="BQ20" s="1913"/>
      <c r="BR20" s="1913"/>
      <c r="BS20" s="1913"/>
      <c r="BT20" s="1913"/>
      <c r="BU20" s="1913"/>
      <c r="BV20" s="1913"/>
      <c r="BW20" s="1913"/>
      <c r="BX20" s="1913">
        <f t="shared" ref="BX20:CD20" si="3">SUM(BX21:BX29)</f>
        <v>0</v>
      </c>
      <c r="BY20" s="1913">
        <f t="shared" si="3"/>
        <v>0</v>
      </c>
      <c r="BZ20" s="1913">
        <f t="shared" si="3"/>
        <v>0</v>
      </c>
      <c r="CA20" s="1913">
        <f t="shared" si="3"/>
        <v>0</v>
      </c>
      <c r="CB20" s="1913">
        <f t="shared" si="3"/>
        <v>0</v>
      </c>
      <c r="CC20" s="1913">
        <f t="shared" si="3"/>
        <v>36</v>
      </c>
      <c r="CD20" s="1913">
        <f t="shared" si="3"/>
        <v>51</v>
      </c>
      <c r="CE20" s="1913">
        <f t="shared" ref="CE20:CJ20" si="4">SUM(CE21:CE28)</f>
        <v>54</v>
      </c>
      <c r="CF20" s="1913">
        <f t="shared" si="4"/>
        <v>47</v>
      </c>
      <c r="CG20" s="1913">
        <f t="shared" si="4"/>
        <v>81</v>
      </c>
      <c r="CH20" s="1913">
        <f t="shared" si="4"/>
        <v>93</v>
      </c>
      <c r="CI20" s="1913">
        <f t="shared" si="4"/>
        <v>75</v>
      </c>
      <c r="CJ20" s="1913">
        <f t="shared" si="4"/>
        <v>106</v>
      </c>
      <c r="CK20" s="1914"/>
      <c r="CL20" s="1915" t="s">
        <v>284</v>
      </c>
      <c r="CM20" s="2114" t="s">
        <v>3346</v>
      </c>
      <c r="CN20" s="2115"/>
      <c r="CO20" s="1914"/>
      <c r="CP20" s="1914" t="s">
        <v>3347</v>
      </c>
      <c r="CQ20" s="1914">
        <v>1</v>
      </c>
      <c r="CR20" s="1914">
        <v>1</v>
      </c>
      <c r="CS20" s="1914">
        <v>4</v>
      </c>
      <c r="CT20" s="1914"/>
      <c r="CU20" s="1914"/>
      <c r="CV20" s="1914" t="s">
        <v>3348</v>
      </c>
      <c r="CW20" s="1914">
        <v>5.12</v>
      </c>
      <c r="CX20" s="1914"/>
      <c r="CY20" s="1916" t="s">
        <v>3349</v>
      </c>
      <c r="CZ20" s="1917"/>
      <c r="DA20" s="1917">
        <v>2020</v>
      </c>
      <c r="DB20" s="1918">
        <v>9</v>
      </c>
      <c r="DC20" s="1918">
        <v>8</v>
      </c>
      <c r="DD20" s="1918" t="s">
        <v>3350</v>
      </c>
      <c r="DE20" s="1918">
        <v>8</v>
      </c>
      <c r="DF20" s="1919"/>
    </row>
    <row r="21" spans="1:110" ht="14.25">
      <c r="U21">
        <v>9.99</v>
      </c>
      <c r="Z21" s="452"/>
      <c r="AA21" s="452"/>
      <c r="AB21" s="452"/>
      <c r="AC21" s="452"/>
      <c r="AD21" s="452"/>
      <c r="AE21" s="452"/>
      <c r="AF21" s="452"/>
      <c r="AG21" s="452"/>
      <c r="AH21" s="452"/>
      <c r="AI21" s="452"/>
      <c r="AJ21" s="452"/>
      <c r="AK21" s="452"/>
      <c r="AL21" s="452"/>
      <c r="AM21" s="452"/>
      <c r="AN21" s="452"/>
      <c r="AO21" s="452"/>
      <c r="AP21" s="452"/>
      <c r="AQ21" s="452"/>
      <c r="AR21" s="452"/>
      <c r="AS21" s="452"/>
      <c r="AT21" s="452"/>
      <c r="AU21" s="452"/>
      <c r="AV21" s="452"/>
      <c r="AW21" s="452"/>
      <c r="AX21" s="452"/>
      <c r="AY21" s="452"/>
      <c r="AZ21" s="82"/>
      <c r="BA21" s="82"/>
      <c r="BB21" s="82"/>
      <c r="BC21" s="82"/>
      <c r="BD21" s="82"/>
      <c r="BE21" s="82"/>
      <c r="BF21" s="82"/>
      <c r="BG21" s="82"/>
      <c r="BH21" s="82"/>
      <c r="BI21" s="82"/>
      <c r="BJ21" s="82"/>
      <c r="BK21" s="82"/>
      <c r="BL21" s="82"/>
      <c r="BM21" s="82">
        <f>106+6+5</f>
        <v>117</v>
      </c>
      <c r="BN21" s="82"/>
      <c r="BO21" s="82"/>
      <c r="BP21" s="82"/>
      <c r="BQ21" s="82"/>
      <c r="BR21" s="82"/>
      <c r="BS21" s="82"/>
      <c r="BT21" s="82"/>
      <c r="BU21" s="82"/>
      <c r="BV21" s="82"/>
      <c r="BW21" s="82"/>
      <c r="BX21" s="82"/>
      <c r="BY21" s="82"/>
      <c r="BZ21" s="82"/>
      <c r="CA21" s="82"/>
      <c r="CB21" s="82"/>
      <c r="CC21" s="82">
        <v>8</v>
      </c>
      <c r="CD21" s="82">
        <v>9</v>
      </c>
      <c r="CE21" s="82">
        <v>5</v>
      </c>
      <c r="CF21" s="82">
        <v>4</v>
      </c>
      <c r="CG21" s="82">
        <v>5</v>
      </c>
      <c r="CH21" s="9">
        <v>6</v>
      </c>
      <c r="CI21" s="9">
        <v>7</v>
      </c>
      <c r="CJ21" s="9">
        <v>12</v>
      </c>
      <c r="CK21" s="9">
        <f>7.7/2</f>
        <v>3.85</v>
      </c>
      <c r="CM21" s="2116" t="s">
        <v>3351</v>
      </c>
      <c r="CN21" s="2117"/>
      <c r="CP21" s="9" t="s">
        <v>3352</v>
      </c>
      <c r="CQ21" s="9">
        <v>1</v>
      </c>
      <c r="CR21" s="9">
        <v>2</v>
      </c>
      <c r="CS21" s="9">
        <v>2</v>
      </c>
      <c r="CV21" s="9" t="s">
        <v>3353</v>
      </c>
      <c r="CW21" s="9">
        <v>10.27</v>
      </c>
      <c r="CY21" s="361"/>
      <c r="CZ21" s="361"/>
      <c r="DA21" s="361"/>
      <c r="DB21" s="448"/>
      <c r="DC21" s="448"/>
      <c r="DD21" s="448"/>
      <c r="DE21" s="448"/>
      <c r="DF21" s="361"/>
    </row>
    <row r="22" spans="1:110" ht="14.25">
      <c r="U22">
        <v>40</v>
      </c>
      <c r="Z22" s="452"/>
      <c r="AA22" s="452"/>
      <c r="AB22" s="452"/>
      <c r="AC22" s="452"/>
      <c r="AD22" s="452"/>
      <c r="AE22" s="452"/>
      <c r="AF22" s="452"/>
      <c r="AG22" s="452"/>
      <c r="AH22" s="452"/>
      <c r="AI22" s="452"/>
      <c r="AJ22" s="452"/>
      <c r="AK22" s="452"/>
      <c r="AL22" s="452"/>
      <c r="AM22" s="452"/>
      <c r="AN22" s="452"/>
      <c r="AO22" s="452"/>
      <c r="AP22" s="452"/>
      <c r="AQ22" s="452"/>
      <c r="AR22" s="452"/>
      <c r="AS22" s="452"/>
      <c r="AT22" s="452"/>
      <c r="AU22" s="452"/>
      <c r="AV22" s="452"/>
      <c r="AW22" s="452"/>
      <c r="AX22" s="452"/>
      <c r="AY22" s="452"/>
      <c r="AZ22" s="82"/>
      <c r="BA22" s="82"/>
      <c r="BB22" s="82"/>
      <c r="BC22" s="82"/>
      <c r="BD22" s="82"/>
      <c r="BE22" s="82"/>
      <c r="BF22" s="82"/>
      <c r="BG22" s="82"/>
      <c r="BH22" s="82"/>
      <c r="BI22" s="82"/>
      <c r="BJ22" s="82"/>
      <c r="BK22" s="82"/>
      <c r="BL22" s="82"/>
      <c r="BM22" s="82">
        <f>33+15</f>
        <v>48</v>
      </c>
      <c r="BN22" s="82"/>
      <c r="BO22" s="82"/>
      <c r="BP22" s="82"/>
      <c r="BQ22" s="82"/>
      <c r="BR22" s="82"/>
      <c r="BS22" s="82"/>
      <c r="BT22" s="82"/>
      <c r="BU22" s="82"/>
      <c r="BV22" s="82"/>
      <c r="BW22" s="82"/>
      <c r="BX22" s="82"/>
      <c r="BY22" s="82"/>
      <c r="BZ22" s="82"/>
      <c r="CA22" s="82"/>
      <c r="CB22" s="82"/>
      <c r="CC22" s="82">
        <v>1</v>
      </c>
      <c r="CD22" s="82">
        <v>1</v>
      </c>
      <c r="CE22" s="43"/>
      <c r="CF22" s="43"/>
      <c r="CG22" s="43"/>
      <c r="CK22" s="11">
        <v>4.5</v>
      </c>
      <c r="CP22" s="9" t="s">
        <v>3354</v>
      </c>
      <c r="CQ22" s="9">
        <v>1</v>
      </c>
      <c r="CR22" s="9">
        <v>2</v>
      </c>
      <c r="CS22" s="9">
        <v>2</v>
      </c>
      <c r="CV22" s="9" t="s">
        <v>3355</v>
      </c>
      <c r="CW22" s="9">
        <v>4.28</v>
      </c>
      <c r="CX22" s="9">
        <v>2</v>
      </c>
      <c r="CY22" s="93" t="s">
        <v>3356</v>
      </c>
      <c r="CZ22" s="455">
        <v>1511898763</v>
      </c>
      <c r="DA22" s="413">
        <v>2020</v>
      </c>
      <c r="DB22" s="448"/>
      <c r="DC22" s="448"/>
      <c r="DD22" s="448"/>
      <c r="DE22" s="448"/>
      <c r="DF22" s="361"/>
    </row>
    <row r="23" spans="1:110" ht="14.25">
      <c r="B23" s="1596"/>
      <c r="C23" s="1596"/>
      <c r="D23" s="1596"/>
      <c r="E23" s="1596"/>
      <c r="F23" s="1596"/>
      <c r="G23" s="1596"/>
      <c r="H23" s="1596"/>
      <c r="I23" s="1596"/>
      <c r="J23" s="1596"/>
      <c r="K23" t="s">
        <v>3357</v>
      </c>
      <c r="M23" t="s">
        <v>3358</v>
      </c>
      <c r="O23" t="s">
        <v>3357</v>
      </c>
      <c r="Q23" t="s">
        <v>3358</v>
      </c>
      <c r="S23" t="s">
        <v>3357</v>
      </c>
      <c r="U23" t="s">
        <v>3358</v>
      </c>
      <c r="Z23" s="452"/>
      <c r="AA23" s="452"/>
      <c r="AB23" s="452"/>
      <c r="AC23" s="452"/>
      <c r="AD23" s="452"/>
      <c r="AE23" s="452"/>
      <c r="AF23" s="452"/>
      <c r="AG23" s="452"/>
      <c r="AH23" s="452"/>
      <c r="AI23" s="452"/>
      <c r="AJ23" s="452"/>
      <c r="AK23" s="452"/>
      <c r="AL23" s="452"/>
      <c r="AM23" s="452"/>
      <c r="AN23" s="452"/>
      <c r="AO23" s="452"/>
      <c r="AP23" s="452"/>
      <c r="AQ23" s="452"/>
      <c r="AR23" s="452"/>
      <c r="AS23" s="452"/>
      <c r="AT23" s="452"/>
      <c r="AU23" s="452"/>
      <c r="AV23" s="452"/>
      <c r="AW23" s="452"/>
      <c r="AX23" s="452"/>
      <c r="AY23" s="452"/>
      <c r="AZ23" s="82"/>
      <c r="BA23" s="82"/>
      <c r="BB23" s="82"/>
      <c r="BC23" s="82"/>
      <c r="BD23" s="82"/>
      <c r="BE23" s="82"/>
      <c r="BF23" s="82"/>
      <c r="BG23" s="82"/>
      <c r="BH23" s="82"/>
      <c r="BI23" s="82"/>
      <c r="BJ23" s="82"/>
      <c r="BK23" s="82"/>
      <c r="BL23" s="82"/>
      <c r="BM23" s="82">
        <f>24+7</f>
        <v>31</v>
      </c>
      <c r="BN23" s="82"/>
      <c r="BO23" s="82"/>
      <c r="BP23" s="82"/>
      <c r="BQ23" s="82"/>
      <c r="BR23" s="82"/>
      <c r="BS23" s="82"/>
      <c r="BT23" s="82"/>
      <c r="BU23" s="82"/>
      <c r="BV23" s="82"/>
      <c r="BW23" s="82"/>
      <c r="BX23" s="82"/>
      <c r="BY23" s="82"/>
      <c r="BZ23" s="82"/>
      <c r="CA23" s="82"/>
      <c r="CB23" s="82"/>
      <c r="CC23" s="82"/>
      <c r="CD23" s="82"/>
      <c r="CE23" s="82">
        <v>2</v>
      </c>
      <c r="CF23" s="82"/>
      <c r="CG23" s="82">
        <v>1</v>
      </c>
      <c r="CH23" s="9">
        <v>2</v>
      </c>
      <c r="CI23" s="9">
        <v>2</v>
      </c>
      <c r="CK23" s="9">
        <f>12.5/2</f>
        <v>6.25</v>
      </c>
      <c r="CP23" s="9" t="s">
        <v>3359</v>
      </c>
      <c r="CQ23" s="9">
        <v>1</v>
      </c>
      <c r="CR23" s="9">
        <v>2</v>
      </c>
      <c r="CS23" s="9">
        <v>4</v>
      </c>
      <c r="CV23" s="9" t="s">
        <v>3360</v>
      </c>
      <c r="CW23" s="9">
        <v>8.9499999999999993</v>
      </c>
      <c r="CY23" s="93" t="s">
        <v>3361</v>
      </c>
      <c r="CZ23" s="413"/>
      <c r="DA23" s="413">
        <v>2018</v>
      </c>
      <c r="DB23" s="448"/>
      <c r="DC23" s="448"/>
      <c r="DD23" s="448"/>
      <c r="DE23" s="448"/>
      <c r="DF23" s="361"/>
    </row>
    <row r="24" spans="1:110" ht="15">
      <c r="A24" s="456" t="s">
        <v>3362</v>
      </c>
      <c r="B24" s="1596"/>
      <c r="C24" s="1596"/>
      <c r="D24" s="1596"/>
      <c r="E24" s="1596"/>
      <c r="F24" s="1596"/>
      <c r="G24" s="1596"/>
      <c r="H24" s="1596"/>
      <c r="I24" s="1596"/>
      <c r="J24" s="1596"/>
      <c r="K24" s="453" t="s">
        <v>3363</v>
      </c>
      <c r="L24" s="453" t="s">
        <v>3364</v>
      </c>
      <c r="M24" s="453" t="s">
        <v>3363</v>
      </c>
      <c r="N24" s="453" t="s">
        <v>3281</v>
      </c>
      <c r="O24" s="453" t="s">
        <v>3363</v>
      </c>
      <c r="P24" s="453" t="s">
        <v>3364</v>
      </c>
      <c r="Q24" s="453" t="s">
        <v>3363</v>
      </c>
      <c r="R24" s="453" t="s">
        <v>3281</v>
      </c>
      <c r="S24" s="453" t="s">
        <v>3363</v>
      </c>
      <c r="T24" s="453" t="s">
        <v>3364</v>
      </c>
      <c r="U24" s="453" t="s">
        <v>3363</v>
      </c>
      <c r="V24" s="453" t="s">
        <v>3281</v>
      </c>
      <c r="Z24" s="452"/>
      <c r="AA24" s="452"/>
      <c r="AB24" s="452"/>
      <c r="AC24" s="452"/>
      <c r="AD24" s="452"/>
      <c r="AE24" s="452"/>
      <c r="AF24" s="452"/>
      <c r="AG24" s="452"/>
      <c r="AH24" s="452"/>
      <c r="AI24" s="452"/>
      <c r="AJ24" s="452"/>
      <c r="AK24" s="452"/>
      <c r="AL24" s="452"/>
      <c r="AM24" s="452"/>
      <c r="AN24" s="452"/>
      <c r="AO24" s="452"/>
      <c r="AP24" s="452"/>
      <c r="AQ24" s="452"/>
      <c r="AR24" s="452"/>
      <c r="AS24" s="452"/>
      <c r="AT24" s="452"/>
      <c r="AU24" s="452"/>
      <c r="AV24" s="452"/>
      <c r="AW24" s="452"/>
      <c r="AX24" s="452"/>
      <c r="AY24" s="452"/>
      <c r="AZ24" s="82"/>
      <c r="BA24" s="82"/>
      <c r="BB24" s="82"/>
      <c r="BC24" s="82"/>
      <c r="BD24" s="82"/>
      <c r="BE24" s="82"/>
      <c r="BF24" s="82"/>
      <c r="BG24" s="82"/>
      <c r="BH24" s="82"/>
      <c r="BI24" s="82"/>
      <c r="BJ24" s="82"/>
      <c r="BK24" s="82"/>
      <c r="BL24" s="82"/>
      <c r="BM24" s="82">
        <f>282+87+37+13</f>
        <v>419</v>
      </c>
      <c r="BN24" s="82"/>
      <c r="BO24" s="82"/>
      <c r="BP24" s="82"/>
      <c r="BQ24" s="82"/>
      <c r="BR24" s="82"/>
      <c r="BS24" s="82"/>
      <c r="BT24" s="82"/>
      <c r="BU24" s="82"/>
      <c r="BV24" s="82"/>
      <c r="BW24" s="82"/>
      <c r="BX24" s="82"/>
      <c r="BY24" s="82"/>
      <c r="BZ24" s="82"/>
      <c r="CA24" s="82"/>
      <c r="CB24" s="82"/>
      <c r="CC24" s="82">
        <v>27</v>
      </c>
      <c r="CD24" s="82">
        <v>41</v>
      </c>
      <c r="CE24" s="82">
        <v>47</v>
      </c>
      <c r="CF24" s="82">
        <v>43</v>
      </c>
      <c r="CG24" s="82">
        <v>75</v>
      </c>
      <c r="CH24" s="9">
        <v>85</v>
      </c>
      <c r="CI24" s="9">
        <v>66</v>
      </c>
      <c r="CJ24" s="9">
        <v>94</v>
      </c>
      <c r="CK24" s="9">
        <v>9.75</v>
      </c>
      <c r="CP24" s="9" t="s">
        <v>3365</v>
      </c>
      <c r="CQ24" s="9">
        <v>0.5</v>
      </c>
      <c r="CR24" s="9">
        <v>2</v>
      </c>
      <c r="CS24" s="9">
        <v>2</v>
      </c>
      <c r="CV24" s="9" t="s">
        <v>3366</v>
      </c>
      <c r="CY24" s="361"/>
      <c r="CZ24" s="361"/>
      <c r="DA24" s="361"/>
      <c r="DB24" s="448"/>
      <c r="DC24" s="448"/>
      <c r="DD24" s="448"/>
      <c r="DE24" s="448"/>
      <c r="DF24" s="361"/>
    </row>
    <row r="25" spans="1:110" ht="12.75" customHeight="1">
      <c r="A25" s="1796" t="s">
        <v>3367</v>
      </c>
      <c r="B25" s="1797"/>
      <c r="C25" s="1797"/>
      <c r="D25" s="1797"/>
      <c r="E25" s="1797"/>
      <c r="F25" s="1797"/>
      <c r="G25" s="1797"/>
      <c r="H25" s="1797"/>
      <c r="I25" s="1797"/>
      <c r="J25" s="1798">
        <v>1</v>
      </c>
      <c r="K25" s="343" t="s">
        <v>3368</v>
      </c>
      <c r="L25" s="1799" t="s">
        <v>3369</v>
      </c>
      <c r="M25" s="1787" t="s">
        <v>3370</v>
      </c>
      <c r="N25" s="482" t="s">
        <v>3369</v>
      </c>
      <c r="O25" s="343" t="s">
        <v>3371</v>
      </c>
      <c r="P25" s="482" t="s">
        <v>3372</v>
      </c>
      <c r="Q25" s="343" t="s">
        <v>3373</v>
      </c>
      <c r="R25" s="482" t="s">
        <v>3372</v>
      </c>
      <c r="S25" s="1800" t="s">
        <v>3374</v>
      </c>
      <c r="T25" s="461" t="s">
        <v>3375</v>
      </c>
      <c r="U25" s="1801"/>
      <c r="V25" s="1801"/>
      <c r="Z25" s="458"/>
      <c r="AA25" s="458"/>
      <c r="AB25" s="458"/>
      <c r="AC25" s="458"/>
      <c r="AD25" s="458"/>
      <c r="AE25" s="458"/>
      <c r="AF25" s="458"/>
      <c r="AG25" s="458"/>
      <c r="AH25" s="458"/>
      <c r="AI25" s="458"/>
      <c r="AJ25" s="458"/>
      <c r="AK25" s="458"/>
      <c r="AL25" s="458"/>
      <c r="AM25" s="458"/>
      <c r="AN25" s="458"/>
      <c r="AO25" s="458"/>
      <c r="AP25" s="458"/>
      <c r="AQ25" s="458"/>
      <c r="AR25" s="458"/>
      <c r="AS25" s="458"/>
      <c r="AT25" s="458"/>
      <c r="AU25" s="458"/>
      <c r="AV25" s="458"/>
      <c r="AW25" s="458"/>
      <c r="AX25" s="458"/>
      <c r="AY25" s="458"/>
      <c r="AZ25" s="381"/>
      <c r="BA25" s="381"/>
      <c r="BB25" s="381"/>
      <c r="BC25" s="381"/>
      <c r="BD25" s="381"/>
      <c r="BE25" s="381"/>
      <c r="BF25" s="381"/>
      <c r="BG25" s="381"/>
      <c r="BH25" s="381"/>
      <c r="BI25" s="381"/>
      <c r="BJ25" s="381"/>
      <c r="BK25" s="381"/>
      <c r="BL25" s="381"/>
      <c r="BM25" s="381"/>
      <c r="BN25" s="381"/>
      <c r="BO25" s="381"/>
      <c r="BP25" s="381"/>
      <c r="BQ25" s="381"/>
      <c r="BR25" s="381"/>
      <c r="BS25" s="381"/>
      <c r="BT25" s="381"/>
      <c r="BU25" s="381"/>
      <c r="BV25" s="381"/>
      <c r="BW25" s="381"/>
      <c r="BX25" s="381"/>
      <c r="BY25" s="381"/>
      <c r="BZ25" s="381"/>
      <c r="CA25" s="381"/>
      <c r="CB25" s="381"/>
      <c r="CC25" s="381"/>
      <c r="CD25" s="381"/>
      <c r="CE25" s="381"/>
      <c r="CF25" s="381"/>
      <c r="CG25" s="381"/>
      <c r="CH25" s="347"/>
      <c r="CI25" s="347"/>
      <c r="CJ25" s="347"/>
      <c r="CK25" s="347"/>
      <c r="CL25" s="347"/>
      <c r="CM25" s="347"/>
      <c r="CN25" s="347"/>
      <c r="CO25" s="347"/>
      <c r="CP25" s="347"/>
      <c r="CQ25" s="347"/>
      <c r="CR25" s="347"/>
      <c r="CS25" s="347"/>
      <c r="CT25" s="347"/>
      <c r="CU25" s="347"/>
      <c r="CV25" s="347"/>
      <c r="CW25" s="347"/>
      <c r="CX25" s="347"/>
      <c r="CY25" s="462"/>
      <c r="CZ25" s="463"/>
      <c r="DA25" s="463"/>
      <c r="DB25" s="464"/>
      <c r="DC25" s="464"/>
      <c r="DD25" s="464"/>
      <c r="DE25" s="464"/>
      <c r="DF25" s="462"/>
    </row>
    <row r="26" spans="1:110" ht="12.75" customHeight="1">
      <c r="A26" s="1796" t="s">
        <v>3376</v>
      </c>
      <c r="B26" s="1797"/>
      <c r="C26" s="1797"/>
      <c r="D26" s="1797"/>
      <c r="E26" s="1797"/>
      <c r="F26" s="1797"/>
      <c r="G26" s="1797"/>
      <c r="H26" s="1797"/>
      <c r="I26" s="1797"/>
      <c r="J26" s="1798">
        <v>2</v>
      </c>
      <c r="K26" s="343" t="s">
        <v>3377</v>
      </c>
      <c r="L26" s="1799" t="s">
        <v>3378</v>
      </c>
      <c r="M26" s="343" t="s">
        <v>3379</v>
      </c>
      <c r="N26" s="482" t="s">
        <v>3378</v>
      </c>
      <c r="O26" s="343" t="s">
        <v>3380</v>
      </c>
      <c r="P26" s="482" t="s">
        <v>3381</v>
      </c>
      <c r="Q26" s="1797"/>
      <c r="R26" s="1797"/>
      <c r="S26" s="1797"/>
      <c r="T26" s="1797"/>
      <c r="U26" s="1797"/>
      <c r="V26" s="1797"/>
      <c r="Z26" s="458"/>
      <c r="AA26" s="458"/>
      <c r="AB26" s="458"/>
      <c r="AC26" s="458"/>
      <c r="AD26" s="458"/>
      <c r="AE26" s="458"/>
      <c r="AF26" s="458"/>
      <c r="AG26" s="458"/>
      <c r="AH26" s="458"/>
      <c r="AI26" s="458"/>
      <c r="AJ26" s="458"/>
      <c r="AK26" s="458"/>
      <c r="AL26" s="458"/>
      <c r="AM26" s="458"/>
      <c r="AN26" s="458"/>
      <c r="AO26" s="458"/>
      <c r="AP26" s="458"/>
      <c r="AQ26" s="458"/>
      <c r="AR26" s="458"/>
      <c r="AS26" s="458"/>
      <c r="AT26" s="458"/>
      <c r="AU26" s="458"/>
      <c r="AV26" s="458"/>
      <c r="AW26" s="458"/>
      <c r="AX26" s="458"/>
      <c r="AY26" s="458"/>
      <c r="AZ26" s="381"/>
      <c r="BA26" s="381"/>
      <c r="BB26" s="381"/>
      <c r="BC26" s="381"/>
      <c r="BD26" s="381"/>
      <c r="BE26" s="381"/>
      <c r="BF26" s="381"/>
      <c r="BG26" s="381"/>
      <c r="BH26" s="381"/>
      <c r="BI26" s="381"/>
      <c r="BJ26" s="381"/>
      <c r="BK26" s="381"/>
      <c r="BL26" s="381"/>
      <c r="BM26" s="381"/>
      <c r="BN26" s="381"/>
      <c r="BO26" s="381"/>
      <c r="BP26" s="381"/>
      <c r="BQ26" s="381"/>
      <c r="BR26" s="381"/>
      <c r="BS26" s="381"/>
      <c r="BT26" s="381"/>
      <c r="BU26" s="381"/>
      <c r="BV26" s="381"/>
      <c r="BW26" s="381"/>
      <c r="BX26" s="381"/>
      <c r="BY26" s="381"/>
      <c r="BZ26" s="381"/>
      <c r="CA26" s="381"/>
      <c r="CB26" s="381"/>
      <c r="CC26" s="381"/>
      <c r="CD26" s="381"/>
      <c r="CE26" s="381"/>
      <c r="CF26" s="381"/>
      <c r="CG26" s="381"/>
      <c r="CH26" s="347"/>
      <c r="CI26" s="347"/>
      <c r="CJ26" s="347"/>
      <c r="CK26" s="347"/>
      <c r="CL26" s="347"/>
      <c r="CM26" s="347"/>
      <c r="CN26" s="347"/>
      <c r="CO26" s="347"/>
      <c r="CP26" s="347"/>
      <c r="CQ26" s="347"/>
      <c r="CR26" s="347"/>
      <c r="CS26" s="347"/>
      <c r="CT26" s="347"/>
      <c r="CU26" s="347"/>
      <c r="CV26" s="347"/>
      <c r="CW26" s="347"/>
      <c r="CX26" s="347"/>
      <c r="CY26" s="462"/>
      <c r="CZ26" s="463"/>
      <c r="DA26" s="463"/>
      <c r="DB26" s="464"/>
      <c r="DC26" s="464"/>
      <c r="DD26" s="464"/>
      <c r="DE26" s="464"/>
      <c r="DF26" s="462"/>
    </row>
    <row r="27" spans="1:110" ht="12.75" customHeight="1">
      <c r="A27" s="1796" t="s">
        <v>3382</v>
      </c>
      <c r="B27" s="1797"/>
      <c r="C27" s="1797"/>
      <c r="D27" s="1797"/>
      <c r="E27" s="1797"/>
      <c r="F27" s="1797"/>
      <c r="G27" s="1797"/>
      <c r="H27" s="1797"/>
      <c r="I27" s="1797"/>
      <c r="J27" s="1798">
        <v>3</v>
      </c>
      <c r="K27" s="1789" t="s">
        <v>3383</v>
      </c>
      <c r="L27" s="1799" t="s">
        <v>3384</v>
      </c>
      <c r="M27" s="343" t="s">
        <v>3385</v>
      </c>
      <c r="N27" s="482" t="s">
        <v>3386</v>
      </c>
      <c r="O27" s="1794" t="s">
        <v>3387</v>
      </c>
      <c r="P27" s="1802" t="s">
        <v>3381</v>
      </c>
      <c r="Q27" s="1788" t="s">
        <v>3388</v>
      </c>
      <c r="R27" s="1803" t="s">
        <v>3381</v>
      </c>
      <c r="S27" s="1797"/>
      <c r="T27" s="1797"/>
      <c r="U27" s="1797"/>
      <c r="V27" s="1797"/>
      <c r="Z27" s="458"/>
      <c r="AA27" s="458"/>
      <c r="AB27" s="458"/>
      <c r="AC27" s="458"/>
      <c r="AD27" s="458"/>
      <c r="AE27" s="458"/>
      <c r="AF27" s="458"/>
      <c r="AG27" s="458"/>
      <c r="AH27" s="458"/>
      <c r="AI27" s="458"/>
      <c r="AJ27" s="458"/>
      <c r="AK27" s="458"/>
      <c r="AL27" s="458"/>
      <c r="AM27" s="458"/>
      <c r="AN27" s="458"/>
      <c r="AO27" s="458"/>
      <c r="AP27" s="458"/>
      <c r="AQ27" s="458"/>
      <c r="AR27" s="458"/>
      <c r="AS27" s="458"/>
      <c r="AT27" s="458"/>
      <c r="AU27" s="458"/>
      <c r="AV27" s="458"/>
      <c r="AW27" s="458"/>
      <c r="AX27" s="458"/>
      <c r="AY27" s="458"/>
      <c r="AZ27" s="381"/>
      <c r="BA27" s="381"/>
      <c r="BB27" s="381"/>
      <c r="BC27" s="381"/>
      <c r="BD27" s="381"/>
      <c r="BE27" s="381"/>
      <c r="BF27" s="381"/>
      <c r="BG27" s="381"/>
      <c r="BH27" s="381"/>
      <c r="BI27" s="381"/>
      <c r="BJ27" s="381"/>
      <c r="BK27" s="381"/>
      <c r="BL27" s="381"/>
      <c r="BM27" s="381"/>
      <c r="BN27" s="381"/>
      <c r="BO27" s="381"/>
      <c r="BP27" s="381"/>
      <c r="BQ27" s="381"/>
      <c r="BR27" s="347"/>
      <c r="BS27" s="381"/>
      <c r="BT27" s="381"/>
      <c r="BU27" s="381"/>
      <c r="BV27" s="381"/>
      <c r="BW27" s="381"/>
      <c r="BX27" s="381"/>
      <c r="BY27" s="381"/>
      <c r="BZ27" s="381"/>
      <c r="CA27" s="381"/>
      <c r="CB27" s="381"/>
      <c r="CC27" s="381"/>
      <c r="CD27" s="381"/>
      <c r="CE27" s="381"/>
      <c r="CF27" s="381"/>
      <c r="CG27" s="381"/>
      <c r="CH27" s="347"/>
      <c r="CI27" s="347"/>
      <c r="CJ27" s="347"/>
      <c r="CK27" s="347"/>
      <c r="CL27" s="347"/>
      <c r="CM27" s="347"/>
      <c r="CN27" s="347"/>
      <c r="CO27" s="347"/>
      <c r="CP27" s="347"/>
      <c r="CQ27" s="347"/>
      <c r="CR27" s="347"/>
      <c r="CS27" s="347"/>
      <c r="CT27" s="347"/>
      <c r="CU27" s="347"/>
      <c r="CV27" s="347"/>
      <c r="CW27" s="347"/>
      <c r="CX27" s="347"/>
      <c r="CY27" s="462"/>
      <c r="CZ27" s="462"/>
      <c r="DA27" s="462"/>
      <c r="DB27" s="464"/>
      <c r="DC27" s="464"/>
      <c r="DD27" s="464"/>
      <c r="DE27" s="464"/>
      <c r="DF27" s="462"/>
    </row>
    <row r="28" spans="1:110" ht="12.75" customHeight="1">
      <c r="A28" s="1796" t="s">
        <v>3389</v>
      </c>
      <c r="B28" s="1797"/>
      <c r="C28" s="1797"/>
      <c r="D28" s="1797"/>
      <c r="E28" s="1797"/>
      <c r="F28" s="1797"/>
      <c r="G28" s="1797"/>
      <c r="H28" s="1797"/>
      <c r="I28" s="1797"/>
      <c r="J28" s="1798">
        <v>4</v>
      </c>
      <c r="K28" s="254" t="s">
        <v>3390</v>
      </c>
      <c r="L28" s="482" t="s">
        <v>3378</v>
      </c>
      <c r="M28" s="343" t="s">
        <v>3391</v>
      </c>
      <c r="N28" s="482" t="s">
        <v>3378</v>
      </c>
      <c r="O28" s="1797"/>
      <c r="P28" s="1797"/>
      <c r="Q28" s="1797"/>
      <c r="R28" s="1797"/>
      <c r="S28" s="1797"/>
      <c r="T28" s="1797"/>
      <c r="U28" s="1797"/>
      <c r="V28" s="1797"/>
      <c r="Z28" s="458"/>
      <c r="AA28" s="458"/>
      <c r="AB28" s="458"/>
      <c r="AC28" s="458"/>
      <c r="AD28" s="458"/>
      <c r="AE28" s="458"/>
      <c r="AF28" s="458"/>
      <c r="AG28" s="458"/>
      <c r="AH28" s="458"/>
      <c r="AI28" s="458"/>
      <c r="AJ28" s="458"/>
      <c r="AK28" s="458"/>
      <c r="AL28" s="458"/>
      <c r="AM28" s="458"/>
      <c r="AN28" s="458"/>
      <c r="AO28" s="458"/>
      <c r="AP28" s="458"/>
      <c r="AQ28" s="458"/>
      <c r="AR28" s="458"/>
      <c r="AS28" s="458"/>
      <c r="AT28" s="458"/>
      <c r="AU28" s="458"/>
      <c r="AV28" s="458"/>
      <c r="AW28" s="458"/>
      <c r="AX28" s="458"/>
      <c r="AY28" s="458"/>
      <c r="AZ28" s="381"/>
      <c r="BA28" s="381"/>
      <c r="BB28" s="381"/>
      <c r="BC28" s="381"/>
      <c r="BD28" s="381"/>
      <c r="BE28" s="381"/>
      <c r="BF28" s="381"/>
      <c r="BG28" s="381"/>
      <c r="BH28" s="381"/>
      <c r="BI28" s="381"/>
      <c r="BJ28" s="381"/>
      <c r="BK28" s="381"/>
      <c r="BL28" s="381"/>
      <c r="BM28" s="381"/>
      <c r="BN28" s="381"/>
      <c r="BO28" s="381"/>
      <c r="BP28" s="381"/>
      <c r="BQ28" s="381"/>
      <c r="BR28" s="381"/>
      <c r="BS28" s="381"/>
      <c r="BT28" s="381"/>
      <c r="BU28" s="381"/>
      <c r="BV28" s="381"/>
      <c r="BW28" s="381"/>
      <c r="BX28" s="381"/>
      <c r="BY28" s="381"/>
      <c r="BZ28" s="381"/>
      <c r="CA28" s="381"/>
      <c r="CB28" s="381"/>
      <c r="CC28" s="381"/>
      <c r="CD28" s="381"/>
      <c r="CE28" s="381"/>
      <c r="CF28" s="381"/>
      <c r="CG28" s="381"/>
      <c r="CH28" s="347"/>
      <c r="CI28" s="347"/>
      <c r="CJ28" s="347"/>
      <c r="CK28" s="347"/>
      <c r="CL28" s="347"/>
      <c r="CM28" s="347"/>
      <c r="CN28" s="347"/>
      <c r="CO28" s="347"/>
      <c r="CP28" s="347"/>
      <c r="CQ28" s="347"/>
      <c r="CR28" s="347"/>
      <c r="CS28" s="347"/>
      <c r="CT28" s="347"/>
      <c r="CU28" s="347"/>
      <c r="CV28" s="347"/>
      <c r="CW28" s="347"/>
      <c r="CX28" s="347"/>
      <c r="CY28" s="462"/>
      <c r="CZ28" s="463"/>
      <c r="DA28" s="463"/>
      <c r="DB28" s="464"/>
      <c r="DC28" s="464"/>
      <c r="DD28" s="464"/>
      <c r="DE28" s="464"/>
      <c r="DF28" s="462"/>
    </row>
    <row r="29" spans="1:110" ht="12.75" customHeight="1">
      <c r="A29" s="1796" t="s">
        <v>3392</v>
      </c>
      <c r="B29" s="1797"/>
      <c r="C29" s="1797"/>
      <c r="D29" s="1797"/>
      <c r="E29" s="1797"/>
      <c r="F29" s="1797"/>
      <c r="G29" s="1797"/>
      <c r="H29" s="1797"/>
      <c r="I29" s="1797"/>
      <c r="J29" s="1798">
        <v>5</v>
      </c>
      <c r="K29" s="1794" t="s">
        <v>3393</v>
      </c>
      <c r="L29" s="1803" t="s">
        <v>3394</v>
      </c>
      <c r="M29" s="1788" t="s">
        <v>3395</v>
      </c>
      <c r="N29" s="1803" t="s">
        <v>3394</v>
      </c>
      <c r="O29" s="1789" t="s">
        <v>3396</v>
      </c>
      <c r="P29" s="482" t="s">
        <v>3381</v>
      </c>
      <c r="Q29" s="343" t="s">
        <v>3397</v>
      </c>
      <c r="R29" s="482" t="s">
        <v>3381</v>
      </c>
      <c r="S29" s="1804" t="s">
        <v>3398</v>
      </c>
      <c r="T29" s="1805" t="s">
        <v>3381</v>
      </c>
      <c r="U29" s="1797"/>
      <c r="V29" s="1797"/>
      <c r="Z29" s="458"/>
      <c r="AA29" s="458"/>
      <c r="AB29" s="458"/>
      <c r="AC29" s="458"/>
      <c r="AD29" s="458"/>
      <c r="AE29" s="458"/>
      <c r="AF29" s="458"/>
      <c r="AG29" s="458"/>
      <c r="AH29" s="458"/>
      <c r="AI29" s="458"/>
      <c r="AJ29" s="458"/>
      <c r="AK29" s="458"/>
      <c r="AL29" s="458"/>
      <c r="AM29" s="458"/>
      <c r="AN29" s="458"/>
      <c r="AO29" s="458"/>
      <c r="AP29" s="458"/>
      <c r="AQ29" s="458"/>
      <c r="AR29" s="458"/>
      <c r="AS29" s="458"/>
      <c r="AT29" s="458"/>
      <c r="AU29" s="458"/>
      <c r="AV29" s="458"/>
      <c r="AW29" s="458"/>
      <c r="AX29" s="458"/>
      <c r="AY29" s="458"/>
      <c r="AZ29" s="381"/>
      <c r="BA29" s="381"/>
      <c r="BB29" s="381"/>
      <c r="BC29" s="381"/>
      <c r="BD29" s="381"/>
      <c r="BE29" s="381"/>
      <c r="BF29" s="381"/>
      <c r="BG29" s="381"/>
      <c r="BH29" s="381"/>
      <c r="BI29" s="381"/>
      <c r="BJ29" s="381"/>
      <c r="BK29" s="381"/>
      <c r="BL29" s="381"/>
      <c r="BM29" s="381"/>
      <c r="BN29" s="381"/>
      <c r="BO29" s="381"/>
      <c r="BP29" s="381"/>
      <c r="BQ29" s="381"/>
      <c r="BR29" s="381"/>
      <c r="BS29" s="381"/>
      <c r="BT29" s="381"/>
      <c r="BU29" s="381"/>
      <c r="BV29" s="381"/>
      <c r="BW29" s="381"/>
      <c r="BX29" s="381"/>
      <c r="BY29" s="381"/>
      <c r="BZ29" s="381"/>
      <c r="CA29" s="381"/>
      <c r="CB29" s="381"/>
      <c r="CC29" s="381"/>
      <c r="CD29" s="381"/>
      <c r="CE29" s="466"/>
      <c r="CF29" s="466"/>
      <c r="CG29" s="466"/>
      <c r="CH29" s="347"/>
      <c r="CI29" s="347"/>
      <c r="CJ29" s="347"/>
      <c r="CK29" s="347"/>
      <c r="CL29" s="347"/>
      <c r="CM29" s="347"/>
      <c r="CN29" s="347"/>
      <c r="CO29" s="347"/>
      <c r="CP29" s="347"/>
      <c r="CQ29" s="347"/>
      <c r="CR29" s="347"/>
      <c r="CS29" s="347"/>
      <c r="CT29" s="347"/>
      <c r="CU29" s="347"/>
      <c r="CV29" s="347"/>
      <c r="CW29" s="347"/>
      <c r="CX29" s="347"/>
      <c r="CY29" s="462"/>
      <c r="CZ29" s="463"/>
      <c r="DA29" s="463"/>
      <c r="DB29" s="464"/>
      <c r="DC29" s="464"/>
      <c r="DD29" s="464"/>
      <c r="DE29" s="464"/>
      <c r="DF29" s="462"/>
    </row>
    <row r="30" spans="1:110" ht="12.75" customHeight="1">
      <c r="A30" s="1796" t="s">
        <v>3399</v>
      </c>
      <c r="B30" s="467"/>
      <c r="C30" s="467"/>
      <c r="D30" s="467"/>
      <c r="E30" s="467"/>
      <c r="F30" s="467"/>
      <c r="G30" s="1797"/>
      <c r="H30" s="1797"/>
      <c r="I30" s="1797"/>
      <c r="J30" s="1798">
        <v>6</v>
      </c>
      <c r="K30" s="343" t="s">
        <v>3400</v>
      </c>
      <c r="L30" s="482" t="s">
        <v>3381</v>
      </c>
      <c r="M30" s="343" t="s">
        <v>3401</v>
      </c>
      <c r="N30" s="1806" t="s">
        <v>3402</v>
      </c>
      <c r="O30" s="1798" t="s">
        <v>230</v>
      </c>
      <c r="P30" s="482" t="s">
        <v>3381</v>
      </c>
      <c r="Q30" s="343" t="s">
        <v>3403</v>
      </c>
      <c r="R30" s="482" t="s">
        <v>3381</v>
      </c>
      <c r="S30" s="1801"/>
      <c r="T30" s="1801"/>
      <c r="U30" s="1797"/>
      <c r="V30" s="1797"/>
      <c r="Z30" s="458"/>
      <c r="AA30" s="458"/>
      <c r="AB30" s="458"/>
      <c r="AC30" s="458"/>
      <c r="AD30" s="458"/>
      <c r="AE30" s="458"/>
      <c r="AF30" s="458"/>
      <c r="AG30" s="458"/>
      <c r="AH30" s="458"/>
      <c r="AI30" s="458"/>
      <c r="AJ30" s="458"/>
      <c r="AK30" s="458"/>
      <c r="AL30" s="458"/>
      <c r="AM30" s="458"/>
      <c r="AN30" s="458"/>
      <c r="AO30" s="458"/>
      <c r="AP30" s="458"/>
      <c r="AQ30" s="458"/>
      <c r="AR30" s="458"/>
      <c r="AS30" s="458"/>
      <c r="AT30" s="458"/>
      <c r="AU30" s="458"/>
      <c r="AV30" s="458"/>
      <c r="AW30" s="458"/>
      <c r="AX30" s="458"/>
      <c r="AY30" s="458"/>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347"/>
      <c r="CI30" s="347"/>
      <c r="CJ30" s="347"/>
      <c r="CK30" s="347"/>
      <c r="CL30" s="347"/>
      <c r="CM30" s="347"/>
      <c r="CN30" s="347"/>
      <c r="CO30" s="347"/>
      <c r="CP30" s="347"/>
      <c r="CQ30" s="347"/>
      <c r="CR30" s="347"/>
      <c r="CS30" s="347"/>
      <c r="CT30" s="347"/>
      <c r="CU30" s="347"/>
      <c r="CV30" s="347"/>
      <c r="CW30" s="347"/>
      <c r="CX30" s="347"/>
      <c r="CY30" s="462"/>
      <c r="CZ30" s="462"/>
      <c r="DA30" s="462"/>
      <c r="DB30" s="464"/>
      <c r="DC30" s="464"/>
      <c r="DD30" s="464"/>
      <c r="DE30" s="464"/>
      <c r="DF30" s="462"/>
    </row>
    <row r="31" spans="1:110" ht="12.75" customHeight="1">
      <c r="A31" s="1796" t="s">
        <v>3404</v>
      </c>
      <c r="B31" s="468"/>
      <c r="C31" s="468"/>
      <c r="D31" s="468"/>
      <c r="E31" s="468"/>
      <c r="F31" s="468"/>
      <c r="G31" s="1797"/>
      <c r="H31" s="1797"/>
      <c r="I31" s="1797"/>
      <c r="J31" s="1798">
        <v>7</v>
      </c>
      <c r="K31" s="343" t="s">
        <v>3405</v>
      </c>
      <c r="L31" s="482" t="s">
        <v>3406</v>
      </c>
      <c r="M31" s="343" t="s">
        <v>3407</v>
      </c>
      <c r="N31" s="482" t="s">
        <v>3406</v>
      </c>
      <c r="O31" s="1798" t="s">
        <v>230</v>
      </c>
      <c r="P31" s="482" t="s">
        <v>3408</v>
      </c>
      <c r="Q31" s="1797"/>
      <c r="R31" s="1797"/>
      <c r="S31" s="1797"/>
      <c r="T31" s="1797"/>
      <c r="U31" s="1797"/>
      <c r="V31" s="1797"/>
      <c r="Z31" s="458"/>
      <c r="AA31" s="458"/>
      <c r="AB31" s="458"/>
      <c r="AC31" s="458"/>
      <c r="AD31" s="458"/>
      <c r="AE31" s="458"/>
      <c r="AF31" s="458"/>
      <c r="AG31" s="458"/>
      <c r="AH31" s="458"/>
      <c r="AI31" s="458"/>
      <c r="AJ31" s="458"/>
      <c r="AK31" s="458"/>
      <c r="AL31" s="458"/>
      <c r="AM31" s="458"/>
      <c r="AN31" s="458"/>
      <c r="AO31" s="458"/>
      <c r="AP31" s="458"/>
      <c r="AQ31" s="458"/>
      <c r="AR31" s="458"/>
      <c r="AS31" s="458"/>
      <c r="AT31" s="458"/>
      <c r="AU31" s="458"/>
      <c r="AV31" s="458"/>
      <c r="AW31" s="458"/>
      <c r="AX31" s="458"/>
      <c r="AY31" s="458"/>
      <c r="AZ31" s="469"/>
      <c r="BA31" s="469"/>
      <c r="BB31" s="469"/>
      <c r="BC31" s="469"/>
      <c r="BD31" s="469"/>
      <c r="BE31" s="469"/>
      <c r="BF31" s="469"/>
      <c r="BG31" s="469"/>
      <c r="BH31" s="469"/>
      <c r="BI31" s="469"/>
      <c r="BJ31" s="469"/>
      <c r="BK31" s="469"/>
      <c r="BL31" s="469"/>
      <c r="BM31" s="469"/>
      <c r="BN31" s="469"/>
      <c r="BO31" s="469"/>
      <c r="BP31" s="469"/>
      <c r="BQ31" s="466"/>
      <c r="BR31" s="466"/>
      <c r="BS31" s="466"/>
      <c r="BT31" s="466"/>
      <c r="BU31" s="466"/>
      <c r="BV31" s="466"/>
      <c r="BW31" s="466"/>
      <c r="BX31" s="466"/>
      <c r="BY31" s="466"/>
      <c r="BZ31" s="466"/>
      <c r="CA31" s="466"/>
      <c r="CB31" s="466"/>
      <c r="CC31" s="466"/>
      <c r="CD31" s="466"/>
      <c r="CE31" s="466"/>
      <c r="CF31" s="466"/>
      <c r="CG31" s="466"/>
      <c r="CH31" s="347"/>
      <c r="CI31" s="347"/>
      <c r="CJ31" s="347"/>
      <c r="CK31" s="347"/>
      <c r="CL31" s="347"/>
      <c r="CM31" s="347"/>
      <c r="CN31" s="347"/>
      <c r="CO31" s="347"/>
      <c r="CP31" s="347"/>
      <c r="CQ31" s="347"/>
      <c r="CR31" s="347"/>
      <c r="CS31" s="347"/>
      <c r="CT31" s="347"/>
      <c r="CU31" s="347"/>
      <c r="CV31" s="347"/>
      <c r="CW31" s="347"/>
      <c r="CX31" s="347"/>
      <c r="CY31" s="470"/>
      <c r="CZ31" s="462"/>
      <c r="DA31" s="462"/>
      <c r="DB31" s="464"/>
      <c r="DC31" s="464"/>
      <c r="DD31" s="464"/>
      <c r="DE31" s="464"/>
      <c r="DF31" s="462"/>
    </row>
    <row r="32" spans="1:110" ht="12.75" customHeight="1">
      <c r="A32" s="1796" t="s">
        <v>3409</v>
      </c>
      <c r="B32" s="471"/>
      <c r="C32" s="471"/>
      <c r="D32" s="471"/>
      <c r="E32" s="471"/>
      <c r="F32" s="471"/>
      <c r="G32" s="1797"/>
      <c r="H32" s="1797"/>
      <c r="I32" s="1797"/>
      <c r="J32" s="1798">
        <v>8</v>
      </c>
      <c r="K32" s="343" t="s">
        <v>3410</v>
      </c>
      <c r="L32" s="482" t="s">
        <v>3411</v>
      </c>
      <c r="M32" s="343" t="s">
        <v>3412</v>
      </c>
      <c r="N32" s="461" t="s">
        <v>3369</v>
      </c>
      <c r="O32" s="1798" t="s">
        <v>230</v>
      </c>
      <c r="P32" s="482" t="s">
        <v>3408</v>
      </c>
      <c r="Q32" s="1797"/>
      <c r="R32" s="1797"/>
      <c r="S32" s="343" t="s">
        <v>3413</v>
      </c>
      <c r="T32" s="482" t="s">
        <v>3402</v>
      </c>
      <c r="U32" s="1797"/>
      <c r="V32" s="1797"/>
      <c r="Z32" s="458"/>
      <c r="AA32" s="458"/>
      <c r="AB32" s="458"/>
      <c r="AC32" s="458"/>
      <c r="AD32" s="458"/>
      <c r="AE32" s="458"/>
      <c r="AF32" s="458"/>
      <c r="AG32" s="458"/>
      <c r="AH32" s="458"/>
      <c r="AI32" s="458"/>
      <c r="AJ32" s="458"/>
      <c r="AK32" s="458"/>
      <c r="AL32" s="458"/>
      <c r="AM32" s="458"/>
      <c r="AN32" s="458"/>
      <c r="AO32" s="458"/>
      <c r="AP32" s="458"/>
      <c r="AQ32" s="458"/>
      <c r="AR32" s="458"/>
      <c r="AS32" s="458"/>
      <c r="AT32" s="458"/>
      <c r="AU32" s="458"/>
      <c r="AV32" s="458"/>
      <c r="AW32" s="458"/>
      <c r="AX32" s="458"/>
      <c r="AY32" s="458"/>
      <c r="AZ32" s="472"/>
      <c r="BA32" s="472"/>
      <c r="BB32" s="472"/>
      <c r="BC32" s="472"/>
      <c r="BD32" s="472"/>
      <c r="BE32" s="472"/>
      <c r="BF32" s="472"/>
      <c r="BG32" s="472"/>
      <c r="BH32" s="472"/>
      <c r="BI32" s="472"/>
      <c r="BJ32" s="472"/>
      <c r="BK32" s="472"/>
      <c r="BL32" s="472"/>
      <c r="BM32" s="473"/>
      <c r="BN32" s="472"/>
      <c r="BO32" s="472"/>
      <c r="BP32" s="472"/>
      <c r="BQ32" s="472"/>
      <c r="BR32" s="472"/>
      <c r="BS32" s="472"/>
      <c r="BT32" s="472"/>
      <c r="BU32" s="472"/>
      <c r="BV32" s="472"/>
      <c r="BW32" s="472"/>
      <c r="BX32" s="472"/>
      <c r="BY32" s="466"/>
      <c r="BZ32" s="466"/>
      <c r="CA32" s="466"/>
      <c r="CB32" s="466"/>
      <c r="CC32" s="466"/>
      <c r="CD32" s="466"/>
      <c r="CE32" s="466"/>
      <c r="CF32" s="466"/>
      <c r="CG32" s="466"/>
      <c r="CH32" s="466"/>
      <c r="CI32" s="466"/>
      <c r="CJ32" s="466"/>
      <c r="CK32" s="466"/>
      <c r="CL32" s="347"/>
      <c r="CM32" s="2118"/>
      <c r="CN32" s="2102"/>
      <c r="CO32" s="2103"/>
      <c r="CP32" s="474"/>
      <c r="CQ32" s="347"/>
      <c r="CR32" s="347"/>
      <c r="CS32" s="347"/>
      <c r="CT32" s="347"/>
      <c r="CU32" s="347"/>
      <c r="CV32" s="347"/>
      <c r="CW32" s="347"/>
      <c r="CX32" s="347"/>
      <c r="CY32" s="470"/>
      <c r="CZ32" s="462"/>
      <c r="DA32" s="462"/>
      <c r="DB32" s="464"/>
      <c r="DC32" s="464"/>
      <c r="DD32" s="464"/>
      <c r="DE32" s="464"/>
      <c r="DF32" s="462"/>
    </row>
    <row r="33" spans="1:110" ht="15">
      <c r="A33" s="1796" t="s">
        <v>3414</v>
      </c>
      <c r="B33" s="471"/>
      <c r="C33" s="471"/>
      <c r="D33" s="471"/>
      <c r="E33" s="471"/>
      <c r="F33" s="471"/>
      <c r="G33" s="1797"/>
      <c r="H33" s="1797"/>
      <c r="I33" s="1797"/>
      <c r="J33" s="1798">
        <v>9</v>
      </c>
      <c r="K33" s="343" t="s">
        <v>3415</v>
      </c>
      <c r="L33" s="482" t="s">
        <v>3416</v>
      </c>
      <c r="M33" s="343" t="s">
        <v>3417</v>
      </c>
      <c r="N33" s="1807">
        <v>45588</v>
      </c>
      <c r="O33" s="1798"/>
      <c r="P33" s="1798"/>
      <c r="Q33" s="343"/>
      <c r="R33" s="1798"/>
      <c r="S33" s="1797"/>
      <c r="T33" s="1797"/>
      <c r="U33" s="1797"/>
      <c r="V33" s="1797"/>
      <c r="Z33" s="458"/>
      <c r="AA33" s="458"/>
      <c r="AB33" s="458"/>
      <c r="AC33" s="458"/>
      <c r="AD33" s="458"/>
      <c r="AE33" s="458"/>
      <c r="AF33" s="458"/>
      <c r="AG33" s="458"/>
      <c r="AH33" s="458"/>
      <c r="AI33" s="458"/>
      <c r="AJ33" s="458"/>
      <c r="AK33" s="458"/>
      <c r="AL33" s="458"/>
      <c r="AM33" s="458"/>
      <c r="AN33" s="458"/>
      <c r="AO33" s="458"/>
      <c r="AP33" s="458"/>
      <c r="AQ33" s="458"/>
      <c r="AR33" s="458"/>
      <c r="AS33" s="458"/>
      <c r="AT33" s="458"/>
      <c r="AU33" s="458"/>
      <c r="AV33" s="458"/>
      <c r="AW33" s="458"/>
      <c r="AX33" s="458"/>
      <c r="AY33" s="458"/>
      <c r="AZ33" s="347"/>
      <c r="BA33" s="347"/>
      <c r="BB33" s="347"/>
      <c r="BC33" s="347"/>
      <c r="BD33" s="347"/>
      <c r="BE33" s="347"/>
      <c r="BF33" s="347"/>
      <c r="BG33" s="347"/>
      <c r="BH33" s="347"/>
      <c r="BI33" s="347"/>
      <c r="BJ33" s="347"/>
      <c r="BK33" s="347"/>
      <c r="BL33" s="347"/>
      <c r="BM33" s="347"/>
      <c r="BN33" s="347"/>
      <c r="BO33" s="347"/>
      <c r="BP33" s="347"/>
      <c r="BQ33" s="347"/>
      <c r="BR33" s="347"/>
      <c r="BS33" s="347"/>
      <c r="BT33" s="347"/>
      <c r="BU33" s="347"/>
      <c r="BV33" s="347"/>
      <c r="BW33" s="347"/>
      <c r="BX33" s="347"/>
      <c r="BY33" s="347"/>
      <c r="BZ33" s="347"/>
      <c r="CA33" s="347"/>
      <c r="CB33" s="347"/>
      <c r="CC33" s="347"/>
      <c r="CD33" s="347"/>
      <c r="CE33" s="347"/>
      <c r="CF33" s="347"/>
      <c r="CG33" s="347"/>
      <c r="CH33" s="347"/>
      <c r="CI33" s="347"/>
      <c r="CJ33" s="347"/>
      <c r="CK33" s="347"/>
      <c r="CL33" s="347"/>
      <c r="CM33" s="347"/>
      <c r="CN33" s="347"/>
      <c r="CO33" s="347"/>
      <c r="CP33" s="347"/>
      <c r="CQ33" s="347"/>
      <c r="CR33" s="347"/>
      <c r="CS33" s="347"/>
      <c r="CT33" s="347"/>
      <c r="CU33" s="347"/>
      <c r="CV33" s="347"/>
      <c r="CW33" s="347"/>
      <c r="CX33" s="347"/>
      <c r="CY33" s="347"/>
      <c r="CZ33" s="347"/>
      <c r="DA33" s="347"/>
      <c r="DB33" s="347"/>
      <c r="DC33" s="347"/>
      <c r="DD33" s="347"/>
      <c r="DE33" s="347"/>
      <c r="DF33" s="347"/>
    </row>
    <row r="34" spans="1:110" ht="15">
      <c r="A34" s="1796" t="s">
        <v>3418</v>
      </c>
      <c r="B34" s="471"/>
      <c r="C34" s="471"/>
      <c r="D34" s="471"/>
      <c r="E34" s="471"/>
      <c r="F34" s="471"/>
      <c r="G34" s="1797"/>
      <c r="H34" s="1797"/>
      <c r="I34" s="1797"/>
      <c r="J34" s="1798">
        <v>10</v>
      </c>
      <c r="K34" s="1789" t="s">
        <v>3419</v>
      </c>
      <c r="L34" s="482" t="s">
        <v>3381</v>
      </c>
      <c r="M34" s="343" t="s">
        <v>3420</v>
      </c>
      <c r="N34" s="482" t="s">
        <v>3381</v>
      </c>
      <c r="O34" s="1798" t="s">
        <v>230</v>
      </c>
      <c r="P34" s="482" t="s">
        <v>3408</v>
      </c>
      <c r="Q34" s="1794" t="s">
        <v>3421</v>
      </c>
      <c r="R34" s="1808" t="s">
        <v>3422</v>
      </c>
      <c r="S34" s="1797"/>
      <c r="T34" s="1797"/>
      <c r="U34" s="1797"/>
      <c r="V34" s="1797"/>
      <c r="Z34" s="458"/>
      <c r="AA34" s="458"/>
      <c r="AB34" s="458"/>
      <c r="AC34" s="458"/>
      <c r="AD34" s="458"/>
      <c r="AE34" s="458"/>
      <c r="AF34" s="458"/>
      <c r="AG34" s="458"/>
      <c r="AH34" s="458"/>
      <c r="AI34" s="458"/>
      <c r="AJ34" s="458"/>
      <c r="AK34" s="458"/>
      <c r="AL34" s="458"/>
      <c r="AM34" s="458"/>
      <c r="AN34" s="458"/>
      <c r="AO34" s="458"/>
      <c r="AP34" s="458"/>
      <c r="AQ34" s="458"/>
      <c r="AR34" s="458"/>
      <c r="AS34" s="458"/>
      <c r="AT34" s="458"/>
      <c r="AU34" s="458"/>
      <c r="AV34" s="458"/>
      <c r="AW34" s="458"/>
      <c r="AX34" s="458"/>
      <c r="AY34" s="458"/>
      <c r="AZ34" s="347"/>
      <c r="BA34" s="347"/>
      <c r="BB34" s="347"/>
      <c r="BC34" s="347"/>
      <c r="BD34" s="347"/>
      <c r="BE34" s="347"/>
      <c r="BF34" s="347"/>
      <c r="BG34" s="347"/>
      <c r="BH34" s="347"/>
      <c r="BI34" s="347"/>
      <c r="BJ34" s="347"/>
      <c r="BK34" s="347"/>
      <c r="BL34" s="347"/>
      <c r="BM34" s="347"/>
      <c r="BN34" s="347"/>
      <c r="BO34" s="347"/>
      <c r="BP34" s="347"/>
      <c r="BQ34" s="347"/>
      <c r="BR34" s="347"/>
      <c r="BS34" s="347"/>
      <c r="BT34" s="347"/>
      <c r="BU34" s="347"/>
      <c r="BV34" s="347"/>
      <c r="BW34" s="347"/>
      <c r="BX34" s="347"/>
      <c r="BY34" s="347"/>
      <c r="BZ34" s="347"/>
      <c r="CA34" s="347"/>
      <c r="CB34" s="347"/>
      <c r="CC34" s="347"/>
      <c r="CD34" s="347"/>
      <c r="CE34" s="347"/>
      <c r="CF34" s="347"/>
      <c r="CG34" s="347"/>
      <c r="CH34" s="347"/>
      <c r="CI34" s="347"/>
      <c r="CJ34" s="347"/>
      <c r="CK34" s="347"/>
      <c r="CL34" s="347"/>
      <c r="CM34" s="347"/>
      <c r="CN34" s="347"/>
      <c r="CO34" s="347"/>
      <c r="CP34" s="347"/>
      <c r="CQ34" s="347"/>
      <c r="CR34" s="347"/>
      <c r="CS34" s="347"/>
      <c r="CT34" s="347"/>
      <c r="CU34" s="347"/>
      <c r="CV34" s="347"/>
      <c r="CW34" s="347"/>
      <c r="CX34" s="347"/>
      <c r="CY34" s="347"/>
      <c r="CZ34" s="347"/>
      <c r="DA34" s="347"/>
      <c r="DB34" s="347"/>
      <c r="DC34" s="347"/>
      <c r="DD34" s="347"/>
      <c r="DE34" s="347"/>
      <c r="DF34" s="347"/>
    </row>
    <row r="35" spans="1:110" ht="15.75">
      <c r="A35" s="1796" t="s">
        <v>3423</v>
      </c>
      <c r="B35" s="468"/>
      <c r="C35" s="468"/>
      <c r="D35" s="468"/>
      <c r="E35" s="468"/>
      <c r="F35" s="468"/>
      <c r="G35" s="1797"/>
      <c r="H35" s="1797"/>
      <c r="I35" s="1797"/>
      <c r="J35" s="1798">
        <v>11</v>
      </c>
      <c r="K35" s="22" t="s">
        <v>230</v>
      </c>
      <c r="L35" s="1801"/>
      <c r="M35" s="1789" t="s">
        <v>3424</v>
      </c>
      <c r="N35" s="1809" t="s">
        <v>3425</v>
      </c>
      <c r="O35" s="1617"/>
      <c r="P35" s="1617"/>
      <c r="Q35" s="1797"/>
      <c r="R35" s="1797"/>
      <c r="S35" s="1797"/>
      <c r="T35" s="1797"/>
      <c r="U35" s="1797"/>
      <c r="V35" s="1797"/>
      <c r="Z35" s="458"/>
      <c r="AA35" s="458"/>
      <c r="AB35" s="458"/>
      <c r="AC35" s="458"/>
      <c r="AD35" s="458"/>
      <c r="AE35" s="458"/>
      <c r="AF35" s="458"/>
      <c r="AG35" s="458"/>
      <c r="AH35" s="458"/>
      <c r="AI35" s="458"/>
      <c r="AJ35" s="458"/>
      <c r="AK35" s="458"/>
      <c r="AL35" s="458"/>
      <c r="AM35" s="458"/>
      <c r="AN35" s="458"/>
      <c r="AO35" s="458"/>
      <c r="AP35" s="458"/>
      <c r="AQ35" s="458"/>
      <c r="AR35" s="458"/>
      <c r="AS35" s="458"/>
      <c r="AT35" s="458"/>
      <c r="AU35" s="458"/>
      <c r="AV35" s="458"/>
      <c r="AW35" s="458"/>
      <c r="AX35" s="458"/>
      <c r="AY35" s="458"/>
      <c r="AZ35" s="476"/>
      <c r="BA35" s="476"/>
      <c r="BB35" s="476"/>
      <c r="BC35" s="476"/>
      <c r="BD35" s="476"/>
      <c r="BE35" s="476"/>
      <c r="BF35" s="476"/>
      <c r="BG35" s="476"/>
      <c r="BH35" s="476"/>
      <c r="BI35" s="476"/>
      <c r="BJ35" s="476"/>
      <c r="BK35" s="381"/>
      <c r="BL35" s="381"/>
      <c r="BM35" s="381"/>
      <c r="BN35" s="381"/>
      <c r="BO35" s="381"/>
      <c r="BP35" s="381"/>
      <c r="BQ35" s="381"/>
      <c r="BR35" s="381"/>
      <c r="BS35" s="381"/>
      <c r="BT35" s="381"/>
      <c r="BU35" s="381"/>
      <c r="BV35" s="381"/>
      <c r="BW35" s="381"/>
      <c r="BX35" s="381"/>
      <c r="BY35" s="381"/>
      <c r="BZ35" s="381"/>
      <c r="CA35" s="381"/>
      <c r="CB35" s="381"/>
      <c r="CC35" s="381"/>
      <c r="CD35" s="381"/>
      <c r="CE35" s="381"/>
      <c r="CF35" s="381"/>
      <c r="CG35" s="381"/>
      <c r="CH35" s="347"/>
      <c r="CI35" s="347"/>
      <c r="CJ35" s="347"/>
      <c r="CK35" s="347"/>
      <c r="CL35" s="347"/>
      <c r="CM35" s="477"/>
      <c r="CN35" s="347"/>
      <c r="CO35" s="478"/>
      <c r="CP35" s="347"/>
      <c r="CQ35" s="347"/>
      <c r="CR35" s="347"/>
      <c r="CS35" s="347"/>
      <c r="CT35" s="347"/>
      <c r="CU35" s="347"/>
      <c r="CV35" s="347"/>
      <c r="CW35" s="347"/>
      <c r="CX35" s="347"/>
      <c r="CY35" s="462"/>
      <c r="CZ35" s="463"/>
      <c r="DA35" s="463"/>
      <c r="DB35" s="464"/>
      <c r="DC35" s="464"/>
      <c r="DD35" s="464"/>
      <c r="DE35" s="464"/>
      <c r="DF35" s="462"/>
    </row>
    <row r="36" spans="1:110" ht="15">
      <c r="A36" s="1796" t="s">
        <v>3426</v>
      </c>
      <c r="B36" s="471"/>
      <c r="C36" s="471"/>
      <c r="D36" s="471"/>
      <c r="E36" s="471"/>
      <c r="F36" s="471"/>
      <c r="G36" s="1797"/>
      <c r="H36" s="1797"/>
      <c r="I36" s="1797"/>
      <c r="J36" s="1798">
        <v>12</v>
      </c>
      <c r="K36" s="343" t="s">
        <v>3427</v>
      </c>
      <c r="L36" s="1806" t="s">
        <v>3428</v>
      </c>
      <c r="M36" s="254" t="s">
        <v>3429</v>
      </c>
      <c r="N36" s="1807">
        <v>45528</v>
      </c>
      <c r="O36" s="1797"/>
      <c r="P36" s="1797"/>
      <c r="Q36" s="343" t="s">
        <v>3429</v>
      </c>
      <c r="R36" s="482" t="s">
        <v>3428</v>
      </c>
      <c r="S36" s="1797"/>
      <c r="T36" s="1797"/>
      <c r="U36" s="1797"/>
      <c r="V36" s="1797"/>
      <c r="Z36" s="458"/>
      <c r="AA36" s="458"/>
      <c r="AB36" s="458"/>
      <c r="AC36" s="458"/>
      <c r="AD36" s="458"/>
      <c r="AE36" s="458"/>
      <c r="AF36" s="458"/>
      <c r="AG36" s="458"/>
      <c r="AH36" s="458"/>
      <c r="AI36" s="458"/>
      <c r="AJ36" s="458"/>
      <c r="AK36" s="458"/>
      <c r="AL36" s="458"/>
      <c r="AM36" s="458"/>
      <c r="AN36" s="458"/>
      <c r="AO36" s="458"/>
      <c r="AP36" s="458"/>
      <c r="AQ36" s="458"/>
      <c r="AR36" s="458"/>
      <c r="AS36" s="458"/>
      <c r="AT36" s="458"/>
      <c r="AU36" s="458"/>
      <c r="AV36" s="458"/>
      <c r="AW36" s="458"/>
      <c r="AX36" s="458"/>
      <c r="AY36" s="458"/>
      <c r="AZ36" s="476"/>
      <c r="BA36" s="476"/>
      <c r="BB36" s="476"/>
      <c r="BC36" s="476"/>
      <c r="BD36" s="476"/>
      <c r="BE36" s="476"/>
      <c r="BF36" s="476"/>
      <c r="BG36" s="476"/>
      <c r="BH36" s="476"/>
      <c r="BI36" s="476"/>
      <c r="BJ36" s="476"/>
      <c r="BK36" s="381"/>
      <c r="BL36" s="381"/>
      <c r="BM36" s="381"/>
      <c r="BN36" s="381"/>
      <c r="BO36" s="381"/>
      <c r="BP36" s="381"/>
      <c r="BQ36" s="381"/>
      <c r="BR36" s="381"/>
      <c r="BS36" s="381"/>
      <c r="BT36" s="381"/>
      <c r="BU36" s="381"/>
      <c r="BV36" s="381"/>
      <c r="BW36" s="381"/>
      <c r="BX36" s="381"/>
      <c r="BY36" s="381"/>
      <c r="BZ36" s="381"/>
      <c r="CA36" s="381"/>
      <c r="CB36" s="381"/>
      <c r="CC36" s="381"/>
      <c r="CD36" s="381"/>
      <c r="CE36" s="381"/>
      <c r="CF36" s="381"/>
      <c r="CG36" s="381"/>
      <c r="CH36" s="347"/>
      <c r="CI36" s="347"/>
      <c r="CJ36" s="347"/>
      <c r="CK36" s="347"/>
      <c r="CL36" s="347"/>
      <c r="CM36" s="477"/>
      <c r="CN36" s="347"/>
      <c r="CO36" s="478"/>
      <c r="CP36" s="347"/>
      <c r="CQ36" s="347"/>
      <c r="CR36" s="347"/>
      <c r="CS36" s="347"/>
      <c r="CT36" s="347"/>
      <c r="CU36" s="347"/>
      <c r="CV36" s="347"/>
      <c r="CW36" s="347"/>
      <c r="CX36" s="347"/>
      <c r="CY36" s="462"/>
      <c r="CZ36" s="462"/>
      <c r="DA36" s="462"/>
      <c r="DB36" s="464"/>
      <c r="DC36" s="464"/>
      <c r="DD36" s="464"/>
      <c r="DE36" s="464"/>
      <c r="DF36" s="462"/>
    </row>
    <row r="37" spans="1:110" ht="15">
      <c r="A37" s="1796" t="s">
        <v>3430</v>
      </c>
      <c r="B37" s="479"/>
      <c r="C37" s="479"/>
      <c r="D37" s="479"/>
      <c r="E37" s="479"/>
      <c r="F37" s="479"/>
      <c r="G37" s="370"/>
      <c r="H37" s="370"/>
      <c r="I37" s="370"/>
      <c r="J37" s="1798">
        <v>32</v>
      </c>
      <c r="K37" s="343" t="s">
        <v>3431</v>
      </c>
      <c r="L37" s="1810" t="s">
        <v>3428</v>
      </c>
      <c r="M37" s="343" t="s">
        <v>3432</v>
      </c>
      <c r="N37" s="1811">
        <v>45528</v>
      </c>
      <c r="O37" s="1797"/>
      <c r="P37" s="1797"/>
      <c r="Q37" s="1797"/>
      <c r="R37" s="1797"/>
      <c r="S37" s="1797"/>
      <c r="T37" s="1797"/>
      <c r="U37" s="1797"/>
      <c r="V37" s="1797"/>
      <c r="Z37" s="458"/>
      <c r="AA37" s="458"/>
      <c r="AB37" s="458"/>
      <c r="AC37" s="458"/>
      <c r="AD37" s="458"/>
      <c r="AE37" s="458"/>
      <c r="AF37" s="458"/>
      <c r="AG37" s="458"/>
      <c r="AH37" s="458"/>
      <c r="AI37" s="458"/>
      <c r="AJ37" s="458"/>
      <c r="AK37" s="458"/>
      <c r="AL37" s="458"/>
      <c r="AM37" s="458"/>
      <c r="AN37" s="458"/>
      <c r="AO37" s="458"/>
      <c r="AP37" s="458"/>
      <c r="AQ37" s="458"/>
      <c r="AR37" s="458"/>
      <c r="AS37" s="458"/>
      <c r="AT37" s="458"/>
      <c r="AU37" s="458"/>
      <c r="AV37" s="458"/>
      <c r="AW37" s="458"/>
      <c r="AX37" s="458"/>
      <c r="AY37" s="458"/>
      <c r="AZ37" s="476"/>
      <c r="BA37" s="476"/>
      <c r="BB37" s="476"/>
      <c r="BC37" s="476"/>
      <c r="BD37" s="476"/>
      <c r="BE37" s="476"/>
      <c r="BF37" s="476"/>
      <c r="BG37" s="476"/>
      <c r="BH37" s="476"/>
      <c r="BI37" s="476"/>
      <c r="BJ37" s="476"/>
      <c r="BK37" s="381"/>
      <c r="BL37" s="381"/>
      <c r="BM37" s="381"/>
      <c r="BN37" s="381"/>
      <c r="BO37" s="381"/>
      <c r="BP37" s="381"/>
      <c r="BQ37" s="381"/>
      <c r="BR37" s="381"/>
      <c r="BS37" s="381"/>
      <c r="BT37" s="381"/>
      <c r="BU37" s="381"/>
      <c r="BV37" s="381"/>
      <c r="BW37" s="381"/>
      <c r="BX37" s="381"/>
      <c r="BY37" s="381"/>
      <c r="BZ37" s="381"/>
      <c r="CA37" s="381"/>
      <c r="CB37" s="381"/>
      <c r="CC37" s="381"/>
      <c r="CD37" s="381"/>
      <c r="CE37" s="381"/>
      <c r="CF37" s="381"/>
      <c r="CG37" s="381"/>
      <c r="CH37" s="347"/>
      <c r="CI37" s="347"/>
      <c r="CJ37" s="347"/>
      <c r="CK37" s="347"/>
      <c r="CL37" s="347"/>
      <c r="CM37" s="477"/>
      <c r="CN37" s="347"/>
      <c r="CO37" s="478"/>
      <c r="CP37" s="347"/>
      <c r="CQ37" s="347"/>
      <c r="CR37" s="347"/>
      <c r="CS37" s="347"/>
      <c r="CT37" s="347"/>
      <c r="CU37" s="347"/>
      <c r="CV37" s="347"/>
      <c r="CW37" s="347"/>
      <c r="CX37" s="347"/>
      <c r="CY37" s="462"/>
      <c r="CZ37" s="462"/>
      <c r="DA37" s="462"/>
      <c r="DB37" s="464"/>
      <c r="DC37" s="464"/>
      <c r="DD37" s="464"/>
      <c r="DE37" s="464"/>
      <c r="DF37" s="462"/>
    </row>
    <row r="38" spans="1:110" ht="15">
      <c r="A38" s="1796" t="s">
        <v>3433</v>
      </c>
      <c r="B38" s="471"/>
      <c r="C38" s="471"/>
      <c r="D38" s="471"/>
      <c r="E38" s="471"/>
      <c r="F38" s="471"/>
      <c r="G38" s="1797"/>
      <c r="H38" s="1797"/>
      <c r="I38" s="1797"/>
      <c r="J38" s="1798">
        <v>13</v>
      </c>
      <c r="K38" s="343" t="s">
        <v>3434</v>
      </c>
      <c r="L38" s="482" t="s">
        <v>3435</v>
      </c>
      <c r="M38" s="343" t="s">
        <v>3436</v>
      </c>
      <c r="N38" s="1806" t="s">
        <v>3437</v>
      </c>
      <c r="O38" s="1797"/>
      <c r="P38" s="1797"/>
      <c r="Q38" s="1797"/>
      <c r="R38" s="1797"/>
      <c r="S38" s="1797"/>
      <c r="T38" s="1797"/>
      <c r="U38" s="1797"/>
      <c r="V38" s="1797"/>
      <c r="Z38" s="458"/>
      <c r="AA38" s="458"/>
      <c r="AB38" s="458"/>
      <c r="AC38" s="458"/>
      <c r="AD38" s="458"/>
      <c r="AE38" s="458"/>
      <c r="AF38" s="458"/>
      <c r="AG38" s="458"/>
      <c r="AH38" s="458"/>
      <c r="AI38" s="458"/>
      <c r="AJ38" s="458"/>
      <c r="AK38" s="458"/>
      <c r="AL38" s="458"/>
      <c r="AM38" s="458"/>
      <c r="AN38" s="458"/>
      <c r="AO38" s="458"/>
      <c r="AP38" s="458"/>
      <c r="AQ38" s="458"/>
      <c r="AR38" s="458"/>
      <c r="AS38" s="458"/>
      <c r="AT38" s="458"/>
      <c r="AU38" s="458"/>
      <c r="AV38" s="458"/>
      <c r="AW38" s="458"/>
      <c r="AX38" s="458"/>
      <c r="AY38" s="458"/>
      <c r="AZ38" s="476"/>
      <c r="BA38" s="476"/>
      <c r="BB38" s="476"/>
      <c r="BC38" s="476"/>
      <c r="BD38" s="476"/>
      <c r="BE38" s="476"/>
      <c r="BF38" s="476"/>
      <c r="BG38" s="476"/>
      <c r="BH38" s="476"/>
      <c r="BI38" s="476"/>
      <c r="BJ38" s="476"/>
      <c r="BK38" s="381"/>
      <c r="BL38" s="381"/>
      <c r="BM38" s="381"/>
      <c r="BN38" s="381"/>
      <c r="BO38" s="381"/>
      <c r="BP38" s="381"/>
      <c r="BQ38" s="381"/>
      <c r="BR38" s="381"/>
      <c r="BS38" s="381"/>
      <c r="BT38" s="381"/>
      <c r="BU38" s="381"/>
      <c r="BV38" s="381"/>
      <c r="BW38" s="381"/>
      <c r="BX38" s="381"/>
      <c r="BY38" s="381"/>
      <c r="BZ38" s="381"/>
      <c r="CA38" s="381"/>
      <c r="CB38" s="381"/>
      <c r="CC38" s="381"/>
      <c r="CD38" s="381"/>
      <c r="CE38" s="381"/>
      <c r="CF38" s="381"/>
      <c r="CG38" s="381"/>
      <c r="CH38" s="347"/>
      <c r="CI38" s="347"/>
      <c r="CJ38" s="347"/>
      <c r="CK38" s="347"/>
      <c r="CL38" s="347"/>
      <c r="CM38" s="477"/>
      <c r="CN38" s="347"/>
      <c r="CO38" s="478"/>
      <c r="CP38" s="347"/>
      <c r="CQ38" s="347"/>
      <c r="CR38" s="347"/>
      <c r="CS38" s="347"/>
      <c r="CT38" s="347"/>
      <c r="CU38" s="347"/>
      <c r="CV38" s="347"/>
      <c r="CW38" s="347"/>
      <c r="CX38" s="347"/>
      <c r="CY38" s="462"/>
      <c r="CZ38" s="462"/>
      <c r="DA38" s="462"/>
      <c r="DB38" s="464"/>
      <c r="DC38" s="464"/>
      <c r="DD38" s="464"/>
      <c r="DE38" s="464"/>
      <c r="DF38" s="462"/>
    </row>
    <row r="39" spans="1:110" ht="15">
      <c r="A39" s="1812" t="s">
        <v>3438</v>
      </c>
      <c r="B39" s="480"/>
      <c r="C39" s="480"/>
      <c r="D39" s="480"/>
      <c r="E39" s="480"/>
      <c r="F39" s="480"/>
      <c r="G39" s="1797"/>
      <c r="H39" s="1797"/>
      <c r="I39" s="1797"/>
      <c r="J39" s="1798">
        <v>14</v>
      </c>
      <c r="K39" s="1790" t="s">
        <v>3439</v>
      </c>
      <c r="L39" s="1806" t="s">
        <v>3440</v>
      </c>
      <c r="M39" s="1790" t="s">
        <v>3441</v>
      </c>
      <c r="N39" s="482" t="s">
        <v>3442</v>
      </c>
      <c r="O39" s="343" t="s">
        <v>3443</v>
      </c>
      <c r="P39" s="482" t="s">
        <v>3411</v>
      </c>
      <c r="Q39" s="1798" t="s">
        <v>3444</v>
      </c>
      <c r="R39" s="1797"/>
      <c r="S39" s="343" t="s">
        <v>3445</v>
      </c>
      <c r="T39" s="1799" t="s">
        <v>3446</v>
      </c>
      <c r="U39" s="343" t="s">
        <v>3447</v>
      </c>
      <c r="V39" s="482" t="s">
        <v>3428</v>
      </c>
      <c r="Z39" s="458"/>
      <c r="AA39" s="458"/>
      <c r="AB39" s="458"/>
      <c r="AC39" s="458"/>
      <c r="AD39" s="458"/>
      <c r="AE39" s="458"/>
      <c r="AF39" s="458"/>
      <c r="AG39" s="458"/>
      <c r="AH39" s="458"/>
      <c r="AI39" s="458"/>
      <c r="AJ39" s="458"/>
      <c r="AK39" s="458"/>
      <c r="AL39" s="458"/>
      <c r="AM39" s="458"/>
      <c r="AN39" s="458"/>
      <c r="AO39" s="458"/>
      <c r="AP39" s="458"/>
      <c r="AQ39" s="458"/>
      <c r="AR39" s="458"/>
      <c r="AS39" s="458"/>
      <c r="AT39" s="458"/>
      <c r="AU39" s="458"/>
      <c r="AV39" s="458"/>
      <c r="AW39" s="458"/>
      <c r="AX39" s="458"/>
      <c r="AY39" s="458"/>
      <c r="AZ39" s="476"/>
      <c r="BA39" s="476"/>
      <c r="BB39" s="476"/>
      <c r="BC39" s="476"/>
      <c r="BD39" s="476"/>
      <c r="BE39" s="476"/>
      <c r="BF39" s="476"/>
      <c r="BG39" s="476"/>
      <c r="BH39" s="476"/>
      <c r="BI39" s="476"/>
      <c r="BJ39" s="476"/>
      <c r="BK39" s="381"/>
      <c r="BL39" s="381"/>
      <c r="BM39" s="381"/>
      <c r="BN39" s="381"/>
      <c r="BO39" s="381"/>
      <c r="BP39" s="381"/>
      <c r="BQ39" s="381"/>
      <c r="BR39" s="381"/>
      <c r="BS39" s="381"/>
      <c r="BT39" s="381"/>
      <c r="BU39" s="381"/>
      <c r="BV39" s="381"/>
      <c r="BW39" s="381"/>
      <c r="BX39" s="381"/>
      <c r="BY39" s="381"/>
      <c r="BZ39" s="381"/>
      <c r="CA39" s="381"/>
      <c r="CB39" s="381"/>
      <c r="CC39" s="381"/>
      <c r="CD39" s="381"/>
      <c r="CE39" s="381"/>
      <c r="CF39" s="381"/>
      <c r="CG39" s="381"/>
      <c r="CH39" s="347"/>
      <c r="CI39" s="347"/>
      <c r="CJ39" s="347"/>
      <c r="CK39" s="347"/>
      <c r="CL39" s="347"/>
      <c r="CM39" s="477"/>
      <c r="CN39" s="347"/>
      <c r="CO39" s="478"/>
      <c r="CP39" s="347"/>
      <c r="CQ39" s="347"/>
      <c r="CR39" s="347"/>
      <c r="CS39" s="347"/>
      <c r="CT39" s="347"/>
      <c r="CU39" s="347"/>
      <c r="CV39" s="347"/>
      <c r="CW39" s="347"/>
      <c r="CX39" s="347"/>
      <c r="CY39" s="462"/>
      <c r="CZ39" s="462"/>
      <c r="DA39" s="462"/>
      <c r="DB39" s="464"/>
      <c r="DC39" s="464"/>
      <c r="DD39" s="464"/>
      <c r="DE39" s="464"/>
      <c r="DF39" s="462"/>
    </row>
    <row r="40" spans="1:110" ht="15">
      <c r="A40" s="1796" t="s">
        <v>3448</v>
      </c>
      <c r="B40" s="471"/>
      <c r="C40" s="471"/>
      <c r="D40" s="471"/>
      <c r="E40" s="471"/>
      <c r="F40" s="471"/>
      <c r="G40" s="1797"/>
      <c r="H40" s="1797"/>
      <c r="I40" s="1797"/>
      <c r="J40" s="1798">
        <v>15</v>
      </c>
      <c r="K40" s="343" t="s">
        <v>3449</v>
      </c>
      <c r="L40" s="482" t="s">
        <v>3381</v>
      </c>
      <c r="M40" s="343" t="s">
        <v>3450</v>
      </c>
      <c r="N40" s="482" t="s">
        <v>3411</v>
      </c>
      <c r="O40" s="343" t="s">
        <v>3451</v>
      </c>
      <c r="P40" s="482" t="s">
        <v>3452</v>
      </c>
      <c r="Q40" s="1797"/>
      <c r="R40" s="1797"/>
      <c r="S40" s="343" t="s">
        <v>3453</v>
      </c>
      <c r="T40" s="482" t="s">
        <v>3454</v>
      </c>
      <c r="U40" s="343" t="s">
        <v>3455</v>
      </c>
      <c r="V40" s="482" t="s">
        <v>3454</v>
      </c>
      <c r="Z40" s="458"/>
      <c r="AA40" s="458"/>
      <c r="AB40" s="458"/>
      <c r="AC40" s="458"/>
      <c r="AD40" s="458"/>
      <c r="AE40" s="458"/>
      <c r="AF40" s="458"/>
      <c r="AG40" s="458"/>
      <c r="AH40" s="458"/>
      <c r="AI40" s="458"/>
      <c r="AJ40" s="458"/>
      <c r="AK40" s="458"/>
      <c r="AL40" s="458"/>
      <c r="AM40" s="458"/>
      <c r="AN40" s="458"/>
      <c r="AO40" s="458"/>
      <c r="AP40" s="458"/>
      <c r="AQ40" s="458"/>
      <c r="AR40" s="458"/>
      <c r="AS40" s="458"/>
      <c r="AT40" s="458"/>
      <c r="AU40" s="458"/>
      <c r="AV40" s="458"/>
      <c r="AW40" s="458"/>
      <c r="AX40" s="458"/>
      <c r="AY40" s="458"/>
      <c r="AZ40" s="476"/>
      <c r="BA40" s="476"/>
      <c r="BB40" s="476"/>
      <c r="BC40" s="476"/>
      <c r="BD40" s="476"/>
      <c r="BE40" s="476"/>
      <c r="BF40" s="476"/>
      <c r="BG40" s="476"/>
      <c r="BH40" s="476"/>
      <c r="BI40" s="476"/>
      <c r="BJ40" s="476"/>
      <c r="BK40" s="381"/>
      <c r="BL40" s="381"/>
      <c r="BM40" s="381"/>
      <c r="BN40" s="381"/>
      <c r="BO40" s="381"/>
      <c r="BP40" s="381"/>
      <c r="BQ40" s="381"/>
      <c r="BR40" s="381"/>
      <c r="BS40" s="381"/>
      <c r="BT40" s="381"/>
      <c r="BU40" s="381"/>
      <c r="BV40" s="381"/>
      <c r="BW40" s="381"/>
      <c r="BX40" s="381"/>
      <c r="BY40" s="381"/>
      <c r="BZ40" s="381"/>
      <c r="CA40" s="381"/>
      <c r="CB40" s="381"/>
      <c r="CC40" s="381"/>
      <c r="CD40" s="381"/>
      <c r="CE40" s="381"/>
      <c r="CF40" s="381"/>
      <c r="CG40" s="381"/>
      <c r="CH40" s="347"/>
      <c r="CI40" s="347"/>
      <c r="CJ40" s="347"/>
      <c r="CK40" s="347"/>
      <c r="CL40" s="347"/>
      <c r="CM40" s="477"/>
      <c r="CN40" s="347"/>
      <c r="CO40" s="478"/>
      <c r="CP40" s="347"/>
      <c r="CQ40" s="347"/>
      <c r="CR40" s="347"/>
      <c r="CS40" s="347"/>
      <c r="CT40" s="347"/>
      <c r="CU40" s="347"/>
      <c r="CV40" s="347"/>
      <c r="CW40" s="347"/>
      <c r="CX40" s="347"/>
      <c r="CY40" s="462"/>
      <c r="CZ40" s="462"/>
      <c r="DA40" s="462"/>
      <c r="DB40" s="464"/>
      <c r="DC40" s="464"/>
      <c r="DD40" s="464"/>
      <c r="DE40" s="464"/>
      <c r="DF40" s="462"/>
    </row>
    <row r="41" spans="1:110" ht="15">
      <c r="A41" s="1813" t="s">
        <v>3456</v>
      </c>
      <c r="B41" s="479"/>
      <c r="C41" s="479"/>
      <c r="D41" s="479"/>
      <c r="E41" s="479"/>
      <c r="F41" s="479"/>
      <c r="G41" s="1618"/>
      <c r="H41" s="1618"/>
      <c r="I41" s="1618"/>
      <c r="J41" s="1798">
        <v>16</v>
      </c>
      <c r="K41" s="1795" t="s">
        <v>3457</v>
      </c>
      <c r="L41" s="484" t="s">
        <v>3458</v>
      </c>
      <c r="M41" s="1791" t="s">
        <v>3459</v>
      </c>
      <c r="N41" s="485" t="s">
        <v>3458</v>
      </c>
      <c r="O41" s="1791" t="s">
        <v>3460</v>
      </c>
      <c r="P41" s="484" t="s">
        <v>3381</v>
      </c>
      <c r="Q41" s="1618"/>
      <c r="R41" s="1814" t="s">
        <v>3461</v>
      </c>
      <c r="S41" s="486" t="s">
        <v>3422</v>
      </c>
      <c r="T41" s="1815"/>
      <c r="U41" s="1815"/>
      <c r="V41" s="1815"/>
      <c r="Z41" s="476"/>
      <c r="AA41" s="476"/>
      <c r="AB41" s="476"/>
      <c r="AC41" s="476"/>
      <c r="AD41" s="476"/>
      <c r="AE41" s="476"/>
      <c r="AF41" s="476"/>
      <c r="AG41" s="458"/>
      <c r="AH41" s="459"/>
      <c r="AI41" s="483"/>
      <c r="AJ41" s="476"/>
      <c r="AK41" s="476"/>
      <c r="AL41" s="476"/>
      <c r="AM41" s="476"/>
      <c r="AN41" s="476"/>
      <c r="AO41" s="476"/>
      <c r="AP41" s="476"/>
      <c r="AQ41" s="476"/>
      <c r="AR41" s="476"/>
      <c r="AS41" s="476"/>
      <c r="AT41" s="476"/>
      <c r="AU41" s="476"/>
      <c r="AV41" s="476"/>
      <c r="AW41" s="476"/>
      <c r="AX41" s="476"/>
      <c r="AY41" s="476"/>
      <c r="AZ41" s="476"/>
      <c r="BA41" s="476"/>
      <c r="BB41" s="476"/>
      <c r="BC41" s="476"/>
      <c r="BD41" s="476"/>
      <c r="BE41" s="476"/>
      <c r="BF41" s="476"/>
      <c r="BG41" s="476"/>
      <c r="BH41" s="476"/>
      <c r="BI41" s="476"/>
      <c r="BJ41" s="476"/>
      <c r="BK41" s="381"/>
      <c r="BL41" s="381"/>
      <c r="BM41" s="381"/>
      <c r="BN41" s="381"/>
      <c r="BO41" s="381"/>
      <c r="BP41" s="381"/>
      <c r="BQ41" s="381"/>
      <c r="BR41" s="381"/>
      <c r="BS41" s="381"/>
      <c r="BT41" s="381"/>
      <c r="BU41" s="381"/>
      <c r="BV41" s="381"/>
      <c r="BW41" s="381"/>
      <c r="BX41" s="381"/>
      <c r="BY41" s="381"/>
      <c r="BZ41" s="381"/>
      <c r="CA41" s="381"/>
      <c r="CB41" s="381"/>
      <c r="CC41" s="381"/>
      <c r="CD41" s="381"/>
      <c r="CE41" s="381"/>
      <c r="CF41" s="381"/>
      <c r="CG41" s="381"/>
      <c r="CH41" s="347"/>
      <c r="CI41" s="347"/>
      <c r="CJ41" s="347"/>
      <c r="CK41" s="347"/>
      <c r="CL41" s="347"/>
      <c r="CM41" s="477"/>
      <c r="CN41" s="347"/>
      <c r="CO41" s="478"/>
      <c r="CP41" s="347"/>
      <c r="CQ41" s="347"/>
      <c r="CR41" s="347"/>
      <c r="CS41" s="347"/>
      <c r="CT41" s="347"/>
      <c r="CU41" s="347"/>
      <c r="CV41" s="347"/>
      <c r="CW41" s="347"/>
      <c r="CX41" s="347"/>
      <c r="CY41" s="462"/>
      <c r="CZ41" s="463"/>
      <c r="DA41" s="463"/>
      <c r="DB41" s="464"/>
      <c r="DC41" s="464"/>
      <c r="DD41" s="464"/>
      <c r="DE41" s="464"/>
      <c r="DF41" s="462"/>
    </row>
    <row r="42" spans="1:110" ht="15.75">
      <c r="A42" s="1816" t="s">
        <v>3462</v>
      </c>
      <c r="B42" s="468"/>
      <c r="C42" s="468"/>
      <c r="D42" s="468"/>
      <c r="E42" s="468"/>
      <c r="F42" s="468"/>
      <c r="G42" s="483"/>
      <c r="H42" s="483"/>
      <c r="I42" s="483"/>
      <c r="J42" s="1798">
        <v>17</v>
      </c>
      <c r="K42" s="1787" t="s">
        <v>230</v>
      </c>
      <c r="L42" s="484" t="s">
        <v>3463</v>
      </c>
      <c r="M42" s="1791" t="s">
        <v>3464</v>
      </c>
      <c r="N42" s="485" t="s">
        <v>3425</v>
      </c>
      <c r="O42" s="1791" t="s">
        <v>3465</v>
      </c>
      <c r="P42" s="484" t="s">
        <v>3381</v>
      </c>
      <c r="Q42" s="483"/>
      <c r="R42" s="483"/>
      <c r="S42" s="487"/>
      <c r="T42" s="1815"/>
      <c r="U42" s="1815"/>
      <c r="V42" s="1815"/>
      <c r="Z42" s="476"/>
      <c r="AA42" s="476"/>
      <c r="AB42" s="476"/>
      <c r="AC42" s="476"/>
      <c r="AD42" s="476"/>
      <c r="AE42" s="476"/>
      <c r="AF42" s="476"/>
      <c r="AG42" s="476"/>
      <c r="AH42" s="476"/>
      <c r="AI42" s="476"/>
      <c r="AJ42" s="476"/>
      <c r="AK42" s="476"/>
      <c r="AL42" s="476"/>
      <c r="AM42" s="476"/>
      <c r="AN42" s="476"/>
      <c r="AO42" s="476"/>
      <c r="AP42" s="476"/>
      <c r="AQ42" s="476"/>
      <c r="AR42" s="476"/>
      <c r="AS42" s="476"/>
      <c r="AT42" s="476"/>
      <c r="AU42" s="476"/>
      <c r="AV42" s="476"/>
      <c r="AW42" s="476"/>
      <c r="AX42" s="476"/>
      <c r="AY42" s="476"/>
      <c r="AZ42" s="476"/>
      <c r="BA42" s="476"/>
      <c r="BB42" s="476"/>
      <c r="BC42" s="476"/>
      <c r="BD42" s="476"/>
      <c r="BE42" s="476"/>
      <c r="BF42" s="476"/>
      <c r="BG42" s="476"/>
      <c r="BH42" s="476"/>
      <c r="BI42" s="476"/>
      <c r="BJ42" s="476"/>
      <c r="BK42" s="381"/>
      <c r="BL42" s="381"/>
      <c r="BM42" s="381"/>
      <c r="BN42" s="381"/>
      <c r="BO42" s="381"/>
      <c r="BP42" s="381"/>
      <c r="BQ42" s="381"/>
      <c r="BR42" s="381"/>
      <c r="BS42" s="381"/>
      <c r="BT42" s="381"/>
      <c r="BU42" s="381"/>
      <c r="BV42" s="381"/>
      <c r="BW42" s="381"/>
      <c r="BX42" s="381"/>
      <c r="BY42" s="381"/>
      <c r="BZ42" s="381"/>
      <c r="CA42" s="381"/>
      <c r="CB42" s="381"/>
      <c r="CC42" s="381"/>
      <c r="CD42" s="381"/>
      <c r="CE42" s="381"/>
      <c r="CF42" s="381"/>
      <c r="CG42" s="381"/>
      <c r="CH42" s="347"/>
      <c r="CI42" s="347"/>
      <c r="CJ42" s="347"/>
      <c r="CK42" s="347"/>
      <c r="CL42" s="347"/>
      <c r="CM42" s="477"/>
      <c r="CN42" s="347"/>
      <c r="CO42" s="478"/>
      <c r="CP42" s="347"/>
      <c r="CQ42" s="488"/>
      <c r="CR42" s="489"/>
      <c r="CS42" s="490"/>
      <c r="CT42" s="347"/>
      <c r="CU42" s="347"/>
      <c r="CV42" s="347"/>
      <c r="CW42" s="347"/>
      <c r="CX42" s="347"/>
      <c r="CY42" s="462"/>
      <c r="CZ42" s="462"/>
      <c r="DA42" s="462"/>
      <c r="DB42" s="464"/>
      <c r="DC42" s="464"/>
      <c r="DD42" s="464"/>
      <c r="DE42" s="464"/>
      <c r="DF42" s="462"/>
    </row>
    <row r="43" spans="1:110" ht="15.75">
      <c r="A43" s="457" t="s">
        <v>3466</v>
      </c>
      <c r="B43" s="471"/>
      <c r="C43" s="471"/>
      <c r="D43" s="471"/>
      <c r="E43" s="471"/>
      <c r="F43" s="471"/>
      <c r="G43" s="483"/>
      <c r="H43" s="483"/>
      <c r="I43" s="483"/>
      <c r="J43" s="1798">
        <v>18</v>
      </c>
      <c r="K43" s="1787" t="s">
        <v>230</v>
      </c>
      <c r="L43" s="484" t="s">
        <v>3442</v>
      </c>
      <c r="M43" s="1791" t="s">
        <v>3467</v>
      </c>
      <c r="N43" s="484" t="s">
        <v>3442</v>
      </c>
      <c r="O43" s="483"/>
      <c r="P43" s="483"/>
      <c r="Q43" s="483"/>
      <c r="R43" s="483"/>
      <c r="S43" s="487"/>
      <c r="T43" s="1815"/>
      <c r="U43" s="1815"/>
      <c r="V43" s="1815"/>
      <c r="Z43" s="476"/>
      <c r="AA43" s="476"/>
      <c r="AB43" s="476"/>
      <c r="AC43" s="476"/>
      <c r="AD43" s="476"/>
      <c r="AE43" s="476"/>
      <c r="AF43" s="476"/>
      <c r="AG43" s="476"/>
      <c r="AH43" s="476"/>
      <c r="AI43" s="476"/>
      <c r="AJ43" s="476"/>
      <c r="AK43" s="476"/>
      <c r="AL43" s="476"/>
      <c r="AM43" s="476"/>
      <c r="AN43" s="476"/>
      <c r="AO43" s="476"/>
      <c r="AP43" s="476"/>
      <c r="AQ43" s="476"/>
      <c r="AR43" s="476"/>
      <c r="AS43" s="476"/>
      <c r="AT43" s="476"/>
      <c r="AU43" s="476"/>
      <c r="AV43" s="476"/>
      <c r="AW43" s="476"/>
      <c r="AX43" s="476"/>
      <c r="AY43" s="476"/>
      <c r="AZ43" s="476"/>
      <c r="BA43" s="476"/>
      <c r="BB43" s="476"/>
      <c r="BC43" s="476"/>
      <c r="BD43" s="476"/>
      <c r="BE43" s="476"/>
      <c r="BF43" s="476"/>
      <c r="BG43" s="476"/>
      <c r="BH43" s="476"/>
      <c r="BI43" s="476"/>
      <c r="BJ43" s="476"/>
      <c r="BK43" s="381"/>
      <c r="BL43" s="381"/>
      <c r="BM43" s="381"/>
      <c r="BN43" s="381"/>
      <c r="BO43" s="381"/>
      <c r="BP43" s="381"/>
      <c r="BQ43" s="381"/>
      <c r="BR43" s="381"/>
      <c r="BS43" s="381"/>
      <c r="BT43" s="381"/>
      <c r="BU43" s="381"/>
      <c r="BV43" s="381"/>
      <c r="BW43" s="381"/>
      <c r="BX43" s="381"/>
      <c r="BY43" s="381"/>
      <c r="BZ43" s="381"/>
      <c r="CA43" s="381"/>
      <c r="CB43" s="381"/>
      <c r="CC43" s="381"/>
      <c r="CD43" s="381"/>
      <c r="CE43" s="381"/>
      <c r="CF43" s="381"/>
      <c r="CG43" s="381"/>
      <c r="CH43" s="347"/>
      <c r="CI43" s="347"/>
      <c r="CJ43" s="347"/>
      <c r="CK43" s="347"/>
      <c r="CL43" s="347"/>
      <c r="CM43" s="477"/>
      <c r="CN43" s="347"/>
      <c r="CO43" s="478"/>
      <c r="CP43" s="347"/>
      <c r="CQ43" s="491"/>
      <c r="CR43" s="492"/>
      <c r="CS43" s="493"/>
      <c r="CT43" s="347"/>
      <c r="CU43" s="347"/>
      <c r="CV43" s="347"/>
      <c r="CW43" s="347"/>
      <c r="CX43" s="347"/>
      <c r="CY43" s="462"/>
      <c r="CZ43" s="462"/>
      <c r="DA43" s="462"/>
      <c r="DB43" s="464"/>
      <c r="DC43" s="464"/>
      <c r="DD43" s="464"/>
      <c r="DE43" s="464"/>
      <c r="DF43" s="462"/>
    </row>
    <row r="44" spans="1:110" ht="15.75">
      <c r="A44" s="457" t="s">
        <v>3468</v>
      </c>
      <c r="B44" s="471"/>
      <c r="C44" s="471"/>
      <c r="D44" s="471"/>
      <c r="E44" s="471"/>
      <c r="F44" s="471"/>
      <c r="G44" s="483"/>
      <c r="H44" s="483"/>
      <c r="I44" s="483"/>
      <c r="J44" s="1798">
        <v>19</v>
      </c>
      <c r="K44" s="1787" t="s">
        <v>230</v>
      </c>
      <c r="L44" s="494" t="s">
        <v>3442</v>
      </c>
      <c r="M44" s="1791" t="s">
        <v>3469</v>
      </c>
      <c r="N44" s="494" t="s">
        <v>3442</v>
      </c>
      <c r="O44" s="483"/>
      <c r="P44" s="483"/>
      <c r="Q44" s="483"/>
      <c r="R44" s="483"/>
      <c r="S44" s="1815"/>
      <c r="T44" s="1815"/>
      <c r="U44" s="1815"/>
      <c r="V44" s="1815"/>
      <c r="Z44" s="476"/>
      <c r="AA44" s="476"/>
      <c r="AB44" s="476"/>
      <c r="AC44" s="476"/>
      <c r="AD44" s="476"/>
      <c r="AE44" s="476"/>
      <c r="AF44" s="476"/>
      <c r="AG44" s="476"/>
      <c r="AH44" s="476"/>
      <c r="AI44" s="476"/>
      <c r="AJ44" s="476"/>
      <c r="AK44" s="476"/>
      <c r="AL44" s="476"/>
      <c r="AM44" s="476"/>
      <c r="AN44" s="476"/>
      <c r="AO44" s="476"/>
      <c r="AP44" s="476"/>
      <c r="AQ44" s="476"/>
      <c r="AR44" s="476"/>
      <c r="AS44" s="476"/>
      <c r="AT44" s="476"/>
      <c r="AU44" s="476"/>
      <c r="AV44" s="476"/>
      <c r="AW44" s="476"/>
      <c r="AX44" s="476"/>
      <c r="AY44" s="476"/>
      <c r="AZ44" s="476"/>
      <c r="BA44" s="476"/>
      <c r="BB44" s="476"/>
      <c r="BC44" s="476"/>
      <c r="BD44" s="476"/>
      <c r="BE44" s="476"/>
      <c r="BF44" s="476"/>
      <c r="BG44" s="476"/>
      <c r="BH44" s="476"/>
      <c r="BI44" s="476"/>
      <c r="BJ44" s="476"/>
      <c r="BK44" s="381"/>
      <c r="BL44" s="381"/>
      <c r="BM44" s="381"/>
      <c r="BN44" s="381"/>
      <c r="BO44" s="381"/>
      <c r="BP44" s="381"/>
      <c r="BQ44" s="381"/>
      <c r="BR44" s="381"/>
      <c r="BS44" s="381"/>
      <c r="BT44" s="381"/>
      <c r="BU44" s="381"/>
      <c r="BV44" s="381"/>
      <c r="BW44" s="381"/>
      <c r="BX44" s="381"/>
      <c r="BY44" s="381"/>
      <c r="BZ44" s="381"/>
      <c r="CA44" s="381"/>
      <c r="CB44" s="381"/>
      <c r="CC44" s="381"/>
      <c r="CD44" s="381"/>
      <c r="CE44" s="381"/>
      <c r="CF44" s="381"/>
      <c r="CG44" s="381"/>
      <c r="CH44" s="347"/>
      <c r="CI44" s="347"/>
      <c r="CJ44" s="347"/>
      <c r="CK44" s="347"/>
      <c r="CL44" s="347"/>
      <c r="CM44" s="477"/>
      <c r="CN44" s="347"/>
      <c r="CO44" s="478"/>
      <c r="CP44" s="347"/>
      <c r="CQ44" s="491"/>
      <c r="CR44" s="492"/>
      <c r="CS44" s="493"/>
      <c r="CT44" s="347"/>
      <c r="CU44" s="347"/>
      <c r="CV44" s="347"/>
      <c r="CW44" s="347"/>
      <c r="CX44" s="347"/>
      <c r="CY44" s="462"/>
      <c r="CZ44" s="462"/>
      <c r="DA44" s="462"/>
      <c r="DB44" s="464"/>
      <c r="DC44" s="464"/>
      <c r="DD44" s="464"/>
      <c r="DE44" s="464"/>
      <c r="DF44" s="462"/>
    </row>
    <row r="45" spans="1:110" ht="15.75">
      <c r="A45" s="457" t="s">
        <v>3470</v>
      </c>
      <c r="B45" s="479"/>
      <c r="C45" s="479"/>
      <c r="D45" s="479"/>
      <c r="E45" s="479"/>
      <c r="F45" s="479"/>
      <c r="G45" s="1815"/>
      <c r="H45" s="1815"/>
      <c r="I45" s="1815"/>
      <c r="J45" s="1798">
        <v>20</v>
      </c>
      <c r="K45" s="1787" t="s">
        <v>230</v>
      </c>
      <c r="L45" s="1817" t="s">
        <v>3471</v>
      </c>
      <c r="M45" s="343" t="s">
        <v>3472</v>
      </c>
      <c r="N45" s="1818" t="s">
        <v>3471</v>
      </c>
      <c r="O45" s="343" t="s">
        <v>3473</v>
      </c>
      <c r="P45" s="1819" t="s">
        <v>3381</v>
      </c>
      <c r="Q45" s="1815"/>
      <c r="R45" s="1815"/>
      <c r="S45" s="1815"/>
      <c r="T45" s="1815"/>
      <c r="U45" s="1815"/>
      <c r="V45" s="1815"/>
      <c r="Z45" s="476"/>
      <c r="AA45" s="476"/>
      <c r="AB45" s="476"/>
      <c r="AC45" s="476"/>
      <c r="AD45" s="476"/>
      <c r="AE45" s="476"/>
      <c r="AF45" s="476"/>
      <c r="AG45" s="476"/>
      <c r="AH45" s="476"/>
      <c r="AI45" s="476"/>
      <c r="AJ45" s="476"/>
      <c r="AK45" s="476"/>
      <c r="AL45" s="476"/>
      <c r="AM45" s="476"/>
      <c r="AN45" s="476"/>
      <c r="AO45" s="476"/>
      <c r="AP45" s="476"/>
      <c r="AQ45" s="476"/>
      <c r="AR45" s="476"/>
      <c r="AS45" s="476"/>
      <c r="AT45" s="476"/>
      <c r="AU45" s="476"/>
      <c r="AV45" s="476"/>
      <c r="AW45" s="476"/>
      <c r="AX45" s="476"/>
      <c r="AY45" s="476"/>
      <c r="AZ45" s="476"/>
      <c r="BA45" s="476"/>
      <c r="BB45" s="476"/>
      <c r="BC45" s="476"/>
      <c r="BD45" s="476"/>
      <c r="BE45" s="476"/>
      <c r="BF45" s="476"/>
      <c r="BG45" s="476"/>
      <c r="BH45" s="476"/>
      <c r="BI45" s="476"/>
      <c r="BJ45" s="476"/>
      <c r="BK45" s="381"/>
      <c r="BL45" s="381"/>
      <c r="BM45" s="381"/>
      <c r="BN45" s="381"/>
      <c r="BO45" s="381"/>
      <c r="BP45" s="381"/>
      <c r="BQ45" s="381"/>
      <c r="BR45" s="381"/>
      <c r="BS45" s="381"/>
      <c r="BT45" s="381"/>
      <c r="BU45" s="381"/>
      <c r="BV45" s="381"/>
      <c r="BW45" s="381"/>
      <c r="BX45" s="381"/>
      <c r="BY45" s="381"/>
      <c r="BZ45" s="381"/>
      <c r="CA45" s="381"/>
      <c r="CB45" s="381"/>
      <c r="CC45" s="381"/>
      <c r="CD45" s="381"/>
      <c r="CE45" s="381"/>
      <c r="CF45" s="381"/>
      <c r="CG45" s="381"/>
      <c r="CH45" s="347"/>
      <c r="CI45" s="347"/>
      <c r="CJ45" s="347"/>
      <c r="CK45" s="347"/>
      <c r="CL45" s="347"/>
      <c r="CM45" s="477"/>
      <c r="CN45" s="347"/>
      <c r="CO45" s="478"/>
      <c r="CP45" s="347"/>
      <c r="CQ45" s="491"/>
      <c r="CR45" s="492"/>
      <c r="CS45" s="493"/>
      <c r="CT45" s="347"/>
      <c r="CU45" s="347"/>
      <c r="CV45" s="347"/>
      <c r="CW45" s="347"/>
      <c r="CX45" s="347"/>
      <c r="CY45" s="462"/>
      <c r="CZ45" s="462"/>
      <c r="DA45" s="462"/>
      <c r="DB45" s="464"/>
      <c r="DC45" s="464"/>
      <c r="DD45" s="464"/>
      <c r="DE45" s="464"/>
      <c r="DF45" s="462"/>
    </row>
    <row r="46" spans="1:110" ht="15.75">
      <c r="A46" s="457" t="s">
        <v>3474</v>
      </c>
      <c r="B46" s="468"/>
      <c r="C46" s="468"/>
      <c r="D46" s="468"/>
      <c r="E46" s="468"/>
      <c r="F46" s="468"/>
      <c r="G46" s="1815"/>
      <c r="H46" s="1815"/>
      <c r="I46" s="1815"/>
      <c r="J46" s="1798">
        <v>21</v>
      </c>
      <c r="K46" s="1787" t="s">
        <v>230</v>
      </c>
      <c r="L46" s="1818" t="s">
        <v>3475</v>
      </c>
      <c r="M46" s="343" t="s">
        <v>3476</v>
      </c>
      <c r="N46" s="1818" t="s">
        <v>3475</v>
      </c>
      <c r="O46" s="1815"/>
      <c r="P46" s="1815"/>
      <c r="Q46" s="1815"/>
      <c r="R46" s="1815"/>
      <c r="S46" s="1815"/>
      <c r="T46" s="1815"/>
      <c r="U46" s="1815"/>
      <c r="V46" s="1815"/>
      <c r="Z46" s="476"/>
      <c r="AA46" s="476"/>
      <c r="AB46" s="476"/>
      <c r="AC46" s="476"/>
      <c r="AD46" s="476"/>
      <c r="AE46" s="476"/>
      <c r="AF46" s="476"/>
      <c r="AG46" s="476"/>
      <c r="AH46" s="476"/>
      <c r="AI46" s="476"/>
      <c r="AJ46" s="476"/>
      <c r="AK46" s="476"/>
      <c r="AL46" s="476"/>
      <c r="AM46" s="476"/>
      <c r="AN46" s="476"/>
      <c r="AO46" s="476"/>
      <c r="AP46" s="476"/>
      <c r="AQ46" s="476"/>
      <c r="AR46" s="476"/>
      <c r="AS46" s="476"/>
      <c r="AT46" s="476"/>
      <c r="AU46" s="476"/>
      <c r="AV46" s="476"/>
      <c r="AW46" s="476"/>
      <c r="AX46" s="476"/>
      <c r="AY46" s="476"/>
      <c r="AZ46" s="476"/>
      <c r="BA46" s="476"/>
      <c r="BB46" s="476"/>
      <c r="BC46" s="476"/>
      <c r="BD46" s="476"/>
      <c r="BE46" s="476"/>
      <c r="BF46" s="476"/>
      <c r="BG46" s="476"/>
      <c r="BH46" s="476"/>
      <c r="BI46" s="476"/>
      <c r="BJ46" s="476"/>
      <c r="BK46" s="381"/>
      <c r="BL46" s="381"/>
      <c r="BM46" s="381"/>
      <c r="BN46" s="381"/>
      <c r="BO46" s="381"/>
      <c r="BP46" s="381"/>
      <c r="BQ46" s="381"/>
      <c r="BR46" s="381"/>
      <c r="BS46" s="381"/>
      <c r="BT46" s="381"/>
      <c r="BU46" s="381"/>
      <c r="BV46" s="381"/>
      <c r="BW46" s="381"/>
      <c r="BX46" s="381"/>
      <c r="BY46" s="381"/>
      <c r="BZ46" s="381"/>
      <c r="CA46" s="381"/>
      <c r="CB46" s="381"/>
      <c r="CC46" s="381"/>
      <c r="CD46" s="381"/>
      <c r="CE46" s="381"/>
      <c r="CF46" s="381"/>
      <c r="CG46" s="381"/>
      <c r="CH46" s="347"/>
      <c r="CI46" s="347"/>
      <c r="CJ46" s="347"/>
      <c r="CK46" s="347"/>
      <c r="CL46" s="347"/>
      <c r="CM46" s="477"/>
      <c r="CN46" s="347"/>
      <c r="CO46" s="478"/>
      <c r="CP46" s="347"/>
      <c r="CQ46" s="495"/>
      <c r="CR46" s="496"/>
      <c r="CS46" s="497"/>
      <c r="CT46" s="347"/>
      <c r="CU46" s="347"/>
      <c r="CV46" s="347"/>
      <c r="CW46" s="347"/>
      <c r="CX46" s="347"/>
      <c r="CY46" s="462"/>
      <c r="CZ46" s="462"/>
      <c r="DA46" s="462"/>
      <c r="DB46" s="464"/>
      <c r="DC46" s="464"/>
      <c r="DD46" s="464"/>
      <c r="DE46" s="464"/>
      <c r="DF46" s="462"/>
    </row>
    <row r="47" spans="1:110" ht="15.75">
      <c r="A47" s="457" t="s">
        <v>3477</v>
      </c>
      <c r="B47" s="471"/>
      <c r="C47" s="471"/>
      <c r="D47" s="471"/>
      <c r="E47" s="471"/>
      <c r="F47" s="471"/>
      <c r="G47" s="1815"/>
      <c r="H47" s="1815"/>
      <c r="I47" s="1815"/>
      <c r="J47" s="1798">
        <v>22</v>
      </c>
      <c r="K47" s="343" t="s">
        <v>3478</v>
      </c>
      <c r="L47" s="1818" t="s">
        <v>3479</v>
      </c>
      <c r="M47" s="343" t="s">
        <v>3480</v>
      </c>
      <c r="N47" s="1818" t="s">
        <v>3471</v>
      </c>
      <c r="O47" s="1815"/>
      <c r="P47" s="1815"/>
      <c r="Q47" s="1815"/>
      <c r="R47" s="1815"/>
      <c r="S47" s="1815"/>
      <c r="T47" s="1815"/>
      <c r="U47" s="1815"/>
      <c r="V47" s="1815"/>
      <c r="Z47" s="476"/>
      <c r="AA47" s="476"/>
      <c r="AB47" s="476"/>
      <c r="AC47" s="476"/>
      <c r="AD47" s="476"/>
      <c r="AE47" s="476"/>
      <c r="AF47" s="476"/>
      <c r="AG47" s="476"/>
      <c r="AH47" s="476"/>
      <c r="AI47" s="476"/>
      <c r="AJ47" s="476"/>
      <c r="AK47" s="476"/>
      <c r="AL47" s="476"/>
      <c r="AM47" s="476"/>
      <c r="AN47" s="476"/>
      <c r="AO47" s="476"/>
      <c r="AP47" s="476"/>
      <c r="AQ47" s="476"/>
      <c r="AR47" s="476"/>
      <c r="AS47" s="476"/>
      <c r="AT47" s="476"/>
      <c r="AU47" s="476"/>
      <c r="AV47" s="476"/>
      <c r="AW47" s="476"/>
      <c r="AX47" s="476"/>
      <c r="AY47" s="476"/>
      <c r="AZ47" s="476"/>
      <c r="BA47" s="476"/>
      <c r="BB47" s="476"/>
      <c r="BC47" s="476"/>
      <c r="BD47" s="476"/>
      <c r="BE47" s="476"/>
      <c r="BF47" s="476"/>
      <c r="BG47" s="476"/>
      <c r="BH47" s="476"/>
      <c r="BI47" s="476"/>
      <c r="BJ47" s="476"/>
      <c r="BK47" s="381"/>
      <c r="BL47" s="381"/>
      <c r="BM47" s="381"/>
      <c r="BN47" s="381"/>
      <c r="BO47" s="381"/>
      <c r="BP47" s="381"/>
      <c r="BQ47" s="381"/>
      <c r="BR47" s="381"/>
      <c r="BS47" s="381"/>
      <c r="BT47" s="381"/>
      <c r="BU47" s="381"/>
      <c r="BV47" s="381"/>
      <c r="BW47" s="381"/>
      <c r="BX47" s="381"/>
      <c r="BY47" s="381"/>
      <c r="BZ47" s="381"/>
      <c r="CA47" s="381"/>
      <c r="CB47" s="381"/>
      <c r="CC47" s="381"/>
      <c r="CD47" s="381"/>
      <c r="CE47" s="381"/>
      <c r="CF47" s="381"/>
      <c r="CG47" s="381"/>
      <c r="CH47" s="347"/>
      <c r="CI47" s="347"/>
      <c r="CJ47" s="347"/>
      <c r="CK47" s="347"/>
      <c r="CL47" s="347"/>
      <c r="CM47" s="477"/>
      <c r="CN47" s="347"/>
      <c r="CO47" s="478"/>
      <c r="CP47" s="347"/>
      <c r="CQ47" s="347"/>
      <c r="CR47" s="347"/>
      <c r="CS47" s="347"/>
      <c r="CT47" s="347"/>
      <c r="CU47" s="347"/>
      <c r="CV47" s="347"/>
      <c r="CW47" s="347"/>
      <c r="CX47" s="347"/>
      <c r="CY47" s="462"/>
      <c r="CZ47" s="462"/>
      <c r="DA47" s="462"/>
      <c r="DB47" s="464"/>
      <c r="DC47" s="464"/>
      <c r="DD47" s="464"/>
      <c r="DE47" s="464"/>
      <c r="DF47" s="462"/>
    </row>
    <row r="48" spans="1:110" ht="15.75">
      <c r="A48" s="457" t="s">
        <v>3481</v>
      </c>
      <c r="B48" s="471"/>
      <c r="C48" s="471"/>
      <c r="D48" s="471"/>
      <c r="E48" s="471"/>
      <c r="F48" s="471"/>
      <c r="G48" s="1815"/>
      <c r="H48" s="1815"/>
      <c r="I48" s="1815"/>
      <c r="J48" s="1798">
        <v>23</v>
      </c>
      <c r="K48" s="343" t="s">
        <v>3482</v>
      </c>
      <c r="L48" s="1819" t="s">
        <v>3422</v>
      </c>
      <c r="M48" s="343" t="s">
        <v>3483</v>
      </c>
      <c r="N48" s="1819" t="s">
        <v>3422</v>
      </c>
      <c r="O48" s="1815"/>
      <c r="P48" s="1815"/>
      <c r="Q48" s="1815"/>
      <c r="R48" s="1815"/>
      <c r="S48" s="1815"/>
      <c r="T48" s="1815"/>
      <c r="U48" s="1815"/>
      <c r="V48" s="1815"/>
      <c r="Z48" s="476"/>
      <c r="AA48" s="476"/>
      <c r="AB48" s="476"/>
      <c r="AC48" s="476"/>
      <c r="AD48" s="476"/>
      <c r="AE48" s="476"/>
      <c r="AF48" s="476"/>
      <c r="AG48" s="476"/>
      <c r="AH48" s="476"/>
      <c r="AI48" s="476"/>
      <c r="AJ48" s="476"/>
      <c r="AK48" s="476"/>
      <c r="AL48" s="476"/>
      <c r="AM48" s="476"/>
      <c r="AN48" s="476"/>
      <c r="AO48" s="476"/>
      <c r="AP48" s="476"/>
      <c r="AQ48" s="476"/>
      <c r="AR48" s="476"/>
      <c r="AS48" s="476"/>
      <c r="AT48" s="476"/>
      <c r="AU48" s="476"/>
      <c r="AV48" s="476"/>
      <c r="AW48" s="476"/>
      <c r="AX48" s="476"/>
      <c r="AY48" s="476"/>
      <c r="AZ48" s="476"/>
      <c r="BA48" s="476"/>
      <c r="BB48" s="476"/>
      <c r="BC48" s="476"/>
      <c r="BD48" s="476"/>
      <c r="BE48" s="476"/>
      <c r="BF48" s="476"/>
      <c r="BG48" s="476"/>
      <c r="BH48" s="476"/>
      <c r="BI48" s="476"/>
      <c r="BJ48" s="476"/>
      <c r="BK48" s="381"/>
      <c r="BL48" s="381"/>
      <c r="BM48" s="381"/>
      <c r="BN48" s="381"/>
      <c r="BO48" s="381"/>
      <c r="BP48" s="381"/>
      <c r="BQ48" s="381"/>
      <c r="BR48" s="381"/>
      <c r="BS48" s="381"/>
      <c r="BT48" s="381"/>
      <c r="BU48" s="381"/>
      <c r="BV48" s="381"/>
      <c r="BW48" s="381"/>
      <c r="BX48" s="381"/>
      <c r="BY48" s="381"/>
      <c r="BZ48" s="381"/>
      <c r="CA48" s="381"/>
      <c r="CB48" s="381"/>
      <c r="CC48" s="381"/>
      <c r="CD48" s="381"/>
      <c r="CE48" s="381"/>
      <c r="CF48" s="381"/>
      <c r="CG48" s="381"/>
      <c r="CH48" s="347"/>
      <c r="CI48" s="347"/>
      <c r="CJ48" s="347"/>
      <c r="CK48" s="347"/>
      <c r="CL48" s="347"/>
      <c r="CM48" s="477"/>
      <c r="CN48" s="347"/>
      <c r="CO48" s="478"/>
      <c r="CP48" s="347"/>
      <c r="CQ48" s="347"/>
      <c r="CR48" s="347"/>
      <c r="CS48" s="347"/>
      <c r="CT48" s="347"/>
      <c r="CU48" s="347"/>
      <c r="CV48" s="347"/>
      <c r="CW48" s="347"/>
      <c r="CX48" s="347"/>
      <c r="CY48" s="462"/>
      <c r="CZ48" s="462"/>
      <c r="DA48" s="462"/>
      <c r="DB48" s="464"/>
      <c r="DC48" s="464"/>
      <c r="DD48" s="464"/>
      <c r="DE48" s="464"/>
      <c r="DF48" s="462"/>
    </row>
    <row r="49" spans="1:110" ht="15.75">
      <c r="A49" s="457" t="s">
        <v>3484</v>
      </c>
      <c r="B49" s="479"/>
      <c r="C49" s="479"/>
      <c r="D49" s="479"/>
      <c r="E49" s="479"/>
      <c r="F49" s="479"/>
      <c r="G49" s="1815"/>
      <c r="H49" s="1815"/>
      <c r="I49" s="1815"/>
      <c r="J49" s="1798">
        <v>24</v>
      </c>
      <c r="K49" s="343" t="s">
        <v>3485</v>
      </c>
      <c r="L49" s="1818" t="s">
        <v>3486</v>
      </c>
      <c r="M49" s="343" t="s">
        <v>3487</v>
      </c>
      <c r="N49" s="1819" t="s">
        <v>3486</v>
      </c>
      <c r="O49" s="1815"/>
      <c r="P49" s="1815"/>
      <c r="Q49" s="1815"/>
      <c r="R49" s="1815"/>
      <c r="S49" s="1815"/>
      <c r="T49" s="1815"/>
      <c r="U49" s="1815"/>
      <c r="V49" s="1815"/>
      <c r="Z49" s="476"/>
      <c r="AA49" s="476"/>
      <c r="AB49" s="476"/>
      <c r="AC49" s="476"/>
      <c r="AD49" s="476"/>
      <c r="AE49" s="476"/>
      <c r="AF49" s="476"/>
      <c r="AG49" s="476"/>
      <c r="AH49" s="476"/>
      <c r="AI49" s="476"/>
      <c r="AJ49" s="476"/>
      <c r="AK49" s="476"/>
      <c r="AL49" s="476"/>
      <c r="AM49" s="476"/>
      <c r="AN49" s="476"/>
      <c r="AO49" s="476"/>
      <c r="AP49" s="476"/>
      <c r="AQ49" s="476"/>
      <c r="AR49" s="476"/>
      <c r="AS49" s="476"/>
      <c r="AT49" s="476"/>
      <c r="AU49" s="476"/>
      <c r="AV49" s="476"/>
      <c r="AW49" s="476"/>
      <c r="AX49" s="476"/>
      <c r="AY49" s="476"/>
      <c r="AZ49" s="476"/>
      <c r="BA49" s="476"/>
      <c r="BB49" s="476"/>
      <c r="BC49" s="476"/>
      <c r="BD49" s="476"/>
      <c r="BE49" s="476"/>
      <c r="BF49" s="476"/>
      <c r="BG49" s="476"/>
      <c r="BH49" s="476"/>
      <c r="BI49" s="476"/>
      <c r="BJ49" s="476"/>
      <c r="BK49" s="381"/>
      <c r="BL49" s="381"/>
      <c r="BM49" s="381"/>
      <c r="BN49" s="381"/>
      <c r="BO49" s="381"/>
      <c r="BP49" s="381"/>
      <c r="BQ49" s="381"/>
      <c r="BR49" s="381"/>
      <c r="BS49" s="381"/>
      <c r="BT49" s="381"/>
      <c r="BU49" s="381"/>
      <c r="BV49" s="381"/>
      <c r="BW49" s="381"/>
      <c r="BX49" s="381"/>
      <c r="BY49" s="381"/>
      <c r="BZ49" s="381"/>
      <c r="CA49" s="381"/>
      <c r="CB49" s="381"/>
      <c r="CC49" s="381"/>
      <c r="CD49" s="381"/>
      <c r="CE49" s="381"/>
      <c r="CF49" s="381"/>
      <c r="CG49" s="381"/>
      <c r="CH49" s="347"/>
      <c r="CI49" s="347"/>
      <c r="CJ49" s="347"/>
      <c r="CK49" s="347"/>
      <c r="CL49" s="347"/>
      <c r="CM49" s="477"/>
      <c r="CN49" s="347"/>
      <c r="CO49" s="478"/>
      <c r="CP49" s="347"/>
      <c r="CQ49" s="347"/>
      <c r="CR49" s="347"/>
      <c r="CS49" s="347"/>
      <c r="CT49" s="347"/>
      <c r="CU49" s="347"/>
      <c r="CV49" s="347"/>
      <c r="CW49" s="347"/>
      <c r="CX49" s="347"/>
      <c r="CY49" s="462"/>
      <c r="CZ49" s="462"/>
      <c r="DA49" s="462"/>
      <c r="DB49" s="464"/>
      <c r="DC49" s="464"/>
      <c r="DD49" s="464"/>
      <c r="DE49" s="464"/>
      <c r="DF49" s="462"/>
    </row>
    <row r="50" spans="1:110" ht="15.75">
      <c r="A50" s="457" t="s">
        <v>3488</v>
      </c>
      <c r="B50" s="468"/>
      <c r="C50" s="468"/>
      <c r="D50" s="468"/>
      <c r="E50" s="468"/>
      <c r="F50" s="468"/>
      <c r="G50" s="1820"/>
      <c r="H50" s="1820"/>
      <c r="I50" s="1820"/>
      <c r="J50" s="1798">
        <v>25</v>
      </c>
      <c r="K50" s="1787" t="s">
        <v>230</v>
      </c>
      <c r="L50" s="1821" t="s">
        <v>3489</v>
      </c>
      <c r="M50" s="343" t="s">
        <v>3490</v>
      </c>
      <c r="N50" s="1821" t="s">
        <v>3489</v>
      </c>
      <c r="O50" s="1820"/>
      <c r="P50" s="1820"/>
      <c r="Q50" s="1820"/>
      <c r="R50" s="1820"/>
      <c r="S50" s="1820"/>
      <c r="T50" s="1820"/>
      <c r="U50" s="1820"/>
      <c r="V50" s="1820"/>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66"/>
      <c r="BL50" s="466"/>
      <c r="BM50" s="466"/>
      <c r="BN50" s="466"/>
      <c r="BO50" s="466"/>
      <c r="BP50" s="466"/>
      <c r="BQ50" s="466"/>
      <c r="BR50" s="466"/>
      <c r="BS50" s="466"/>
      <c r="BT50" s="466"/>
      <c r="BU50" s="466"/>
      <c r="BV50" s="466"/>
      <c r="BW50" s="466"/>
      <c r="BX50" s="466"/>
      <c r="BY50" s="466"/>
      <c r="BZ50" s="466"/>
      <c r="CA50" s="466"/>
      <c r="CB50" s="466"/>
      <c r="CC50" s="466"/>
      <c r="CD50" s="466"/>
      <c r="CE50" s="466"/>
      <c r="CF50" s="466"/>
      <c r="CG50" s="466"/>
      <c r="CH50" s="466"/>
      <c r="CI50" s="466"/>
      <c r="CJ50" s="466"/>
      <c r="CK50" s="347"/>
      <c r="CL50" s="347"/>
      <c r="CM50" s="477"/>
      <c r="CN50" s="347"/>
      <c r="CO50" s="499"/>
      <c r="CP50" s="347"/>
      <c r="CQ50" s="347"/>
      <c r="CR50" s="347"/>
      <c r="CS50" s="347"/>
      <c r="CT50" s="347"/>
      <c r="CU50" s="347"/>
      <c r="CV50" s="347"/>
      <c r="CW50" s="347"/>
      <c r="CX50" s="347"/>
      <c r="CY50" s="462"/>
      <c r="CZ50" s="462"/>
      <c r="DA50" s="462"/>
      <c r="DB50" s="464"/>
      <c r="DC50" s="464"/>
      <c r="DD50" s="464"/>
      <c r="DE50" s="464"/>
      <c r="DF50" s="462"/>
    </row>
    <row r="51" spans="1:110" ht="15.75">
      <c r="A51" s="457" t="s">
        <v>3491</v>
      </c>
      <c r="B51" s="500"/>
      <c r="C51" s="500"/>
      <c r="D51" s="500"/>
      <c r="E51" s="500"/>
      <c r="F51" s="500"/>
      <c r="G51" s="1822"/>
      <c r="H51" s="1822"/>
      <c r="I51" s="1822"/>
      <c r="J51" s="1798">
        <v>26</v>
      </c>
      <c r="K51" s="343" t="s">
        <v>3492</v>
      </c>
      <c r="L51" s="1821" t="s">
        <v>3422</v>
      </c>
      <c r="M51" s="1792" t="s">
        <v>3493</v>
      </c>
      <c r="N51" s="1823" t="s">
        <v>3479</v>
      </c>
      <c r="O51" s="1822"/>
      <c r="P51" s="1822"/>
      <c r="Q51" s="1822"/>
      <c r="R51" s="1822"/>
      <c r="S51" s="1822"/>
      <c r="T51" s="1822"/>
      <c r="U51" s="1822"/>
      <c r="V51" s="1822"/>
      <c r="Z51" s="501"/>
      <c r="AA51" s="501"/>
      <c r="AB51" s="501"/>
      <c r="AC51" s="501"/>
      <c r="AD51" s="501"/>
      <c r="AE51" s="501"/>
      <c r="AF51" s="501"/>
      <c r="AG51" s="501"/>
      <c r="AH51" s="501"/>
      <c r="AI51" s="501"/>
      <c r="AJ51" s="501"/>
      <c r="AK51" s="501"/>
      <c r="AL51" s="501"/>
      <c r="AM51" s="501"/>
      <c r="AN51" s="501"/>
      <c r="AO51" s="501"/>
      <c r="AP51" s="501"/>
      <c r="AQ51" s="501"/>
      <c r="AR51" s="501"/>
      <c r="AS51" s="501"/>
      <c r="AT51" s="501"/>
      <c r="AU51" s="501"/>
      <c r="AV51" s="501"/>
      <c r="AW51" s="501"/>
      <c r="AX51" s="501"/>
      <c r="AY51" s="501"/>
      <c r="AZ51" s="501"/>
      <c r="BA51" s="501"/>
      <c r="BB51" s="501"/>
      <c r="BC51" s="501"/>
      <c r="BD51" s="501"/>
      <c r="BE51" s="501"/>
      <c r="BF51" s="501"/>
      <c r="BG51" s="501"/>
      <c r="BH51" s="501"/>
      <c r="BI51" s="501"/>
      <c r="BJ51" s="501"/>
      <c r="BK51" s="502"/>
      <c r="BL51" s="502"/>
      <c r="BM51" s="502"/>
      <c r="BN51" s="502"/>
      <c r="BO51" s="502"/>
      <c r="BP51" s="502"/>
      <c r="BQ51" s="502"/>
      <c r="BR51" s="502"/>
      <c r="BS51" s="502"/>
      <c r="BT51" s="502"/>
      <c r="BU51" s="502"/>
      <c r="BV51" s="502"/>
      <c r="BW51" s="502"/>
      <c r="BX51" s="502"/>
      <c r="BY51" s="502"/>
      <c r="BZ51" s="502"/>
      <c r="CA51" s="502"/>
      <c r="CB51" s="502"/>
      <c r="CC51" s="502"/>
      <c r="CD51" s="502"/>
      <c r="CE51" s="502"/>
      <c r="CF51" s="502"/>
      <c r="CG51" s="502"/>
      <c r="CH51" s="502"/>
      <c r="CI51" s="502"/>
      <c r="CJ51" s="502"/>
      <c r="CK51" s="347"/>
      <c r="CL51" s="347"/>
      <c r="CM51" s="503"/>
      <c r="CN51" s="504"/>
      <c r="CO51" s="505"/>
      <c r="CP51" s="347"/>
      <c r="CQ51" s="347"/>
      <c r="CR51" s="347"/>
      <c r="CS51" s="347"/>
      <c r="CT51" s="347"/>
      <c r="CU51" s="347"/>
      <c r="CV51" s="347"/>
      <c r="CW51" s="347"/>
      <c r="CX51" s="347"/>
      <c r="CY51" s="462"/>
      <c r="CZ51" s="462"/>
      <c r="DA51" s="462"/>
      <c r="DB51" s="464"/>
      <c r="DC51" s="464"/>
      <c r="DD51" s="464"/>
      <c r="DE51" s="464"/>
      <c r="DF51" s="462"/>
    </row>
    <row r="52" spans="1:110" ht="15.75">
      <c r="A52" s="457" t="s">
        <v>3494</v>
      </c>
      <c r="B52" s="471"/>
      <c r="C52" s="471"/>
      <c r="D52" s="471"/>
      <c r="E52" s="471"/>
      <c r="F52" s="471"/>
      <c r="G52" s="1820"/>
      <c r="H52" s="1820"/>
      <c r="I52" s="1820"/>
      <c r="J52" s="1798">
        <v>27</v>
      </c>
      <c r="K52" s="343" t="s">
        <v>3495</v>
      </c>
      <c r="L52" s="1821" t="s">
        <v>3422</v>
      </c>
      <c r="M52" s="343" t="s">
        <v>3496</v>
      </c>
      <c r="N52" s="1823" t="s">
        <v>3479</v>
      </c>
      <c r="O52" s="1820"/>
      <c r="P52" s="1820"/>
      <c r="Q52" s="1820"/>
      <c r="R52" s="1820"/>
      <c r="S52" s="1820"/>
      <c r="T52" s="1820"/>
      <c r="U52" s="1820"/>
      <c r="V52" s="1820"/>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66"/>
      <c r="BL52" s="466"/>
      <c r="BM52" s="466"/>
      <c r="BN52" s="466"/>
      <c r="BO52" s="466"/>
      <c r="BP52" s="466"/>
      <c r="BQ52" s="466"/>
      <c r="BR52" s="466"/>
      <c r="BS52" s="466"/>
      <c r="BT52" s="466"/>
      <c r="BU52" s="466"/>
      <c r="BV52" s="466"/>
      <c r="BW52" s="466"/>
      <c r="BX52" s="466"/>
      <c r="BY52" s="466"/>
      <c r="BZ52" s="466"/>
      <c r="CA52" s="466"/>
      <c r="CB52" s="466"/>
      <c r="CC52" s="466"/>
      <c r="CD52" s="466"/>
      <c r="CE52" s="466"/>
      <c r="CF52" s="466"/>
      <c r="CG52" s="466"/>
      <c r="CH52" s="347"/>
      <c r="CI52" s="347"/>
      <c r="CJ52" s="347"/>
      <c r="CK52" s="347"/>
      <c r="CL52" s="347"/>
      <c r="CM52" s="347"/>
      <c r="CN52" s="347"/>
      <c r="CO52" s="347"/>
      <c r="CP52" s="347"/>
      <c r="CQ52" s="347"/>
      <c r="CR52" s="347"/>
      <c r="CS52" s="347"/>
      <c r="CT52" s="347"/>
      <c r="CU52" s="347"/>
      <c r="CV52" s="347"/>
      <c r="CW52" s="347"/>
      <c r="CX52" s="347"/>
      <c r="CY52" s="462"/>
      <c r="CZ52" s="462"/>
      <c r="DA52" s="462"/>
      <c r="DB52" s="464"/>
      <c r="DC52" s="464"/>
      <c r="DD52" s="464"/>
      <c r="DE52" s="464"/>
      <c r="DF52" s="462"/>
    </row>
    <row r="53" spans="1:110" ht="15.75">
      <c r="A53" s="457" t="s">
        <v>3497</v>
      </c>
      <c r="B53" s="479"/>
      <c r="C53" s="479"/>
      <c r="D53" s="479"/>
      <c r="E53" s="479"/>
      <c r="F53" s="479"/>
      <c r="G53" s="1820"/>
      <c r="H53" s="1820"/>
      <c r="I53" s="1820"/>
      <c r="J53" s="1798">
        <v>28</v>
      </c>
      <c r="K53" s="1787" t="s">
        <v>230</v>
      </c>
      <c r="L53" s="1820" t="s">
        <v>230</v>
      </c>
      <c r="M53" s="343" t="s">
        <v>3498</v>
      </c>
      <c r="N53" s="1821" t="s">
        <v>3479</v>
      </c>
      <c r="O53" s="1820"/>
      <c r="P53" s="1820"/>
      <c r="Q53" s="1820"/>
      <c r="R53" s="1820"/>
      <c r="S53" s="1820"/>
      <c r="T53" s="1820"/>
      <c r="U53" s="1820"/>
      <c r="V53" s="1820"/>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66"/>
      <c r="BL53" s="466"/>
      <c r="BM53" s="466"/>
      <c r="BN53" s="466"/>
      <c r="BO53" s="466"/>
      <c r="BP53" s="466"/>
      <c r="BQ53" s="466"/>
      <c r="BR53" s="466"/>
      <c r="BS53" s="466"/>
      <c r="BT53" s="466"/>
      <c r="BU53" s="466"/>
      <c r="BV53" s="466"/>
      <c r="BW53" s="466"/>
      <c r="BX53" s="466"/>
      <c r="BY53" s="466"/>
      <c r="BZ53" s="466"/>
      <c r="CA53" s="466"/>
      <c r="CB53" s="466"/>
      <c r="CC53" s="466"/>
      <c r="CD53" s="466"/>
      <c r="CE53" s="466"/>
      <c r="CF53" s="466"/>
      <c r="CG53" s="466"/>
      <c r="CH53" s="347"/>
      <c r="CI53" s="347"/>
      <c r="CJ53" s="347"/>
      <c r="CK53" s="347"/>
      <c r="CL53" s="347"/>
      <c r="CM53" s="347"/>
      <c r="CN53" s="347"/>
      <c r="CO53" s="347"/>
      <c r="CP53" s="347"/>
      <c r="CQ53" s="347"/>
      <c r="CR53" s="347"/>
      <c r="CS53" s="347"/>
      <c r="CT53" s="347"/>
      <c r="CU53" s="347"/>
      <c r="CV53" s="347"/>
      <c r="CW53" s="347"/>
      <c r="CX53" s="347"/>
      <c r="CY53" s="462"/>
      <c r="CZ53" s="462"/>
      <c r="DA53" s="462"/>
      <c r="DB53" s="464"/>
      <c r="DC53" s="464"/>
      <c r="DD53" s="464"/>
      <c r="DE53" s="464"/>
      <c r="DF53" s="462"/>
    </row>
    <row r="54" spans="1:110" ht="15.75">
      <c r="A54" s="457" t="s">
        <v>3499</v>
      </c>
      <c r="B54" s="468"/>
      <c r="C54" s="468"/>
      <c r="D54" s="468"/>
      <c r="E54" s="468"/>
      <c r="F54" s="468"/>
      <c r="G54" s="370"/>
      <c r="H54" s="370"/>
      <c r="I54" s="370"/>
      <c r="J54" s="1798">
        <v>29</v>
      </c>
      <c r="K54" s="343" t="s">
        <v>3500</v>
      </c>
      <c r="L54" s="1810" t="s">
        <v>3501</v>
      </c>
      <c r="M54" s="343" t="s">
        <v>3502</v>
      </c>
      <c r="N54" s="1810" t="s">
        <v>3501</v>
      </c>
      <c r="O54" s="343" t="s">
        <v>3503</v>
      </c>
      <c r="P54" s="1810" t="s">
        <v>3381</v>
      </c>
      <c r="Q54" s="370" t="s">
        <v>8813</v>
      </c>
      <c r="R54" s="1846" t="s">
        <v>8815</v>
      </c>
      <c r="S54" s="1845">
        <v>45589</v>
      </c>
      <c r="T54" s="370"/>
      <c r="U54" s="370"/>
      <c r="V54" s="370"/>
      <c r="Z54" s="347"/>
      <c r="AA54" s="347"/>
      <c r="AB54" s="347"/>
      <c r="AC54" s="347"/>
      <c r="AD54" s="347"/>
      <c r="AE54" s="347"/>
      <c r="AF54" s="347"/>
      <c r="AG54" s="347"/>
      <c r="AH54" s="347"/>
      <c r="AI54" s="347"/>
      <c r="AJ54" s="347"/>
      <c r="AK54" s="347"/>
      <c r="AL54" s="347"/>
      <c r="AM54" s="347"/>
      <c r="AN54" s="347"/>
      <c r="AO54" s="347"/>
      <c r="AP54" s="347"/>
      <c r="AQ54" s="347"/>
      <c r="AR54" s="347"/>
      <c r="AS54" s="347"/>
      <c r="AT54" s="347"/>
      <c r="AU54" s="347"/>
      <c r="AV54" s="347"/>
      <c r="AW54" s="347"/>
      <c r="AX54" s="347"/>
      <c r="AY54" s="347"/>
      <c r="AZ54" s="347"/>
      <c r="BA54" s="347"/>
      <c r="BB54" s="347"/>
      <c r="BC54" s="347"/>
      <c r="BD54" s="347"/>
      <c r="BE54" s="347"/>
      <c r="BF54" s="347"/>
      <c r="BG54" s="347"/>
      <c r="BH54" s="347"/>
      <c r="BI54" s="347"/>
      <c r="BJ54" s="347"/>
      <c r="BK54" s="347"/>
      <c r="BL54" s="347"/>
      <c r="BM54" s="347"/>
      <c r="BN54" s="347"/>
      <c r="BO54" s="347"/>
      <c r="BP54" s="347"/>
      <c r="BQ54" s="347"/>
      <c r="BR54" s="347"/>
      <c r="BS54" s="347"/>
      <c r="BT54" s="347"/>
      <c r="BU54" s="347"/>
      <c r="BV54" s="347"/>
      <c r="BW54" s="347"/>
      <c r="BX54" s="347"/>
      <c r="BY54" s="347"/>
      <c r="BZ54" s="347"/>
      <c r="CA54" s="347"/>
      <c r="CB54" s="347"/>
      <c r="CC54" s="347"/>
      <c r="CD54" s="347"/>
      <c r="CE54" s="347"/>
      <c r="CF54" s="347"/>
      <c r="CG54" s="347"/>
      <c r="CH54" s="347"/>
      <c r="CI54" s="347"/>
      <c r="CJ54" s="347"/>
      <c r="CK54" s="347"/>
      <c r="CL54" s="347"/>
      <c r="CM54" s="347"/>
      <c r="CN54" s="347"/>
      <c r="CO54" s="347"/>
      <c r="CP54" s="347"/>
      <c r="CQ54" s="347"/>
      <c r="CR54" s="347"/>
      <c r="CS54" s="347"/>
      <c r="CT54" s="347"/>
      <c r="CU54" s="347"/>
      <c r="CV54" s="347"/>
      <c r="CW54" s="347"/>
      <c r="CX54" s="347"/>
      <c r="CY54" s="347"/>
      <c r="CZ54" s="347"/>
      <c r="DA54" s="347"/>
      <c r="DB54" s="347"/>
      <c r="DC54" s="347"/>
      <c r="DD54" s="347"/>
      <c r="DE54" s="347"/>
      <c r="DF54" s="347"/>
    </row>
    <row r="55" spans="1:110" ht="15.75">
      <c r="A55" s="457" t="s">
        <v>3504</v>
      </c>
      <c r="B55" s="506"/>
      <c r="C55" s="506"/>
      <c r="D55" s="506"/>
      <c r="E55" s="506"/>
      <c r="F55" s="506"/>
      <c r="G55" s="1824"/>
      <c r="H55" s="1824"/>
      <c r="I55" s="1824"/>
      <c r="J55" s="1798">
        <v>30</v>
      </c>
      <c r="K55" s="343" t="s">
        <v>3505</v>
      </c>
      <c r="L55" s="1821" t="s">
        <v>3406</v>
      </c>
      <c r="M55" s="1791" t="s">
        <v>3506</v>
      </c>
      <c r="N55" s="1821" t="s">
        <v>3406</v>
      </c>
      <c r="O55" s="1824"/>
      <c r="P55" s="1824"/>
      <c r="Q55" s="1824"/>
      <c r="R55" s="1824"/>
      <c r="S55" s="1824"/>
      <c r="T55" s="1824"/>
      <c r="U55" s="1824"/>
      <c r="V55" s="1824"/>
      <c r="Z55" s="507"/>
      <c r="AA55" s="507"/>
      <c r="AB55" s="507"/>
      <c r="AC55" s="507"/>
      <c r="AD55" s="507"/>
      <c r="AE55" s="507"/>
      <c r="AF55" s="507"/>
      <c r="AG55" s="507"/>
      <c r="AH55" s="507"/>
      <c r="AI55" s="507"/>
      <c r="AJ55" s="507"/>
      <c r="AK55" s="507"/>
      <c r="AL55" s="507"/>
      <c r="AM55" s="507"/>
      <c r="AN55" s="507"/>
      <c r="AO55" s="507"/>
      <c r="AP55" s="507"/>
      <c r="AQ55" s="507"/>
      <c r="AR55" s="507"/>
      <c r="AS55" s="507"/>
      <c r="AT55" s="507"/>
      <c r="AU55" s="507"/>
      <c r="AV55" s="507"/>
      <c r="AW55" s="507"/>
      <c r="AX55" s="507"/>
      <c r="AY55" s="507"/>
      <c r="AZ55" s="507"/>
      <c r="BA55" s="507"/>
      <c r="BB55" s="507"/>
      <c r="BC55" s="507"/>
      <c r="BD55" s="507"/>
      <c r="BE55" s="507"/>
      <c r="BF55" s="507"/>
      <c r="BG55" s="507"/>
      <c r="BH55" s="507"/>
      <c r="BI55" s="507"/>
      <c r="BJ55" s="507"/>
      <c r="BK55" s="508"/>
      <c r="BL55" s="508"/>
      <c r="BM55" s="508"/>
      <c r="BN55" s="508"/>
      <c r="BO55" s="508"/>
      <c r="BP55" s="508"/>
      <c r="BQ55" s="508"/>
      <c r="BR55" s="508"/>
      <c r="BS55" s="508"/>
      <c r="BT55" s="508"/>
      <c r="BU55" s="508"/>
      <c r="BV55" s="508"/>
      <c r="BW55" s="508"/>
      <c r="BX55" s="508"/>
      <c r="BY55" s="508"/>
      <c r="BZ55" s="508"/>
      <c r="CA55" s="508"/>
      <c r="CB55" s="508"/>
      <c r="CC55" s="508"/>
      <c r="CD55" s="508"/>
      <c r="CE55" s="466"/>
      <c r="CF55" s="466"/>
      <c r="CG55" s="466"/>
      <c r="CH55" s="347"/>
      <c r="CI55" s="347"/>
      <c r="CJ55" s="347"/>
      <c r="CK55" s="2119"/>
      <c r="CL55" s="2102"/>
      <c r="CM55" s="2102"/>
      <c r="CN55" s="2102"/>
      <c r="CO55" s="2103"/>
      <c r="CP55" s="347"/>
      <c r="CQ55" s="347"/>
      <c r="CR55" s="347"/>
      <c r="CS55" s="347"/>
      <c r="CT55" s="347"/>
      <c r="CU55" s="347"/>
      <c r="CV55" s="347"/>
      <c r="CW55" s="347"/>
      <c r="CX55" s="347"/>
      <c r="CY55" s="462"/>
      <c r="CZ55" s="462"/>
      <c r="DA55" s="462"/>
      <c r="DB55" s="464"/>
      <c r="DC55" s="464"/>
      <c r="DD55" s="464"/>
      <c r="DE55" s="464"/>
      <c r="DF55" s="462"/>
    </row>
    <row r="56" spans="1:110" ht="14.25">
      <c r="A56" s="1825" t="s">
        <v>3507</v>
      </c>
      <c r="B56" s="506"/>
      <c r="C56" s="506"/>
      <c r="D56" s="506"/>
      <c r="E56" s="506"/>
      <c r="F56" s="506"/>
      <c r="G56" s="1826"/>
      <c r="H56" s="1826"/>
      <c r="I56" s="1826"/>
      <c r="J56" s="1798">
        <v>31</v>
      </c>
      <c r="K56" s="343" t="s">
        <v>3508</v>
      </c>
      <c r="L56" s="1809" t="s">
        <v>3428</v>
      </c>
      <c r="M56" s="1791" t="s">
        <v>3509</v>
      </c>
      <c r="N56" s="1809" t="s">
        <v>3428</v>
      </c>
      <c r="O56" s="1826"/>
      <c r="P56" s="1826"/>
      <c r="Q56" s="1826"/>
      <c r="R56" s="1826"/>
      <c r="S56" s="1826"/>
      <c r="T56" s="1826"/>
      <c r="U56" s="1826"/>
      <c r="V56" s="1826"/>
      <c r="Z56" s="510"/>
      <c r="AA56" s="510"/>
      <c r="AB56" s="510"/>
      <c r="AC56" s="510"/>
      <c r="AD56" s="510"/>
      <c r="AE56" s="510"/>
      <c r="AF56" s="510"/>
      <c r="AG56" s="510"/>
      <c r="AH56" s="510"/>
      <c r="AI56" s="510"/>
      <c r="AJ56" s="510"/>
      <c r="AK56" s="510"/>
      <c r="AL56" s="510"/>
      <c r="AM56" s="510"/>
      <c r="AN56" s="510"/>
      <c r="AO56" s="510"/>
      <c r="AP56" s="510"/>
      <c r="AQ56" s="510"/>
      <c r="AR56" s="510"/>
      <c r="AS56" s="510"/>
      <c r="AT56" s="510"/>
      <c r="AU56" s="510"/>
      <c r="AV56" s="510"/>
      <c r="AW56" s="510"/>
      <c r="AX56" s="510"/>
      <c r="AY56" s="510"/>
      <c r="AZ56" s="510"/>
      <c r="BA56" s="510"/>
      <c r="BB56" s="510"/>
      <c r="BC56" s="510"/>
      <c r="BD56" s="510"/>
      <c r="BE56" s="510"/>
      <c r="BF56" s="510"/>
      <c r="BG56" s="510"/>
      <c r="BH56" s="510"/>
      <c r="BI56" s="510"/>
      <c r="BJ56" s="510"/>
      <c r="BK56" s="508"/>
      <c r="BL56" s="508"/>
      <c r="BM56" s="508"/>
      <c r="BN56" s="508"/>
      <c r="BO56" s="508"/>
      <c r="BP56" s="508"/>
      <c r="BQ56" s="508"/>
      <c r="BR56" s="508"/>
      <c r="BS56" s="508"/>
      <c r="BT56" s="508"/>
      <c r="BU56" s="508"/>
      <c r="BV56" s="508"/>
      <c r="BW56" s="508"/>
      <c r="BX56" s="508"/>
      <c r="BY56" s="508"/>
      <c r="BZ56" s="508"/>
      <c r="CA56" s="508"/>
      <c r="CB56" s="508"/>
      <c r="CC56" s="508"/>
      <c r="CD56" s="508"/>
      <c r="CE56" s="466"/>
      <c r="CF56" s="466"/>
      <c r="CG56" s="466"/>
      <c r="CH56" s="347"/>
      <c r="CI56" s="347"/>
      <c r="CJ56" s="347"/>
      <c r="CK56" s="491"/>
      <c r="CL56" s="347"/>
      <c r="CM56" s="347"/>
      <c r="CN56" s="347"/>
      <c r="CO56" s="499"/>
      <c r="CP56" s="347"/>
      <c r="CQ56" s="347"/>
      <c r="CR56" s="347"/>
      <c r="CS56" s="347"/>
      <c r="CT56" s="347"/>
      <c r="CU56" s="347"/>
      <c r="CV56" s="347"/>
      <c r="CW56" s="347"/>
      <c r="CX56" s="347"/>
      <c r="CY56" s="462"/>
      <c r="CZ56" s="462"/>
      <c r="DA56" s="462"/>
      <c r="DB56" s="464"/>
      <c r="DC56" s="464"/>
      <c r="DD56" s="464"/>
      <c r="DE56" s="464"/>
      <c r="DF56" s="462"/>
    </row>
    <row r="57" spans="1:110">
      <c r="A57" s="1596"/>
      <c r="B57" s="1596"/>
      <c r="C57" s="1596"/>
      <c r="D57" s="1596"/>
      <c r="E57" s="1596"/>
      <c r="F57" s="1596"/>
      <c r="G57" s="1596"/>
      <c r="H57" s="1596"/>
      <c r="I57" s="1596"/>
      <c r="J57" s="1596"/>
      <c r="K57" s="343" t="s">
        <v>3510</v>
      </c>
      <c r="L57" s="1640">
        <v>45559</v>
      </c>
      <c r="M57" s="1793" t="s">
        <v>3511</v>
      </c>
      <c r="N57" s="1640">
        <v>45559</v>
      </c>
      <c r="O57" s="343" t="s">
        <v>3512</v>
      </c>
      <c r="P57" s="370" t="s">
        <v>3513</v>
      </c>
      <c r="Q57" s="370"/>
      <c r="R57" s="370"/>
      <c r="S57" s="370"/>
      <c r="T57" s="370"/>
      <c r="U57" s="370"/>
      <c r="V57" s="370"/>
      <c r="Z57" s="347"/>
      <c r="AA57" s="347"/>
      <c r="AB57" s="347"/>
      <c r="AC57" s="347"/>
      <c r="AD57" s="347"/>
      <c r="AE57" s="347"/>
      <c r="AF57" s="347"/>
      <c r="AG57" s="347"/>
      <c r="AH57" s="347"/>
      <c r="AI57" s="347"/>
      <c r="AJ57" s="347"/>
      <c r="AK57" s="347"/>
      <c r="AL57" s="347"/>
      <c r="AM57" s="347"/>
      <c r="AN57" s="347"/>
      <c r="AO57" s="347"/>
      <c r="AP57" s="347"/>
      <c r="AQ57" s="347"/>
      <c r="AR57" s="347"/>
      <c r="AS57" s="347"/>
      <c r="AT57" s="347"/>
      <c r="AU57" s="347"/>
      <c r="AV57" s="347"/>
      <c r="AW57" s="347"/>
      <c r="AX57" s="347"/>
      <c r="AY57" s="347"/>
      <c r="AZ57" s="347"/>
      <c r="BA57" s="347"/>
      <c r="BB57" s="347"/>
      <c r="BC57" s="347"/>
      <c r="BD57" s="347"/>
      <c r="BE57" s="347"/>
      <c r="BF57" s="347"/>
      <c r="BG57" s="347"/>
      <c r="BH57" s="347"/>
      <c r="BI57" s="347"/>
      <c r="BJ57" s="347"/>
      <c r="BK57" s="347"/>
      <c r="BL57" s="347"/>
      <c r="BM57" s="347"/>
      <c r="BN57" s="347"/>
      <c r="BO57" s="347"/>
      <c r="BP57" s="347"/>
      <c r="BQ57" s="347"/>
      <c r="BR57" s="347"/>
      <c r="BS57" s="347"/>
      <c r="BT57" s="347"/>
      <c r="BU57" s="347"/>
      <c r="BV57" s="347"/>
      <c r="BW57" s="347"/>
      <c r="BX57" s="347"/>
      <c r="BY57" s="347"/>
      <c r="BZ57" s="347"/>
      <c r="CA57" s="347"/>
      <c r="CB57" s="347"/>
      <c r="CC57" s="347"/>
      <c r="CD57" s="347"/>
      <c r="CE57" s="347"/>
      <c r="CF57" s="347"/>
      <c r="CG57" s="347"/>
      <c r="CH57" s="347"/>
      <c r="CI57" s="347"/>
      <c r="CJ57" s="347"/>
      <c r="CK57" s="347"/>
      <c r="CL57" s="347"/>
      <c r="CM57" s="347"/>
      <c r="CN57" s="347"/>
      <c r="CO57" s="347"/>
      <c r="CP57" s="347"/>
      <c r="CQ57" s="347"/>
      <c r="CR57" s="347"/>
      <c r="CS57" s="347"/>
      <c r="CT57" s="347"/>
      <c r="CU57" s="347"/>
      <c r="CV57" s="347"/>
      <c r="CW57" s="347"/>
      <c r="CX57" s="347"/>
      <c r="CY57" s="347"/>
      <c r="CZ57" s="347"/>
      <c r="DA57" s="347"/>
      <c r="DB57" s="347"/>
      <c r="DC57" s="347"/>
      <c r="DD57" s="347"/>
      <c r="DE57" s="347"/>
      <c r="DF57" s="347"/>
    </row>
    <row r="58" spans="1:110" ht="15">
      <c r="A58" s="1825" t="s">
        <v>3514</v>
      </c>
      <c r="B58" s="468"/>
      <c r="C58" s="468"/>
      <c r="D58" s="468"/>
      <c r="E58" s="468"/>
      <c r="F58" s="468"/>
      <c r="G58" s="1827"/>
      <c r="H58" s="1827"/>
      <c r="I58" s="1827"/>
      <c r="J58" s="1827">
        <v>33</v>
      </c>
      <c r="K58" s="1596"/>
      <c r="L58" s="1596"/>
      <c r="M58" s="343"/>
      <c r="N58" s="1640"/>
      <c r="O58" s="1596"/>
      <c r="P58" s="1596"/>
      <c r="Q58" s="1827"/>
      <c r="R58" s="1827"/>
      <c r="S58" s="1827"/>
      <c r="T58" s="1827"/>
      <c r="U58" s="1827"/>
      <c r="V58" s="1827"/>
      <c r="Z58" s="475"/>
      <c r="AA58" s="475"/>
      <c r="AB58" s="475"/>
      <c r="AC58" s="475"/>
      <c r="AD58" s="475"/>
      <c r="AE58" s="475"/>
      <c r="AF58" s="475"/>
      <c r="AG58" s="475"/>
      <c r="AH58" s="475"/>
      <c r="AI58" s="475"/>
      <c r="AJ58" s="475"/>
      <c r="AK58" s="475"/>
      <c r="AL58" s="475"/>
      <c r="AM58" s="475"/>
      <c r="AN58" s="475"/>
      <c r="AO58" s="475"/>
      <c r="AP58" s="475"/>
      <c r="AQ58" s="475"/>
      <c r="AR58" s="475"/>
      <c r="AS58" s="475"/>
      <c r="AT58" s="475"/>
      <c r="AU58" s="475"/>
      <c r="AV58" s="475"/>
      <c r="AW58" s="475"/>
      <c r="AX58" s="475"/>
      <c r="AY58" s="475"/>
      <c r="AZ58" s="475"/>
      <c r="BA58" s="475"/>
      <c r="BB58" s="475"/>
      <c r="BC58" s="475"/>
      <c r="BD58" s="475"/>
      <c r="BE58" s="475"/>
      <c r="BF58" s="475"/>
      <c r="BG58" s="475"/>
      <c r="BH58" s="475"/>
      <c r="BI58" s="475"/>
      <c r="BJ58" s="475"/>
      <c r="BK58" s="466"/>
      <c r="BL58" s="466"/>
      <c r="BM58" s="466"/>
      <c r="BN58" s="466"/>
      <c r="BO58" s="466"/>
      <c r="BP58" s="466"/>
      <c r="BQ58" s="466"/>
      <c r="BR58" s="466"/>
      <c r="BS58" s="466"/>
      <c r="BT58" s="466"/>
      <c r="BU58" s="466"/>
      <c r="BV58" s="466"/>
      <c r="BW58" s="466"/>
      <c r="BX58" s="466"/>
      <c r="BY58" s="466"/>
      <c r="BZ58" s="466"/>
      <c r="CA58" s="466"/>
      <c r="CB58" s="466"/>
      <c r="CC58" s="466"/>
      <c r="CD58" s="466"/>
      <c r="CE58" s="466"/>
      <c r="CF58" s="466"/>
      <c r="CG58" s="466"/>
      <c r="CH58" s="347"/>
      <c r="CI58" s="347"/>
      <c r="CJ58" s="347"/>
      <c r="CK58" s="491"/>
      <c r="CL58" s="347"/>
      <c r="CM58" s="347"/>
      <c r="CN58" s="347"/>
      <c r="CO58" s="499"/>
      <c r="CP58" s="347"/>
      <c r="CQ58" s="347"/>
      <c r="CR58" s="347"/>
      <c r="CS58" s="347"/>
      <c r="CT58" s="347"/>
      <c r="CU58" s="347"/>
      <c r="CV58" s="347"/>
      <c r="CW58" s="347"/>
      <c r="CX58" s="347"/>
      <c r="CY58" s="462"/>
      <c r="CZ58" s="462"/>
      <c r="DA58" s="462"/>
      <c r="DB58" s="464"/>
      <c r="DC58" s="464"/>
      <c r="DD58" s="464"/>
      <c r="DE58" s="464"/>
      <c r="DF58" s="462"/>
    </row>
    <row r="59" spans="1:110">
      <c r="A59" s="1596"/>
      <c r="B59" s="511"/>
      <c r="C59" s="511"/>
      <c r="D59" s="511"/>
      <c r="E59" s="511"/>
      <c r="F59" s="511"/>
      <c r="G59" s="1828"/>
      <c r="H59" s="1828"/>
      <c r="I59" s="1828"/>
      <c r="J59" s="1828"/>
      <c r="K59" s="1828"/>
      <c r="L59" s="1828"/>
      <c r="M59" s="1828"/>
      <c r="N59" s="1828"/>
      <c r="O59" s="1828"/>
      <c r="P59" s="1828"/>
      <c r="Q59" s="1828"/>
      <c r="R59" s="1828"/>
      <c r="S59" s="1828"/>
      <c r="T59" s="1828"/>
      <c r="U59" s="1828"/>
      <c r="V59" s="1828"/>
      <c r="Z59" s="512"/>
      <c r="AA59" s="512"/>
      <c r="AB59" s="512"/>
      <c r="AC59" s="512"/>
      <c r="AD59" s="512"/>
      <c r="AE59" s="512"/>
      <c r="AF59" s="512"/>
      <c r="AG59" s="51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491"/>
      <c r="CL59" s="347"/>
      <c r="CM59" s="347"/>
      <c r="CN59" s="347"/>
      <c r="CO59" s="499"/>
      <c r="CP59" s="347"/>
      <c r="CQ59" s="347"/>
      <c r="CR59" s="347"/>
      <c r="CS59" s="347"/>
      <c r="CT59" s="347"/>
      <c r="CU59" s="347"/>
      <c r="CV59" s="347"/>
      <c r="CW59" s="347"/>
      <c r="CX59" s="347"/>
      <c r="CY59" s="462"/>
      <c r="CZ59" s="462"/>
      <c r="DA59" s="462"/>
      <c r="DB59" s="464"/>
      <c r="DC59" s="464"/>
      <c r="DD59" s="464"/>
      <c r="DE59" s="464"/>
      <c r="DF59" s="462"/>
    </row>
    <row r="60" spans="1:110" ht="15">
      <c r="A60" s="1825"/>
      <c r="B60" s="471"/>
      <c r="C60" s="471"/>
      <c r="D60" s="471"/>
      <c r="E60" s="471"/>
      <c r="F60" s="471"/>
      <c r="G60" s="1829"/>
      <c r="H60" s="1829"/>
      <c r="I60" s="1829"/>
      <c r="J60" s="1829"/>
      <c r="K60" s="1830" t="s">
        <v>3357</v>
      </c>
      <c r="L60" s="1831"/>
      <c r="M60" s="1830" t="s">
        <v>3515</v>
      </c>
      <c r="N60" s="1831"/>
      <c r="O60" s="1830" t="s">
        <v>3357</v>
      </c>
      <c r="P60" s="1831"/>
      <c r="Q60" s="1830" t="s">
        <v>3515</v>
      </c>
      <c r="R60" s="1831"/>
      <c r="S60" s="1830" t="s">
        <v>3357</v>
      </c>
      <c r="T60" s="1831"/>
      <c r="U60" s="1830" t="s">
        <v>3515</v>
      </c>
      <c r="V60" s="1831"/>
      <c r="Z60" s="466"/>
      <c r="AA60" s="466"/>
      <c r="AB60" s="466"/>
      <c r="AC60" s="466"/>
      <c r="AD60" s="466"/>
      <c r="AE60" s="466"/>
      <c r="AF60" s="466"/>
      <c r="AG60" s="466"/>
      <c r="AH60" s="466"/>
      <c r="AI60" s="466"/>
      <c r="AJ60" s="466"/>
      <c r="AK60" s="466"/>
      <c r="AL60" s="466"/>
      <c r="AM60" s="466"/>
      <c r="AN60" s="466"/>
      <c r="AO60" s="466"/>
      <c r="AP60" s="466"/>
      <c r="AQ60" s="466"/>
      <c r="AR60" s="466"/>
      <c r="AS60" s="466"/>
      <c r="AT60" s="466"/>
      <c r="AU60" s="466"/>
      <c r="AV60" s="466"/>
      <c r="AW60" s="466"/>
      <c r="AX60" s="466"/>
      <c r="AY60" s="466"/>
      <c r="AZ60" s="466"/>
      <c r="BA60" s="466"/>
      <c r="BB60" s="466"/>
      <c r="BC60" s="466"/>
      <c r="BD60" s="466"/>
      <c r="BE60" s="466"/>
      <c r="BF60" s="466"/>
      <c r="BG60" s="466"/>
      <c r="BH60" s="466"/>
      <c r="BI60" s="466"/>
      <c r="BJ60" s="466"/>
      <c r="BK60" s="466"/>
      <c r="BL60" s="466"/>
      <c r="BM60" s="466"/>
      <c r="BN60" s="466"/>
      <c r="BO60" s="466"/>
      <c r="BP60" s="466"/>
      <c r="BQ60" s="466"/>
      <c r="BR60" s="466"/>
      <c r="BS60" s="466"/>
      <c r="BT60" s="466"/>
      <c r="BU60" s="466"/>
      <c r="BV60" s="466"/>
      <c r="BW60" s="466"/>
      <c r="BX60" s="466"/>
      <c r="BY60" s="466"/>
      <c r="BZ60" s="466"/>
      <c r="CA60" s="466"/>
      <c r="CB60" s="466"/>
      <c r="CC60" s="466"/>
      <c r="CD60" s="466"/>
      <c r="CE60" s="466"/>
      <c r="CF60" s="466"/>
      <c r="CG60" s="466"/>
      <c r="CH60" s="466"/>
      <c r="CI60" s="466"/>
      <c r="CJ60" s="466"/>
      <c r="CK60" s="491"/>
      <c r="CL60" s="347"/>
      <c r="CM60" s="347"/>
      <c r="CN60" s="347"/>
      <c r="CO60" s="499"/>
      <c r="CP60" s="499"/>
      <c r="CQ60" s="499"/>
      <c r="CR60" s="499"/>
      <c r="CS60" s="499"/>
      <c r="CT60" s="499"/>
      <c r="CU60" s="499"/>
      <c r="CV60" s="499"/>
      <c r="CW60" s="347"/>
      <c r="CX60" s="347"/>
      <c r="CY60" s="462"/>
      <c r="CZ60" s="462"/>
      <c r="DA60" s="462"/>
      <c r="DB60" s="464"/>
      <c r="DC60" s="464"/>
      <c r="DD60" s="464"/>
      <c r="DE60" s="464"/>
      <c r="DF60" s="462"/>
    </row>
    <row r="61" spans="1:110" ht="15">
      <c r="A61" s="1660" t="s">
        <v>3516</v>
      </c>
      <c r="B61" s="479"/>
      <c r="C61" s="479"/>
      <c r="D61" s="479"/>
      <c r="E61" s="479"/>
      <c r="F61" s="479"/>
      <c r="G61" s="1829"/>
      <c r="H61" s="1829"/>
      <c r="I61" s="1829"/>
      <c r="J61" s="1829"/>
      <c r="K61" s="1830" t="s">
        <v>3517</v>
      </c>
      <c r="L61" s="1830" t="s">
        <v>3364</v>
      </c>
      <c r="M61" s="1830" t="s">
        <v>3517</v>
      </c>
      <c r="N61" s="1830" t="s">
        <v>3281</v>
      </c>
      <c r="O61" s="1830" t="s">
        <v>3363</v>
      </c>
      <c r="P61" s="1830" t="s">
        <v>3364</v>
      </c>
      <c r="Q61" s="1830" t="s">
        <v>3363</v>
      </c>
      <c r="R61" s="1830" t="s">
        <v>3281</v>
      </c>
      <c r="S61" s="1830" t="s">
        <v>3363</v>
      </c>
      <c r="T61" s="1830" t="s">
        <v>3364</v>
      </c>
      <c r="U61" s="1830" t="s">
        <v>3363</v>
      </c>
      <c r="V61" s="1830" t="s">
        <v>3281</v>
      </c>
      <c r="Z61" s="466"/>
      <c r="AA61" s="466"/>
      <c r="AB61" s="466"/>
      <c r="AC61" s="466"/>
      <c r="AD61" s="466"/>
      <c r="AE61" s="466"/>
      <c r="AF61" s="466"/>
      <c r="AG61" s="466"/>
      <c r="AH61" s="466"/>
      <c r="AI61" s="466"/>
      <c r="AJ61" s="466"/>
      <c r="AK61" s="466"/>
      <c r="AL61" s="466"/>
      <c r="AM61" s="466"/>
      <c r="AN61" s="466"/>
      <c r="AO61" s="466"/>
      <c r="AP61" s="466"/>
      <c r="AQ61" s="466"/>
      <c r="AR61" s="466"/>
      <c r="AS61" s="466"/>
      <c r="AT61" s="466"/>
      <c r="AU61" s="466"/>
      <c r="AV61" s="466"/>
      <c r="AW61" s="466"/>
      <c r="AX61" s="466"/>
      <c r="AY61" s="466"/>
      <c r="AZ61" s="466"/>
      <c r="BA61" s="466"/>
      <c r="BB61" s="466"/>
      <c r="BC61" s="466"/>
      <c r="BD61" s="466"/>
      <c r="BE61" s="466"/>
      <c r="BF61" s="466"/>
      <c r="BG61" s="466"/>
      <c r="BH61" s="466"/>
      <c r="BI61" s="466"/>
      <c r="BJ61" s="466"/>
      <c r="BK61" s="466"/>
      <c r="BL61" s="466"/>
      <c r="BM61" s="466"/>
      <c r="BN61" s="466"/>
      <c r="BO61" s="466"/>
      <c r="BP61" s="466"/>
      <c r="BQ61" s="466"/>
      <c r="BR61" s="466"/>
      <c r="BS61" s="466"/>
      <c r="BT61" s="466"/>
      <c r="BU61" s="466"/>
      <c r="BV61" s="466"/>
      <c r="BW61" s="466"/>
      <c r="BX61" s="466"/>
      <c r="BY61" s="466"/>
      <c r="BZ61" s="466"/>
      <c r="CA61" s="466"/>
      <c r="CB61" s="466"/>
      <c r="CC61" s="466"/>
      <c r="CD61" s="466"/>
      <c r="CE61" s="466"/>
      <c r="CF61" s="466"/>
      <c r="CG61" s="466"/>
      <c r="CH61" s="466"/>
      <c r="CI61" s="466"/>
      <c r="CJ61" s="466"/>
      <c r="CK61" s="491"/>
      <c r="CL61" s="513"/>
      <c r="CM61" s="347"/>
      <c r="CN61" s="347"/>
      <c r="CO61" s="499"/>
      <c r="CP61" s="499"/>
      <c r="CQ61" s="499"/>
      <c r="CR61" s="499"/>
      <c r="CS61" s="499"/>
      <c r="CT61" s="499"/>
      <c r="CU61" s="499"/>
      <c r="CV61" s="499"/>
      <c r="CW61" s="347"/>
      <c r="CX61" s="347"/>
      <c r="CY61" s="462"/>
      <c r="CZ61" s="462"/>
      <c r="DA61" s="462"/>
      <c r="DB61" s="464"/>
      <c r="DC61" s="464"/>
      <c r="DD61" s="464"/>
      <c r="DE61" s="464"/>
      <c r="DF61" s="462"/>
    </row>
    <row r="62" spans="1:110" ht="15.75">
      <c r="A62" s="457" t="s">
        <v>3367</v>
      </c>
      <c r="B62" s="1797"/>
      <c r="C62" s="1797"/>
      <c r="D62" s="1797"/>
      <c r="E62" s="1797"/>
      <c r="F62" s="1797"/>
      <c r="G62" s="1797"/>
      <c r="H62" s="1797"/>
      <c r="I62" s="1797"/>
      <c r="J62" s="1798">
        <v>1</v>
      </c>
      <c r="K62" s="9">
        <v>9798215764480</v>
      </c>
      <c r="L62" s="514">
        <v>45648</v>
      </c>
      <c r="M62" s="9">
        <v>9798215582671</v>
      </c>
      <c r="N62" s="514">
        <v>45648</v>
      </c>
      <c r="O62" s="1832"/>
      <c r="P62" s="1832"/>
      <c r="Q62" s="1832"/>
      <c r="R62" s="1832"/>
      <c r="S62" s="1832"/>
      <c r="T62" s="1832"/>
      <c r="U62" s="1832"/>
      <c r="V62" s="1832"/>
      <c r="Z62" s="466"/>
      <c r="AA62" s="466"/>
      <c r="AB62" s="466"/>
      <c r="AC62" s="466"/>
      <c r="AD62" s="466"/>
      <c r="AE62" s="466"/>
      <c r="AF62" s="466"/>
      <c r="AG62" s="466"/>
      <c r="AH62" s="466"/>
      <c r="AI62" s="466"/>
      <c r="AJ62" s="466"/>
      <c r="AK62" s="466"/>
      <c r="AL62" s="466"/>
      <c r="AM62" s="466"/>
      <c r="AN62" s="466"/>
      <c r="AO62" s="466"/>
      <c r="AP62" s="466"/>
      <c r="AQ62" s="466"/>
      <c r="AR62" s="466"/>
      <c r="AS62" s="466"/>
      <c r="AT62" s="466"/>
      <c r="AU62" s="466"/>
      <c r="AV62" s="466"/>
      <c r="AW62" s="466"/>
      <c r="AX62" s="466"/>
      <c r="AY62" s="466"/>
      <c r="AZ62" s="466"/>
      <c r="BA62" s="466"/>
      <c r="BB62" s="466"/>
      <c r="BC62" s="466"/>
      <c r="BD62" s="466"/>
      <c r="BE62" s="466"/>
      <c r="BF62" s="466"/>
      <c r="BG62" s="466"/>
      <c r="BH62" s="466"/>
      <c r="BI62" s="466"/>
      <c r="BJ62" s="466"/>
      <c r="BK62" s="466"/>
      <c r="BL62" s="466"/>
      <c r="BM62" s="466"/>
      <c r="BN62" s="466"/>
      <c r="BO62" s="466"/>
      <c r="BP62" s="466"/>
      <c r="BQ62" s="466"/>
      <c r="BR62" s="466"/>
      <c r="BS62" s="466"/>
      <c r="BT62" s="466"/>
      <c r="BU62" s="466"/>
      <c r="BV62" s="466"/>
      <c r="BW62" s="466"/>
      <c r="BX62" s="466"/>
      <c r="BY62" s="466"/>
      <c r="BZ62" s="466"/>
      <c r="CA62" s="466"/>
      <c r="CB62" s="466"/>
      <c r="CC62" s="466"/>
      <c r="CD62" s="466"/>
      <c r="CE62" s="466"/>
      <c r="CF62" s="466"/>
      <c r="CG62" s="466"/>
      <c r="CH62" s="347"/>
      <c r="CI62" s="347"/>
      <c r="CJ62" s="347"/>
      <c r="CK62" s="491"/>
      <c r="CL62" s="515"/>
      <c r="CM62" s="347"/>
      <c r="CN62" s="515"/>
      <c r="CO62" s="499"/>
      <c r="CP62" s="499"/>
      <c r="CQ62" s="499"/>
      <c r="CR62" s="499"/>
      <c r="CS62" s="499"/>
      <c r="CT62" s="499"/>
      <c r="CU62" s="499"/>
      <c r="CV62" s="499"/>
      <c r="CW62" s="347"/>
      <c r="CX62" s="347"/>
      <c r="CY62" s="462"/>
      <c r="CZ62" s="462"/>
      <c r="DA62" s="462"/>
      <c r="DB62" s="464"/>
      <c r="DC62" s="464"/>
      <c r="DD62" s="464"/>
      <c r="DE62" s="464"/>
      <c r="DF62" s="462"/>
    </row>
    <row r="63" spans="1:110" ht="15.75">
      <c r="A63" s="457" t="s">
        <v>3376</v>
      </c>
      <c r="B63" s="1797"/>
      <c r="C63" s="1797"/>
      <c r="D63" s="1797"/>
      <c r="E63" s="1797"/>
      <c r="F63" s="1797"/>
      <c r="G63" s="1797"/>
      <c r="H63" s="1797"/>
      <c r="I63" s="1797"/>
      <c r="J63" s="1798">
        <v>2</v>
      </c>
      <c r="K63" s="22">
        <v>9798215094983</v>
      </c>
      <c r="L63" s="1832">
        <v>45314</v>
      </c>
      <c r="M63" s="22">
        <v>9798215242438</v>
      </c>
      <c r="N63" s="1832">
        <v>45314</v>
      </c>
      <c r="O63" s="1832"/>
      <c r="P63" s="1832"/>
      <c r="Q63" s="1832"/>
      <c r="R63" s="1832"/>
      <c r="S63" s="1832"/>
      <c r="T63" s="1832"/>
      <c r="U63" s="1832"/>
      <c r="V63" s="1832"/>
      <c r="Z63" s="466"/>
      <c r="AA63" s="466"/>
      <c r="AB63" s="466"/>
      <c r="AC63" s="466"/>
      <c r="AD63" s="466"/>
      <c r="AE63" s="466"/>
      <c r="AF63" s="466"/>
      <c r="AG63" s="466"/>
      <c r="AH63" s="466"/>
      <c r="AI63" s="466"/>
      <c r="AJ63" s="466"/>
      <c r="AK63" s="466"/>
      <c r="AL63" s="466"/>
      <c r="AM63" s="466"/>
      <c r="AN63" s="466"/>
      <c r="AO63" s="466"/>
      <c r="AP63" s="466"/>
      <c r="AQ63" s="466"/>
      <c r="AR63" s="466"/>
      <c r="AS63" s="466"/>
      <c r="AT63" s="466"/>
      <c r="AU63" s="466"/>
      <c r="AV63" s="466"/>
      <c r="AW63" s="466"/>
      <c r="AX63" s="466"/>
      <c r="AY63" s="466"/>
      <c r="AZ63" s="466"/>
      <c r="BA63" s="466"/>
      <c r="BB63" s="466"/>
      <c r="BC63" s="466"/>
      <c r="BD63" s="466"/>
      <c r="BE63" s="466"/>
      <c r="BF63" s="466"/>
      <c r="BG63" s="466"/>
      <c r="BH63" s="466"/>
      <c r="BI63" s="466"/>
      <c r="BJ63" s="466"/>
      <c r="BK63" s="466"/>
      <c r="BL63" s="466"/>
      <c r="BM63" s="466"/>
      <c r="BN63" s="466"/>
      <c r="BO63" s="466"/>
      <c r="BP63" s="466"/>
      <c r="BQ63" s="466"/>
      <c r="BR63" s="466"/>
      <c r="BS63" s="466"/>
      <c r="BT63" s="466"/>
      <c r="BU63" s="466"/>
      <c r="BV63" s="466"/>
      <c r="BW63" s="466"/>
      <c r="BX63" s="466"/>
      <c r="BY63" s="466"/>
      <c r="BZ63" s="466"/>
      <c r="CA63" s="466"/>
      <c r="CB63" s="466"/>
      <c r="CC63" s="466"/>
      <c r="CD63" s="466"/>
      <c r="CE63" s="466"/>
      <c r="CF63" s="466"/>
      <c r="CG63" s="466"/>
      <c r="CH63" s="347"/>
      <c r="CI63" s="347"/>
      <c r="CJ63" s="347"/>
      <c r="CK63" s="491"/>
      <c r="CL63" s="515"/>
      <c r="CM63" s="347"/>
      <c r="CN63" s="515"/>
      <c r="CO63" s="499"/>
      <c r="CP63" s="499"/>
      <c r="CQ63" s="499"/>
      <c r="CR63" s="499"/>
      <c r="CS63" s="499"/>
      <c r="CT63" s="499"/>
      <c r="CU63" s="499"/>
      <c r="CV63" s="499"/>
      <c r="CW63" s="347"/>
      <c r="CX63" s="347"/>
      <c r="CY63" s="462"/>
      <c r="CZ63" s="462"/>
      <c r="DA63" s="462"/>
      <c r="DB63" s="464"/>
      <c r="DC63" s="464"/>
      <c r="DD63" s="464"/>
      <c r="DE63" s="464"/>
      <c r="DF63" s="462"/>
    </row>
    <row r="64" spans="1:110" ht="15.75">
      <c r="A64" s="457" t="s">
        <v>3382</v>
      </c>
      <c r="B64" s="1797"/>
      <c r="C64" s="1797"/>
      <c r="D64" s="1797"/>
      <c r="E64" s="1797"/>
      <c r="F64" s="1797"/>
      <c r="G64" s="1797"/>
      <c r="H64" s="1797"/>
      <c r="I64" s="1797"/>
      <c r="J64" s="1798">
        <v>3</v>
      </c>
      <c r="K64" s="1833">
        <v>9798215899892</v>
      </c>
      <c r="L64" s="1832">
        <v>45648</v>
      </c>
      <c r="M64" s="22">
        <v>9798215857700</v>
      </c>
      <c r="N64" s="1832">
        <v>45648</v>
      </c>
      <c r="O64" s="1832"/>
      <c r="P64" s="1832"/>
      <c r="Q64" s="1832"/>
      <c r="R64" s="1832"/>
      <c r="S64" s="1832"/>
      <c r="T64" s="1832"/>
      <c r="U64" s="1832"/>
      <c r="V64" s="1832"/>
      <c r="Z64" s="466"/>
      <c r="AA64" s="466"/>
      <c r="AB64" s="466"/>
      <c r="AC64" s="466"/>
      <c r="AD64" s="466"/>
      <c r="AE64" s="466"/>
      <c r="AF64" s="466"/>
      <c r="AG64" s="466"/>
      <c r="AH64" s="466"/>
      <c r="AI64" s="466"/>
      <c r="AJ64" s="466"/>
      <c r="AK64" s="466"/>
      <c r="AL64" s="466"/>
      <c r="AM64" s="466"/>
      <c r="AN64" s="466"/>
      <c r="AO64" s="466"/>
      <c r="AP64" s="466"/>
      <c r="AQ64" s="466"/>
      <c r="AR64" s="466"/>
      <c r="AS64" s="466"/>
      <c r="AT64" s="466"/>
      <c r="AU64" s="466"/>
      <c r="AV64" s="466"/>
      <c r="AW64" s="466"/>
      <c r="AX64" s="466"/>
      <c r="AY64" s="466"/>
      <c r="AZ64" s="466"/>
      <c r="BA64" s="466"/>
      <c r="BB64" s="466"/>
      <c r="BC64" s="466"/>
      <c r="BD64" s="466"/>
      <c r="BE64" s="466"/>
      <c r="BF64" s="466"/>
      <c r="BG64" s="466"/>
      <c r="BH64" s="466"/>
      <c r="BI64" s="466"/>
      <c r="BJ64" s="466"/>
      <c r="BK64" s="466"/>
      <c r="BL64" s="466"/>
      <c r="BM64" s="466"/>
      <c r="BN64" s="466"/>
      <c r="BO64" s="466"/>
      <c r="BP64" s="466"/>
      <c r="BQ64" s="466"/>
      <c r="BR64" s="466"/>
      <c r="BS64" s="466"/>
      <c r="BT64" s="466"/>
      <c r="BU64" s="466"/>
      <c r="BV64" s="466"/>
      <c r="BW64" s="466"/>
      <c r="BX64" s="466"/>
      <c r="BY64" s="466"/>
      <c r="BZ64" s="466"/>
      <c r="CA64" s="466"/>
      <c r="CB64" s="466"/>
      <c r="CC64" s="466"/>
      <c r="CD64" s="466"/>
      <c r="CE64" s="466"/>
      <c r="CF64" s="466"/>
      <c r="CG64" s="466"/>
      <c r="CH64" s="347"/>
      <c r="CI64" s="347"/>
      <c r="CJ64" s="347"/>
      <c r="CK64" s="491"/>
      <c r="CL64" s="515"/>
      <c r="CM64" s="347"/>
      <c r="CN64" s="515"/>
      <c r="CO64" s="499"/>
      <c r="CP64" s="499"/>
      <c r="CQ64" s="499"/>
      <c r="CR64" s="499"/>
      <c r="CS64" s="499"/>
      <c r="CT64" s="499"/>
      <c r="CU64" s="499"/>
      <c r="CV64" s="499"/>
      <c r="CW64" s="347"/>
      <c r="CX64" s="347"/>
      <c r="CY64" s="462"/>
      <c r="CZ64" s="462"/>
      <c r="DA64" s="462"/>
      <c r="DB64" s="464"/>
      <c r="DC64" s="464"/>
      <c r="DD64" s="464"/>
      <c r="DE64" s="464"/>
      <c r="DF64" s="462"/>
    </row>
    <row r="65" spans="1:110" ht="15.75">
      <c r="A65" s="457" t="s">
        <v>3389</v>
      </c>
      <c r="B65" s="1797"/>
      <c r="C65" s="1797"/>
      <c r="D65" s="1797"/>
      <c r="E65" s="1797"/>
      <c r="F65" s="1797"/>
      <c r="G65" s="1797"/>
      <c r="H65" s="1797"/>
      <c r="I65" s="1797"/>
      <c r="J65" s="1798">
        <v>4</v>
      </c>
      <c r="K65" s="22">
        <v>9798215370759</v>
      </c>
      <c r="L65" s="1832">
        <v>45314</v>
      </c>
      <c r="M65" s="1829" t="s">
        <v>3518</v>
      </c>
      <c r="N65" s="1829" t="s">
        <v>3518</v>
      </c>
      <c r="O65" s="1832"/>
      <c r="P65" s="1832"/>
      <c r="Q65" s="1832"/>
      <c r="R65" s="1832"/>
      <c r="S65" s="1832"/>
      <c r="T65" s="1832"/>
      <c r="U65" s="1832"/>
      <c r="V65" s="1832"/>
      <c r="Z65" s="466"/>
      <c r="AA65" s="466"/>
      <c r="AB65" s="466"/>
      <c r="AC65" s="466"/>
      <c r="AD65" s="466"/>
      <c r="AE65" s="466"/>
      <c r="AF65" s="466"/>
      <c r="AG65" s="466"/>
      <c r="AH65" s="466"/>
      <c r="AI65" s="466"/>
      <c r="AJ65" s="466"/>
      <c r="AK65" s="466"/>
      <c r="AL65" s="466"/>
      <c r="AM65" s="466"/>
      <c r="AN65" s="466"/>
      <c r="AO65" s="466"/>
      <c r="AP65" s="466"/>
      <c r="AQ65" s="466"/>
      <c r="AR65" s="466"/>
      <c r="AS65" s="466"/>
      <c r="AT65" s="466"/>
      <c r="AU65" s="466"/>
      <c r="AV65" s="466"/>
      <c r="AW65" s="466"/>
      <c r="AX65" s="466"/>
      <c r="AY65" s="466"/>
      <c r="AZ65" s="466"/>
      <c r="BA65" s="466"/>
      <c r="BB65" s="466"/>
      <c r="BC65" s="466"/>
      <c r="BD65" s="466"/>
      <c r="BE65" s="466"/>
      <c r="BF65" s="466"/>
      <c r="BG65" s="466"/>
      <c r="BH65" s="466"/>
      <c r="BI65" s="466"/>
      <c r="BJ65" s="466"/>
      <c r="BK65" s="466"/>
      <c r="BL65" s="466"/>
      <c r="BM65" s="466"/>
      <c r="BN65" s="466"/>
      <c r="BO65" s="466"/>
      <c r="BP65" s="466"/>
      <c r="BQ65" s="466"/>
      <c r="BR65" s="466"/>
      <c r="BS65" s="466"/>
      <c r="BT65" s="466"/>
      <c r="BU65" s="466"/>
      <c r="BV65" s="466"/>
      <c r="BW65" s="466"/>
      <c r="BX65" s="466"/>
      <c r="BY65" s="466"/>
      <c r="BZ65" s="466"/>
      <c r="CA65" s="466"/>
      <c r="CB65" s="466"/>
      <c r="CC65" s="466"/>
      <c r="CD65" s="466"/>
      <c r="CE65" s="466"/>
      <c r="CF65" s="466"/>
      <c r="CG65" s="466"/>
      <c r="CH65" s="347"/>
      <c r="CI65" s="347"/>
      <c r="CJ65" s="347"/>
      <c r="CK65" s="491"/>
      <c r="CL65" s="515"/>
      <c r="CM65" s="347"/>
      <c r="CN65" s="515"/>
      <c r="CO65" s="499"/>
      <c r="CP65" s="499"/>
      <c r="CQ65" s="499"/>
      <c r="CR65" s="499"/>
      <c r="CS65" s="499"/>
      <c r="CT65" s="499"/>
      <c r="CU65" s="499"/>
      <c r="CV65" s="499"/>
      <c r="CW65" s="347"/>
      <c r="CX65" s="347"/>
      <c r="CY65" s="462"/>
      <c r="CZ65" s="462"/>
      <c r="DA65" s="462"/>
      <c r="DB65" s="464"/>
      <c r="DC65" s="464"/>
      <c r="DD65" s="464"/>
      <c r="DE65" s="464"/>
      <c r="DF65" s="462"/>
    </row>
    <row r="66" spans="1:110" ht="15.75">
      <c r="A66" s="457" t="s">
        <v>3392</v>
      </c>
      <c r="B66" s="1797"/>
      <c r="C66" s="1797"/>
      <c r="D66" s="1797"/>
      <c r="E66" s="1797"/>
      <c r="F66" s="1797"/>
      <c r="G66" s="1797"/>
      <c r="H66" s="1797"/>
      <c r="I66" s="1797"/>
      <c r="J66" s="1798">
        <v>5</v>
      </c>
      <c r="K66" s="22">
        <v>9798215735503</v>
      </c>
      <c r="L66" s="1832">
        <v>45314</v>
      </c>
      <c r="M66" s="22">
        <v>9798215191088</v>
      </c>
      <c r="N66" s="1832">
        <v>45314</v>
      </c>
      <c r="O66" s="1832"/>
      <c r="P66" s="1832"/>
      <c r="Q66" s="1832"/>
      <c r="R66" s="1832"/>
      <c r="S66" s="1832"/>
      <c r="T66" s="1832"/>
      <c r="U66" s="1832"/>
      <c r="V66" s="1832"/>
      <c r="Z66" s="466"/>
      <c r="AA66" s="466"/>
      <c r="AB66" s="466"/>
      <c r="AC66" s="466"/>
      <c r="AD66" s="466"/>
      <c r="AE66" s="466"/>
      <c r="AF66" s="466"/>
      <c r="AG66" s="466"/>
      <c r="AH66" s="466"/>
      <c r="AI66" s="466"/>
      <c r="AJ66" s="466"/>
      <c r="AK66" s="466"/>
      <c r="AL66" s="466"/>
      <c r="AM66" s="466"/>
      <c r="AN66" s="466"/>
      <c r="AO66" s="466"/>
      <c r="AP66" s="466"/>
      <c r="AQ66" s="466"/>
      <c r="AR66" s="466"/>
      <c r="AS66" s="466"/>
      <c r="AT66" s="466"/>
      <c r="AU66" s="466"/>
      <c r="AV66" s="466"/>
      <c r="AW66" s="466"/>
      <c r="AX66" s="466"/>
      <c r="AY66" s="466"/>
      <c r="AZ66" s="466"/>
      <c r="BA66" s="466"/>
      <c r="BB66" s="466"/>
      <c r="BC66" s="466"/>
      <c r="BD66" s="466"/>
      <c r="BE66" s="466"/>
      <c r="BF66" s="466"/>
      <c r="BG66" s="466"/>
      <c r="BH66" s="466"/>
      <c r="BI66" s="466"/>
      <c r="BJ66" s="466"/>
      <c r="BK66" s="466"/>
      <c r="BL66" s="466"/>
      <c r="BM66" s="466"/>
      <c r="BN66" s="466"/>
      <c r="BO66" s="466"/>
      <c r="BP66" s="466"/>
      <c r="BQ66" s="466"/>
      <c r="BR66" s="466"/>
      <c r="BS66" s="466"/>
      <c r="BT66" s="466"/>
      <c r="BU66" s="466"/>
      <c r="BV66" s="466"/>
      <c r="BW66" s="466"/>
      <c r="BX66" s="466"/>
      <c r="BY66" s="466"/>
      <c r="BZ66" s="466"/>
      <c r="CA66" s="466"/>
      <c r="CB66" s="466"/>
      <c r="CC66" s="466"/>
      <c r="CD66" s="466"/>
      <c r="CE66" s="466"/>
      <c r="CF66" s="466"/>
      <c r="CG66" s="466"/>
      <c r="CH66" s="347"/>
      <c r="CI66" s="347"/>
      <c r="CJ66" s="347"/>
      <c r="CK66" s="491"/>
      <c r="CL66" s="515"/>
      <c r="CM66" s="347"/>
      <c r="CN66" s="515"/>
      <c r="CO66" s="499"/>
      <c r="CP66" s="499"/>
      <c r="CQ66" s="499"/>
      <c r="CR66" s="499"/>
      <c r="CS66" s="499"/>
      <c r="CT66" s="499"/>
      <c r="CU66" s="499"/>
      <c r="CV66" s="499"/>
      <c r="CW66" s="347"/>
      <c r="CX66" s="347"/>
      <c r="CY66" s="462"/>
      <c r="CZ66" s="462"/>
      <c r="DA66" s="462"/>
      <c r="DB66" s="464"/>
      <c r="DC66" s="464"/>
      <c r="DD66" s="464"/>
      <c r="DE66" s="464"/>
      <c r="DF66" s="462"/>
    </row>
    <row r="67" spans="1:110" ht="15.75">
      <c r="A67" s="457" t="s">
        <v>3399</v>
      </c>
      <c r="B67" s="467"/>
      <c r="C67" s="467"/>
      <c r="D67" s="467"/>
      <c r="E67" s="467"/>
      <c r="F67" s="467"/>
      <c r="G67" s="1797"/>
      <c r="H67" s="1797"/>
      <c r="I67" s="1797"/>
      <c r="J67" s="1798">
        <v>6</v>
      </c>
      <c r="K67" s="1832">
        <v>9798215842393</v>
      </c>
      <c r="L67" s="1832">
        <v>45648</v>
      </c>
      <c r="M67" s="1832">
        <v>9798215879009</v>
      </c>
      <c r="N67" s="1832">
        <v>45648</v>
      </c>
      <c r="O67" s="1832"/>
      <c r="P67" s="1832"/>
      <c r="Q67" s="1832"/>
      <c r="R67" s="1832"/>
      <c r="S67" s="1832"/>
      <c r="T67" s="1832"/>
      <c r="U67" s="1832"/>
      <c r="V67" s="1832"/>
      <c r="Z67" s="466"/>
      <c r="AA67" s="466"/>
      <c r="AB67" s="466"/>
      <c r="AC67" s="466"/>
      <c r="AD67" s="466"/>
      <c r="AE67" s="466"/>
      <c r="AF67" s="466"/>
      <c r="AG67" s="466"/>
      <c r="AH67" s="466"/>
      <c r="AI67" s="466"/>
      <c r="AJ67" s="466"/>
      <c r="AK67" s="466"/>
      <c r="AL67" s="466"/>
      <c r="AM67" s="466"/>
      <c r="AN67" s="466"/>
      <c r="AO67" s="466"/>
      <c r="AP67" s="466"/>
      <c r="AQ67" s="466"/>
      <c r="AR67" s="466"/>
      <c r="AS67" s="466"/>
      <c r="AT67" s="466"/>
      <c r="AU67" s="466"/>
      <c r="AV67" s="466"/>
      <c r="AW67" s="466"/>
      <c r="AX67" s="466"/>
      <c r="AY67" s="466"/>
      <c r="AZ67" s="466"/>
      <c r="BA67" s="466"/>
      <c r="BB67" s="466"/>
      <c r="BC67" s="466"/>
      <c r="BD67" s="466"/>
      <c r="BE67" s="466"/>
      <c r="BF67" s="466"/>
      <c r="BG67" s="466"/>
      <c r="BH67" s="466"/>
      <c r="BI67" s="466"/>
      <c r="BJ67" s="466"/>
      <c r="BK67" s="466"/>
      <c r="BL67" s="466"/>
      <c r="BM67" s="466"/>
      <c r="BN67" s="466"/>
      <c r="BO67" s="466"/>
      <c r="BP67" s="466"/>
      <c r="BQ67" s="466"/>
      <c r="BR67" s="466"/>
      <c r="BS67" s="466"/>
      <c r="BT67" s="466"/>
      <c r="BU67" s="466"/>
      <c r="BV67" s="466"/>
      <c r="BW67" s="466"/>
      <c r="BX67" s="466"/>
      <c r="BY67" s="466"/>
      <c r="BZ67" s="466"/>
      <c r="CA67" s="466"/>
      <c r="CB67" s="466"/>
      <c r="CC67" s="466"/>
      <c r="CD67" s="466"/>
      <c r="CE67" s="466"/>
      <c r="CF67" s="466"/>
      <c r="CG67" s="466"/>
      <c r="CH67" s="347"/>
      <c r="CI67" s="347"/>
      <c r="CJ67" s="347"/>
      <c r="CK67" s="491"/>
      <c r="CL67" s="515"/>
      <c r="CM67" s="347"/>
      <c r="CN67" s="515"/>
      <c r="CO67" s="499"/>
      <c r="CP67" s="499"/>
      <c r="CQ67" s="499"/>
      <c r="CR67" s="499"/>
      <c r="CS67" s="499"/>
      <c r="CT67" s="499"/>
      <c r="CU67" s="499"/>
      <c r="CV67" s="499"/>
      <c r="CW67" s="347"/>
      <c r="CX67" s="347"/>
      <c r="CY67" s="462"/>
      <c r="CZ67" s="462"/>
      <c r="DA67" s="462"/>
      <c r="DB67" s="464"/>
      <c r="DC67" s="464"/>
      <c r="DD67" s="464"/>
      <c r="DE67" s="464"/>
      <c r="DF67" s="462"/>
    </row>
    <row r="68" spans="1:110" ht="15.75">
      <c r="A68" s="457" t="s">
        <v>3404</v>
      </c>
      <c r="B68" s="468"/>
      <c r="C68" s="468"/>
      <c r="D68" s="468"/>
      <c r="E68" s="468"/>
      <c r="F68" s="468"/>
      <c r="G68" s="1797"/>
      <c r="H68" s="1797"/>
      <c r="I68" s="1797"/>
      <c r="J68" s="1798">
        <v>7</v>
      </c>
      <c r="K68" s="22">
        <v>9798215071892</v>
      </c>
      <c r="L68" s="1832">
        <v>45648</v>
      </c>
      <c r="M68" s="22">
        <v>9798215813584</v>
      </c>
      <c r="N68" s="1832">
        <v>45648</v>
      </c>
      <c r="O68" s="1832"/>
      <c r="P68" s="1832"/>
      <c r="Q68" s="1832"/>
      <c r="R68" s="1832"/>
      <c r="S68" s="1832"/>
      <c r="T68" s="1832"/>
      <c r="U68" s="1832"/>
      <c r="V68" s="1832"/>
      <c r="Z68" s="466"/>
      <c r="AA68" s="466"/>
      <c r="AB68" s="466"/>
      <c r="AC68" s="466"/>
      <c r="AD68" s="466"/>
      <c r="AE68" s="466"/>
      <c r="AF68" s="466"/>
      <c r="AG68" s="466"/>
      <c r="AH68" s="466"/>
      <c r="AI68" s="466"/>
      <c r="AJ68" s="466"/>
      <c r="AK68" s="466"/>
      <c r="AL68" s="466"/>
      <c r="AM68" s="466"/>
      <c r="AN68" s="466"/>
      <c r="AO68" s="466"/>
      <c r="AP68" s="466"/>
      <c r="AQ68" s="466"/>
      <c r="AR68" s="466"/>
      <c r="AS68" s="466"/>
      <c r="AT68" s="466"/>
      <c r="AU68" s="466"/>
      <c r="AV68" s="466"/>
      <c r="AW68" s="466"/>
      <c r="AX68" s="466"/>
      <c r="AY68" s="466"/>
      <c r="AZ68" s="466"/>
      <c r="BA68" s="466"/>
      <c r="BB68" s="466"/>
      <c r="BC68" s="466"/>
      <c r="BD68" s="466"/>
      <c r="BE68" s="466"/>
      <c r="BF68" s="466"/>
      <c r="BG68" s="466"/>
      <c r="BH68" s="466"/>
      <c r="BI68" s="466"/>
      <c r="BJ68" s="466"/>
      <c r="BK68" s="466"/>
      <c r="BL68" s="466"/>
      <c r="BM68" s="466"/>
      <c r="BN68" s="466"/>
      <c r="BO68" s="466"/>
      <c r="BP68" s="466"/>
      <c r="BQ68" s="466"/>
      <c r="BR68" s="466"/>
      <c r="BS68" s="466"/>
      <c r="BT68" s="466"/>
      <c r="BU68" s="466"/>
      <c r="BV68" s="466"/>
      <c r="BW68" s="466"/>
      <c r="BX68" s="466"/>
      <c r="BY68" s="466"/>
      <c r="BZ68" s="466"/>
      <c r="CA68" s="466"/>
      <c r="CB68" s="466"/>
      <c r="CC68" s="466"/>
      <c r="CD68" s="466"/>
      <c r="CE68" s="466"/>
      <c r="CF68" s="466"/>
      <c r="CG68" s="466"/>
      <c r="CH68" s="347"/>
      <c r="CI68" s="347"/>
      <c r="CJ68" s="347"/>
      <c r="CK68" s="491"/>
      <c r="CL68" s="515"/>
      <c r="CM68" s="347"/>
      <c r="CN68" s="515"/>
      <c r="CO68" s="499"/>
      <c r="CP68" s="499"/>
      <c r="CQ68" s="499"/>
      <c r="CR68" s="499"/>
      <c r="CS68" s="499"/>
      <c r="CT68" s="499"/>
      <c r="CU68" s="499"/>
      <c r="CV68" s="499"/>
      <c r="CW68" s="347"/>
      <c r="CX68" s="347"/>
      <c r="CY68" s="462"/>
      <c r="CZ68" s="462"/>
      <c r="DA68" s="462"/>
      <c r="DB68" s="464"/>
      <c r="DC68" s="464"/>
      <c r="DD68" s="464"/>
      <c r="DE68" s="464"/>
      <c r="DF68" s="462"/>
    </row>
    <row r="69" spans="1:110" ht="15.75">
      <c r="A69" s="457" t="s">
        <v>3409</v>
      </c>
      <c r="B69" s="471"/>
      <c r="C69" s="471"/>
      <c r="D69" s="471"/>
      <c r="E69" s="471"/>
      <c r="F69" s="471"/>
      <c r="G69" s="1797"/>
      <c r="H69" s="1797"/>
      <c r="I69" s="1797"/>
      <c r="J69" s="1798">
        <v>8</v>
      </c>
      <c r="K69" s="1832">
        <v>9798215293577</v>
      </c>
      <c r="L69" s="1832">
        <v>45648</v>
      </c>
      <c r="M69" s="1832">
        <v>9798215946312</v>
      </c>
      <c r="N69" s="1832">
        <v>45648</v>
      </c>
      <c r="O69" s="1832"/>
      <c r="P69" s="1832"/>
      <c r="Q69" s="1832"/>
      <c r="R69" s="1832"/>
      <c r="S69" s="1832"/>
      <c r="T69" s="1832"/>
      <c r="U69" s="1832"/>
      <c r="V69" s="1832"/>
      <c r="Z69" s="466"/>
      <c r="AA69" s="466"/>
      <c r="AB69" s="466"/>
      <c r="AC69" s="466"/>
      <c r="AD69" s="466"/>
      <c r="AE69" s="466"/>
      <c r="AF69" s="466"/>
      <c r="AG69" s="466"/>
      <c r="AH69" s="466"/>
      <c r="AI69" s="466"/>
      <c r="AJ69" s="466"/>
      <c r="AK69" s="466"/>
      <c r="AL69" s="466"/>
      <c r="AM69" s="466"/>
      <c r="AN69" s="466"/>
      <c r="AO69" s="466"/>
      <c r="AP69" s="466"/>
      <c r="AQ69" s="466"/>
      <c r="AR69" s="466"/>
      <c r="AS69" s="466"/>
      <c r="AT69" s="466"/>
      <c r="AU69" s="466"/>
      <c r="AV69" s="466"/>
      <c r="AW69" s="466"/>
      <c r="AX69" s="466"/>
      <c r="AY69" s="466"/>
      <c r="AZ69" s="466"/>
      <c r="BA69" s="466"/>
      <c r="BB69" s="466"/>
      <c r="BC69" s="466"/>
      <c r="BD69" s="466"/>
      <c r="BE69" s="466"/>
      <c r="BF69" s="466"/>
      <c r="BG69" s="466"/>
      <c r="BH69" s="466"/>
      <c r="BI69" s="466"/>
      <c r="BJ69" s="466"/>
      <c r="BK69" s="466"/>
      <c r="BL69" s="466"/>
      <c r="BM69" s="466"/>
      <c r="BN69" s="466"/>
      <c r="BO69" s="466"/>
      <c r="BP69" s="466"/>
      <c r="BQ69" s="466"/>
      <c r="BR69" s="466"/>
      <c r="BS69" s="466"/>
      <c r="BT69" s="466"/>
      <c r="BU69" s="466"/>
      <c r="BV69" s="466"/>
      <c r="BW69" s="466"/>
      <c r="BX69" s="466"/>
      <c r="BY69" s="466"/>
      <c r="BZ69" s="466"/>
      <c r="CA69" s="466"/>
      <c r="CB69" s="466"/>
      <c r="CC69" s="466"/>
      <c r="CD69" s="466"/>
      <c r="CE69" s="466"/>
      <c r="CF69" s="466"/>
      <c r="CG69" s="466"/>
      <c r="CH69" s="347"/>
      <c r="CI69" s="347"/>
      <c r="CJ69" s="347"/>
      <c r="CK69" s="491"/>
      <c r="CL69" s="515"/>
      <c r="CM69" s="347"/>
      <c r="CN69" s="515"/>
      <c r="CO69" s="499"/>
      <c r="CP69" s="499"/>
      <c r="CQ69" s="499"/>
      <c r="CR69" s="499"/>
      <c r="CS69" s="499"/>
      <c r="CT69" s="499"/>
      <c r="CU69" s="499"/>
      <c r="CV69" s="499"/>
      <c r="CW69" s="347"/>
      <c r="CX69" s="347"/>
      <c r="CY69" s="462"/>
      <c r="CZ69" s="462"/>
      <c r="DA69" s="462"/>
      <c r="DB69" s="464"/>
      <c r="DC69" s="464"/>
      <c r="DD69" s="464"/>
      <c r="DE69" s="464"/>
      <c r="DF69" s="462"/>
    </row>
    <row r="70" spans="1:110" ht="15.75">
      <c r="A70" s="457" t="s">
        <v>3414</v>
      </c>
      <c r="B70" s="471"/>
      <c r="C70" s="471"/>
      <c r="D70" s="471"/>
      <c r="E70" s="471"/>
      <c r="F70" s="471"/>
      <c r="G70" s="1797"/>
      <c r="H70" s="1797"/>
      <c r="I70" s="1797"/>
      <c r="J70" s="1798">
        <v>9</v>
      </c>
      <c r="K70" s="1832"/>
      <c r="L70" s="1832"/>
      <c r="M70" s="1832"/>
      <c r="N70" s="1832"/>
      <c r="O70" s="1832"/>
      <c r="P70" s="1832"/>
      <c r="Q70" s="1832"/>
      <c r="R70" s="1832"/>
      <c r="S70" s="1832"/>
      <c r="T70" s="1832"/>
      <c r="U70" s="1832"/>
      <c r="V70" s="1832"/>
      <c r="Z70" s="466"/>
      <c r="AA70" s="466"/>
      <c r="AB70" s="466"/>
      <c r="AC70" s="466"/>
      <c r="AD70" s="466"/>
      <c r="AE70" s="466"/>
      <c r="AF70" s="466"/>
      <c r="AG70" s="466"/>
      <c r="AH70" s="466"/>
      <c r="AI70" s="466"/>
      <c r="AJ70" s="466"/>
      <c r="AK70" s="466"/>
      <c r="AL70" s="466"/>
      <c r="AM70" s="466"/>
      <c r="AN70" s="466"/>
      <c r="AO70" s="466"/>
      <c r="AP70" s="466"/>
      <c r="AQ70" s="466"/>
      <c r="AR70" s="466"/>
      <c r="AS70" s="466"/>
      <c r="AT70" s="466"/>
      <c r="AU70" s="466"/>
      <c r="AV70" s="466"/>
      <c r="AW70" s="466"/>
      <c r="AX70" s="466"/>
      <c r="AY70" s="466"/>
      <c r="AZ70" s="466"/>
      <c r="BA70" s="466"/>
      <c r="BB70" s="466"/>
      <c r="BC70" s="466"/>
      <c r="BD70" s="466"/>
      <c r="BE70" s="466"/>
      <c r="BF70" s="466"/>
      <c r="BG70" s="466"/>
      <c r="BH70" s="466"/>
      <c r="BI70" s="466"/>
      <c r="BJ70" s="466"/>
      <c r="BK70" s="466"/>
      <c r="BL70" s="466"/>
      <c r="BM70" s="466"/>
      <c r="BN70" s="466"/>
      <c r="BO70" s="466"/>
      <c r="BP70" s="466"/>
      <c r="BQ70" s="466"/>
      <c r="BR70" s="466"/>
      <c r="BS70" s="466"/>
      <c r="BT70" s="466"/>
      <c r="BU70" s="466"/>
      <c r="BV70" s="466"/>
      <c r="BW70" s="466"/>
      <c r="BX70" s="466"/>
      <c r="BY70" s="466"/>
      <c r="BZ70" s="466"/>
      <c r="CA70" s="466"/>
      <c r="CB70" s="466"/>
      <c r="CC70" s="466"/>
      <c r="CD70" s="466"/>
      <c r="CE70" s="466"/>
      <c r="CF70" s="466"/>
      <c r="CG70" s="466"/>
      <c r="CH70" s="347"/>
      <c r="CI70" s="347"/>
      <c r="CJ70" s="347"/>
      <c r="CK70" s="491"/>
      <c r="CL70" s="515"/>
      <c r="CM70" s="347"/>
      <c r="CN70" s="515"/>
      <c r="CO70" s="499"/>
      <c r="CP70" s="499"/>
      <c r="CQ70" s="499"/>
      <c r="CR70" s="499"/>
      <c r="CS70" s="499"/>
      <c r="CT70" s="499"/>
      <c r="CU70" s="499"/>
      <c r="CV70" s="499"/>
      <c r="CW70" s="347"/>
      <c r="CX70" s="347"/>
      <c r="CY70" s="462"/>
      <c r="CZ70" s="462"/>
      <c r="DA70" s="462"/>
      <c r="DB70" s="464"/>
      <c r="DC70" s="464"/>
      <c r="DD70" s="464"/>
      <c r="DE70" s="464"/>
      <c r="DF70" s="462"/>
    </row>
    <row r="71" spans="1:110" ht="15.75">
      <c r="A71" s="457" t="s">
        <v>3418</v>
      </c>
      <c r="B71" s="471"/>
      <c r="C71" s="471"/>
      <c r="D71" s="471"/>
      <c r="E71" s="471"/>
      <c r="F71" s="471"/>
      <c r="G71" s="1797"/>
      <c r="H71" s="1797"/>
      <c r="I71" s="1797"/>
      <c r="J71" s="1798">
        <v>10</v>
      </c>
      <c r="K71" s="1832">
        <v>9798215092576</v>
      </c>
      <c r="L71" s="1832">
        <v>45648</v>
      </c>
      <c r="M71" s="1832">
        <v>9798215189108</v>
      </c>
      <c r="N71" s="1832">
        <v>45648</v>
      </c>
      <c r="O71" s="1832"/>
      <c r="P71" s="1832"/>
      <c r="Q71" s="1832"/>
      <c r="R71" s="1832"/>
      <c r="S71" s="1832"/>
      <c r="T71" s="1832"/>
      <c r="U71" s="1832"/>
      <c r="V71" s="1832"/>
      <c r="Z71" s="466"/>
      <c r="AA71" s="466"/>
      <c r="AB71" s="466"/>
      <c r="AC71" s="466"/>
      <c r="AD71" s="466"/>
      <c r="AE71" s="466"/>
      <c r="AF71" s="466"/>
      <c r="AG71" s="466"/>
      <c r="AH71" s="466"/>
      <c r="AI71" s="466"/>
      <c r="AJ71" s="466"/>
      <c r="AK71" s="466"/>
      <c r="AL71" s="466"/>
      <c r="AM71" s="466"/>
      <c r="AN71" s="466"/>
      <c r="AO71" s="466"/>
      <c r="AP71" s="466"/>
      <c r="AQ71" s="466"/>
      <c r="AR71" s="466"/>
      <c r="AS71" s="466"/>
      <c r="AT71" s="466"/>
      <c r="AU71" s="466"/>
      <c r="AV71" s="466"/>
      <c r="AW71" s="466"/>
      <c r="AX71" s="466"/>
      <c r="AY71" s="466"/>
      <c r="AZ71" s="466"/>
      <c r="BA71" s="466"/>
      <c r="BB71" s="466"/>
      <c r="BC71" s="466"/>
      <c r="BD71" s="466"/>
      <c r="BE71" s="466"/>
      <c r="BF71" s="466"/>
      <c r="BG71" s="466"/>
      <c r="BH71" s="466"/>
      <c r="BI71" s="466"/>
      <c r="BJ71" s="466"/>
      <c r="BK71" s="466"/>
      <c r="BL71" s="466"/>
      <c r="BM71" s="466"/>
      <c r="BN71" s="466"/>
      <c r="BO71" s="466"/>
      <c r="BP71" s="466"/>
      <c r="BQ71" s="466"/>
      <c r="BR71" s="466"/>
      <c r="BS71" s="466"/>
      <c r="BT71" s="466"/>
      <c r="BU71" s="466"/>
      <c r="BV71" s="466"/>
      <c r="BW71" s="466"/>
      <c r="BX71" s="466"/>
      <c r="BY71" s="466"/>
      <c r="BZ71" s="466"/>
      <c r="CA71" s="466"/>
      <c r="CB71" s="466"/>
      <c r="CC71" s="466"/>
      <c r="CD71" s="466"/>
      <c r="CE71" s="466"/>
      <c r="CF71" s="466"/>
      <c r="CG71" s="466"/>
      <c r="CH71" s="347"/>
      <c r="CI71" s="347"/>
      <c r="CJ71" s="347"/>
      <c r="CK71" s="491"/>
      <c r="CL71" s="515"/>
      <c r="CM71" s="347"/>
      <c r="CN71" s="515"/>
      <c r="CO71" s="499"/>
      <c r="CP71" s="499"/>
      <c r="CQ71" s="499"/>
      <c r="CR71" s="499"/>
      <c r="CS71" s="499"/>
      <c r="CT71" s="499"/>
      <c r="CU71" s="499"/>
      <c r="CV71" s="499"/>
      <c r="CW71" s="347"/>
      <c r="CX71" s="347"/>
      <c r="CY71" s="462"/>
      <c r="CZ71" s="462"/>
      <c r="DA71" s="462"/>
      <c r="DB71" s="464"/>
      <c r="DC71" s="464"/>
      <c r="DD71" s="464"/>
      <c r="DE71" s="464"/>
      <c r="DF71" s="462"/>
    </row>
    <row r="72" spans="1:110" ht="15.75">
      <c r="A72" s="457" t="s">
        <v>3423</v>
      </c>
      <c r="B72" s="468"/>
      <c r="C72" s="468"/>
      <c r="D72" s="468"/>
      <c r="E72" s="468"/>
      <c r="F72" s="468"/>
      <c r="G72" s="1797"/>
      <c r="H72" s="1797"/>
      <c r="I72" s="1797"/>
      <c r="J72" s="1798">
        <v>11</v>
      </c>
      <c r="K72" s="1832"/>
      <c r="L72" s="1832"/>
      <c r="M72" s="1832"/>
      <c r="N72" s="1832"/>
      <c r="O72" s="1832"/>
      <c r="P72" s="1832"/>
      <c r="Q72" s="1832"/>
      <c r="R72" s="1832"/>
      <c r="S72" s="1832"/>
      <c r="T72" s="1832"/>
      <c r="U72" s="1832"/>
      <c r="V72" s="1832"/>
      <c r="Z72" s="466"/>
      <c r="AA72" s="466"/>
      <c r="AB72" s="466"/>
      <c r="AC72" s="466"/>
      <c r="AD72" s="466"/>
      <c r="AE72" s="466"/>
      <c r="AF72" s="466"/>
      <c r="AG72" s="466"/>
      <c r="AH72" s="466"/>
      <c r="AI72" s="466"/>
      <c r="AJ72" s="466"/>
      <c r="AK72" s="466"/>
      <c r="AL72" s="466"/>
      <c r="AM72" s="466"/>
      <c r="AN72" s="466"/>
      <c r="AO72" s="466"/>
      <c r="AP72" s="466"/>
      <c r="AQ72" s="466"/>
      <c r="AR72" s="466"/>
      <c r="AS72" s="466"/>
      <c r="AT72" s="466"/>
      <c r="AU72" s="466"/>
      <c r="AV72" s="466"/>
      <c r="AW72" s="466"/>
      <c r="AX72" s="466"/>
      <c r="AY72" s="466"/>
      <c r="AZ72" s="466"/>
      <c r="BA72" s="466"/>
      <c r="BB72" s="466"/>
      <c r="BC72" s="466"/>
      <c r="BD72" s="466"/>
      <c r="BE72" s="466"/>
      <c r="BF72" s="466"/>
      <c r="BG72" s="466"/>
      <c r="BH72" s="466"/>
      <c r="BI72" s="466"/>
      <c r="BJ72" s="466"/>
      <c r="BK72" s="466"/>
      <c r="BL72" s="466"/>
      <c r="BM72" s="466"/>
      <c r="BN72" s="466"/>
      <c r="BO72" s="466"/>
      <c r="BP72" s="466"/>
      <c r="BQ72" s="466"/>
      <c r="BR72" s="466"/>
      <c r="BS72" s="466"/>
      <c r="BT72" s="466"/>
      <c r="BU72" s="466"/>
      <c r="BV72" s="466"/>
      <c r="BW72" s="466"/>
      <c r="BX72" s="466"/>
      <c r="BY72" s="466"/>
      <c r="BZ72" s="466"/>
      <c r="CA72" s="466"/>
      <c r="CB72" s="466"/>
      <c r="CC72" s="466"/>
      <c r="CD72" s="466"/>
      <c r="CE72" s="466"/>
      <c r="CF72" s="466"/>
      <c r="CG72" s="466"/>
      <c r="CH72" s="347"/>
      <c r="CI72" s="347"/>
      <c r="CJ72" s="347"/>
      <c r="CK72" s="491"/>
      <c r="CL72" s="515"/>
      <c r="CM72" s="347"/>
      <c r="CN72" s="515"/>
      <c r="CO72" s="499"/>
      <c r="CP72" s="499"/>
      <c r="CQ72" s="499"/>
      <c r="CR72" s="499"/>
      <c r="CS72" s="499"/>
      <c r="CT72" s="499"/>
      <c r="CU72" s="499"/>
      <c r="CV72" s="499"/>
      <c r="CW72" s="347"/>
      <c r="CX72" s="347"/>
      <c r="CY72" s="462"/>
      <c r="CZ72" s="462"/>
      <c r="DA72" s="462"/>
      <c r="DB72" s="464"/>
      <c r="DC72" s="464"/>
      <c r="DD72" s="464"/>
      <c r="DE72" s="464"/>
      <c r="DF72" s="462"/>
    </row>
    <row r="73" spans="1:110" ht="15.75">
      <c r="A73" s="457" t="s">
        <v>3426</v>
      </c>
      <c r="B73" s="471"/>
      <c r="C73" s="471"/>
      <c r="D73" s="471"/>
      <c r="E73" s="471"/>
      <c r="F73" s="471"/>
      <c r="G73" s="1797"/>
      <c r="H73" s="1797"/>
      <c r="I73" s="1797"/>
      <c r="J73" s="1798">
        <v>12</v>
      </c>
      <c r="K73" s="1832"/>
      <c r="L73" s="1832"/>
      <c r="M73" s="1832"/>
      <c r="N73" s="1832"/>
      <c r="O73" s="1832"/>
      <c r="P73" s="1832"/>
      <c r="Q73" s="1832"/>
      <c r="R73" s="1832"/>
      <c r="S73" s="1832"/>
      <c r="T73" s="1832"/>
      <c r="U73" s="1832"/>
      <c r="V73" s="1832"/>
      <c r="Z73" s="466"/>
      <c r="AA73" s="466"/>
      <c r="AB73" s="466"/>
      <c r="AC73" s="466"/>
      <c r="AD73" s="466"/>
      <c r="AE73" s="466"/>
      <c r="AF73" s="466"/>
      <c r="AG73" s="466"/>
      <c r="AH73" s="466"/>
      <c r="AI73" s="466"/>
      <c r="AJ73" s="466"/>
      <c r="AK73" s="466"/>
      <c r="AL73" s="466"/>
      <c r="AM73" s="466"/>
      <c r="AN73" s="466"/>
      <c r="AO73" s="466"/>
      <c r="AP73" s="466"/>
      <c r="AQ73" s="466"/>
      <c r="AR73" s="466"/>
      <c r="AS73" s="466"/>
      <c r="AT73" s="466"/>
      <c r="AU73" s="466"/>
      <c r="AV73" s="466"/>
      <c r="AW73" s="466"/>
      <c r="AX73" s="466"/>
      <c r="AY73" s="466"/>
      <c r="AZ73" s="466"/>
      <c r="BA73" s="466"/>
      <c r="BB73" s="466"/>
      <c r="BC73" s="466"/>
      <c r="BD73" s="466"/>
      <c r="BE73" s="466"/>
      <c r="BF73" s="466"/>
      <c r="BG73" s="466"/>
      <c r="BH73" s="466"/>
      <c r="BI73" s="466"/>
      <c r="BJ73" s="466"/>
      <c r="BK73" s="466"/>
      <c r="BL73" s="466"/>
      <c r="BM73" s="466"/>
      <c r="BN73" s="466"/>
      <c r="BO73" s="466"/>
      <c r="BP73" s="466"/>
      <c r="BQ73" s="466"/>
      <c r="BR73" s="466"/>
      <c r="BS73" s="466"/>
      <c r="BT73" s="466"/>
      <c r="BU73" s="466"/>
      <c r="BV73" s="466"/>
      <c r="BW73" s="466"/>
      <c r="BX73" s="466"/>
      <c r="BY73" s="466"/>
      <c r="BZ73" s="466"/>
      <c r="CA73" s="466"/>
      <c r="CB73" s="466"/>
      <c r="CC73" s="466"/>
      <c r="CD73" s="466"/>
      <c r="CE73" s="466"/>
      <c r="CF73" s="466"/>
      <c r="CG73" s="466"/>
      <c r="CH73" s="347"/>
      <c r="CI73" s="347"/>
      <c r="CJ73" s="347"/>
      <c r="CK73" s="491"/>
      <c r="CL73" s="515"/>
      <c r="CM73" s="347"/>
      <c r="CN73" s="515"/>
      <c r="CO73" s="499"/>
      <c r="CP73" s="499"/>
      <c r="CQ73" s="499"/>
      <c r="CR73" s="499"/>
      <c r="CS73" s="499"/>
      <c r="CT73" s="499"/>
      <c r="CU73" s="499"/>
      <c r="CV73" s="499"/>
      <c r="CW73" s="347"/>
      <c r="CX73" s="347"/>
      <c r="CY73" s="462"/>
      <c r="CZ73" s="462"/>
      <c r="DA73" s="462"/>
      <c r="DB73" s="464"/>
      <c r="DC73" s="464"/>
      <c r="DD73" s="464"/>
      <c r="DE73" s="464"/>
      <c r="DF73" s="462"/>
    </row>
    <row r="74" spans="1:110" ht="15.75">
      <c r="A74" s="457" t="s">
        <v>3430</v>
      </c>
      <c r="B74" s="479"/>
      <c r="C74" s="479"/>
      <c r="D74" s="479"/>
      <c r="E74" s="479"/>
      <c r="F74" s="479"/>
      <c r="G74" s="370"/>
      <c r="H74" s="370"/>
      <c r="I74" s="370"/>
      <c r="J74" s="1798">
        <v>32</v>
      </c>
      <c r="K74" s="1832"/>
      <c r="L74" s="1832"/>
      <c r="M74" s="1832"/>
      <c r="N74" s="1832"/>
      <c r="O74" s="1832"/>
      <c r="P74" s="1832"/>
      <c r="Q74" s="1832"/>
      <c r="R74" s="1832"/>
      <c r="S74" s="1832"/>
      <c r="T74" s="1832"/>
      <c r="U74" s="1832"/>
      <c r="V74" s="1832"/>
      <c r="Z74" s="466"/>
      <c r="AA74" s="466"/>
      <c r="AB74" s="466"/>
      <c r="AC74" s="466"/>
      <c r="AD74" s="466"/>
      <c r="AE74" s="466"/>
      <c r="AF74" s="466"/>
      <c r="AG74" s="466"/>
      <c r="AH74" s="466"/>
      <c r="AI74" s="466"/>
      <c r="AJ74" s="466"/>
      <c r="AK74" s="466"/>
      <c r="AL74" s="466"/>
      <c r="AM74" s="466"/>
      <c r="AN74" s="466"/>
      <c r="AO74" s="466"/>
      <c r="AP74" s="466"/>
      <c r="AQ74" s="466"/>
      <c r="AR74" s="466"/>
      <c r="AS74" s="466"/>
      <c r="AT74" s="466"/>
      <c r="AU74" s="466"/>
      <c r="AV74" s="466"/>
      <c r="AW74" s="466"/>
      <c r="AX74" s="466"/>
      <c r="AY74" s="466"/>
      <c r="AZ74" s="466"/>
      <c r="BA74" s="466"/>
      <c r="BB74" s="466"/>
      <c r="BC74" s="466"/>
      <c r="BD74" s="466"/>
      <c r="BE74" s="466"/>
      <c r="BF74" s="466"/>
      <c r="BG74" s="466"/>
      <c r="BH74" s="466"/>
      <c r="BI74" s="466"/>
      <c r="BJ74" s="466"/>
      <c r="BK74" s="466"/>
      <c r="BL74" s="466"/>
      <c r="BM74" s="466"/>
      <c r="BN74" s="466"/>
      <c r="BO74" s="466"/>
      <c r="BP74" s="466"/>
      <c r="BQ74" s="466"/>
      <c r="BR74" s="466"/>
      <c r="BS74" s="466"/>
      <c r="BT74" s="466"/>
      <c r="BU74" s="466"/>
      <c r="BV74" s="466"/>
      <c r="BW74" s="466"/>
      <c r="BX74" s="466"/>
      <c r="BY74" s="466"/>
      <c r="BZ74" s="466"/>
      <c r="CA74" s="466"/>
      <c r="CB74" s="466"/>
      <c r="CC74" s="466"/>
      <c r="CD74" s="466"/>
      <c r="CE74" s="466"/>
      <c r="CF74" s="466"/>
      <c r="CG74" s="466"/>
      <c r="CH74" s="347"/>
      <c r="CI74" s="347"/>
      <c r="CJ74" s="347"/>
      <c r="CK74" s="491"/>
      <c r="CL74" s="515"/>
      <c r="CM74" s="347"/>
      <c r="CN74" s="515"/>
      <c r="CO74" s="499"/>
      <c r="CP74" s="499"/>
      <c r="CQ74" s="499"/>
      <c r="CR74" s="499"/>
      <c r="CS74" s="499"/>
      <c r="CT74" s="499"/>
      <c r="CU74" s="499"/>
      <c r="CV74" s="499"/>
      <c r="CW74" s="347"/>
      <c r="CX74" s="347"/>
      <c r="CY74" s="462"/>
      <c r="CZ74" s="462"/>
      <c r="DA74" s="462"/>
      <c r="DB74" s="464"/>
      <c r="DC74" s="464"/>
      <c r="DD74" s="464"/>
      <c r="DE74" s="464"/>
      <c r="DF74" s="462"/>
    </row>
    <row r="75" spans="1:110" ht="15.75">
      <c r="A75" s="457" t="s">
        <v>3433</v>
      </c>
      <c r="B75" s="471"/>
      <c r="C75" s="471"/>
      <c r="D75" s="471"/>
      <c r="E75" s="471"/>
      <c r="F75" s="471"/>
      <c r="G75" s="1797"/>
      <c r="H75" s="1797"/>
      <c r="I75" s="1797"/>
      <c r="J75" s="1798">
        <v>13</v>
      </c>
      <c r="K75" s="1834" t="s">
        <v>3518</v>
      </c>
      <c r="L75" s="1834" t="s">
        <v>3518</v>
      </c>
      <c r="M75" s="22">
        <v>9798215540374</v>
      </c>
      <c r="N75" s="1832">
        <v>45314</v>
      </c>
      <c r="O75" s="1832"/>
      <c r="P75" s="1832"/>
      <c r="Q75" s="1832"/>
      <c r="R75" s="1832"/>
      <c r="S75" s="1832"/>
      <c r="T75" s="1832"/>
      <c r="U75" s="1832"/>
      <c r="V75" s="1832"/>
      <c r="Z75" s="466"/>
      <c r="AA75" s="466"/>
      <c r="AB75" s="466"/>
      <c r="AC75" s="466"/>
      <c r="AD75" s="466"/>
      <c r="AE75" s="466"/>
      <c r="AF75" s="466"/>
      <c r="AG75" s="466"/>
      <c r="AH75" s="466"/>
      <c r="AI75" s="466"/>
      <c r="AJ75" s="466"/>
      <c r="AK75" s="466"/>
      <c r="AL75" s="466"/>
      <c r="AM75" s="466"/>
      <c r="AN75" s="466"/>
      <c r="AO75" s="466"/>
      <c r="AP75" s="466"/>
      <c r="AQ75" s="466"/>
      <c r="AR75" s="466"/>
      <c r="AS75" s="466"/>
      <c r="AT75" s="466"/>
      <c r="AU75" s="466"/>
      <c r="AV75" s="466"/>
      <c r="AW75" s="466"/>
      <c r="AX75" s="466"/>
      <c r="AY75" s="466"/>
      <c r="AZ75" s="466"/>
      <c r="BA75" s="466"/>
      <c r="BB75" s="466"/>
      <c r="BC75" s="466"/>
      <c r="BD75" s="466"/>
      <c r="BE75" s="466"/>
      <c r="BF75" s="466"/>
      <c r="BG75" s="466"/>
      <c r="BH75" s="466"/>
      <c r="BI75" s="466"/>
      <c r="BJ75" s="466"/>
      <c r="BK75" s="466"/>
      <c r="BL75" s="466"/>
      <c r="BM75" s="466"/>
      <c r="BN75" s="466"/>
      <c r="BO75" s="466"/>
      <c r="BP75" s="466"/>
      <c r="BQ75" s="466"/>
      <c r="BR75" s="466"/>
      <c r="BS75" s="466"/>
      <c r="BT75" s="466"/>
      <c r="BU75" s="466"/>
      <c r="BV75" s="466"/>
      <c r="BW75" s="466"/>
      <c r="BX75" s="466"/>
      <c r="BY75" s="466"/>
      <c r="BZ75" s="466"/>
      <c r="CA75" s="466"/>
      <c r="CB75" s="466"/>
      <c r="CC75" s="466"/>
      <c r="CD75" s="466"/>
      <c r="CE75" s="466"/>
      <c r="CF75" s="466"/>
      <c r="CG75" s="466"/>
      <c r="CH75" s="347"/>
      <c r="CI75" s="347"/>
      <c r="CJ75" s="347"/>
      <c r="CK75" s="491"/>
      <c r="CL75" s="515"/>
      <c r="CM75" s="347"/>
      <c r="CN75" s="515"/>
      <c r="CO75" s="499"/>
      <c r="CP75" s="499"/>
      <c r="CQ75" s="499"/>
      <c r="CR75" s="499"/>
      <c r="CS75" s="499"/>
      <c r="CT75" s="499"/>
      <c r="CU75" s="499"/>
      <c r="CV75" s="499"/>
      <c r="CW75" s="347"/>
      <c r="CX75" s="347"/>
      <c r="CY75" s="462"/>
      <c r="CZ75" s="462"/>
      <c r="DA75" s="462"/>
      <c r="DB75" s="464"/>
      <c r="DC75" s="464"/>
      <c r="DD75" s="464"/>
      <c r="DE75" s="464"/>
      <c r="DF75" s="462"/>
    </row>
    <row r="76" spans="1:110" ht="15.75">
      <c r="A76" s="1835" t="s">
        <v>3438</v>
      </c>
      <c r="B76" s="480"/>
      <c r="C76" s="480"/>
      <c r="D76" s="480"/>
      <c r="E76" s="480"/>
      <c r="F76" s="480"/>
      <c r="G76" s="1797"/>
      <c r="H76" s="1797"/>
      <c r="I76" s="1797"/>
      <c r="J76" s="1798">
        <v>14</v>
      </c>
      <c r="K76" s="22">
        <v>9798215284803</v>
      </c>
      <c r="L76" s="1832">
        <v>45648</v>
      </c>
      <c r="M76" s="22">
        <v>9798215196960</v>
      </c>
      <c r="N76" s="1832">
        <v>45648</v>
      </c>
      <c r="O76" s="1832"/>
      <c r="P76" s="1832"/>
      <c r="Q76" s="1832"/>
      <c r="R76" s="1832"/>
      <c r="S76" s="1832"/>
      <c r="T76" s="1832"/>
      <c r="U76" s="1832"/>
      <c r="V76" s="1832"/>
      <c r="Z76" s="466"/>
      <c r="AA76" s="466"/>
      <c r="AB76" s="466"/>
      <c r="AC76" s="466"/>
      <c r="AD76" s="466"/>
      <c r="AE76" s="466"/>
      <c r="AF76" s="466"/>
      <c r="AG76" s="466"/>
      <c r="AH76" s="466"/>
      <c r="AI76" s="466"/>
      <c r="AJ76" s="466"/>
      <c r="AK76" s="466"/>
      <c r="AL76" s="466"/>
      <c r="AM76" s="466"/>
      <c r="AN76" s="466"/>
      <c r="AO76" s="466"/>
      <c r="AP76" s="466"/>
      <c r="AQ76" s="466"/>
      <c r="AR76" s="466"/>
      <c r="AS76" s="466"/>
      <c r="AT76" s="466"/>
      <c r="AU76" s="466"/>
      <c r="AV76" s="466"/>
      <c r="AW76" s="466"/>
      <c r="AX76" s="466"/>
      <c r="AY76" s="466"/>
      <c r="AZ76" s="466"/>
      <c r="BA76" s="466"/>
      <c r="BB76" s="466"/>
      <c r="BC76" s="466"/>
      <c r="BD76" s="466"/>
      <c r="BE76" s="466"/>
      <c r="BF76" s="466"/>
      <c r="BG76" s="466"/>
      <c r="BH76" s="466"/>
      <c r="BI76" s="466"/>
      <c r="BJ76" s="466"/>
      <c r="BK76" s="466"/>
      <c r="BL76" s="466"/>
      <c r="BM76" s="466"/>
      <c r="BN76" s="466"/>
      <c r="BO76" s="466"/>
      <c r="BP76" s="466"/>
      <c r="BQ76" s="466"/>
      <c r="BR76" s="466"/>
      <c r="BS76" s="466"/>
      <c r="BT76" s="466"/>
      <c r="BU76" s="466"/>
      <c r="BV76" s="466"/>
      <c r="BW76" s="466"/>
      <c r="BX76" s="466"/>
      <c r="BY76" s="466"/>
      <c r="BZ76" s="466"/>
      <c r="CA76" s="466"/>
      <c r="CB76" s="466"/>
      <c r="CC76" s="466"/>
      <c r="CD76" s="466"/>
      <c r="CE76" s="466"/>
      <c r="CF76" s="466"/>
      <c r="CG76" s="466"/>
      <c r="CH76" s="347"/>
      <c r="CI76" s="347"/>
      <c r="CJ76" s="347"/>
      <c r="CK76" s="491"/>
      <c r="CL76" s="515"/>
      <c r="CM76" s="347"/>
      <c r="CN76" s="515"/>
      <c r="CO76" s="499"/>
      <c r="CP76" s="499"/>
      <c r="CQ76" s="499"/>
      <c r="CR76" s="499"/>
      <c r="CS76" s="499"/>
      <c r="CT76" s="499"/>
      <c r="CU76" s="499"/>
      <c r="CV76" s="499"/>
      <c r="CW76" s="347"/>
      <c r="CX76" s="347"/>
      <c r="CY76" s="462"/>
      <c r="CZ76" s="462"/>
      <c r="DA76" s="462"/>
      <c r="DB76" s="464"/>
      <c r="DC76" s="464"/>
      <c r="DD76" s="464"/>
      <c r="DE76" s="464"/>
      <c r="DF76" s="462"/>
    </row>
    <row r="77" spans="1:110" ht="15.75">
      <c r="A77" s="457" t="s">
        <v>3448</v>
      </c>
      <c r="B77" s="471"/>
      <c r="C77" s="471"/>
      <c r="D77" s="471"/>
      <c r="E77" s="471"/>
      <c r="F77" s="471"/>
      <c r="G77" s="1797"/>
      <c r="H77" s="1797"/>
      <c r="I77" s="1797"/>
      <c r="J77" s="1798">
        <v>15</v>
      </c>
      <c r="K77" s="22">
        <v>9798215325469</v>
      </c>
      <c r="L77" s="1832">
        <v>45648</v>
      </c>
      <c r="M77" s="22">
        <v>9798215854228</v>
      </c>
      <c r="N77" s="1832">
        <v>45648</v>
      </c>
      <c r="O77" s="1832"/>
      <c r="P77" s="1832"/>
      <c r="Q77" s="1832"/>
      <c r="R77" s="1832"/>
      <c r="S77" s="1832"/>
      <c r="T77" s="1832"/>
      <c r="U77" s="1832"/>
      <c r="V77" s="1832"/>
      <c r="Z77" s="466"/>
      <c r="AA77" s="466"/>
      <c r="AB77" s="466"/>
      <c r="AC77" s="466"/>
      <c r="AD77" s="466"/>
      <c r="AE77" s="466"/>
      <c r="AF77" s="466"/>
      <c r="AG77" s="466"/>
      <c r="AH77" s="466"/>
      <c r="AI77" s="466"/>
      <c r="AJ77" s="466"/>
      <c r="AK77" s="466"/>
      <c r="AL77" s="466"/>
      <c r="AM77" s="466"/>
      <c r="AN77" s="466"/>
      <c r="AO77" s="466"/>
      <c r="AP77" s="466"/>
      <c r="AQ77" s="466"/>
      <c r="AR77" s="466"/>
      <c r="AS77" s="466"/>
      <c r="AT77" s="466"/>
      <c r="AU77" s="466"/>
      <c r="AV77" s="466"/>
      <c r="AW77" s="466"/>
      <c r="AX77" s="466"/>
      <c r="AY77" s="466"/>
      <c r="AZ77" s="466"/>
      <c r="BA77" s="466"/>
      <c r="BB77" s="466"/>
      <c r="BC77" s="466"/>
      <c r="BD77" s="466"/>
      <c r="BE77" s="466"/>
      <c r="BF77" s="466"/>
      <c r="BG77" s="466"/>
      <c r="BH77" s="466"/>
      <c r="BI77" s="466"/>
      <c r="BJ77" s="466"/>
      <c r="BK77" s="466"/>
      <c r="BL77" s="466"/>
      <c r="BM77" s="466"/>
      <c r="BN77" s="466"/>
      <c r="BO77" s="466"/>
      <c r="BP77" s="466"/>
      <c r="BQ77" s="466"/>
      <c r="BR77" s="466"/>
      <c r="BS77" s="466"/>
      <c r="BT77" s="466"/>
      <c r="BU77" s="466"/>
      <c r="BV77" s="466"/>
      <c r="BW77" s="466"/>
      <c r="BX77" s="466"/>
      <c r="BY77" s="466"/>
      <c r="BZ77" s="466"/>
      <c r="CA77" s="466"/>
      <c r="CB77" s="466"/>
      <c r="CC77" s="466"/>
      <c r="CD77" s="466"/>
      <c r="CE77" s="466"/>
      <c r="CF77" s="466"/>
      <c r="CG77" s="466"/>
      <c r="CH77" s="347"/>
      <c r="CI77" s="347"/>
      <c r="CJ77" s="347"/>
      <c r="CK77" s="491"/>
      <c r="CL77" s="515"/>
      <c r="CM77" s="347"/>
      <c r="CN77" s="515"/>
      <c r="CO77" s="499"/>
      <c r="CP77" s="499"/>
      <c r="CQ77" s="499"/>
      <c r="CR77" s="499"/>
      <c r="CS77" s="499"/>
      <c r="CT77" s="499"/>
      <c r="CU77" s="499"/>
      <c r="CV77" s="499"/>
      <c r="CW77" s="347"/>
      <c r="CX77" s="347"/>
      <c r="CY77" s="462"/>
      <c r="CZ77" s="462"/>
      <c r="DA77" s="462"/>
      <c r="DB77" s="464"/>
      <c r="DC77" s="464"/>
      <c r="DD77" s="464"/>
      <c r="DE77" s="464"/>
      <c r="DF77" s="462"/>
    </row>
    <row r="78" spans="1:110" ht="15.75">
      <c r="A78" s="1816" t="s">
        <v>3456</v>
      </c>
      <c r="B78" s="479"/>
      <c r="C78" s="479"/>
      <c r="D78" s="479"/>
      <c r="E78" s="479"/>
      <c r="F78" s="479"/>
      <c r="G78" s="483"/>
      <c r="H78" s="483"/>
      <c r="I78" s="483"/>
      <c r="J78" s="1798">
        <v>16</v>
      </c>
      <c r="K78" s="1833">
        <v>9798215808177</v>
      </c>
      <c r="L78" s="1832">
        <v>45314</v>
      </c>
      <c r="M78" s="22">
        <v>9798215740491</v>
      </c>
      <c r="N78" s="1832">
        <v>45314</v>
      </c>
      <c r="O78" s="1832"/>
      <c r="P78" s="1832"/>
      <c r="Q78" s="1832"/>
      <c r="R78" s="1832"/>
      <c r="S78" s="1832"/>
      <c r="T78" s="1832"/>
      <c r="U78" s="1832"/>
      <c r="V78" s="1832"/>
      <c r="Z78" s="466"/>
      <c r="AA78" s="466"/>
      <c r="AB78" s="466"/>
      <c r="AC78" s="466"/>
      <c r="AD78" s="466"/>
      <c r="AE78" s="466"/>
      <c r="AF78" s="466"/>
      <c r="AG78" s="466"/>
      <c r="AH78" s="466"/>
      <c r="AI78" s="466"/>
      <c r="AJ78" s="466"/>
      <c r="AK78" s="466"/>
      <c r="AL78" s="466"/>
      <c r="AM78" s="466"/>
      <c r="AN78" s="466"/>
      <c r="AO78" s="466"/>
      <c r="AP78" s="466"/>
      <c r="AQ78" s="466"/>
      <c r="AR78" s="466"/>
      <c r="AS78" s="466"/>
      <c r="AT78" s="466"/>
      <c r="AU78" s="466"/>
      <c r="AV78" s="466"/>
      <c r="AW78" s="466"/>
      <c r="AX78" s="466"/>
      <c r="AY78" s="466"/>
      <c r="AZ78" s="466"/>
      <c r="BA78" s="466"/>
      <c r="BB78" s="466"/>
      <c r="BC78" s="466"/>
      <c r="BD78" s="466"/>
      <c r="BE78" s="466"/>
      <c r="BF78" s="466"/>
      <c r="BG78" s="466"/>
      <c r="BH78" s="466"/>
      <c r="BI78" s="466"/>
      <c r="BJ78" s="466"/>
      <c r="BK78" s="466"/>
      <c r="BL78" s="466"/>
      <c r="BM78" s="466"/>
      <c r="BN78" s="466"/>
      <c r="BO78" s="466"/>
      <c r="BP78" s="466"/>
      <c r="BQ78" s="466"/>
      <c r="BR78" s="466"/>
      <c r="BS78" s="466"/>
      <c r="BT78" s="466"/>
      <c r="BU78" s="466"/>
      <c r="BV78" s="466"/>
      <c r="BW78" s="466"/>
      <c r="BX78" s="466"/>
      <c r="BY78" s="466"/>
      <c r="BZ78" s="466"/>
      <c r="CA78" s="466"/>
      <c r="CB78" s="466"/>
      <c r="CC78" s="466"/>
      <c r="CD78" s="466"/>
      <c r="CE78" s="466"/>
      <c r="CF78" s="466"/>
      <c r="CG78" s="466"/>
      <c r="CH78" s="347"/>
      <c r="CI78" s="347"/>
      <c r="CJ78" s="347"/>
      <c r="CK78" s="491"/>
      <c r="CL78" s="515"/>
      <c r="CM78" s="347"/>
      <c r="CN78" s="515"/>
      <c r="CO78" s="499"/>
      <c r="CP78" s="499"/>
      <c r="CQ78" s="499"/>
      <c r="CR78" s="499"/>
      <c r="CS78" s="499"/>
      <c r="CT78" s="499"/>
      <c r="CU78" s="499"/>
      <c r="CV78" s="499"/>
      <c r="CW78" s="347"/>
      <c r="CX78" s="347"/>
      <c r="CY78" s="462"/>
      <c r="CZ78" s="462"/>
      <c r="DA78" s="462"/>
      <c r="DB78" s="464"/>
      <c r="DC78" s="464"/>
      <c r="DD78" s="464"/>
      <c r="DE78" s="464"/>
      <c r="DF78" s="462"/>
    </row>
    <row r="79" spans="1:110" ht="15.75">
      <c r="A79" s="1816" t="s">
        <v>3462</v>
      </c>
      <c r="B79" s="468"/>
      <c r="C79" s="468"/>
      <c r="D79" s="468"/>
      <c r="E79" s="468"/>
      <c r="F79" s="468"/>
      <c r="G79" s="483"/>
      <c r="H79" s="483"/>
      <c r="I79" s="483"/>
      <c r="J79" s="1798">
        <v>17</v>
      </c>
      <c r="K79" s="22">
        <v>9798215329559</v>
      </c>
      <c r="L79" s="1832">
        <v>45314</v>
      </c>
      <c r="M79" s="1834" t="s">
        <v>3519</v>
      </c>
      <c r="N79" s="1836">
        <v>45559</v>
      </c>
      <c r="O79" s="1832"/>
      <c r="P79" s="1832"/>
      <c r="Q79" s="1832"/>
      <c r="R79" s="1832"/>
      <c r="S79" s="1832"/>
      <c r="T79" s="1832"/>
      <c r="U79" s="1832"/>
      <c r="V79" s="1832"/>
      <c r="Z79" s="514"/>
      <c r="AA79" s="514"/>
      <c r="AB79" s="514"/>
      <c r="AC79" s="514"/>
      <c r="AD79" s="514"/>
      <c r="AE79" s="514"/>
      <c r="AF79" s="514"/>
      <c r="AG79" s="514"/>
      <c r="AH79" s="514"/>
      <c r="AI79" s="514"/>
      <c r="AJ79" s="514"/>
      <c r="AK79" s="514"/>
      <c r="AL79" s="514"/>
      <c r="AM79" s="514"/>
      <c r="AN79" s="514"/>
      <c r="AO79" s="514"/>
      <c r="AP79" s="514"/>
      <c r="AQ79" s="514"/>
      <c r="AR79" s="514"/>
      <c r="AS79" s="514"/>
      <c r="AT79" s="514"/>
      <c r="AU79" s="514"/>
      <c r="AV79" s="514"/>
      <c r="AW79" s="514"/>
      <c r="AX79" s="514"/>
      <c r="AY79" s="514"/>
      <c r="AZ79" s="514"/>
      <c r="BA79" s="514"/>
      <c r="BB79" s="514"/>
      <c r="BC79" s="514"/>
      <c r="BD79" s="514"/>
      <c r="BE79" s="514"/>
      <c r="BF79" s="514"/>
      <c r="BG79" s="514"/>
      <c r="BH79" s="514"/>
      <c r="BI79" s="514"/>
      <c r="BJ79" s="514"/>
      <c r="BK79" s="514"/>
      <c r="BL79" s="514"/>
      <c r="BM79" s="514"/>
      <c r="BN79" s="514"/>
      <c r="BO79" s="514"/>
      <c r="BP79" s="514"/>
      <c r="BQ79" s="514"/>
      <c r="BR79" s="516"/>
      <c r="BS79" s="514"/>
      <c r="BT79" s="514"/>
      <c r="BU79" s="514"/>
      <c r="BV79" s="514"/>
      <c r="BW79" s="514"/>
      <c r="BX79" s="514"/>
      <c r="BY79" s="514"/>
      <c r="BZ79" s="514"/>
      <c r="CA79" s="514"/>
      <c r="CB79" s="514"/>
      <c r="CC79" s="514"/>
      <c r="CD79" s="514"/>
      <c r="CE79" s="466"/>
      <c r="CF79" s="466"/>
      <c r="CG79" s="466"/>
      <c r="CH79" s="347"/>
      <c r="CI79" s="347"/>
      <c r="CJ79" s="347"/>
      <c r="CK79" s="495"/>
      <c r="CL79" s="504"/>
      <c r="CM79" s="504"/>
      <c r="CN79" s="504"/>
      <c r="CO79" s="517"/>
      <c r="CP79" s="517"/>
      <c r="CQ79" s="517"/>
      <c r="CR79" s="517"/>
      <c r="CS79" s="517"/>
      <c r="CT79" s="517"/>
      <c r="CU79" s="517"/>
      <c r="CV79" s="517"/>
      <c r="CW79" s="347"/>
      <c r="CX79" s="347"/>
      <c r="CY79" s="462"/>
      <c r="CZ79" s="462"/>
      <c r="DA79" s="462"/>
      <c r="DB79" s="464"/>
      <c r="DC79" s="464"/>
      <c r="DD79" s="464"/>
      <c r="DE79" s="464"/>
      <c r="DF79" s="462"/>
    </row>
    <row r="80" spans="1:110" ht="15.75">
      <c r="A80" s="457" t="s">
        <v>3466</v>
      </c>
      <c r="B80" s="471"/>
      <c r="C80" s="471"/>
      <c r="D80" s="471"/>
      <c r="E80" s="471"/>
      <c r="F80" s="471"/>
      <c r="G80" s="483"/>
      <c r="H80" s="483"/>
      <c r="I80" s="483"/>
      <c r="J80" s="1798">
        <v>18</v>
      </c>
      <c r="K80" s="22">
        <v>9798215331484</v>
      </c>
      <c r="L80" s="1832">
        <v>45314</v>
      </c>
      <c r="M80" s="1829" t="s">
        <v>3518</v>
      </c>
      <c r="N80" s="1829" t="s">
        <v>3518</v>
      </c>
      <c r="O80" s="1829"/>
      <c r="P80" s="1829"/>
      <c r="Q80" s="1829"/>
      <c r="R80" s="1829"/>
      <c r="S80" s="1829"/>
      <c r="T80" s="1829"/>
      <c r="U80" s="1829"/>
      <c r="V80" s="1829"/>
      <c r="Z80" s="466"/>
      <c r="AA80" s="466"/>
      <c r="AB80" s="466"/>
      <c r="AC80" s="466"/>
      <c r="AD80" s="466"/>
      <c r="AE80" s="466"/>
      <c r="AF80" s="466"/>
      <c r="AG80" s="466"/>
      <c r="AH80" s="466"/>
      <c r="AI80" s="466"/>
      <c r="AJ80" s="466"/>
      <c r="AK80" s="466"/>
      <c r="AL80" s="466"/>
      <c r="AM80" s="466"/>
      <c r="AN80" s="466"/>
      <c r="AO80" s="466"/>
      <c r="AP80" s="466"/>
      <c r="AQ80" s="466"/>
      <c r="AR80" s="466"/>
      <c r="AS80" s="466"/>
      <c r="AT80" s="466"/>
      <c r="AU80" s="466"/>
      <c r="AV80" s="466"/>
      <c r="AW80" s="466"/>
      <c r="AX80" s="466"/>
      <c r="AY80" s="466"/>
      <c r="AZ80" s="466"/>
      <c r="BA80" s="466"/>
      <c r="BB80" s="466"/>
      <c r="BC80" s="466"/>
      <c r="BD80" s="466"/>
      <c r="BE80" s="466"/>
      <c r="BF80" s="466"/>
      <c r="BG80" s="466"/>
      <c r="BH80" s="466"/>
      <c r="BI80" s="466"/>
      <c r="BJ80" s="466"/>
      <c r="BK80" s="466"/>
      <c r="BL80" s="466"/>
      <c r="BM80" s="466"/>
      <c r="BN80" s="466"/>
      <c r="BO80" s="466"/>
      <c r="BP80" s="466"/>
      <c r="BQ80" s="466"/>
      <c r="BR80" s="466"/>
      <c r="BS80" s="466"/>
      <c r="BT80" s="466"/>
      <c r="BU80" s="466"/>
      <c r="BV80" s="466"/>
      <c r="BW80" s="466"/>
      <c r="BX80" s="466"/>
      <c r="BY80" s="466"/>
      <c r="BZ80" s="466"/>
      <c r="CA80" s="466"/>
      <c r="CB80" s="466"/>
      <c r="CC80" s="466"/>
      <c r="CD80" s="466"/>
      <c r="CE80" s="466"/>
      <c r="CF80" s="466"/>
      <c r="CG80" s="466"/>
      <c r="CH80" s="347"/>
      <c r="CI80" s="347"/>
      <c r="CJ80" s="347"/>
      <c r="CK80" s="381"/>
      <c r="CL80" s="347"/>
      <c r="CM80" s="347"/>
      <c r="CN80" s="347"/>
      <c r="CO80" s="347"/>
      <c r="CP80" s="347"/>
      <c r="CQ80" s="347"/>
      <c r="CR80" s="347"/>
      <c r="CS80" s="347"/>
      <c r="CT80" s="347"/>
      <c r="CU80" s="347"/>
      <c r="CV80" s="347"/>
      <c r="CW80" s="347"/>
      <c r="CX80" s="347"/>
      <c r="CY80" s="462"/>
      <c r="CZ80" s="462"/>
      <c r="DA80" s="462"/>
      <c r="DB80" s="464"/>
      <c r="DC80" s="464"/>
      <c r="DD80" s="464"/>
      <c r="DE80" s="464"/>
      <c r="DF80" s="462"/>
    </row>
    <row r="81" spans="1:110" ht="15.75">
      <c r="A81" s="457" t="s">
        <v>3468</v>
      </c>
      <c r="B81" s="471"/>
      <c r="C81" s="471"/>
      <c r="D81" s="471"/>
      <c r="E81" s="471"/>
      <c r="F81" s="471"/>
      <c r="G81" s="483"/>
      <c r="H81" s="483"/>
      <c r="I81" s="483"/>
      <c r="J81" s="1798">
        <v>19</v>
      </c>
      <c r="K81" s="22">
        <v>9798201045746</v>
      </c>
      <c r="L81" s="1837" t="s">
        <v>3381</v>
      </c>
      <c r="M81" s="1830" t="s">
        <v>3518</v>
      </c>
      <c r="N81" s="1830" t="s">
        <v>3518</v>
      </c>
      <c r="O81" s="1830"/>
      <c r="P81" s="1831"/>
      <c r="Q81" s="1830"/>
      <c r="R81" s="1831"/>
      <c r="S81" s="1830"/>
      <c r="T81" s="1831"/>
      <c r="U81" s="1830"/>
      <c r="V81" s="1831"/>
      <c r="Z81" s="518"/>
      <c r="AA81" s="518"/>
      <c r="AB81" s="518"/>
      <c r="AC81" s="518"/>
      <c r="AD81" s="518"/>
      <c r="AE81" s="518"/>
      <c r="AF81" s="518"/>
      <c r="AG81" s="518"/>
      <c r="AH81" s="518"/>
      <c r="AI81" s="518"/>
      <c r="AJ81" s="518"/>
      <c r="AK81" s="518"/>
      <c r="AL81" s="518"/>
      <c r="AM81" s="518"/>
      <c r="AN81" s="518"/>
      <c r="AO81" s="518"/>
      <c r="AP81" s="518"/>
      <c r="AQ81" s="518"/>
      <c r="AR81" s="518"/>
      <c r="AS81" s="518"/>
      <c r="AT81" s="518"/>
      <c r="AU81" s="518"/>
      <c r="AV81" s="518"/>
      <c r="AW81" s="518"/>
      <c r="AX81" s="518"/>
      <c r="AY81" s="518"/>
      <c r="AZ81" s="518"/>
      <c r="BA81" s="518"/>
      <c r="BB81" s="518"/>
      <c r="BC81" s="518"/>
      <c r="BD81" s="518"/>
      <c r="BE81" s="518"/>
      <c r="BF81" s="518"/>
      <c r="BG81" s="518"/>
      <c r="BH81" s="518"/>
      <c r="BI81" s="518"/>
      <c r="BJ81" s="518"/>
      <c r="BK81" s="518"/>
      <c r="BL81" s="347"/>
      <c r="BM81" s="347"/>
      <c r="BN81" s="347"/>
      <c r="BO81" s="347"/>
      <c r="BP81" s="347"/>
      <c r="BQ81" s="466"/>
      <c r="BR81" s="516"/>
      <c r="BS81" s="466"/>
      <c r="BT81" s="466"/>
      <c r="BU81" s="466"/>
      <c r="BV81" s="466"/>
      <c r="BW81" s="466"/>
      <c r="BX81" s="466"/>
      <c r="BY81" s="466"/>
      <c r="BZ81" s="466"/>
      <c r="CA81" s="466"/>
      <c r="CB81" s="466"/>
      <c r="CC81" s="466"/>
      <c r="CD81" s="466"/>
      <c r="CE81" s="466"/>
      <c r="CF81" s="466"/>
      <c r="CG81" s="466"/>
      <c r="CH81" s="347"/>
      <c r="CI81" s="347"/>
      <c r="CJ81" s="347"/>
      <c r="CK81" s="347"/>
      <c r="CL81" s="347"/>
      <c r="CM81" s="347"/>
      <c r="CN81" s="347"/>
      <c r="CO81" s="347"/>
      <c r="CP81" s="347"/>
      <c r="CQ81" s="347"/>
      <c r="CR81" s="347"/>
      <c r="CS81" s="347"/>
      <c r="CT81" s="347"/>
      <c r="CU81" s="347"/>
      <c r="CV81" s="347"/>
      <c r="CW81" s="347"/>
      <c r="CX81" s="347"/>
      <c r="CY81" s="462"/>
      <c r="CZ81" s="462"/>
      <c r="DA81" s="462"/>
      <c r="DB81" s="464"/>
      <c r="DC81" s="464"/>
      <c r="DD81" s="464"/>
      <c r="DE81" s="464"/>
      <c r="DF81" s="462"/>
    </row>
    <row r="82" spans="1:110" ht="15.75">
      <c r="A82" s="457" t="s">
        <v>3470</v>
      </c>
      <c r="B82" s="479"/>
      <c r="C82" s="479"/>
      <c r="D82" s="479"/>
      <c r="E82" s="479"/>
      <c r="F82" s="479"/>
      <c r="G82" s="1815"/>
      <c r="H82" s="1815"/>
      <c r="I82" s="1815"/>
      <c r="J82" s="1798">
        <v>20</v>
      </c>
      <c r="K82" s="22">
        <v>9798215097045</v>
      </c>
      <c r="L82" s="1837" t="s">
        <v>3381</v>
      </c>
      <c r="M82" s="22">
        <v>9798215481691</v>
      </c>
      <c r="N82" s="1837" t="s">
        <v>3381</v>
      </c>
      <c r="O82" s="1830"/>
      <c r="P82" s="1831"/>
      <c r="Q82" s="1830"/>
      <c r="R82" s="1831"/>
      <c r="S82" s="1830"/>
      <c r="T82" s="1831"/>
      <c r="U82" s="1830"/>
      <c r="V82" s="1831"/>
      <c r="Z82" s="518"/>
      <c r="AA82" s="518"/>
      <c r="AB82" s="518"/>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518"/>
      <c r="AY82" s="518"/>
      <c r="AZ82" s="518"/>
      <c r="BA82" s="518"/>
      <c r="BB82" s="518"/>
      <c r="BC82" s="518"/>
      <c r="BD82" s="518"/>
      <c r="BE82" s="518"/>
      <c r="BF82" s="518"/>
      <c r="BG82" s="518"/>
      <c r="BH82" s="518"/>
      <c r="BI82" s="518"/>
      <c r="BJ82" s="518"/>
      <c r="BK82" s="518"/>
      <c r="BL82" s="347"/>
      <c r="BM82" s="347"/>
      <c r="BN82" s="347"/>
      <c r="BO82" s="347"/>
      <c r="BP82" s="347"/>
      <c r="BQ82" s="466"/>
      <c r="BR82" s="516"/>
      <c r="BS82" s="466"/>
      <c r="BT82" s="466"/>
      <c r="BU82" s="466"/>
      <c r="BV82" s="466"/>
      <c r="BW82" s="466"/>
      <c r="BX82" s="466"/>
      <c r="BY82" s="466"/>
      <c r="BZ82" s="466"/>
      <c r="CA82" s="466"/>
      <c r="CB82" s="466"/>
      <c r="CC82" s="466"/>
      <c r="CD82" s="466"/>
      <c r="CE82" s="466"/>
      <c r="CF82" s="466"/>
      <c r="CG82" s="466"/>
      <c r="CH82" s="347"/>
      <c r="CI82" s="347"/>
      <c r="CJ82" s="347"/>
      <c r="CK82" s="347"/>
      <c r="CL82" s="347"/>
      <c r="CM82" s="347"/>
      <c r="CN82" s="347"/>
      <c r="CO82" s="347"/>
      <c r="CP82" s="347"/>
      <c r="CQ82" s="347"/>
      <c r="CR82" s="347"/>
      <c r="CS82" s="347"/>
      <c r="CT82" s="347"/>
      <c r="CU82" s="347"/>
      <c r="CV82" s="347"/>
      <c r="CW82" s="347"/>
      <c r="CX82" s="347"/>
      <c r="CY82" s="462"/>
      <c r="CZ82" s="462"/>
      <c r="DA82" s="462"/>
      <c r="DB82" s="464"/>
      <c r="DC82" s="464"/>
      <c r="DD82" s="464"/>
      <c r="DE82" s="464"/>
      <c r="DF82" s="462"/>
    </row>
    <row r="83" spans="1:110" ht="15.75">
      <c r="A83" s="457" t="s">
        <v>3474</v>
      </c>
      <c r="B83" s="468"/>
      <c r="C83" s="468"/>
      <c r="D83" s="468"/>
      <c r="E83" s="468"/>
      <c r="F83" s="468"/>
      <c r="G83" s="1815"/>
      <c r="H83" s="1815"/>
      <c r="I83" s="1815"/>
      <c r="J83" s="1798">
        <v>21</v>
      </c>
      <c r="K83" s="22">
        <v>9798215778340</v>
      </c>
      <c r="L83" s="1837" t="s">
        <v>3381</v>
      </c>
      <c r="M83" s="22">
        <v>9798215699065</v>
      </c>
      <c r="N83" s="1837" t="s">
        <v>3381</v>
      </c>
      <c r="O83" s="1830"/>
      <c r="P83" s="1831"/>
      <c r="Q83" s="1830"/>
      <c r="R83" s="1831"/>
      <c r="S83" s="1830"/>
      <c r="T83" s="1831"/>
      <c r="U83" s="1830"/>
      <c r="V83" s="1831"/>
      <c r="Z83" s="518"/>
      <c r="AA83" s="518"/>
      <c r="AB83" s="518"/>
      <c r="AC83" s="518"/>
      <c r="AD83" s="518"/>
      <c r="AE83" s="518"/>
      <c r="AF83" s="518"/>
      <c r="AG83" s="518"/>
      <c r="AH83" s="518"/>
      <c r="AI83" s="518"/>
      <c r="AJ83" s="518"/>
      <c r="AK83" s="518"/>
      <c r="AL83" s="518"/>
      <c r="AM83" s="518"/>
      <c r="AN83" s="518"/>
      <c r="AO83" s="518"/>
      <c r="AP83" s="518"/>
      <c r="AQ83" s="518"/>
      <c r="AR83" s="518"/>
      <c r="AS83" s="518"/>
      <c r="AT83" s="518"/>
      <c r="AU83" s="518"/>
      <c r="AV83" s="518"/>
      <c r="AW83" s="518"/>
      <c r="AX83" s="518"/>
      <c r="AY83" s="518"/>
      <c r="AZ83" s="518"/>
      <c r="BA83" s="518"/>
      <c r="BB83" s="518"/>
      <c r="BC83" s="518"/>
      <c r="BD83" s="518"/>
      <c r="BE83" s="518"/>
      <c r="BF83" s="518"/>
      <c r="BG83" s="518"/>
      <c r="BH83" s="518"/>
      <c r="BI83" s="518"/>
      <c r="BJ83" s="518"/>
      <c r="BK83" s="518"/>
      <c r="BL83" s="347"/>
      <c r="BM83" s="347"/>
      <c r="BN83" s="347"/>
      <c r="BO83" s="347"/>
      <c r="BP83" s="347"/>
      <c r="BQ83" s="466"/>
      <c r="BR83" s="516"/>
      <c r="BS83" s="466"/>
      <c r="BT83" s="466"/>
      <c r="BU83" s="466"/>
      <c r="BV83" s="466"/>
      <c r="BW83" s="466"/>
      <c r="BX83" s="466"/>
      <c r="BY83" s="466"/>
      <c r="BZ83" s="466"/>
      <c r="CA83" s="466"/>
      <c r="CB83" s="466"/>
      <c r="CC83" s="466"/>
      <c r="CD83" s="466"/>
      <c r="CE83" s="466"/>
      <c r="CF83" s="466"/>
      <c r="CG83" s="466"/>
      <c r="CH83" s="347"/>
      <c r="CI83" s="347"/>
      <c r="CJ83" s="347"/>
      <c r="CK83" s="347"/>
      <c r="CL83" s="347"/>
      <c r="CM83" s="347"/>
      <c r="CN83" s="347"/>
      <c r="CO83" s="347"/>
      <c r="CP83" s="347"/>
      <c r="CQ83" s="347"/>
      <c r="CR83" s="347"/>
      <c r="CS83" s="347"/>
      <c r="CT83" s="347"/>
      <c r="CU83" s="347"/>
      <c r="CV83" s="347"/>
      <c r="CW83" s="347"/>
      <c r="CX83" s="347"/>
      <c r="CY83" s="462"/>
      <c r="CZ83" s="462"/>
      <c r="DA83" s="462"/>
      <c r="DB83" s="464"/>
      <c r="DC83" s="464"/>
      <c r="DD83" s="464"/>
      <c r="DE83" s="464"/>
      <c r="DF83" s="462"/>
    </row>
    <row r="84" spans="1:110" ht="15.75">
      <c r="A84" s="457" t="s">
        <v>3477</v>
      </c>
      <c r="B84" s="471"/>
      <c r="C84" s="471"/>
      <c r="D84" s="471"/>
      <c r="E84" s="471"/>
      <c r="F84" s="471"/>
      <c r="G84" s="1815"/>
      <c r="H84" s="1815"/>
      <c r="I84" s="1815"/>
      <c r="J84" s="1798">
        <v>22</v>
      </c>
      <c r="K84" s="1830"/>
      <c r="L84" s="1831"/>
      <c r="M84" s="1830"/>
      <c r="N84" s="1831"/>
      <c r="O84" s="1830"/>
      <c r="P84" s="1831"/>
      <c r="Q84" s="1830"/>
      <c r="R84" s="1831"/>
      <c r="S84" s="1830"/>
      <c r="T84" s="1831"/>
      <c r="U84" s="1830"/>
      <c r="V84" s="1831"/>
      <c r="Z84" s="518"/>
      <c r="AA84" s="518"/>
      <c r="AB84" s="518"/>
      <c r="AC84" s="518"/>
      <c r="AD84" s="518"/>
      <c r="AE84" s="518"/>
      <c r="AF84" s="518"/>
      <c r="AG84" s="518"/>
      <c r="AH84" s="518"/>
      <c r="AI84" s="518"/>
      <c r="AJ84" s="518"/>
      <c r="AK84" s="518"/>
      <c r="AL84" s="518"/>
      <c r="AM84" s="518"/>
      <c r="AN84" s="518"/>
      <c r="AO84" s="518"/>
      <c r="AP84" s="518"/>
      <c r="AQ84" s="518"/>
      <c r="AR84" s="518"/>
      <c r="AS84" s="518"/>
      <c r="AT84" s="518"/>
      <c r="AU84" s="518"/>
      <c r="AV84" s="518"/>
      <c r="AW84" s="518"/>
      <c r="AX84" s="518"/>
      <c r="AY84" s="518"/>
      <c r="AZ84" s="518"/>
      <c r="BA84" s="518"/>
      <c r="BB84" s="518"/>
      <c r="BC84" s="518"/>
      <c r="BD84" s="518"/>
      <c r="BE84" s="518"/>
      <c r="BF84" s="518"/>
      <c r="BG84" s="518"/>
      <c r="BH84" s="518"/>
      <c r="BI84" s="518"/>
      <c r="BJ84" s="518"/>
      <c r="BK84" s="518"/>
      <c r="BL84" s="347"/>
      <c r="BM84" s="347"/>
      <c r="BN84" s="347"/>
      <c r="BO84" s="347"/>
      <c r="BP84" s="347"/>
      <c r="BQ84" s="466"/>
      <c r="BR84" s="516"/>
      <c r="BS84" s="466"/>
      <c r="BT84" s="466"/>
      <c r="BU84" s="466"/>
      <c r="BV84" s="466"/>
      <c r="BW84" s="466"/>
      <c r="BX84" s="466"/>
      <c r="BY84" s="466"/>
      <c r="BZ84" s="466"/>
      <c r="CA84" s="466"/>
      <c r="CB84" s="466"/>
      <c r="CC84" s="466"/>
      <c r="CD84" s="466"/>
      <c r="CE84" s="466"/>
      <c r="CF84" s="466"/>
      <c r="CG84" s="466"/>
      <c r="CH84" s="347"/>
      <c r="CI84" s="347"/>
      <c r="CJ84" s="347"/>
      <c r="CK84" s="347"/>
      <c r="CL84" s="347"/>
      <c r="CM84" s="347"/>
      <c r="CN84" s="347"/>
      <c r="CO84" s="347"/>
      <c r="CP84" s="347"/>
      <c r="CQ84" s="347"/>
      <c r="CR84" s="347"/>
      <c r="CS84" s="347"/>
      <c r="CT84" s="347"/>
      <c r="CU84" s="347"/>
      <c r="CV84" s="347"/>
      <c r="CW84" s="347"/>
      <c r="CX84" s="347"/>
      <c r="CY84" s="462"/>
      <c r="CZ84" s="462"/>
      <c r="DA84" s="462"/>
      <c r="DB84" s="464"/>
      <c r="DC84" s="464"/>
      <c r="DD84" s="464"/>
      <c r="DE84" s="464"/>
      <c r="DF84" s="462"/>
    </row>
    <row r="85" spans="1:110" ht="15.75">
      <c r="A85" s="457" t="s">
        <v>3481</v>
      </c>
      <c r="B85" s="471"/>
      <c r="C85" s="471"/>
      <c r="D85" s="471"/>
      <c r="E85" s="471"/>
      <c r="F85" s="471"/>
      <c r="G85" s="1815"/>
      <c r="H85" s="1815"/>
      <c r="I85" s="1815"/>
      <c r="J85" s="1798">
        <v>23</v>
      </c>
      <c r="K85" s="1830"/>
      <c r="L85" s="1831"/>
      <c r="M85" s="1830"/>
      <c r="N85" s="1831"/>
      <c r="O85" s="1830"/>
      <c r="P85" s="1831"/>
      <c r="Q85" s="1830"/>
      <c r="R85" s="1831"/>
      <c r="S85" s="1830"/>
      <c r="T85" s="1831"/>
      <c r="U85" s="1830"/>
      <c r="V85" s="1831"/>
      <c r="Z85" s="518"/>
      <c r="AA85" s="518"/>
      <c r="AB85" s="518"/>
      <c r="AC85" s="518"/>
      <c r="AD85" s="518"/>
      <c r="AE85" s="518"/>
      <c r="AF85" s="518"/>
      <c r="AG85" s="518"/>
      <c r="AH85" s="518"/>
      <c r="AI85" s="518"/>
      <c r="AJ85" s="518"/>
      <c r="AK85" s="518"/>
      <c r="AL85" s="518"/>
      <c r="AM85" s="518"/>
      <c r="AN85" s="518"/>
      <c r="AO85" s="518"/>
      <c r="AP85" s="518"/>
      <c r="AQ85" s="518"/>
      <c r="AR85" s="518"/>
      <c r="AS85" s="518"/>
      <c r="AT85" s="518"/>
      <c r="AU85" s="518"/>
      <c r="AV85" s="518"/>
      <c r="AW85" s="518"/>
      <c r="AX85" s="518"/>
      <c r="AY85" s="518"/>
      <c r="AZ85" s="518"/>
      <c r="BA85" s="518"/>
      <c r="BB85" s="518"/>
      <c r="BC85" s="518"/>
      <c r="BD85" s="518"/>
      <c r="BE85" s="518"/>
      <c r="BF85" s="518"/>
      <c r="BG85" s="518"/>
      <c r="BH85" s="518"/>
      <c r="BI85" s="518"/>
      <c r="BJ85" s="518"/>
      <c r="BK85" s="518"/>
      <c r="BL85" s="347"/>
      <c r="BM85" s="347"/>
      <c r="BN85" s="347"/>
      <c r="BO85" s="347"/>
      <c r="BP85" s="347"/>
      <c r="BQ85" s="466"/>
      <c r="BR85" s="516"/>
      <c r="BS85" s="466"/>
      <c r="BT85" s="466"/>
      <c r="BU85" s="466"/>
      <c r="BV85" s="466"/>
      <c r="BW85" s="466"/>
      <c r="BX85" s="466"/>
      <c r="BY85" s="466"/>
      <c r="BZ85" s="466"/>
      <c r="CA85" s="466"/>
      <c r="CB85" s="466"/>
      <c r="CC85" s="466"/>
      <c r="CD85" s="466"/>
      <c r="CE85" s="466"/>
      <c r="CF85" s="466"/>
      <c r="CG85" s="466"/>
      <c r="CH85" s="347"/>
      <c r="CI85" s="347"/>
      <c r="CJ85" s="347"/>
      <c r="CK85" s="347"/>
      <c r="CL85" s="347"/>
      <c r="CM85" s="347"/>
      <c r="CN85" s="347"/>
      <c r="CO85" s="347"/>
      <c r="CP85" s="347"/>
      <c r="CQ85" s="347"/>
      <c r="CR85" s="347"/>
      <c r="CS85" s="347"/>
      <c r="CT85" s="347"/>
      <c r="CU85" s="347"/>
      <c r="CV85" s="347"/>
      <c r="CW85" s="347"/>
      <c r="CX85" s="347"/>
      <c r="CY85" s="462"/>
      <c r="CZ85" s="462"/>
      <c r="DA85" s="462"/>
      <c r="DB85" s="464"/>
      <c r="DC85" s="464"/>
      <c r="DD85" s="464"/>
      <c r="DE85" s="464"/>
      <c r="DF85" s="462"/>
    </row>
    <row r="86" spans="1:110" ht="15.75">
      <c r="A86" s="457" t="s">
        <v>3484</v>
      </c>
      <c r="B86" s="479"/>
      <c r="C86" s="479"/>
      <c r="D86" s="479"/>
      <c r="E86" s="479"/>
      <c r="F86" s="479"/>
      <c r="G86" s="1815"/>
      <c r="H86" s="1815"/>
      <c r="I86" s="1815"/>
      <c r="J86" s="1798">
        <v>24</v>
      </c>
      <c r="K86" s="1830"/>
      <c r="L86" s="1831"/>
      <c r="M86" s="1830"/>
      <c r="N86" s="1831"/>
      <c r="O86" s="1830"/>
      <c r="P86" s="1831"/>
      <c r="Q86" s="1830"/>
      <c r="R86" s="1831"/>
      <c r="S86" s="1830"/>
      <c r="T86" s="1831"/>
      <c r="U86" s="1830"/>
      <c r="V86" s="1831"/>
      <c r="Z86" s="518"/>
      <c r="AA86" s="518"/>
      <c r="AB86" s="518"/>
      <c r="AC86" s="518"/>
      <c r="AD86" s="518"/>
      <c r="AE86" s="518"/>
      <c r="AF86" s="518"/>
      <c r="AG86" s="518"/>
      <c r="AH86" s="518"/>
      <c r="AI86" s="518"/>
      <c r="AJ86" s="518"/>
      <c r="AK86" s="518"/>
      <c r="AL86" s="518"/>
      <c r="AM86" s="518"/>
      <c r="AN86" s="518"/>
      <c r="AO86" s="518"/>
      <c r="AP86" s="518"/>
      <c r="AQ86" s="518"/>
      <c r="AR86" s="518"/>
      <c r="AS86" s="518"/>
      <c r="AT86" s="518"/>
      <c r="AU86" s="518"/>
      <c r="AV86" s="518"/>
      <c r="AW86" s="518"/>
      <c r="AX86" s="518"/>
      <c r="AY86" s="518"/>
      <c r="AZ86" s="518"/>
      <c r="BA86" s="518"/>
      <c r="BB86" s="518"/>
      <c r="BC86" s="518"/>
      <c r="BD86" s="518"/>
      <c r="BE86" s="518"/>
      <c r="BF86" s="518"/>
      <c r="BG86" s="518"/>
      <c r="BH86" s="518"/>
      <c r="BI86" s="518"/>
      <c r="BJ86" s="518"/>
      <c r="BK86" s="518"/>
      <c r="BL86" s="347"/>
      <c r="BM86" s="347"/>
      <c r="BN86" s="347"/>
      <c r="BO86" s="347"/>
      <c r="BP86" s="347"/>
      <c r="BQ86" s="466"/>
      <c r="BR86" s="516"/>
      <c r="BS86" s="466"/>
      <c r="BT86" s="466"/>
      <c r="BU86" s="466"/>
      <c r="BV86" s="466"/>
      <c r="BW86" s="466"/>
      <c r="BX86" s="466"/>
      <c r="BY86" s="466"/>
      <c r="BZ86" s="466"/>
      <c r="CA86" s="466"/>
      <c r="CB86" s="466"/>
      <c r="CC86" s="466"/>
      <c r="CD86" s="466"/>
      <c r="CE86" s="466"/>
      <c r="CF86" s="466"/>
      <c r="CG86" s="466"/>
      <c r="CH86" s="347"/>
      <c r="CI86" s="347"/>
      <c r="CJ86" s="347"/>
      <c r="CK86" s="347"/>
      <c r="CL86" s="347"/>
      <c r="CM86" s="347"/>
      <c r="CN86" s="347"/>
      <c r="CO86" s="347"/>
      <c r="CP86" s="347"/>
      <c r="CQ86" s="347"/>
      <c r="CR86" s="347"/>
      <c r="CS86" s="347"/>
      <c r="CT86" s="347"/>
      <c r="CU86" s="347"/>
      <c r="CV86" s="347"/>
      <c r="CW86" s="347"/>
      <c r="CX86" s="347"/>
      <c r="CY86" s="462"/>
      <c r="CZ86" s="462"/>
      <c r="DA86" s="462"/>
      <c r="DB86" s="464"/>
      <c r="DC86" s="464"/>
      <c r="DD86" s="464"/>
      <c r="DE86" s="464"/>
      <c r="DF86" s="462"/>
    </row>
    <row r="87" spans="1:110" ht="15.75">
      <c r="A87" s="457" t="s">
        <v>3488</v>
      </c>
      <c r="B87" s="468"/>
      <c r="C87" s="468"/>
      <c r="D87" s="468"/>
      <c r="E87" s="468"/>
      <c r="F87" s="468"/>
      <c r="G87" s="1820"/>
      <c r="H87" s="1820"/>
      <c r="I87" s="1820"/>
      <c r="J87" s="1798">
        <v>25</v>
      </c>
      <c r="K87" s="1830"/>
      <c r="L87" s="1831"/>
      <c r="M87" s="1830"/>
      <c r="N87" s="1831"/>
      <c r="O87" s="1830"/>
      <c r="P87" s="1831"/>
      <c r="Q87" s="1830"/>
      <c r="R87" s="1831"/>
      <c r="S87" s="1830"/>
      <c r="T87" s="1831"/>
      <c r="U87" s="1830"/>
      <c r="V87" s="1831"/>
      <c r="Z87" s="518"/>
      <c r="AA87" s="518"/>
      <c r="AB87" s="518"/>
      <c r="AC87" s="518"/>
      <c r="AD87" s="518"/>
      <c r="AE87" s="518"/>
      <c r="AF87" s="518"/>
      <c r="AG87" s="518"/>
      <c r="AH87" s="518"/>
      <c r="AI87" s="518"/>
      <c r="AJ87" s="518"/>
      <c r="AK87" s="518"/>
      <c r="AL87" s="518"/>
      <c r="AM87" s="518"/>
      <c r="AN87" s="518"/>
      <c r="AO87" s="518"/>
      <c r="AP87" s="518"/>
      <c r="AQ87" s="518"/>
      <c r="AR87" s="518"/>
      <c r="AS87" s="518"/>
      <c r="AT87" s="518"/>
      <c r="AU87" s="518"/>
      <c r="AV87" s="518"/>
      <c r="AW87" s="518"/>
      <c r="AX87" s="518"/>
      <c r="AY87" s="518"/>
      <c r="AZ87" s="518"/>
      <c r="BA87" s="518"/>
      <c r="BB87" s="518"/>
      <c r="BC87" s="518"/>
      <c r="BD87" s="518"/>
      <c r="BE87" s="518"/>
      <c r="BF87" s="518"/>
      <c r="BG87" s="518"/>
      <c r="BH87" s="518"/>
      <c r="BI87" s="518"/>
      <c r="BJ87" s="518"/>
      <c r="BK87" s="518"/>
      <c r="BL87" s="347"/>
      <c r="BM87" s="347"/>
      <c r="BN87" s="347"/>
      <c r="BO87" s="347"/>
      <c r="BP87" s="347"/>
      <c r="BQ87" s="466"/>
      <c r="BR87" s="516"/>
      <c r="BS87" s="466"/>
      <c r="BT87" s="466"/>
      <c r="BU87" s="466"/>
      <c r="BV87" s="466"/>
      <c r="BW87" s="466"/>
      <c r="BX87" s="466"/>
      <c r="BY87" s="466"/>
      <c r="BZ87" s="466"/>
      <c r="CA87" s="466"/>
      <c r="CB87" s="466"/>
      <c r="CC87" s="466"/>
      <c r="CD87" s="466"/>
      <c r="CE87" s="466"/>
      <c r="CF87" s="466"/>
      <c r="CG87" s="466"/>
      <c r="CH87" s="347"/>
      <c r="CI87" s="347"/>
      <c r="CJ87" s="347"/>
      <c r="CK87" s="347"/>
      <c r="CL87" s="347"/>
      <c r="CM87" s="347"/>
      <c r="CN87" s="347"/>
      <c r="CO87" s="347"/>
      <c r="CP87" s="347"/>
      <c r="CQ87" s="347"/>
      <c r="CR87" s="347"/>
      <c r="CS87" s="347"/>
      <c r="CT87" s="347"/>
      <c r="CU87" s="347"/>
      <c r="CV87" s="347"/>
      <c r="CW87" s="347"/>
      <c r="CX87" s="347"/>
      <c r="CY87" s="462"/>
      <c r="CZ87" s="462"/>
      <c r="DA87" s="462"/>
      <c r="DB87" s="464"/>
      <c r="DC87" s="464"/>
      <c r="DD87" s="464"/>
      <c r="DE87" s="464"/>
      <c r="DF87" s="462"/>
    </row>
    <row r="88" spans="1:110" ht="15.75">
      <c r="A88" s="457" t="s">
        <v>3491</v>
      </c>
      <c r="B88" s="500"/>
      <c r="C88" s="500"/>
      <c r="D88" s="500"/>
      <c r="E88" s="500"/>
      <c r="F88" s="500"/>
      <c r="G88" s="1822"/>
      <c r="H88" s="1822"/>
      <c r="I88" s="1822"/>
      <c r="J88" s="1798">
        <v>26</v>
      </c>
      <c r="K88" s="1830"/>
      <c r="L88" s="1831"/>
      <c r="M88" s="1830"/>
      <c r="N88" s="1831"/>
      <c r="O88" s="1830"/>
      <c r="P88" s="1831"/>
      <c r="Q88" s="1830"/>
      <c r="R88" s="1831"/>
      <c r="S88" s="1830"/>
      <c r="T88" s="1831"/>
      <c r="U88" s="1830"/>
      <c r="V88" s="1831"/>
      <c r="Z88" s="518"/>
      <c r="AA88" s="518"/>
      <c r="AB88" s="518"/>
      <c r="AC88" s="518"/>
      <c r="AD88" s="518"/>
      <c r="AE88" s="518"/>
      <c r="AF88" s="518"/>
      <c r="AG88" s="518"/>
      <c r="AH88" s="518"/>
      <c r="AI88" s="518"/>
      <c r="AJ88" s="518"/>
      <c r="AK88" s="518"/>
      <c r="AL88" s="518"/>
      <c r="AM88" s="518"/>
      <c r="AN88" s="518"/>
      <c r="AO88" s="518"/>
      <c r="AP88" s="518"/>
      <c r="AQ88" s="518"/>
      <c r="AR88" s="518"/>
      <c r="AS88" s="518"/>
      <c r="AT88" s="518"/>
      <c r="AU88" s="518"/>
      <c r="AV88" s="518"/>
      <c r="AW88" s="518"/>
      <c r="AX88" s="518"/>
      <c r="AY88" s="518"/>
      <c r="AZ88" s="518"/>
      <c r="BA88" s="518"/>
      <c r="BB88" s="518"/>
      <c r="BC88" s="518"/>
      <c r="BD88" s="518"/>
      <c r="BE88" s="518"/>
      <c r="BF88" s="518"/>
      <c r="BG88" s="518"/>
      <c r="BH88" s="518"/>
      <c r="BI88" s="518"/>
      <c r="BJ88" s="518"/>
      <c r="BK88" s="518"/>
      <c r="BL88" s="347"/>
      <c r="BM88" s="347"/>
      <c r="BN88" s="347"/>
      <c r="BO88" s="347"/>
      <c r="BP88" s="347"/>
      <c r="BQ88" s="466"/>
      <c r="BR88" s="516"/>
      <c r="BS88" s="466"/>
      <c r="BT88" s="466"/>
      <c r="BU88" s="466"/>
      <c r="BV88" s="466"/>
      <c r="BW88" s="466"/>
      <c r="BX88" s="466"/>
      <c r="BY88" s="466"/>
      <c r="BZ88" s="466"/>
      <c r="CA88" s="466"/>
      <c r="CB88" s="466"/>
      <c r="CC88" s="466"/>
      <c r="CD88" s="466"/>
      <c r="CE88" s="466"/>
      <c r="CF88" s="466"/>
      <c r="CG88" s="466"/>
      <c r="CH88" s="347"/>
      <c r="CI88" s="347"/>
      <c r="CJ88" s="347"/>
      <c r="CK88" s="347"/>
      <c r="CL88" s="347"/>
      <c r="CM88" s="347"/>
      <c r="CN88" s="347"/>
      <c r="CO88" s="347"/>
      <c r="CP88" s="347"/>
      <c r="CQ88" s="347"/>
      <c r="CR88" s="347"/>
      <c r="CS88" s="347"/>
      <c r="CT88" s="347"/>
      <c r="CU88" s="347"/>
      <c r="CV88" s="347"/>
      <c r="CW88" s="347"/>
      <c r="CX88" s="347"/>
      <c r="CY88" s="462"/>
      <c r="CZ88" s="462"/>
      <c r="DA88" s="462"/>
      <c r="DB88" s="464"/>
      <c r="DC88" s="464"/>
      <c r="DD88" s="464"/>
      <c r="DE88" s="464"/>
      <c r="DF88" s="462"/>
    </row>
    <row r="89" spans="1:110" ht="15.75">
      <c r="A89" s="457" t="s">
        <v>3494</v>
      </c>
      <c r="B89" s="471"/>
      <c r="C89" s="471"/>
      <c r="D89" s="471"/>
      <c r="E89" s="471"/>
      <c r="F89" s="471"/>
      <c r="G89" s="1820"/>
      <c r="H89" s="1820"/>
      <c r="I89" s="1820"/>
      <c r="J89" s="1798">
        <v>27</v>
      </c>
      <c r="K89" s="1830"/>
      <c r="L89" s="1831"/>
      <c r="M89" s="1830"/>
      <c r="N89" s="1831"/>
      <c r="O89" s="1830"/>
      <c r="P89" s="1831"/>
      <c r="Q89" s="1830"/>
      <c r="R89" s="1831"/>
      <c r="S89" s="1830"/>
      <c r="T89" s="1831"/>
      <c r="U89" s="1830"/>
      <c r="V89" s="1831"/>
      <c r="Z89" s="518"/>
      <c r="AA89" s="518"/>
      <c r="AB89" s="518"/>
      <c r="AC89" s="518"/>
      <c r="AD89" s="518"/>
      <c r="AE89" s="518"/>
      <c r="AF89" s="518"/>
      <c r="AG89" s="518"/>
      <c r="AH89" s="518"/>
      <c r="AI89" s="518"/>
      <c r="AJ89" s="518"/>
      <c r="AK89" s="518"/>
      <c r="AL89" s="518"/>
      <c r="AM89" s="518"/>
      <c r="AN89" s="518"/>
      <c r="AO89" s="518"/>
      <c r="AP89" s="518"/>
      <c r="AQ89" s="518"/>
      <c r="AR89" s="518"/>
      <c r="AS89" s="518"/>
      <c r="AT89" s="518"/>
      <c r="AU89" s="518"/>
      <c r="AV89" s="518"/>
      <c r="AW89" s="518"/>
      <c r="AX89" s="518"/>
      <c r="AY89" s="518"/>
      <c r="AZ89" s="518"/>
      <c r="BA89" s="518"/>
      <c r="BB89" s="518"/>
      <c r="BC89" s="518"/>
      <c r="BD89" s="518"/>
      <c r="BE89" s="518"/>
      <c r="BF89" s="518"/>
      <c r="BG89" s="518"/>
      <c r="BH89" s="518"/>
      <c r="BI89" s="518"/>
      <c r="BJ89" s="518"/>
      <c r="BK89" s="518"/>
      <c r="BL89" s="347"/>
      <c r="BM89" s="347"/>
      <c r="BN89" s="347"/>
      <c r="BO89" s="347"/>
      <c r="BP89" s="347"/>
      <c r="BQ89" s="466"/>
      <c r="BR89" s="516"/>
      <c r="BS89" s="466"/>
      <c r="BT89" s="466"/>
      <c r="BU89" s="466"/>
      <c r="BV89" s="466"/>
      <c r="BW89" s="466"/>
      <c r="BX89" s="466"/>
      <c r="BY89" s="466"/>
      <c r="BZ89" s="466"/>
      <c r="CA89" s="466"/>
      <c r="CB89" s="466"/>
      <c r="CC89" s="466"/>
      <c r="CD89" s="466"/>
      <c r="CE89" s="466"/>
      <c r="CF89" s="466"/>
      <c r="CG89" s="466"/>
      <c r="CH89" s="347"/>
      <c r="CI89" s="347"/>
      <c r="CJ89" s="347"/>
      <c r="CK89" s="347"/>
      <c r="CL89" s="347"/>
      <c r="CM89" s="347"/>
      <c r="CN89" s="347"/>
      <c r="CO89" s="347"/>
      <c r="CP89" s="347"/>
      <c r="CQ89" s="347"/>
      <c r="CR89" s="347"/>
      <c r="CS89" s="347"/>
      <c r="CT89" s="347"/>
      <c r="CU89" s="347"/>
      <c r="CV89" s="347"/>
      <c r="CW89" s="347"/>
      <c r="CX89" s="347"/>
      <c r="CY89" s="462"/>
      <c r="CZ89" s="462"/>
      <c r="DA89" s="462"/>
      <c r="DB89" s="464"/>
      <c r="DC89" s="464"/>
      <c r="DD89" s="464"/>
      <c r="DE89" s="464"/>
      <c r="DF89" s="462"/>
    </row>
    <row r="90" spans="1:110" ht="15.75">
      <c r="A90" s="457" t="s">
        <v>3497</v>
      </c>
      <c r="B90" s="479"/>
      <c r="C90" s="479"/>
      <c r="D90" s="479"/>
      <c r="E90" s="479"/>
      <c r="F90" s="479"/>
      <c r="G90" s="1820"/>
      <c r="H90" s="1820"/>
      <c r="I90" s="1820"/>
      <c r="J90" s="1798">
        <v>28</v>
      </c>
      <c r="K90" s="1830"/>
      <c r="L90" s="1831"/>
      <c r="M90" s="1830"/>
      <c r="N90" s="1831"/>
      <c r="O90" s="1830"/>
      <c r="P90" s="1831"/>
      <c r="Q90" s="1830"/>
      <c r="R90" s="1831"/>
      <c r="S90" s="1830"/>
      <c r="T90" s="1831"/>
      <c r="U90" s="1830"/>
      <c r="V90" s="1831"/>
      <c r="Z90" s="518"/>
      <c r="AA90" s="518"/>
      <c r="AB90" s="518"/>
      <c r="AC90" s="518"/>
      <c r="AD90" s="518"/>
      <c r="AE90" s="518"/>
      <c r="AF90" s="518"/>
      <c r="AG90" s="518"/>
      <c r="AH90" s="518"/>
      <c r="AI90" s="518"/>
      <c r="AJ90" s="518"/>
      <c r="AK90" s="518"/>
      <c r="AL90" s="518"/>
      <c r="AM90" s="518"/>
      <c r="AN90" s="518"/>
      <c r="AO90" s="518"/>
      <c r="AP90" s="518"/>
      <c r="AQ90" s="518"/>
      <c r="AR90" s="518"/>
      <c r="AS90" s="518"/>
      <c r="AT90" s="518"/>
      <c r="AU90" s="518"/>
      <c r="AV90" s="518"/>
      <c r="AW90" s="518"/>
      <c r="AX90" s="518"/>
      <c r="AY90" s="518"/>
      <c r="AZ90" s="518"/>
      <c r="BA90" s="518"/>
      <c r="BB90" s="518"/>
      <c r="BC90" s="518"/>
      <c r="BD90" s="518"/>
      <c r="BE90" s="518"/>
      <c r="BF90" s="518"/>
      <c r="BG90" s="518"/>
      <c r="BH90" s="518"/>
      <c r="BI90" s="518"/>
      <c r="BJ90" s="518"/>
      <c r="BK90" s="518"/>
      <c r="BL90" s="347"/>
      <c r="BM90" s="347"/>
      <c r="BN90" s="347"/>
      <c r="BO90" s="347"/>
      <c r="BP90" s="347"/>
      <c r="BQ90" s="466"/>
      <c r="BR90" s="516"/>
      <c r="BS90" s="466"/>
      <c r="BT90" s="466"/>
      <c r="BU90" s="466"/>
      <c r="BV90" s="466"/>
      <c r="BW90" s="466"/>
      <c r="BX90" s="466"/>
      <c r="BY90" s="466"/>
      <c r="BZ90" s="466"/>
      <c r="CA90" s="466"/>
      <c r="CB90" s="466"/>
      <c r="CC90" s="466"/>
      <c r="CD90" s="466"/>
      <c r="CE90" s="466"/>
      <c r="CF90" s="466"/>
      <c r="CG90" s="466"/>
      <c r="CH90" s="347"/>
      <c r="CI90" s="347"/>
      <c r="CJ90" s="347"/>
      <c r="CK90" s="347"/>
      <c r="CL90" s="347"/>
      <c r="CM90" s="347"/>
      <c r="CN90" s="347"/>
      <c r="CO90" s="347"/>
      <c r="CP90" s="347"/>
      <c r="CQ90" s="347"/>
      <c r="CR90" s="347"/>
      <c r="CS90" s="347"/>
      <c r="CT90" s="347"/>
      <c r="CU90" s="347"/>
      <c r="CV90" s="347"/>
      <c r="CW90" s="347"/>
      <c r="CX90" s="347"/>
      <c r="CY90" s="462"/>
      <c r="CZ90" s="462"/>
      <c r="DA90" s="462"/>
      <c r="DB90" s="464"/>
      <c r="DC90" s="464"/>
      <c r="DD90" s="464"/>
      <c r="DE90" s="464"/>
      <c r="DF90" s="462"/>
    </row>
    <row r="91" spans="1:110" ht="15.75">
      <c r="A91" s="457" t="s">
        <v>3499</v>
      </c>
      <c r="B91" s="468"/>
      <c r="C91" s="468"/>
      <c r="D91" s="468"/>
      <c r="E91" s="468"/>
      <c r="F91" s="468"/>
      <c r="G91" s="370"/>
      <c r="H91" s="370"/>
      <c r="I91" s="370"/>
      <c r="J91" s="1798">
        <v>29</v>
      </c>
      <c r="K91" s="22">
        <v>9798215125946</v>
      </c>
      <c r="L91" s="1837" t="s">
        <v>3381</v>
      </c>
      <c r="M91" s="22">
        <v>9798215250181</v>
      </c>
      <c r="N91" s="1837" t="s">
        <v>3381</v>
      </c>
      <c r="O91" s="1830"/>
      <c r="P91" s="1831"/>
      <c r="Q91" s="1830"/>
      <c r="R91" s="1831"/>
      <c r="S91" s="1830"/>
      <c r="T91" s="1831"/>
      <c r="U91" s="1830"/>
      <c r="V91" s="1831"/>
      <c r="Z91" s="518"/>
      <c r="AA91" s="518"/>
      <c r="AB91" s="518"/>
      <c r="AC91" s="518"/>
      <c r="AD91" s="518"/>
      <c r="AE91" s="518"/>
      <c r="AF91" s="518"/>
      <c r="AG91" s="518"/>
      <c r="AH91" s="518"/>
      <c r="AI91" s="518"/>
      <c r="AJ91" s="518"/>
      <c r="AK91" s="518"/>
      <c r="AL91" s="518"/>
      <c r="AM91" s="518"/>
      <c r="AN91" s="518"/>
      <c r="AO91" s="518"/>
      <c r="AP91" s="518"/>
      <c r="AQ91" s="518"/>
      <c r="AR91" s="518"/>
      <c r="AS91" s="518"/>
      <c r="AT91" s="518"/>
      <c r="AU91" s="518"/>
      <c r="AV91" s="518"/>
      <c r="AW91" s="518"/>
      <c r="AX91" s="518"/>
      <c r="AY91" s="518"/>
      <c r="AZ91" s="518"/>
      <c r="BA91" s="518"/>
      <c r="BB91" s="518"/>
      <c r="BC91" s="518"/>
      <c r="BD91" s="518"/>
      <c r="BE91" s="518"/>
      <c r="BF91" s="518"/>
      <c r="BG91" s="518"/>
      <c r="BH91" s="518"/>
      <c r="BI91" s="518"/>
      <c r="BJ91" s="518"/>
      <c r="BK91" s="518"/>
      <c r="BL91" s="347"/>
      <c r="BM91" s="347"/>
      <c r="BN91" s="347"/>
      <c r="BO91" s="347"/>
      <c r="BP91" s="347"/>
      <c r="BQ91" s="466"/>
      <c r="BR91" s="516"/>
      <c r="BS91" s="466"/>
      <c r="BT91" s="466"/>
      <c r="BU91" s="466"/>
      <c r="BV91" s="466"/>
      <c r="BW91" s="466"/>
      <c r="BX91" s="466"/>
      <c r="BY91" s="466"/>
      <c r="BZ91" s="466"/>
      <c r="CA91" s="466"/>
      <c r="CB91" s="466"/>
      <c r="CC91" s="466"/>
      <c r="CD91" s="466"/>
      <c r="CE91" s="466"/>
      <c r="CF91" s="466"/>
      <c r="CG91" s="466"/>
      <c r="CH91" s="347"/>
      <c r="CI91" s="347"/>
      <c r="CJ91" s="347"/>
      <c r="CK91" s="347"/>
      <c r="CL91" s="347"/>
      <c r="CM91" s="347"/>
      <c r="CN91" s="347"/>
      <c r="CO91" s="347"/>
      <c r="CP91" s="347"/>
      <c r="CQ91" s="347"/>
      <c r="CR91" s="347"/>
      <c r="CS91" s="347"/>
      <c r="CT91" s="347"/>
      <c r="CU91" s="347"/>
      <c r="CV91" s="347"/>
      <c r="CW91" s="347"/>
      <c r="CX91" s="347"/>
      <c r="CY91" s="462"/>
      <c r="CZ91" s="462"/>
      <c r="DA91" s="462"/>
      <c r="DB91" s="464"/>
      <c r="DC91" s="464"/>
      <c r="DD91" s="464"/>
      <c r="DE91" s="464"/>
      <c r="DF91" s="462"/>
    </row>
    <row r="92" spans="1:110" ht="15.75">
      <c r="A92" s="457" t="s">
        <v>3504</v>
      </c>
      <c r="B92" s="506"/>
      <c r="C92" s="506"/>
      <c r="D92" s="506"/>
      <c r="E92" s="506"/>
      <c r="F92" s="506"/>
      <c r="G92" s="1824"/>
      <c r="H92" s="1824"/>
      <c r="I92" s="1824"/>
      <c r="J92" s="1798">
        <v>30</v>
      </c>
      <c r="K92" s="1830"/>
      <c r="L92" s="1831"/>
      <c r="M92" s="1830"/>
      <c r="N92" s="1831"/>
      <c r="O92" s="1830"/>
      <c r="P92" s="1831"/>
      <c r="Q92" s="1830"/>
      <c r="R92" s="1831"/>
      <c r="S92" s="1830"/>
      <c r="T92" s="1831"/>
      <c r="U92" s="1830"/>
      <c r="V92" s="1831"/>
      <c r="Z92" s="518"/>
      <c r="AA92" s="518"/>
      <c r="AB92" s="518"/>
      <c r="AC92" s="518"/>
      <c r="AD92" s="518"/>
      <c r="AE92" s="518"/>
      <c r="AF92" s="518"/>
      <c r="AG92" s="518"/>
      <c r="AH92" s="518"/>
      <c r="AI92" s="518"/>
      <c r="AJ92" s="518"/>
      <c r="AK92" s="518"/>
      <c r="AL92" s="518"/>
      <c r="AM92" s="518"/>
      <c r="AN92" s="518"/>
      <c r="AO92" s="518"/>
      <c r="AP92" s="518"/>
      <c r="AQ92" s="518"/>
      <c r="AR92" s="518"/>
      <c r="AS92" s="518"/>
      <c r="AT92" s="518"/>
      <c r="AU92" s="518"/>
      <c r="AV92" s="518"/>
      <c r="AW92" s="518"/>
      <c r="AX92" s="518"/>
      <c r="AY92" s="518"/>
      <c r="AZ92" s="518"/>
      <c r="BA92" s="518"/>
      <c r="BB92" s="518"/>
      <c r="BC92" s="518"/>
      <c r="BD92" s="518"/>
      <c r="BE92" s="518"/>
      <c r="BF92" s="518"/>
      <c r="BG92" s="518"/>
      <c r="BH92" s="518"/>
      <c r="BI92" s="518"/>
      <c r="BJ92" s="518"/>
      <c r="BK92" s="518"/>
      <c r="BL92" s="347"/>
      <c r="BM92" s="347"/>
      <c r="BN92" s="347"/>
      <c r="BO92" s="347"/>
      <c r="BP92" s="347"/>
      <c r="BQ92" s="466"/>
      <c r="BR92" s="516"/>
      <c r="BS92" s="466"/>
      <c r="BT92" s="466"/>
      <c r="BU92" s="466"/>
      <c r="BV92" s="466"/>
      <c r="BW92" s="466"/>
      <c r="BX92" s="466"/>
      <c r="BY92" s="466"/>
      <c r="BZ92" s="466"/>
      <c r="CA92" s="466"/>
      <c r="CB92" s="466"/>
      <c r="CC92" s="466"/>
      <c r="CD92" s="466"/>
      <c r="CE92" s="466"/>
      <c r="CF92" s="466"/>
      <c r="CG92" s="466"/>
      <c r="CH92" s="347"/>
      <c r="CI92" s="347"/>
      <c r="CJ92" s="347"/>
      <c r="CK92" s="347"/>
      <c r="CL92" s="347"/>
      <c r="CM92" s="347"/>
      <c r="CN92" s="347"/>
      <c r="CO92" s="347"/>
      <c r="CP92" s="347"/>
      <c r="CQ92" s="347"/>
      <c r="CR92" s="347"/>
      <c r="CS92" s="347"/>
      <c r="CT92" s="347"/>
      <c r="CU92" s="347"/>
      <c r="CV92" s="347"/>
      <c r="CW92" s="347"/>
      <c r="CX92" s="347"/>
      <c r="CY92" s="462"/>
      <c r="CZ92" s="462"/>
      <c r="DA92" s="462"/>
      <c r="DB92" s="464"/>
      <c r="DC92" s="464"/>
      <c r="DD92" s="464"/>
      <c r="DE92" s="464"/>
      <c r="DF92" s="462"/>
    </row>
    <row r="93" spans="1:110" ht="15">
      <c r="A93" s="1825" t="s">
        <v>3507</v>
      </c>
      <c r="B93" s="506"/>
      <c r="C93" s="506"/>
      <c r="D93" s="506"/>
      <c r="E93" s="506"/>
      <c r="F93" s="506"/>
      <c r="G93" s="1826"/>
      <c r="H93" s="1826"/>
      <c r="I93" s="1826"/>
      <c r="J93" s="1798">
        <v>31</v>
      </c>
      <c r="K93" s="1830"/>
      <c r="L93" s="1831"/>
      <c r="M93" s="1830"/>
      <c r="N93" s="1831"/>
      <c r="O93" s="1830"/>
      <c r="P93" s="1831"/>
      <c r="Q93" s="1830"/>
      <c r="R93" s="1831"/>
      <c r="S93" s="1830"/>
      <c r="T93" s="1831"/>
      <c r="U93" s="1830"/>
      <c r="V93" s="1831"/>
      <c r="Z93" s="518"/>
      <c r="AA93" s="518"/>
      <c r="AB93" s="518"/>
      <c r="AC93" s="518"/>
      <c r="AD93" s="518"/>
      <c r="AE93" s="518"/>
      <c r="AF93" s="518"/>
      <c r="AG93" s="518"/>
      <c r="AH93" s="518"/>
      <c r="AI93" s="518"/>
      <c r="AJ93" s="518"/>
      <c r="AK93" s="518"/>
      <c r="AL93" s="518"/>
      <c r="AM93" s="518"/>
      <c r="AN93" s="518"/>
      <c r="AO93" s="518"/>
      <c r="AP93" s="518"/>
      <c r="AQ93" s="518"/>
      <c r="AR93" s="518"/>
      <c r="AS93" s="518"/>
      <c r="AT93" s="518"/>
      <c r="AU93" s="518"/>
      <c r="AV93" s="518"/>
      <c r="AW93" s="518"/>
      <c r="AX93" s="518"/>
      <c r="AY93" s="518"/>
      <c r="AZ93" s="518"/>
      <c r="BA93" s="518"/>
      <c r="BB93" s="518"/>
      <c r="BC93" s="518"/>
      <c r="BD93" s="518"/>
      <c r="BE93" s="518"/>
      <c r="BF93" s="518"/>
      <c r="BG93" s="518"/>
      <c r="BH93" s="518"/>
      <c r="BI93" s="518"/>
      <c r="BJ93" s="518"/>
      <c r="BK93" s="518"/>
      <c r="BL93" s="347"/>
      <c r="BM93" s="347"/>
      <c r="BN93" s="347"/>
      <c r="BO93" s="347"/>
      <c r="BP93" s="347"/>
      <c r="BQ93" s="466"/>
      <c r="BR93" s="516"/>
      <c r="BS93" s="466"/>
      <c r="BT93" s="466"/>
      <c r="BU93" s="466"/>
      <c r="BV93" s="466"/>
      <c r="BW93" s="466"/>
      <c r="BX93" s="466"/>
      <c r="BY93" s="466"/>
      <c r="BZ93" s="466"/>
      <c r="CA93" s="466"/>
      <c r="CB93" s="466"/>
      <c r="CC93" s="466"/>
      <c r="CD93" s="466"/>
      <c r="CE93" s="466"/>
      <c r="CF93" s="466"/>
      <c r="CG93" s="466"/>
      <c r="CH93" s="347"/>
      <c r="CI93" s="347"/>
      <c r="CJ93" s="347"/>
      <c r="CK93" s="347"/>
      <c r="CL93" s="347"/>
      <c r="CM93" s="347"/>
      <c r="CN93" s="347"/>
      <c r="CO93" s="347"/>
      <c r="CP93" s="347"/>
      <c r="CQ93" s="347"/>
      <c r="CR93" s="347"/>
      <c r="CS93" s="347"/>
      <c r="CT93" s="347"/>
      <c r="CU93" s="347"/>
      <c r="CV93" s="347"/>
      <c r="CW93" s="347"/>
      <c r="CX93" s="347"/>
      <c r="CY93" s="462"/>
      <c r="CZ93" s="462"/>
      <c r="DA93" s="462"/>
      <c r="DB93" s="464"/>
      <c r="DC93" s="464"/>
      <c r="DD93" s="464"/>
      <c r="DE93" s="464"/>
      <c r="DF93" s="462"/>
    </row>
    <row r="94" spans="1:110" ht="15">
      <c r="A94" s="1825"/>
      <c r="B94" s="1838"/>
      <c r="C94" s="1838"/>
      <c r="D94" s="1838"/>
      <c r="E94" s="1838"/>
      <c r="F94" s="1838"/>
      <c r="G94" s="1838"/>
      <c r="H94" s="1838"/>
      <c r="I94" s="1838"/>
      <c r="J94" s="1798">
        <v>32</v>
      </c>
      <c r="K94" s="1830"/>
      <c r="L94" s="1831"/>
      <c r="M94" s="1830"/>
      <c r="N94" s="1831"/>
      <c r="O94" s="1830"/>
      <c r="P94" s="1831"/>
      <c r="Q94" s="1830"/>
      <c r="R94" s="1831"/>
      <c r="S94" s="1830"/>
      <c r="T94" s="1831"/>
      <c r="U94" s="1830"/>
      <c r="V94" s="1831"/>
      <c r="Z94" s="518"/>
      <c r="AA94" s="518"/>
      <c r="AB94" s="518"/>
      <c r="AC94" s="518"/>
      <c r="AD94" s="518"/>
      <c r="AE94" s="518"/>
      <c r="AF94" s="518"/>
      <c r="AG94" s="518"/>
      <c r="AH94" s="518"/>
      <c r="AI94" s="518"/>
      <c r="AJ94" s="518"/>
      <c r="AK94" s="518"/>
      <c r="AL94" s="518"/>
      <c r="AM94" s="518"/>
      <c r="AN94" s="518"/>
      <c r="AO94" s="518"/>
      <c r="AP94" s="518"/>
      <c r="AQ94" s="518"/>
      <c r="AR94" s="518"/>
      <c r="AS94" s="518"/>
      <c r="AT94" s="518"/>
      <c r="AU94" s="518"/>
      <c r="AV94" s="518"/>
      <c r="AW94" s="518"/>
      <c r="AX94" s="518"/>
      <c r="AY94" s="518"/>
      <c r="AZ94" s="518"/>
      <c r="BA94" s="518"/>
      <c r="BB94" s="518"/>
      <c r="BC94" s="518"/>
      <c r="BD94" s="518"/>
      <c r="BE94" s="518"/>
      <c r="BF94" s="518"/>
      <c r="BG94" s="518"/>
      <c r="BH94" s="518"/>
      <c r="BI94" s="518"/>
      <c r="BJ94" s="518"/>
      <c r="BK94" s="518"/>
      <c r="BL94" s="347"/>
      <c r="BM94" s="347"/>
      <c r="BN94" s="347"/>
      <c r="BO94" s="347"/>
      <c r="BP94" s="347"/>
      <c r="BQ94" s="466"/>
      <c r="BR94" s="516"/>
      <c r="BS94" s="466"/>
      <c r="BT94" s="466"/>
      <c r="BU94" s="466"/>
      <c r="BV94" s="466"/>
      <c r="BW94" s="466"/>
      <c r="BX94" s="466"/>
      <c r="BY94" s="466"/>
      <c r="BZ94" s="466"/>
      <c r="CA94" s="466"/>
      <c r="CB94" s="466"/>
      <c r="CC94" s="466"/>
      <c r="CD94" s="466"/>
      <c r="CE94" s="466"/>
      <c r="CF94" s="466"/>
      <c r="CG94" s="466"/>
      <c r="CH94" s="347"/>
      <c r="CI94" s="347"/>
      <c r="CJ94" s="347"/>
      <c r="CK94" s="347"/>
      <c r="CL94" s="347"/>
      <c r="CM94" s="347"/>
      <c r="CN94" s="347"/>
      <c r="CO94" s="347"/>
      <c r="CP94" s="347"/>
      <c r="CQ94" s="347"/>
      <c r="CR94" s="347"/>
      <c r="CS94" s="347"/>
      <c r="CT94" s="347"/>
      <c r="CU94" s="347"/>
      <c r="CV94" s="347"/>
      <c r="CW94" s="347"/>
      <c r="CX94" s="347"/>
      <c r="CY94" s="462"/>
      <c r="CZ94" s="462"/>
      <c r="DA94" s="462"/>
      <c r="DB94" s="464"/>
      <c r="DC94" s="464"/>
      <c r="DD94" s="464"/>
      <c r="DE94" s="464"/>
      <c r="DF94" s="462"/>
    </row>
    <row r="95" spans="1:110" ht="15">
      <c r="A95" s="1825"/>
      <c r="B95" s="1838"/>
      <c r="C95" s="1838"/>
      <c r="D95" s="1838"/>
      <c r="E95" s="1838"/>
      <c r="F95" s="1838"/>
      <c r="G95" s="1838"/>
      <c r="H95" s="1838"/>
      <c r="I95" s="1838"/>
      <c r="J95" s="1838"/>
      <c r="K95" s="1830" t="s">
        <v>3357</v>
      </c>
      <c r="L95" s="1831"/>
      <c r="M95" s="1830" t="s">
        <v>3358</v>
      </c>
      <c r="N95" s="1831"/>
      <c r="O95" s="1830" t="s">
        <v>3357</v>
      </c>
      <c r="P95" s="1831"/>
      <c r="Q95" s="1830" t="s">
        <v>3358</v>
      </c>
      <c r="R95" s="1831"/>
      <c r="S95" s="1830" t="s">
        <v>3357</v>
      </c>
      <c r="T95" s="1831"/>
      <c r="U95" s="1830" t="s">
        <v>3358</v>
      </c>
      <c r="V95" s="1831"/>
      <c r="Z95" s="518"/>
      <c r="AA95" s="518"/>
      <c r="AB95" s="518"/>
      <c r="AC95" s="518"/>
      <c r="AD95" s="518"/>
      <c r="AE95" s="518"/>
      <c r="AF95" s="518"/>
      <c r="AG95" s="518"/>
      <c r="AH95" s="518"/>
      <c r="AI95" s="518"/>
      <c r="AJ95" s="518"/>
      <c r="AK95" s="518"/>
      <c r="AL95" s="518"/>
      <c r="AM95" s="518"/>
      <c r="AN95" s="518"/>
      <c r="AO95" s="518"/>
      <c r="AP95" s="518"/>
      <c r="AQ95" s="518"/>
      <c r="AR95" s="518"/>
      <c r="AS95" s="518"/>
      <c r="AT95" s="518"/>
      <c r="AU95" s="518"/>
      <c r="AV95" s="518"/>
      <c r="AW95" s="518"/>
      <c r="AX95" s="518"/>
      <c r="AY95" s="518"/>
      <c r="AZ95" s="518"/>
      <c r="BA95" s="518"/>
      <c r="BB95" s="518"/>
      <c r="BC95" s="518"/>
      <c r="BD95" s="518"/>
      <c r="BE95" s="518"/>
      <c r="BF95" s="518"/>
      <c r="BG95" s="518"/>
      <c r="BH95" s="518"/>
      <c r="BI95" s="518"/>
      <c r="BJ95" s="518"/>
      <c r="BK95" s="518"/>
      <c r="BL95" s="347"/>
      <c r="BM95" s="347"/>
      <c r="BN95" s="347"/>
      <c r="BO95" s="347"/>
      <c r="BP95" s="347"/>
      <c r="BQ95" s="466"/>
      <c r="BR95" s="516"/>
      <c r="BS95" s="466"/>
      <c r="BT95" s="466"/>
      <c r="BU95" s="466"/>
      <c r="BV95" s="466"/>
      <c r="BW95" s="466"/>
      <c r="BX95" s="466"/>
      <c r="BY95" s="466"/>
      <c r="BZ95" s="466"/>
      <c r="CA95" s="466"/>
      <c r="CB95" s="466"/>
      <c r="CC95" s="466"/>
      <c r="CD95" s="466"/>
      <c r="CE95" s="466"/>
      <c r="CF95" s="466"/>
      <c r="CG95" s="466"/>
      <c r="CH95" s="347"/>
      <c r="CI95" s="347"/>
      <c r="CJ95" s="347"/>
      <c r="CK95" s="347"/>
      <c r="CL95" s="347"/>
      <c r="CM95" s="347"/>
      <c r="CN95" s="347"/>
      <c r="CO95" s="347"/>
      <c r="CP95" s="347"/>
      <c r="CQ95" s="347"/>
      <c r="CR95" s="347"/>
      <c r="CS95" s="347"/>
      <c r="CT95" s="347"/>
      <c r="CU95" s="347"/>
      <c r="CV95" s="347"/>
      <c r="CW95" s="347"/>
      <c r="CX95" s="347"/>
      <c r="CY95" s="462"/>
      <c r="CZ95" s="462"/>
      <c r="DA95" s="462"/>
      <c r="DB95" s="464"/>
      <c r="DC95" s="464"/>
      <c r="DD95" s="464"/>
      <c r="DE95" s="464"/>
      <c r="DF95" s="462"/>
    </row>
    <row r="96" spans="1:110" ht="15">
      <c r="A96" s="1660" t="s">
        <v>3520</v>
      </c>
      <c r="B96" s="1829"/>
      <c r="C96" s="1829"/>
      <c r="D96" s="1829"/>
      <c r="E96" s="1829"/>
      <c r="F96" s="1829"/>
      <c r="G96" s="1829"/>
      <c r="H96" s="1829"/>
      <c r="I96" s="1829"/>
      <c r="J96" s="1829"/>
      <c r="K96" s="1830" t="s">
        <v>3363</v>
      </c>
      <c r="L96" s="1830" t="s">
        <v>3364</v>
      </c>
      <c r="M96" s="1830" t="s">
        <v>3363</v>
      </c>
      <c r="N96" s="1830" t="s">
        <v>3281</v>
      </c>
      <c r="O96" s="1830" t="s">
        <v>3363</v>
      </c>
      <c r="P96" s="1830" t="s">
        <v>3364</v>
      </c>
      <c r="Q96" s="1830" t="s">
        <v>3363</v>
      </c>
      <c r="R96" s="1830" t="s">
        <v>3281</v>
      </c>
      <c r="S96" s="1830" t="s">
        <v>3363</v>
      </c>
      <c r="T96" s="1830" t="s">
        <v>3364</v>
      </c>
      <c r="U96" s="1830" t="s">
        <v>3363</v>
      </c>
      <c r="V96" s="1830" t="s">
        <v>3281</v>
      </c>
      <c r="Z96" s="466"/>
      <c r="AA96" s="466"/>
      <c r="AB96" s="466"/>
      <c r="AC96" s="466"/>
      <c r="AD96" s="466"/>
      <c r="AE96" s="466"/>
      <c r="AF96" s="466"/>
      <c r="AG96" s="466"/>
      <c r="AH96" s="466"/>
      <c r="AI96" s="466"/>
      <c r="AJ96" s="466"/>
      <c r="AK96" s="466"/>
      <c r="AL96" s="466"/>
      <c r="AM96" s="466"/>
      <c r="AN96" s="466"/>
      <c r="AO96" s="466"/>
      <c r="AP96" s="466"/>
      <c r="AQ96" s="466"/>
      <c r="AR96" s="466"/>
      <c r="AS96" s="466"/>
      <c r="AT96" s="466"/>
      <c r="AU96" s="466"/>
      <c r="AV96" s="466"/>
      <c r="AW96" s="466"/>
      <c r="AX96" s="466"/>
      <c r="AY96" s="466"/>
      <c r="AZ96" s="466"/>
      <c r="BA96" s="466"/>
      <c r="BB96" s="466"/>
      <c r="BC96" s="466"/>
      <c r="BD96" s="466"/>
      <c r="BE96" s="466"/>
      <c r="BF96" s="466"/>
      <c r="BG96" s="466"/>
      <c r="BH96" s="466"/>
      <c r="BI96" s="466"/>
      <c r="BJ96" s="466"/>
      <c r="BK96" s="466"/>
      <c r="BL96" s="466"/>
      <c r="BM96" s="466"/>
      <c r="BN96" s="466"/>
      <c r="BO96" s="466"/>
      <c r="BP96" s="466"/>
      <c r="BQ96" s="466"/>
      <c r="BR96" s="466"/>
      <c r="BS96" s="466"/>
      <c r="BT96" s="466"/>
      <c r="BU96" s="466"/>
      <c r="BV96" s="2120"/>
      <c r="BW96" s="2087"/>
      <c r="BX96" s="347"/>
      <c r="BY96" s="347"/>
      <c r="BZ96" s="347"/>
      <c r="CA96" s="466"/>
      <c r="CB96" s="466"/>
      <c r="CC96" s="466"/>
      <c r="CD96" s="466"/>
      <c r="CE96" s="466"/>
      <c r="CF96" s="466"/>
      <c r="CG96" s="466"/>
      <c r="CH96" s="347"/>
      <c r="CI96" s="347"/>
      <c r="CJ96" s="347"/>
      <c r="CK96" s="347"/>
      <c r="CL96" s="347"/>
      <c r="CM96" s="347"/>
      <c r="CN96" s="347"/>
      <c r="CO96" s="347"/>
      <c r="CP96" s="347"/>
      <c r="CQ96" s="347"/>
      <c r="CR96" s="347"/>
      <c r="CS96" s="347"/>
      <c r="CT96" s="347"/>
      <c r="CU96" s="347"/>
      <c r="CV96" s="347"/>
      <c r="CW96" s="347"/>
      <c r="CX96" s="347"/>
      <c r="CY96" s="462"/>
      <c r="CZ96" s="462"/>
      <c r="DA96" s="462"/>
      <c r="DB96" s="464"/>
      <c r="DC96" s="464"/>
      <c r="DD96" s="464"/>
      <c r="DE96" s="464"/>
      <c r="DF96" s="462"/>
    </row>
    <row r="97" spans="1:110" ht="15.75">
      <c r="A97" s="457" t="s">
        <v>3367</v>
      </c>
      <c r="B97" s="1797"/>
      <c r="C97" s="1797"/>
      <c r="D97" s="1797"/>
      <c r="E97" s="1797"/>
      <c r="F97" s="1797"/>
      <c r="G97" s="1797"/>
      <c r="H97" s="1797"/>
      <c r="I97" s="1797"/>
      <c r="J97" s="1798">
        <v>1</v>
      </c>
      <c r="K97" s="1839"/>
      <c r="L97" s="1839"/>
      <c r="M97" s="1839"/>
      <c r="N97" s="1839"/>
      <c r="O97" s="1839"/>
      <c r="P97" s="1839"/>
      <c r="Q97" s="1839"/>
      <c r="R97" s="1839"/>
      <c r="S97" s="1839"/>
      <c r="T97" s="1839"/>
      <c r="U97" s="1839"/>
      <c r="V97" s="1839"/>
      <c r="Z97" s="472"/>
      <c r="AA97" s="472"/>
      <c r="AB97" s="472"/>
      <c r="AC97" s="472"/>
      <c r="AD97" s="472"/>
      <c r="AE97" s="472"/>
      <c r="AF97" s="472"/>
      <c r="AG97" s="472"/>
      <c r="AH97" s="472"/>
      <c r="AI97" s="472"/>
      <c r="AJ97" s="472"/>
      <c r="AK97" s="472"/>
      <c r="AL97" s="472"/>
      <c r="AM97" s="472"/>
      <c r="AN97" s="472"/>
      <c r="AO97" s="472"/>
      <c r="AP97" s="472"/>
      <c r="AQ97" s="472"/>
      <c r="AR97" s="472"/>
      <c r="AS97" s="472"/>
      <c r="AT97" s="472"/>
      <c r="AU97" s="472"/>
      <c r="AV97" s="472"/>
      <c r="AW97" s="472"/>
      <c r="AX97" s="472"/>
      <c r="AY97" s="472"/>
      <c r="AZ97" s="472"/>
      <c r="BA97" s="472"/>
      <c r="BB97" s="472"/>
      <c r="BC97" s="472"/>
      <c r="BD97" s="472"/>
      <c r="BE97" s="472"/>
      <c r="BF97" s="472"/>
      <c r="BG97" s="472"/>
      <c r="BH97" s="472"/>
      <c r="BI97" s="472"/>
      <c r="BJ97" s="472"/>
      <c r="BK97" s="466"/>
      <c r="BL97" s="472"/>
      <c r="BM97" s="472"/>
      <c r="BN97" s="472"/>
      <c r="BO97" s="472"/>
      <c r="BP97" s="472"/>
      <c r="BQ97" s="472"/>
      <c r="BR97" s="472"/>
      <c r="BS97" s="472"/>
      <c r="BT97" s="472"/>
      <c r="BU97" s="472"/>
      <c r="BV97" s="472"/>
      <c r="BW97" s="347"/>
      <c r="BX97" s="472"/>
      <c r="BY97" s="472"/>
      <c r="BZ97" s="472"/>
      <c r="CA97" s="466"/>
      <c r="CB97" s="466"/>
      <c r="CC97" s="466"/>
      <c r="CD97" s="466"/>
      <c r="CE97" s="466"/>
      <c r="CF97" s="347"/>
      <c r="CG97" s="466"/>
      <c r="CH97" s="347"/>
      <c r="CI97" s="347"/>
      <c r="CJ97" s="347"/>
      <c r="CK97" s="347"/>
      <c r="CL97" s="347"/>
      <c r="CM97" s="347"/>
      <c r="CN97" s="347"/>
      <c r="CO97" s="347"/>
      <c r="CP97" s="347"/>
      <c r="CQ97" s="347"/>
      <c r="CR97" s="347"/>
      <c r="CS97" s="347"/>
      <c r="CT97" s="347"/>
      <c r="CU97" s="347"/>
      <c r="CV97" s="347"/>
      <c r="CW97" s="347"/>
      <c r="CX97" s="347"/>
      <c r="CY97" s="462"/>
      <c r="CZ97" s="462"/>
      <c r="DA97" s="462"/>
      <c r="DB97" s="464"/>
      <c r="DC97" s="464"/>
      <c r="DD97" s="464"/>
      <c r="DE97" s="464"/>
      <c r="DF97" s="462"/>
    </row>
    <row r="98" spans="1:110" ht="15.75">
      <c r="A98" s="457" t="s">
        <v>3376</v>
      </c>
      <c r="B98" s="1797"/>
      <c r="C98" s="1797"/>
      <c r="D98" s="1797"/>
      <c r="E98" s="1797"/>
      <c r="F98" s="1797"/>
      <c r="G98" s="1797"/>
      <c r="H98" s="1797"/>
      <c r="I98" s="1797"/>
      <c r="J98" s="1798">
        <v>2</v>
      </c>
      <c r="K98" s="1839"/>
      <c r="L98" s="1839"/>
      <c r="M98" s="1839"/>
      <c r="N98" s="1839"/>
      <c r="O98" s="1839"/>
      <c r="P98" s="1839"/>
      <c r="Q98" s="1839"/>
      <c r="R98" s="1839"/>
      <c r="S98" s="1839"/>
      <c r="T98" s="1839"/>
      <c r="U98" s="1839"/>
      <c r="V98" s="1839"/>
      <c r="Z98" s="472"/>
      <c r="AA98" s="472"/>
      <c r="AB98" s="472"/>
      <c r="AC98" s="472"/>
      <c r="AD98" s="472"/>
      <c r="AE98" s="472"/>
      <c r="AF98" s="472"/>
      <c r="AG98" s="472"/>
      <c r="AH98" s="472"/>
      <c r="AI98" s="472"/>
      <c r="AJ98" s="472"/>
      <c r="AK98" s="472"/>
      <c r="AL98" s="472"/>
      <c r="AM98" s="472"/>
      <c r="AN98" s="472"/>
      <c r="AO98" s="472"/>
      <c r="AP98" s="472"/>
      <c r="AQ98" s="472"/>
      <c r="AR98" s="472"/>
      <c r="AS98" s="472"/>
      <c r="AT98" s="472"/>
      <c r="AU98" s="472"/>
      <c r="AV98" s="472"/>
      <c r="AW98" s="472"/>
      <c r="AX98" s="472"/>
      <c r="AY98" s="472"/>
      <c r="AZ98" s="472"/>
      <c r="BA98" s="472"/>
      <c r="BB98" s="472"/>
      <c r="BC98" s="472"/>
      <c r="BD98" s="472"/>
      <c r="BE98" s="472"/>
      <c r="BF98" s="472"/>
      <c r="BG98" s="472"/>
      <c r="BH98" s="472"/>
      <c r="BI98" s="472"/>
      <c r="BJ98" s="472"/>
      <c r="BK98" s="466"/>
      <c r="BL98" s="472"/>
      <c r="BM98" s="472"/>
      <c r="BN98" s="472"/>
      <c r="BO98" s="472"/>
      <c r="BP98" s="472"/>
      <c r="BQ98" s="472"/>
      <c r="BR98" s="472"/>
      <c r="BS98" s="472"/>
      <c r="BT98" s="472"/>
      <c r="BU98" s="472"/>
      <c r="BV98" s="472"/>
      <c r="BW98" s="347"/>
      <c r="BX98" s="472"/>
      <c r="BY98" s="472"/>
      <c r="BZ98" s="472"/>
      <c r="CA98" s="466"/>
      <c r="CB98" s="466"/>
      <c r="CC98" s="466"/>
      <c r="CD98" s="466"/>
      <c r="CE98" s="466"/>
      <c r="CF98" s="347"/>
      <c r="CG98" s="466"/>
      <c r="CH98" s="347"/>
      <c r="CI98" s="347"/>
      <c r="CJ98" s="347"/>
      <c r="CK98" s="347"/>
      <c r="CL98" s="347"/>
      <c r="CM98" s="347"/>
      <c r="CN98" s="347"/>
      <c r="CO98" s="347"/>
      <c r="CP98" s="347"/>
      <c r="CQ98" s="347"/>
      <c r="CR98" s="347"/>
      <c r="CS98" s="347"/>
      <c r="CT98" s="347"/>
      <c r="CU98" s="347"/>
      <c r="CV98" s="347"/>
      <c r="CW98" s="347"/>
      <c r="CX98" s="347"/>
      <c r="CY98" s="462"/>
      <c r="CZ98" s="462"/>
      <c r="DA98" s="462"/>
      <c r="DB98" s="464"/>
      <c r="DC98" s="464"/>
      <c r="DD98" s="464"/>
      <c r="DE98" s="464"/>
      <c r="DF98" s="462"/>
    </row>
    <row r="99" spans="1:110" ht="15.75">
      <c r="A99" s="457" t="s">
        <v>3382</v>
      </c>
      <c r="B99" s="1797"/>
      <c r="C99" s="1797"/>
      <c r="D99" s="1797"/>
      <c r="E99" s="1797"/>
      <c r="F99" s="1797"/>
      <c r="G99" s="1797"/>
      <c r="H99" s="1797"/>
      <c r="I99" s="1797"/>
      <c r="J99" s="1798">
        <v>3</v>
      </c>
      <c r="K99" s="1839"/>
      <c r="L99" s="1839"/>
      <c r="M99" s="1839"/>
      <c r="N99" s="1839"/>
      <c r="O99" s="1839"/>
      <c r="P99" s="1839"/>
      <c r="Q99" s="1839"/>
      <c r="R99" s="1839"/>
      <c r="S99" s="1839"/>
      <c r="T99" s="1839"/>
      <c r="U99" s="1839"/>
      <c r="V99" s="1839"/>
      <c r="Z99" s="472"/>
      <c r="AA99" s="472"/>
      <c r="AB99" s="472"/>
      <c r="AC99" s="472"/>
      <c r="AD99" s="472"/>
      <c r="AE99" s="472"/>
      <c r="AF99" s="472"/>
      <c r="AG99" s="472"/>
      <c r="AH99" s="472"/>
      <c r="AI99" s="472"/>
      <c r="AJ99" s="472"/>
      <c r="AK99" s="472"/>
      <c r="AL99" s="472"/>
      <c r="AM99" s="472"/>
      <c r="AN99" s="472"/>
      <c r="AO99" s="472"/>
      <c r="AP99" s="472"/>
      <c r="AQ99" s="472"/>
      <c r="AR99" s="472"/>
      <c r="AS99" s="472"/>
      <c r="AT99" s="472"/>
      <c r="AU99" s="472"/>
      <c r="AV99" s="472"/>
      <c r="AW99" s="472"/>
      <c r="AX99" s="472"/>
      <c r="AY99" s="472"/>
      <c r="AZ99" s="472"/>
      <c r="BA99" s="472"/>
      <c r="BB99" s="472"/>
      <c r="BC99" s="472"/>
      <c r="BD99" s="472"/>
      <c r="BE99" s="472"/>
      <c r="BF99" s="472"/>
      <c r="BG99" s="472"/>
      <c r="BH99" s="472"/>
      <c r="BI99" s="472"/>
      <c r="BJ99" s="472"/>
      <c r="BK99" s="466"/>
      <c r="BL99" s="472"/>
      <c r="BM99" s="472"/>
      <c r="BN99" s="472"/>
      <c r="BO99" s="472"/>
      <c r="BP99" s="472"/>
      <c r="BQ99" s="472"/>
      <c r="BR99" s="472"/>
      <c r="BS99" s="472"/>
      <c r="BT99" s="472"/>
      <c r="BU99" s="472"/>
      <c r="BV99" s="472"/>
      <c r="BW99" s="347"/>
      <c r="BX99" s="472"/>
      <c r="BY99" s="472"/>
      <c r="BZ99" s="472"/>
      <c r="CA99" s="466"/>
      <c r="CB99" s="466"/>
      <c r="CC99" s="466"/>
      <c r="CD99" s="466"/>
      <c r="CE99" s="466"/>
      <c r="CF99" s="347"/>
      <c r="CG99" s="466"/>
      <c r="CH99" s="347"/>
      <c r="CI99" s="347"/>
      <c r="CJ99" s="347"/>
      <c r="CK99" s="347"/>
      <c r="CL99" s="347"/>
      <c r="CM99" s="347"/>
      <c r="CN99" s="347"/>
      <c r="CO99" s="347"/>
      <c r="CP99" s="347"/>
      <c r="CQ99" s="347"/>
      <c r="CR99" s="347"/>
      <c r="CS99" s="347"/>
      <c r="CT99" s="347"/>
      <c r="CU99" s="347"/>
      <c r="CV99" s="347"/>
      <c r="CW99" s="347"/>
      <c r="CX99" s="347"/>
      <c r="CY99" s="462"/>
      <c r="CZ99" s="462"/>
      <c r="DA99" s="462"/>
      <c r="DB99" s="464"/>
      <c r="DC99" s="464"/>
      <c r="DD99" s="464"/>
      <c r="DE99" s="464"/>
      <c r="DF99" s="462"/>
    </row>
    <row r="100" spans="1:110" ht="15.75">
      <c r="A100" s="457" t="s">
        <v>3389</v>
      </c>
      <c r="B100" s="1797"/>
      <c r="C100" s="1797"/>
      <c r="D100" s="1797"/>
      <c r="E100" s="1797"/>
      <c r="F100" s="1797"/>
      <c r="G100" s="1797"/>
      <c r="H100" s="1797"/>
      <c r="I100" s="1797"/>
      <c r="J100" s="1798">
        <v>4</v>
      </c>
      <c r="K100" s="1839"/>
      <c r="L100" s="1839"/>
      <c r="M100" s="1839"/>
      <c r="N100" s="1839"/>
      <c r="O100" s="1839"/>
      <c r="P100" s="1839"/>
      <c r="Q100" s="1839"/>
      <c r="R100" s="1839"/>
      <c r="S100" s="1839"/>
      <c r="T100" s="1839"/>
      <c r="U100" s="1839"/>
      <c r="V100" s="1839"/>
      <c r="Z100" s="472"/>
      <c r="AA100" s="472"/>
      <c r="AB100" s="472"/>
      <c r="AC100" s="472"/>
      <c r="AD100" s="472"/>
      <c r="AE100" s="472"/>
      <c r="AF100" s="472"/>
      <c r="AG100" s="472"/>
      <c r="AH100" s="472"/>
      <c r="AI100" s="472"/>
      <c r="AJ100" s="472"/>
      <c r="AK100" s="472"/>
      <c r="AL100" s="472"/>
      <c r="AM100" s="472"/>
      <c r="AN100" s="472"/>
      <c r="AO100" s="472"/>
      <c r="AP100" s="472"/>
      <c r="AQ100" s="472"/>
      <c r="AR100" s="472"/>
      <c r="AS100" s="472"/>
      <c r="AT100" s="472"/>
      <c r="AU100" s="472"/>
      <c r="AV100" s="472"/>
      <c r="AW100" s="472"/>
      <c r="AX100" s="472"/>
      <c r="AY100" s="472"/>
      <c r="AZ100" s="472"/>
      <c r="BA100" s="472"/>
      <c r="BB100" s="472"/>
      <c r="BC100" s="472"/>
      <c r="BD100" s="472"/>
      <c r="BE100" s="472"/>
      <c r="BF100" s="472"/>
      <c r="BG100" s="472"/>
      <c r="BH100" s="472"/>
      <c r="BI100" s="472"/>
      <c r="BJ100" s="472"/>
      <c r="BK100" s="466"/>
      <c r="BL100" s="472"/>
      <c r="BM100" s="472"/>
      <c r="BN100" s="472"/>
      <c r="BO100" s="472"/>
      <c r="BP100" s="472"/>
      <c r="BQ100" s="472"/>
      <c r="BR100" s="472"/>
      <c r="BS100" s="472"/>
      <c r="BT100" s="472"/>
      <c r="BU100" s="472"/>
      <c r="BV100" s="472"/>
      <c r="BW100" s="347"/>
      <c r="BX100" s="472"/>
      <c r="BY100" s="472"/>
      <c r="BZ100" s="472"/>
      <c r="CA100" s="466"/>
      <c r="CB100" s="466"/>
      <c r="CC100" s="466"/>
      <c r="CD100" s="466"/>
      <c r="CE100" s="466"/>
      <c r="CF100" s="347"/>
      <c r="CG100" s="466"/>
      <c r="CH100" s="347"/>
      <c r="CI100" s="347"/>
      <c r="CJ100" s="347"/>
      <c r="CK100" s="347"/>
      <c r="CL100" s="347"/>
      <c r="CM100" s="347"/>
      <c r="CN100" s="347"/>
      <c r="CO100" s="347"/>
      <c r="CP100" s="347"/>
      <c r="CQ100" s="347"/>
      <c r="CR100" s="347"/>
      <c r="CS100" s="347"/>
      <c r="CT100" s="347"/>
      <c r="CU100" s="347"/>
      <c r="CV100" s="347"/>
      <c r="CW100" s="347"/>
      <c r="CX100" s="347"/>
      <c r="CY100" s="462"/>
      <c r="CZ100" s="462"/>
      <c r="DA100" s="462"/>
      <c r="DB100" s="464"/>
      <c r="DC100" s="464"/>
      <c r="DD100" s="464"/>
      <c r="DE100" s="464"/>
      <c r="DF100" s="462"/>
    </row>
    <row r="101" spans="1:110" ht="15.75">
      <c r="A101" s="457" t="s">
        <v>3392</v>
      </c>
      <c r="B101" s="1797"/>
      <c r="C101" s="1797"/>
      <c r="D101" s="1797"/>
      <c r="E101" s="1797"/>
      <c r="F101" s="1797"/>
      <c r="G101" s="1797"/>
      <c r="H101" s="1797"/>
      <c r="I101" s="1797"/>
      <c r="J101" s="1798">
        <v>5</v>
      </c>
      <c r="K101" s="1839"/>
      <c r="L101" s="1839"/>
      <c r="M101" s="1839"/>
      <c r="N101" s="1839"/>
      <c r="O101" s="1839"/>
      <c r="P101" s="1839"/>
      <c r="Q101" s="1839"/>
      <c r="R101" s="1839"/>
      <c r="S101" s="1839"/>
      <c r="T101" s="1839"/>
      <c r="U101" s="1839"/>
      <c r="V101" s="1839"/>
      <c r="Z101" s="472"/>
      <c r="AA101" s="472"/>
      <c r="AB101" s="472"/>
      <c r="AC101" s="472"/>
      <c r="AD101" s="472"/>
      <c r="AE101" s="472"/>
      <c r="AF101" s="472"/>
      <c r="AG101" s="472"/>
      <c r="AH101" s="472"/>
      <c r="AI101" s="472"/>
      <c r="AJ101" s="472"/>
      <c r="AK101" s="472"/>
      <c r="AL101" s="472"/>
      <c r="AM101" s="472"/>
      <c r="AN101" s="472"/>
      <c r="AO101" s="472"/>
      <c r="AP101" s="472"/>
      <c r="AQ101" s="472"/>
      <c r="AR101" s="472"/>
      <c r="AS101" s="472"/>
      <c r="AT101" s="472"/>
      <c r="AU101" s="472"/>
      <c r="AV101" s="472"/>
      <c r="AW101" s="472"/>
      <c r="AX101" s="472"/>
      <c r="AY101" s="472"/>
      <c r="AZ101" s="472"/>
      <c r="BA101" s="472"/>
      <c r="BB101" s="472"/>
      <c r="BC101" s="472"/>
      <c r="BD101" s="472"/>
      <c r="BE101" s="472"/>
      <c r="BF101" s="472"/>
      <c r="BG101" s="472"/>
      <c r="BH101" s="472"/>
      <c r="BI101" s="472"/>
      <c r="BJ101" s="472"/>
      <c r="BK101" s="466"/>
      <c r="BL101" s="472"/>
      <c r="BM101" s="472"/>
      <c r="BN101" s="472"/>
      <c r="BO101" s="472"/>
      <c r="BP101" s="472"/>
      <c r="BQ101" s="472"/>
      <c r="BR101" s="472"/>
      <c r="BS101" s="472"/>
      <c r="BT101" s="472"/>
      <c r="BU101" s="472"/>
      <c r="BV101" s="472"/>
      <c r="BW101" s="347"/>
      <c r="BX101" s="472"/>
      <c r="BY101" s="472"/>
      <c r="BZ101" s="472"/>
      <c r="CA101" s="466"/>
      <c r="CB101" s="466"/>
      <c r="CC101" s="466"/>
      <c r="CD101" s="466"/>
      <c r="CE101" s="466"/>
      <c r="CF101" s="347"/>
      <c r="CG101" s="466"/>
      <c r="CH101" s="347"/>
      <c r="CI101" s="347"/>
      <c r="CJ101" s="347"/>
      <c r="CK101" s="347"/>
      <c r="CL101" s="347"/>
      <c r="CM101" s="347"/>
      <c r="CN101" s="347"/>
      <c r="CO101" s="347"/>
      <c r="CP101" s="347"/>
      <c r="CQ101" s="347"/>
      <c r="CR101" s="347"/>
      <c r="CS101" s="347"/>
      <c r="CT101" s="347"/>
      <c r="CU101" s="347"/>
      <c r="CV101" s="347"/>
      <c r="CW101" s="347"/>
      <c r="CX101" s="347"/>
      <c r="CY101" s="462"/>
      <c r="CZ101" s="462"/>
      <c r="DA101" s="462"/>
      <c r="DB101" s="464"/>
      <c r="DC101" s="464"/>
      <c r="DD101" s="464"/>
      <c r="DE101" s="464"/>
      <c r="DF101" s="462"/>
    </row>
    <row r="102" spans="1:110" ht="15.75">
      <c r="A102" s="457" t="s">
        <v>3399</v>
      </c>
      <c r="B102" s="467"/>
      <c r="C102" s="467"/>
      <c r="D102" s="467"/>
      <c r="E102" s="467"/>
      <c r="F102" s="467"/>
      <c r="G102" s="1797"/>
      <c r="H102" s="1797"/>
      <c r="I102" s="1797"/>
      <c r="J102" s="1798">
        <v>6</v>
      </c>
      <c r="K102" s="1839"/>
      <c r="L102" s="1839"/>
      <c r="M102" s="1839"/>
      <c r="N102" s="1839"/>
      <c r="O102" s="1839"/>
      <c r="P102" s="1839"/>
      <c r="Q102" s="1839"/>
      <c r="R102" s="1839"/>
      <c r="S102" s="1839"/>
      <c r="T102" s="1839"/>
      <c r="U102" s="1839"/>
      <c r="V102" s="1839"/>
      <c r="Z102" s="472"/>
      <c r="AA102" s="472"/>
      <c r="AB102" s="472"/>
      <c r="AC102" s="472"/>
      <c r="AD102" s="472"/>
      <c r="AE102" s="472"/>
      <c r="AF102" s="472"/>
      <c r="AG102" s="472"/>
      <c r="AH102" s="472"/>
      <c r="AI102" s="472"/>
      <c r="AJ102" s="472"/>
      <c r="AK102" s="472"/>
      <c r="AL102" s="472"/>
      <c r="AM102" s="472"/>
      <c r="AN102" s="472"/>
      <c r="AO102" s="472"/>
      <c r="AP102" s="472"/>
      <c r="AQ102" s="472"/>
      <c r="AR102" s="472"/>
      <c r="AS102" s="472"/>
      <c r="AT102" s="472"/>
      <c r="AU102" s="472"/>
      <c r="AV102" s="472"/>
      <c r="AW102" s="472"/>
      <c r="AX102" s="472"/>
      <c r="AY102" s="472"/>
      <c r="AZ102" s="472"/>
      <c r="BA102" s="472"/>
      <c r="BB102" s="472"/>
      <c r="BC102" s="472"/>
      <c r="BD102" s="472"/>
      <c r="BE102" s="472"/>
      <c r="BF102" s="472"/>
      <c r="BG102" s="472"/>
      <c r="BH102" s="472"/>
      <c r="BI102" s="472"/>
      <c r="BJ102" s="472"/>
      <c r="BK102" s="466"/>
      <c r="BL102" s="472"/>
      <c r="BM102" s="472"/>
      <c r="BN102" s="472"/>
      <c r="BO102" s="472"/>
      <c r="BP102" s="472"/>
      <c r="BQ102" s="472"/>
      <c r="BR102" s="472"/>
      <c r="BS102" s="472"/>
      <c r="BT102" s="472"/>
      <c r="BU102" s="472"/>
      <c r="BV102" s="472"/>
      <c r="BW102" s="347"/>
      <c r="BX102" s="472"/>
      <c r="BY102" s="472"/>
      <c r="BZ102" s="472"/>
      <c r="CA102" s="466"/>
      <c r="CB102" s="466"/>
      <c r="CC102" s="466"/>
      <c r="CD102" s="466"/>
      <c r="CE102" s="466"/>
      <c r="CF102" s="347"/>
      <c r="CG102" s="466"/>
      <c r="CH102" s="347"/>
      <c r="CI102" s="347"/>
      <c r="CJ102" s="347"/>
      <c r="CK102" s="347"/>
      <c r="CL102" s="347"/>
      <c r="CM102" s="347"/>
      <c r="CN102" s="347"/>
      <c r="CO102" s="347"/>
      <c r="CP102" s="347"/>
      <c r="CQ102" s="347"/>
      <c r="CR102" s="347"/>
      <c r="CS102" s="347"/>
      <c r="CT102" s="347"/>
      <c r="CU102" s="347"/>
      <c r="CV102" s="347"/>
      <c r="CW102" s="347"/>
      <c r="CX102" s="347"/>
      <c r="CY102" s="462"/>
      <c r="CZ102" s="462"/>
      <c r="DA102" s="462"/>
      <c r="DB102" s="464"/>
      <c r="DC102" s="464"/>
      <c r="DD102" s="464"/>
      <c r="DE102" s="464"/>
      <c r="DF102" s="462"/>
    </row>
    <row r="103" spans="1:110" ht="15.75">
      <c r="A103" s="457" t="s">
        <v>3404</v>
      </c>
      <c r="B103" s="468"/>
      <c r="C103" s="468"/>
      <c r="D103" s="468"/>
      <c r="E103" s="468"/>
      <c r="F103" s="468"/>
      <c r="G103" s="1797"/>
      <c r="H103" s="1797"/>
      <c r="I103" s="1797"/>
      <c r="J103" s="1798">
        <v>7</v>
      </c>
      <c r="K103" s="1839"/>
      <c r="L103" s="1839"/>
      <c r="M103" s="1839"/>
      <c r="N103" s="1839"/>
      <c r="O103" s="1839"/>
      <c r="P103" s="1839"/>
      <c r="Q103" s="1839"/>
      <c r="R103" s="1839"/>
      <c r="S103" s="1839"/>
      <c r="T103" s="1839"/>
      <c r="U103" s="1839"/>
      <c r="V103" s="1839"/>
      <c r="Z103" s="472"/>
      <c r="AA103" s="472"/>
      <c r="AB103" s="472"/>
      <c r="AC103" s="472"/>
      <c r="AD103" s="472"/>
      <c r="AE103" s="472"/>
      <c r="AF103" s="472"/>
      <c r="AG103" s="472"/>
      <c r="AH103" s="472"/>
      <c r="AI103" s="472"/>
      <c r="AJ103" s="472"/>
      <c r="AK103" s="472"/>
      <c r="AL103" s="472"/>
      <c r="AM103" s="472"/>
      <c r="AN103" s="472"/>
      <c r="AO103" s="472"/>
      <c r="AP103" s="472"/>
      <c r="AQ103" s="472"/>
      <c r="AR103" s="472"/>
      <c r="AS103" s="472"/>
      <c r="AT103" s="472"/>
      <c r="AU103" s="472"/>
      <c r="AV103" s="472"/>
      <c r="AW103" s="472"/>
      <c r="AX103" s="472"/>
      <c r="AY103" s="472"/>
      <c r="AZ103" s="472"/>
      <c r="BA103" s="472"/>
      <c r="BB103" s="472"/>
      <c r="BC103" s="472"/>
      <c r="BD103" s="472"/>
      <c r="BE103" s="472"/>
      <c r="BF103" s="472"/>
      <c r="BG103" s="472"/>
      <c r="BH103" s="472"/>
      <c r="BI103" s="472"/>
      <c r="BJ103" s="472"/>
      <c r="BK103" s="466"/>
      <c r="BL103" s="472"/>
      <c r="BM103" s="472"/>
      <c r="BN103" s="472"/>
      <c r="BO103" s="472"/>
      <c r="BP103" s="472"/>
      <c r="BQ103" s="472"/>
      <c r="BR103" s="472"/>
      <c r="BS103" s="472"/>
      <c r="BT103" s="472"/>
      <c r="BU103" s="472"/>
      <c r="BV103" s="472"/>
      <c r="BW103" s="347"/>
      <c r="BX103" s="472"/>
      <c r="BY103" s="472"/>
      <c r="BZ103" s="472"/>
      <c r="CA103" s="466"/>
      <c r="CB103" s="466"/>
      <c r="CC103" s="466"/>
      <c r="CD103" s="466"/>
      <c r="CE103" s="466"/>
      <c r="CF103" s="347"/>
      <c r="CG103" s="466"/>
      <c r="CH103" s="347"/>
      <c r="CI103" s="347"/>
      <c r="CJ103" s="347"/>
      <c r="CK103" s="347"/>
      <c r="CL103" s="347"/>
      <c r="CM103" s="347"/>
      <c r="CN103" s="347"/>
      <c r="CO103" s="347"/>
      <c r="CP103" s="347"/>
      <c r="CQ103" s="347"/>
      <c r="CR103" s="347"/>
      <c r="CS103" s="347"/>
      <c r="CT103" s="347"/>
      <c r="CU103" s="347"/>
      <c r="CV103" s="347"/>
      <c r="CW103" s="347"/>
      <c r="CX103" s="347"/>
      <c r="CY103" s="462"/>
      <c r="CZ103" s="462"/>
      <c r="DA103" s="462"/>
      <c r="DB103" s="464"/>
      <c r="DC103" s="464"/>
      <c r="DD103" s="464"/>
      <c r="DE103" s="464"/>
      <c r="DF103" s="462"/>
    </row>
    <row r="104" spans="1:110" ht="15.75">
      <c r="A104" s="457" t="s">
        <v>3409</v>
      </c>
      <c r="B104" s="471"/>
      <c r="C104" s="471"/>
      <c r="D104" s="471"/>
      <c r="E104" s="471"/>
      <c r="F104" s="471"/>
      <c r="G104" s="1797"/>
      <c r="H104" s="1797"/>
      <c r="I104" s="1797"/>
      <c r="J104" s="1798">
        <v>8</v>
      </c>
      <c r="K104" s="1839"/>
      <c r="L104" s="1839"/>
      <c r="M104" s="1839"/>
      <c r="N104" s="1839"/>
      <c r="O104" s="1839"/>
      <c r="P104" s="1839"/>
      <c r="Q104" s="1839"/>
      <c r="R104" s="1839"/>
      <c r="S104" s="1839"/>
      <c r="T104" s="1839"/>
      <c r="U104" s="1839"/>
      <c r="V104" s="1839"/>
      <c r="Z104" s="472"/>
      <c r="AA104" s="472"/>
      <c r="AB104" s="472"/>
      <c r="AC104" s="472"/>
      <c r="AD104" s="472"/>
      <c r="AE104" s="472"/>
      <c r="AF104" s="472"/>
      <c r="AG104" s="472"/>
      <c r="AH104" s="472"/>
      <c r="AI104" s="472"/>
      <c r="AJ104" s="472"/>
      <c r="AK104" s="472"/>
      <c r="AL104" s="472"/>
      <c r="AM104" s="472"/>
      <c r="AN104" s="472"/>
      <c r="AO104" s="472"/>
      <c r="AP104" s="472"/>
      <c r="AQ104" s="472"/>
      <c r="AR104" s="472"/>
      <c r="AS104" s="472"/>
      <c r="AT104" s="472"/>
      <c r="AU104" s="472"/>
      <c r="AV104" s="472"/>
      <c r="AW104" s="472"/>
      <c r="AX104" s="472"/>
      <c r="AY104" s="472"/>
      <c r="AZ104" s="472"/>
      <c r="BA104" s="472"/>
      <c r="BB104" s="472"/>
      <c r="BC104" s="472"/>
      <c r="BD104" s="472"/>
      <c r="BE104" s="472"/>
      <c r="BF104" s="472"/>
      <c r="BG104" s="472"/>
      <c r="BH104" s="472"/>
      <c r="BI104" s="472"/>
      <c r="BJ104" s="472"/>
      <c r="BK104" s="466"/>
      <c r="BL104" s="472"/>
      <c r="BM104" s="472"/>
      <c r="BN104" s="472"/>
      <c r="BO104" s="472"/>
      <c r="BP104" s="472"/>
      <c r="BQ104" s="472"/>
      <c r="BR104" s="472"/>
      <c r="BS104" s="472"/>
      <c r="BT104" s="472"/>
      <c r="BU104" s="472"/>
      <c r="BV104" s="472"/>
      <c r="BW104" s="347"/>
      <c r="BX104" s="472"/>
      <c r="BY104" s="472"/>
      <c r="BZ104" s="472"/>
      <c r="CA104" s="466"/>
      <c r="CB104" s="466"/>
      <c r="CC104" s="466"/>
      <c r="CD104" s="466"/>
      <c r="CE104" s="466"/>
      <c r="CF104" s="347"/>
      <c r="CG104" s="466"/>
      <c r="CH104" s="347"/>
      <c r="CI104" s="347"/>
      <c r="CJ104" s="347"/>
      <c r="CK104" s="347"/>
      <c r="CL104" s="347"/>
      <c r="CM104" s="347"/>
      <c r="CN104" s="347"/>
      <c r="CO104" s="347"/>
      <c r="CP104" s="347"/>
      <c r="CQ104" s="347"/>
      <c r="CR104" s="347"/>
      <c r="CS104" s="347"/>
      <c r="CT104" s="347"/>
      <c r="CU104" s="347"/>
      <c r="CV104" s="347"/>
      <c r="CW104" s="347"/>
      <c r="CX104" s="347"/>
      <c r="CY104" s="462"/>
      <c r="CZ104" s="462"/>
      <c r="DA104" s="462"/>
      <c r="DB104" s="464"/>
      <c r="DC104" s="464"/>
      <c r="DD104" s="464"/>
      <c r="DE104" s="464"/>
      <c r="DF104" s="462"/>
    </row>
    <row r="105" spans="1:110" ht="15.75">
      <c r="A105" s="457" t="s">
        <v>3414</v>
      </c>
      <c r="B105" s="471"/>
      <c r="C105" s="471"/>
      <c r="D105" s="471"/>
      <c r="E105" s="471"/>
      <c r="F105" s="471"/>
      <c r="G105" s="1797"/>
      <c r="H105" s="1797"/>
      <c r="I105" s="1797"/>
      <c r="J105" s="1798">
        <v>9</v>
      </c>
      <c r="K105" s="1839"/>
      <c r="L105" s="1839"/>
      <c r="M105" s="1839"/>
      <c r="N105" s="1839"/>
      <c r="O105" s="1839"/>
      <c r="P105" s="1839"/>
      <c r="Q105" s="1839"/>
      <c r="R105" s="1839"/>
      <c r="S105" s="1839"/>
      <c r="T105" s="1839"/>
      <c r="U105" s="1839"/>
      <c r="V105" s="1839"/>
      <c r="Z105" s="472"/>
      <c r="AA105" s="472"/>
      <c r="AB105" s="472"/>
      <c r="AC105" s="472"/>
      <c r="AD105" s="472"/>
      <c r="AE105" s="472"/>
      <c r="AF105" s="472"/>
      <c r="AG105" s="472"/>
      <c r="AH105" s="472"/>
      <c r="AI105" s="472"/>
      <c r="AJ105" s="472"/>
      <c r="AK105" s="472"/>
      <c r="AL105" s="472"/>
      <c r="AM105" s="472"/>
      <c r="AN105" s="472"/>
      <c r="AO105" s="472"/>
      <c r="AP105" s="472"/>
      <c r="AQ105" s="472"/>
      <c r="AR105" s="472"/>
      <c r="AS105" s="472"/>
      <c r="AT105" s="472"/>
      <c r="AU105" s="472"/>
      <c r="AV105" s="472"/>
      <c r="AW105" s="472"/>
      <c r="AX105" s="472"/>
      <c r="AY105" s="472"/>
      <c r="AZ105" s="472"/>
      <c r="BA105" s="472"/>
      <c r="BB105" s="472"/>
      <c r="BC105" s="472"/>
      <c r="BD105" s="472"/>
      <c r="BE105" s="472"/>
      <c r="BF105" s="472"/>
      <c r="BG105" s="472"/>
      <c r="BH105" s="472"/>
      <c r="BI105" s="472"/>
      <c r="BJ105" s="472"/>
      <c r="BK105" s="466"/>
      <c r="BL105" s="472"/>
      <c r="BM105" s="472"/>
      <c r="BN105" s="472"/>
      <c r="BO105" s="472"/>
      <c r="BP105" s="472"/>
      <c r="BQ105" s="472"/>
      <c r="BR105" s="472"/>
      <c r="BS105" s="472"/>
      <c r="BT105" s="472"/>
      <c r="BU105" s="472"/>
      <c r="BV105" s="472"/>
      <c r="BW105" s="347"/>
      <c r="BX105" s="472"/>
      <c r="BY105" s="472"/>
      <c r="BZ105" s="472"/>
      <c r="CA105" s="466"/>
      <c r="CB105" s="466"/>
      <c r="CC105" s="466"/>
      <c r="CD105" s="466"/>
      <c r="CE105" s="466"/>
      <c r="CF105" s="347"/>
      <c r="CG105" s="466"/>
      <c r="CH105" s="347"/>
      <c r="CI105" s="347"/>
      <c r="CJ105" s="347"/>
      <c r="CK105" s="347"/>
      <c r="CL105" s="347"/>
      <c r="CM105" s="347"/>
      <c r="CN105" s="347"/>
      <c r="CO105" s="347"/>
      <c r="CP105" s="347"/>
      <c r="CQ105" s="347"/>
      <c r="CR105" s="347"/>
      <c r="CS105" s="347"/>
      <c r="CT105" s="347"/>
      <c r="CU105" s="347"/>
      <c r="CV105" s="347"/>
      <c r="CW105" s="347"/>
      <c r="CX105" s="347"/>
      <c r="CY105" s="462"/>
      <c r="CZ105" s="462"/>
      <c r="DA105" s="462"/>
      <c r="DB105" s="464"/>
      <c r="DC105" s="464"/>
      <c r="DD105" s="464"/>
      <c r="DE105" s="464"/>
      <c r="DF105" s="462"/>
    </row>
    <row r="106" spans="1:110" ht="15.75">
      <c r="A106" s="457" t="s">
        <v>3418</v>
      </c>
      <c r="B106" s="471"/>
      <c r="C106" s="471"/>
      <c r="D106" s="471"/>
      <c r="E106" s="471"/>
      <c r="F106" s="471"/>
      <c r="G106" s="1797"/>
      <c r="H106" s="1797"/>
      <c r="I106" s="1797"/>
      <c r="J106" s="1798">
        <v>10</v>
      </c>
      <c r="K106" s="1839"/>
      <c r="L106" s="1839"/>
      <c r="M106" s="1839"/>
      <c r="N106" s="1839"/>
      <c r="O106" s="1839"/>
      <c r="P106" s="1839"/>
      <c r="Q106" s="1839"/>
      <c r="R106" s="1839"/>
      <c r="S106" s="1839"/>
      <c r="T106" s="1839"/>
      <c r="U106" s="1839"/>
      <c r="V106" s="1839"/>
      <c r="Z106" s="472"/>
      <c r="AA106" s="472"/>
      <c r="AB106" s="472"/>
      <c r="AC106" s="472"/>
      <c r="AD106" s="472"/>
      <c r="AE106" s="472"/>
      <c r="AF106" s="472"/>
      <c r="AG106" s="472"/>
      <c r="AH106" s="472"/>
      <c r="AI106" s="472"/>
      <c r="AJ106" s="472"/>
      <c r="AK106" s="472"/>
      <c r="AL106" s="472"/>
      <c r="AM106" s="472"/>
      <c r="AN106" s="472"/>
      <c r="AO106" s="472"/>
      <c r="AP106" s="472"/>
      <c r="AQ106" s="472"/>
      <c r="AR106" s="472"/>
      <c r="AS106" s="472"/>
      <c r="AT106" s="472"/>
      <c r="AU106" s="472"/>
      <c r="AV106" s="472"/>
      <c r="AW106" s="472"/>
      <c r="AX106" s="472"/>
      <c r="AY106" s="472"/>
      <c r="AZ106" s="472"/>
      <c r="BA106" s="472"/>
      <c r="BB106" s="472"/>
      <c r="BC106" s="472"/>
      <c r="BD106" s="472"/>
      <c r="BE106" s="472"/>
      <c r="BF106" s="472"/>
      <c r="BG106" s="472"/>
      <c r="BH106" s="472"/>
      <c r="BI106" s="472"/>
      <c r="BJ106" s="472"/>
      <c r="BK106" s="466"/>
      <c r="BL106" s="472"/>
      <c r="BM106" s="472"/>
      <c r="BN106" s="472"/>
      <c r="BO106" s="472"/>
      <c r="BP106" s="472"/>
      <c r="BQ106" s="472"/>
      <c r="BR106" s="472"/>
      <c r="BS106" s="472"/>
      <c r="BT106" s="472"/>
      <c r="BU106" s="472"/>
      <c r="BV106" s="472"/>
      <c r="BW106" s="347"/>
      <c r="BX106" s="472"/>
      <c r="BY106" s="472"/>
      <c r="BZ106" s="472"/>
      <c r="CA106" s="466"/>
      <c r="CB106" s="466"/>
      <c r="CC106" s="466"/>
      <c r="CD106" s="466"/>
      <c r="CE106" s="466"/>
      <c r="CF106" s="347"/>
      <c r="CG106" s="466"/>
      <c r="CH106" s="347"/>
      <c r="CI106" s="347"/>
      <c r="CJ106" s="347"/>
      <c r="CK106" s="347"/>
      <c r="CL106" s="347"/>
      <c r="CM106" s="347"/>
      <c r="CN106" s="347"/>
      <c r="CO106" s="347"/>
      <c r="CP106" s="347"/>
      <c r="CQ106" s="347"/>
      <c r="CR106" s="347"/>
      <c r="CS106" s="347"/>
      <c r="CT106" s="347"/>
      <c r="CU106" s="347"/>
      <c r="CV106" s="347"/>
      <c r="CW106" s="347"/>
      <c r="CX106" s="347"/>
      <c r="CY106" s="462"/>
      <c r="CZ106" s="462"/>
      <c r="DA106" s="462"/>
      <c r="DB106" s="464"/>
      <c r="DC106" s="464"/>
      <c r="DD106" s="464"/>
      <c r="DE106" s="464"/>
      <c r="DF106" s="462"/>
    </row>
    <row r="107" spans="1:110" ht="15.75">
      <c r="A107" s="457" t="s">
        <v>3423</v>
      </c>
      <c r="B107" s="468"/>
      <c r="C107" s="468"/>
      <c r="D107" s="468"/>
      <c r="E107" s="468"/>
      <c r="F107" s="468"/>
      <c r="G107" s="1797"/>
      <c r="H107" s="1797"/>
      <c r="I107" s="1797"/>
      <c r="J107" s="1798">
        <v>11</v>
      </c>
      <c r="K107" s="1839"/>
      <c r="L107" s="1839"/>
      <c r="M107" s="1839"/>
      <c r="N107" s="1839"/>
      <c r="O107" s="1839"/>
      <c r="P107" s="1839"/>
      <c r="Q107" s="1839"/>
      <c r="R107" s="1839"/>
      <c r="S107" s="1839"/>
      <c r="T107" s="1839"/>
      <c r="U107" s="1839"/>
      <c r="V107" s="1839"/>
      <c r="Z107" s="472"/>
      <c r="AA107" s="472"/>
      <c r="AB107" s="472"/>
      <c r="AC107" s="472"/>
      <c r="AD107" s="472"/>
      <c r="AE107" s="472"/>
      <c r="AF107" s="472"/>
      <c r="AG107" s="472"/>
      <c r="AH107" s="472"/>
      <c r="AI107" s="472"/>
      <c r="AJ107" s="472"/>
      <c r="AK107" s="472"/>
      <c r="AL107" s="472"/>
      <c r="AM107" s="472"/>
      <c r="AN107" s="472"/>
      <c r="AO107" s="472"/>
      <c r="AP107" s="472"/>
      <c r="AQ107" s="472"/>
      <c r="AR107" s="472"/>
      <c r="AS107" s="472"/>
      <c r="AT107" s="472"/>
      <c r="AU107" s="472"/>
      <c r="AV107" s="472"/>
      <c r="AW107" s="472"/>
      <c r="AX107" s="472"/>
      <c r="AY107" s="472"/>
      <c r="AZ107" s="472"/>
      <c r="BA107" s="472"/>
      <c r="BB107" s="472"/>
      <c r="BC107" s="472"/>
      <c r="BD107" s="472"/>
      <c r="BE107" s="472"/>
      <c r="BF107" s="472"/>
      <c r="BG107" s="472"/>
      <c r="BH107" s="472"/>
      <c r="BI107" s="472"/>
      <c r="BJ107" s="472"/>
      <c r="BK107" s="466"/>
      <c r="BL107" s="472"/>
      <c r="BM107" s="472"/>
      <c r="BN107" s="472"/>
      <c r="BO107" s="472"/>
      <c r="BP107" s="472"/>
      <c r="BQ107" s="472"/>
      <c r="BR107" s="472"/>
      <c r="BS107" s="472"/>
      <c r="BT107" s="472"/>
      <c r="BU107" s="472"/>
      <c r="BV107" s="472"/>
      <c r="BW107" s="347"/>
      <c r="BX107" s="472"/>
      <c r="BY107" s="472"/>
      <c r="BZ107" s="472"/>
      <c r="CA107" s="466"/>
      <c r="CB107" s="466"/>
      <c r="CC107" s="466"/>
      <c r="CD107" s="466"/>
      <c r="CE107" s="466"/>
      <c r="CF107" s="347"/>
      <c r="CG107" s="466"/>
      <c r="CH107" s="347"/>
      <c r="CI107" s="347"/>
      <c r="CJ107" s="347"/>
      <c r="CK107" s="347"/>
      <c r="CL107" s="347"/>
      <c r="CM107" s="347"/>
      <c r="CN107" s="347"/>
      <c r="CO107" s="347"/>
      <c r="CP107" s="347"/>
      <c r="CQ107" s="347"/>
      <c r="CR107" s="347"/>
      <c r="CS107" s="347"/>
      <c r="CT107" s="347"/>
      <c r="CU107" s="347"/>
      <c r="CV107" s="347"/>
      <c r="CW107" s="347"/>
      <c r="CX107" s="347"/>
      <c r="CY107" s="462"/>
      <c r="CZ107" s="462"/>
      <c r="DA107" s="462"/>
      <c r="DB107" s="464"/>
      <c r="DC107" s="464"/>
      <c r="DD107" s="464"/>
      <c r="DE107" s="464"/>
      <c r="DF107" s="462"/>
    </row>
    <row r="108" spans="1:110" ht="15.75">
      <c r="A108" s="457" t="s">
        <v>3426</v>
      </c>
      <c r="B108" s="471"/>
      <c r="C108" s="471"/>
      <c r="D108" s="471"/>
      <c r="E108" s="471"/>
      <c r="F108" s="471"/>
      <c r="G108" s="1797"/>
      <c r="H108" s="1797"/>
      <c r="I108" s="1797"/>
      <c r="J108" s="1798">
        <v>12</v>
      </c>
      <c r="K108" s="1839"/>
      <c r="L108" s="1839"/>
      <c r="M108" s="1839"/>
      <c r="N108" s="1839"/>
      <c r="O108" s="1839"/>
      <c r="P108" s="1839"/>
      <c r="Q108" s="1839"/>
      <c r="R108" s="1839"/>
      <c r="S108" s="1839"/>
      <c r="T108" s="1839"/>
      <c r="U108" s="1839"/>
      <c r="V108" s="1839"/>
      <c r="Z108" s="472"/>
      <c r="AA108" s="472"/>
      <c r="AB108" s="472"/>
      <c r="AC108" s="472"/>
      <c r="AD108" s="472"/>
      <c r="AE108" s="472"/>
      <c r="AF108" s="472"/>
      <c r="AG108" s="472"/>
      <c r="AH108" s="472"/>
      <c r="AI108" s="472"/>
      <c r="AJ108" s="472"/>
      <c r="AK108" s="472"/>
      <c r="AL108" s="472"/>
      <c r="AM108" s="472"/>
      <c r="AN108" s="472"/>
      <c r="AO108" s="472"/>
      <c r="AP108" s="472"/>
      <c r="AQ108" s="472"/>
      <c r="AR108" s="472"/>
      <c r="AS108" s="472"/>
      <c r="AT108" s="472"/>
      <c r="AU108" s="472"/>
      <c r="AV108" s="472"/>
      <c r="AW108" s="472"/>
      <c r="AX108" s="472"/>
      <c r="AY108" s="472"/>
      <c r="AZ108" s="472"/>
      <c r="BA108" s="472"/>
      <c r="BB108" s="472"/>
      <c r="BC108" s="472"/>
      <c r="BD108" s="472"/>
      <c r="BE108" s="472"/>
      <c r="BF108" s="472"/>
      <c r="BG108" s="472"/>
      <c r="BH108" s="472"/>
      <c r="BI108" s="472"/>
      <c r="BJ108" s="472"/>
      <c r="BK108" s="466"/>
      <c r="BL108" s="472"/>
      <c r="BM108" s="472"/>
      <c r="BN108" s="472"/>
      <c r="BO108" s="472"/>
      <c r="BP108" s="472"/>
      <c r="BQ108" s="472"/>
      <c r="BR108" s="472"/>
      <c r="BS108" s="472"/>
      <c r="BT108" s="472"/>
      <c r="BU108" s="472"/>
      <c r="BV108" s="472"/>
      <c r="BW108" s="347"/>
      <c r="BX108" s="472"/>
      <c r="BY108" s="472"/>
      <c r="BZ108" s="472"/>
      <c r="CA108" s="466"/>
      <c r="CB108" s="466"/>
      <c r="CC108" s="466"/>
      <c r="CD108" s="466"/>
      <c r="CE108" s="466"/>
      <c r="CF108" s="347"/>
      <c r="CG108" s="466"/>
      <c r="CH108" s="347"/>
      <c r="CI108" s="347"/>
      <c r="CJ108" s="347"/>
      <c r="CK108" s="347"/>
      <c r="CL108" s="347"/>
      <c r="CM108" s="347"/>
      <c r="CN108" s="347"/>
      <c r="CO108" s="347"/>
      <c r="CP108" s="347"/>
      <c r="CQ108" s="347"/>
      <c r="CR108" s="347"/>
      <c r="CS108" s="347"/>
      <c r="CT108" s="347"/>
      <c r="CU108" s="347"/>
      <c r="CV108" s="347"/>
      <c r="CW108" s="347"/>
      <c r="CX108" s="347"/>
      <c r="CY108" s="462"/>
      <c r="CZ108" s="462"/>
      <c r="DA108" s="462"/>
      <c r="DB108" s="464"/>
      <c r="DC108" s="464"/>
      <c r="DD108" s="464"/>
      <c r="DE108" s="464"/>
      <c r="DF108" s="462"/>
    </row>
    <row r="109" spans="1:110" ht="15.75">
      <c r="A109" s="457" t="s">
        <v>3430</v>
      </c>
      <c r="B109" s="479"/>
      <c r="C109" s="479"/>
      <c r="D109" s="479"/>
      <c r="E109" s="479"/>
      <c r="F109" s="479"/>
      <c r="G109" s="370"/>
      <c r="H109" s="370"/>
      <c r="I109" s="370"/>
      <c r="J109" s="1798">
        <v>32</v>
      </c>
      <c r="K109" s="1839"/>
      <c r="L109" s="1839"/>
      <c r="M109" s="1839"/>
      <c r="N109" s="1839"/>
      <c r="O109" s="1839"/>
      <c r="P109" s="1839"/>
      <c r="Q109" s="1839"/>
      <c r="R109" s="1839"/>
      <c r="S109" s="1839"/>
      <c r="T109" s="1839"/>
      <c r="U109" s="1839"/>
      <c r="V109" s="1839"/>
      <c r="Z109" s="472"/>
      <c r="AA109" s="472"/>
      <c r="AB109" s="472"/>
      <c r="AC109" s="472"/>
      <c r="AD109" s="472"/>
      <c r="AE109" s="472"/>
      <c r="AF109" s="472"/>
      <c r="AG109" s="472"/>
      <c r="AH109" s="472"/>
      <c r="AI109" s="472"/>
      <c r="AJ109" s="472"/>
      <c r="AK109" s="472"/>
      <c r="AL109" s="472"/>
      <c r="AM109" s="472"/>
      <c r="AN109" s="472"/>
      <c r="AO109" s="472"/>
      <c r="AP109" s="472"/>
      <c r="AQ109" s="472"/>
      <c r="AR109" s="472"/>
      <c r="AS109" s="472"/>
      <c r="AT109" s="472"/>
      <c r="AU109" s="472"/>
      <c r="AV109" s="472"/>
      <c r="AW109" s="472"/>
      <c r="AX109" s="472"/>
      <c r="AY109" s="472"/>
      <c r="AZ109" s="472"/>
      <c r="BA109" s="472"/>
      <c r="BB109" s="472"/>
      <c r="BC109" s="472"/>
      <c r="BD109" s="472"/>
      <c r="BE109" s="472"/>
      <c r="BF109" s="472"/>
      <c r="BG109" s="472"/>
      <c r="BH109" s="472"/>
      <c r="BI109" s="472"/>
      <c r="BJ109" s="472"/>
      <c r="BK109" s="466"/>
      <c r="BL109" s="472"/>
      <c r="BM109" s="472"/>
      <c r="BN109" s="472"/>
      <c r="BO109" s="472"/>
      <c r="BP109" s="472"/>
      <c r="BQ109" s="472"/>
      <c r="BR109" s="472"/>
      <c r="BS109" s="472"/>
      <c r="BT109" s="472"/>
      <c r="BU109" s="472"/>
      <c r="BV109" s="472"/>
      <c r="BW109" s="347"/>
      <c r="BX109" s="472"/>
      <c r="BY109" s="472"/>
      <c r="BZ109" s="472"/>
      <c r="CA109" s="466"/>
      <c r="CB109" s="466"/>
      <c r="CC109" s="466"/>
      <c r="CD109" s="466"/>
      <c r="CE109" s="466"/>
      <c r="CF109" s="347"/>
      <c r="CG109" s="466"/>
      <c r="CH109" s="347"/>
      <c r="CI109" s="347"/>
      <c r="CJ109" s="347"/>
      <c r="CK109" s="347"/>
      <c r="CL109" s="347"/>
      <c r="CM109" s="347"/>
      <c r="CN109" s="347"/>
      <c r="CO109" s="347"/>
      <c r="CP109" s="347"/>
      <c r="CQ109" s="347"/>
      <c r="CR109" s="347"/>
      <c r="CS109" s="347"/>
      <c r="CT109" s="347"/>
      <c r="CU109" s="347"/>
      <c r="CV109" s="347"/>
      <c r="CW109" s="347"/>
      <c r="CX109" s="347"/>
      <c r="CY109" s="462"/>
      <c r="CZ109" s="462"/>
      <c r="DA109" s="462"/>
      <c r="DB109" s="464"/>
      <c r="DC109" s="464"/>
      <c r="DD109" s="464"/>
      <c r="DE109" s="464"/>
      <c r="DF109" s="462"/>
    </row>
    <row r="110" spans="1:110" ht="15.75">
      <c r="A110" s="457" t="s">
        <v>3433</v>
      </c>
      <c r="B110" s="471"/>
      <c r="C110" s="471"/>
      <c r="D110" s="471"/>
      <c r="E110" s="471"/>
      <c r="F110" s="471"/>
      <c r="G110" s="1797"/>
      <c r="H110" s="1797"/>
      <c r="I110" s="1797"/>
      <c r="J110" s="1798">
        <v>13</v>
      </c>
      <c r="K110" s="1839"/>
      <c r="L110" s="1839"/>
      <c r="M110" s="1839"/>
      <c r="N110" s="1839"/>
      <c r="O110" s="1839"/>
      <c r="P110" s="1839"/>
      <c r="Q110" s="1839"/>
      <c r="R110" s="1839"/>
      <c r="S110" s="1839"/>
      <c r="T110" s="1839"/>
      <c r="U110" s="1839"/>
      <c r="V110" s="1839"/>
      <c r="Z110" s="472"/>
      <c r="AA110" s="472"/>
      <c r="AB110" s="472"/>
      <c r="AC110" s="472"/>
      <c r="AD110" s="472"/>
      <c r="AE110" s="472"/>
      <c r="AF110" s="472"/>
      <c r="AG110" s="472"/>
      <c r="AH110" s="472"/>
      <c r="AI110" s="472"/>
      <c r="AJ110" s="472"/>
      <c r="AK110" s="472"/>
      <c r="AL110" s="472"/>
      <c r="AM110" s="472"/>
      <c r="AN110" s="472"/>
      <c r="AO110" s="472"/>
      <c r="AP110" s="472"/>
      <c r="AQ110" s="472"/>
      <c r="AR110" s="472"/>
      <c r="AS110" s="472"/>
      <c r="AT110" s="472"/>
      <c r="AU110" s="472"/>
      <c r="AV110" s="472"/>
      <c r="AW110" s="472"/>
      <c r="AX110" s="472"/>
      <c r="AY110" s="472"/>
      <c r="AZ110" s="472"/>
      <c r="BA110" s="472"/>
      <c r="BB110" s="472"/>
      <c r="BC110" s="472"/>
      <c r="BD110" s="472"/>
      <c r="BE110" s="472"/>
      <c r="BF110" s="472"/>
      <c r="BG110" s="472"/>
      <c r="BH110" s="472"/>
      <c r="BI110" s="472"/>
      <c r="BJ110" s="472"/>
      <c r="BK110" s="466"/>
      <c r="BL110" s="472"/>
      <c r="BM110" s="472"/>
      <c r="BN110" s="472"/>
      <c r="BO110" s="472"/>
      <c r="BP110" s="472"/>
      <c r="BQ110" s="472"/>
      <c r="BR110" s="472"/>
      <c r="BS110" s="472"/>
      <c r="BT110" s="472"/>
      <c r="BU110" s="472"/>
      <c r="BV110" s="472"/>
      <c r="BW110" s="347"/>
      <c r="BX110" s="472"/>
      <c r="BY110" s="472"/>
      <c r="BZ110" s="472"/>
      <c r="CA110" s="466"/>
      <c r="CB110" s="466"/>
      <c r="CC110" s="466"/>
      <c r="CD110" s="466"/>
      <c r="CE110" s="466"/>
      <c r="CF110" s="347"/>
      <c r="CG110" s="466"/>
      <c r="CH110" s="347"/>
      <c r="CI110" s="347"/>
      <c r="CJ110" s="347"/>
      <c r="CK110" s="347"/>
      <c r="CL110" s="347"/>
      <c r="CM110" s="347"/>
      <c r="CN110" s="347"/>
      <c r="CO110" s="347"/>
      <c r="CP110" s="347"/>
      <c r="CQ110" s="347"/>
      <c r="CR110" s="347"/>
      <c r="CS110" s="347"/>
      <c r="CT110" s="347"/>
      <c r="CU110" s="347"/>
      <c r="CV110" s="347"/>
      <c r="CW110" s="347"/>
      <c r="CX110" s="347"/>
      <c r="CY110" s="462"/>
      <c r="CZ110" s="462"/>
      <c r="DA110" s="462"/>
      <c r="DB110" s="464"/>
      <c r="DC110" s="464"/>
      <c r="DD110" s="464"/>
      <c r="DE110" s="464"/>
      <c r="DF110" s="462"/>
    </row>
    <row r="111" spans="1:110" ht="15.75">
      <c r="A111" s="1835" t="s">
        <v>3438</v>
      </c>
      <c r="B111" s="480"/>
      <c r="C111" s="480"/>
      <c r="D111" s="480"/>
      <c r="E111" s="480"/>
      <c r="F111" s="480"/>
      <c r="G111" s="1797"/>
      <c r="H111" s="1797"/>
      <c r="I111" s="1797"/>
      <c r="J111" s="1798">
        <v>14</v>
      </c>
      <c r="K111" s="1839"/>
      <c r="L111" s="1839"/>
      <c r="M111" s="1839"/>
      <c r="N111" s="1839"/>
      <c r="O111" s="1839"/>
      <c r="P111" s="1839"/>
      <c r="Q111" s="1839"/>
      <c r="R111" s="1839"/>
      <c r="S111" s="1839"/>
      <c r="T111" s="1839"/>
      <c r="U111" s="1839"/>
      <c r="V111" s="1839"/>
      <c r="Z111" s="472"/>
      <c r="AA111" s="472"/>
      <c r="AB111" s="472"/>
      <c r="AC111" s="472"/>
      <c r="AD111" s="472"/>
      <c r="AE111" s="472"/>
      <c r="AF111" s="472"/>
      <c r="AG111" s="472"/>
      <c r="AH111" s="472"/>
      <c r="AI111" s="472"/>
      <c r="AJ111" s="472"/>
      <c r="AK111" s="472"/>
      <c r="AL111" s="472"/>
      <c r="AM111" s="472"/>
      <c r="AN111" s="472"/>
      <c r="AO111" s="472"/>
      <c r="AP111" s="472"/>
      <c r="AQ111" s="472"/>
      <c r="AR111" s="472"/>
      <c r="AS111" s="472"/>
      <c r="AT111" s="472"/>
      <c r="AU111" s="472"/>
      <c r="AV111" s="472"/>
      <c r="AW111" s="472"/>
      <c r="AX111" s="472"/>
      <c r="AY111" s="472"/>
      <c r="AZ111" s="472"/>
      <c r="BA111" s="472"/>
      <c r="BB111" s="472"/>
      <c r="BC111" s="472"/>
      <c r="BD111" s="472"/>
      <c r="BE111" s="472"/>
      <c r="BF111" s="472"/>
      <c r="BG111" s="472"/>
      <c r="BH111" s="472"/>
      <c r="BI111" s="472"/>
      <c r="BJ111" s="472"/>
      <c r="BK111" s="466"/>
      <c r="BL111" s="472"/>
      <c r="BM111" s="472"/>
      <c r="BN111" s="472"/>
      <c r="BO111" s="472"/>
      <c r="BP111" s="472"/>
      <c r="BQ111" s="472"/>
      <c r="BR111" s="472"/>
      <c r="BS111" s="472"/>
      <c r="BT111" s="472"/>
      <c r="BU111" s="472"/>
      <c r="BV111" s="472"/>
      <c r="BW111" s="347"/>
      <c r="BX111" s="2121"/>
      <c r="BY111" s="2087"/>
      <c r="BZ111" s="472"/>
      <c r="CA111" s="466"/>
      <c r="CB111" s="466"/>
      <c r="CC111" s="466"/>
      <c r="CD111" s="466"/>
      <c r="CE111" s="466"/>
      <c r="CF111" s="347"/>
      <c r="CG111" s="466"/>
      <c r="CH111" s="347"/>
      <c r="CI111" s="347"/>
      <c r="CJ111" s="347"/>
      <c r="CK111" s="347"/>
      <c r="CL111" s="347"/>
      <c r="CM111" s="347"/>
      <c r="CN111" s="347"/>
      <c r="CO111" s="347"/>
      <c r="CP111" s="347"/>
      <c r="CQ111" s="347"/>
      <c r="CR111" s="347"/>
      <c r="CS111" s="347"/>
      <c r="CT111" s="347"/>
      <c r="CU111" s="347"/>
      <c r="CV111" s="347"/>
      <c r="CW111" s="347"/>
      <c r="CX111" s="347"/>
      <c r="CY111" s="462"/>
      <c r="CZ111" s="462"/>
      <c r="DA111" s="462"/>
      <c r="DB111" s="464"/>
      <c r="DC111" s="464"/>
      <c r="DD111" s="464"/>
      <c r="DE111" s="464"/>
      <c r="DF111" s="462"/>
    </row>
    <row r="112" spans="1:110" ht="15.75">
      <c r="A112" s="457" t="s">
        <v>3448</v>
      </c>
      <c r="B112" s="471"/>
      <c r="C112" s="471"/>
      <c r="D112" s="471"/>
      <c r="E112" s="471"/>
      <c r="F112" s="471"/>
      <c r="G112" s="1797"/>
      <c r="H112" s="1797"/>
      <c r="I112" s="1797"/>
      <c r="J112" s="1798">
        <v>15</v>
      </c>
      <c r="K112" s="1840"/>
      <c r="L112" s="1840"/>
      <c r="M112" s="1840"/>
      <c r="N112" s="1840"/>
      <c r="O112" s="1840"/>
      <c r="P112" s="1840"/>
      <c r="Q112" s="1840"/>
      <c r="R112" s="1840"/>
      <c r="S112" s="1840"/>
      <c r="T112" s="1840"/>
      <c r="U112" s="1840"/>
      <c r="V112" s="1840"/>
      <c r="Z112" s="519"/>
      <c r="AA112" s="519"/>
      <c r="AB112" s="519"/>
      <c r="AC112" s="519"/>
      <c r="AD112" s="519"/>
      <c r="AE112" s="519"/>
      <c r="AF112" s="519"/>
      <c r="AG112" s="519"/>
      <c r="AH112" s="519"/>
      <c r="AI112" s="519"/>
      <c r="AJ112" s="519"/>
      <c r="AK112" s="519"/>
      <c r="AL112" s="519"/>
      <c r="AM112" s="519"/>
      <c r="AN112" s="519"/>
      <c r="AO112" s="519"/>
      <c r="AP112" s="519"/>
      <c r="AQ112" s="519"/>
      <c r="AR112" s="519"/>
      <c r="AS112" s="519"/>
      <c r="AT112" s="519"/>
      <c r="AU112" s="519"/>
      <c r="AV112" s="519"/>
      <c r="AW112" s="519"/>
      <c r="AX112" s="519"/>
      <c r="AY112" s="519"/>
      <c r="AZ112" s="519"/>
      <c r="BA112" s="519"/>
      <c r="BB112" s="519"/>
      <c r="BC112" s="519"/>
      <c r="BD112" s="519"/>
      <c r="BE112" s="519"/>
      <c r="BF112" s="519"/>
      <c r="BG112" s="519"/>
      <c r="BH112" s="519"/>
      <c r="BI112" s="519"/>
      <c r="BJ112" s="519"/>
      <c r="BK112" s="520"/>
      <c r="BL112" s="519"/>
      <c r="BM112" s="519"/>
      <c r="BN112" s="519"/>
      <c r="BO112" s="519"/>
      <c r="BP112" s="519"/>
      <c r="BQ112" s="519"/>
      <c r="BR112" s="519"/>
      <c r="BS112" s="519"/>
      <c r="BT112" s="519"/>
      <c r="BU112" s="519"/>
      <c r="BV112" s="519"/>
      <c r="BW112" s="504"/>
      <c r="BX112" s="519"/>
      <c r="BY112" s="519"/>
      <c r="BZ112" s="519"/>
      <c r="CA112" s="520"/>
      <c r="CB112" s="520"/>
      <c r="CC112" s="520"/>
      <c r="CD112" s="520"/>
      <c r="CE112" s="466"/>
      <c r="CF112" s="347"/>
      <c r="CG112" s="466"/>
      <c r="CH112" s="347"/>
      <c r="CI112" s="347"/>
      <c r="CJ112" s="347"/>
      <c r="CK112" s="347"/>
      <c r="CL112" s="347"/>
      <c r="CM112" s="347"/>
      <c r="CN112" s="347"/>
      <c r="CO112" s="347"/>
      <c r="CP112" s="347"/>
      <c r="CQ112" s="347"/>
      <c r="CR112" s="347"/>
      <c r="CS112" s="347"/>
      <c r="CT112" s="347"/>
      <c r="CU112" s="347"/>
      <c r="CV112" s="347"/>
      <c r="CW112" s="347"/>
      <c r="CX112" s="347"/>
      <c r="CY112" s="462"/>
      <c r="CZ112" s="462"/>
      <c r="DA112" s="462"/>
      <c r="DB112" s="464"/>
      <c r="DC112" s="464"/>
      <c r="DD112" s="464"/>
      <c r="DE112" s="464"/>
      <c r="DF112" s="462"/>
    </row>
    <row r="113" spans="1:110" ht="15.75">
      <c r="A113" s="1816" t="s">
        <v>3456</v>
      </c>
      <c r="B113" s="479"/>
      <c r="C113" s="479"/>
      <c r="D113" s="479"/>
      <c r="E113" s="479"/>
      <c r="F113" s="479"/>
      <c r="G113" s="483"/>
      <c r="H113" s="483"/>
      <c r="I113" s="483"/>
      <c r="J113" s="1798">
        <v>16</v>
      </c>
      <c r="K113" s="1838"/>
      <c r="L113" s="1838"/>
      <c r="M113" s="1838"/>
      <c r="N113" s="1838"/>
      <c r="O113" s="1838"/>
      <c r="P113" s="1838"/>
      <c r="Q113" s="1838"/>
      <c r="R113" s="1838"/>
      <c r="S113" s="1838"/>
      <c r="T113" s="1838"/>
      <c r="U113" s="1838"/>
      <c r="V113" s="1838"/>
      <c r="Z113" s="518"/>
      <c r="AA113" s="518"/>
      <c r="AB113" s="518"/>
      <c r="AC113" s="518"/>
      <c r="AD113" s="518"/>
      <c r="AE113" s="518"/>
      <c r="AF113" s="518"/>
      <c r="AG113" s="518"/>
      <c r="AH113" s="518"/>
      <c r="AI113" s="518"/>
      <c r="AJ113" s="518"/>
      <c r="AK113" s="518"/>
      <c r="AL113" s="518"/>
      <c r="AM113" s="518"/>
      <c r="AN113" s="518"/>
      <c r="AO113" s="518"/>
      <c r="AP113" s="518"/>
      <c r="AQ113" s="518"/>
      <c r="AR113" s="518"/>
      <c r="AS113" s="518"/>
      <c r="AT113" s="518"/>
      <c r="AU113" s="518"/>
      <c r="AV113" s="518"/>
      <c r="AW113" s="518"/>
      <c r="AX113" s="518"/>
      <c r="AY113" s="518"/>
      <c r="AZ113" s="518"/>
      <c r="BA113" s="518"/>
      <c r="BB113" s="518"/>
      <c r="BC113" s="521"/>
      <c r="BD113" s="521"/>
      <c r="BE113" s="521"/>
      <c r="BF113" s="521"/>
      <c r="BG113" s="518"/>
      <c r="BH113" s="518"/>
      <c r="BI113" s="518"/>
      <c r="BJ113" s="518"/>
      <c r="BK113" s="347"/>
      <c r="BL113" s="518"/>
      <c r="BM113" s="518"/>
      <c r="BN113" s="518"/>
      <c r="BO113" s="518"/>
      <c r="BP113" s="518"/>
      <c r="BQ113" s="518"/>
      <c r="BR113" s="518"/>
      <c r="BS113" s="518"/>
      <c r="BT113" s="518"/>
      <c r="BU113" s="518"/>
      <c r="BV113" s="518"/>
      <c r="BW113" s="518"/>
      <c r="BX113" s="518"/>
      <c r="BY113" s="518"/>
      <c r="BZ113" s="347"/>
      <c r="CA113" s="347"/>
      <c r="CB113" s="347"/>
      <c r="CC113" s="347"/>
      <c r="CD113" s="347"/>
      <c r="CE113" s="347"/>
      <c r="CF113" s="347"/>
      <c r="CG113" s="347"/>
      <c r="CH113" s="347"/>
      <c r="CI113" s="347"/>
      <c r="CJ113" s="347"/>
      <c r="CK113" s="347"/>
      <c r="CL113" s="347"/>
      <c r="CM113" s="347"/>
      <c r="CN113" s="347"/>
      <c r="CO113" s="347"/>
      <c r="CP113" s="347"/>
      <c r="CQ113" s="347"/>
      <c r="CR113" s="347"/>
      <c r="CS113" s="347"/>
      <c r="CT113" s="347"/>
      <c r="CU113" s="347"/>
      <c r="CV113" s="347"/>
      <c r="CW113" s="347"/>
      <c r="CX113" s="347"/>
      <c r="CY113" s="462"/>
      <c r="CZ113" s="462"/>
      <c r="DA113" s="462"/>
      <c r="DB113" s="464"/>
      <c r="DC113" s="464"/>
      <c r="DD113" s="464"/>
      <c r="DE113" s="464"/>
      <c r="DF113" s="462"/>
    </row>
    <row r="114" spans="1:110" ht="15.75">
      <c r="A114" s="1816" t="s">
        <v>3462</v>
      </c>
      <c r="B114" s="468"/>
      <c r="C114" s="468"/>
      <c r="D114" s="468"/>
      <c r="E114" s="468"/>
      <c r="F114" s="468"/>
      <c r="G114" s="483"/>
      <c r="H114" s="483"/>
      <c r="I114" s="483"/>
      <c r="J114" s="1798">
        <v>17</v>
      </c>
      <c r="K114" s="1838"/>
      <c r="L114" s="1838"/>
      <c r="M114" s="1838"/>
      <c r="N114" s="1838"/>
      <c r="O114" s="1838"/>
      <c r="P114" s="1838"/>
      <c r="Q114" s="1838"/>
      <c r="R114" s="1838"/>
      <c r="S114" s="1838"/>
      <c r="T114" s="1838"/>
      <c r="U114" s="1838"/>
      <c r="V114" s="1838"/>
      <c r="Z114" s="518"/>
      <c r="AA114" s="518"/>
      <c r="AB114" s="518"/>
      <c r="AC114" s="518"/>
      <c r="AD114" s="518"/>
      <c r="AE114" s="518"/>
      <c r="AF114" s="518"/>
      <c r="AG114" s="518"/>
      <c r="AH114" s="518"/>
      <c r="AI114" s="518"/>
      <c r="AJ114" s="518"/>
      <c r="AK114" s="518"/>
      <c r="AL114" s="518"/>
      <c r="AM114" s="518"/>
      <c r="AN114" s="518"/>
      <c r="AO114" s="518"/>
      <c r="AP114" s="518"/>
      <c r="AQ114" s="518"/>
      <c r="AR114" s="518"/>
      <c r="AS114" s="518"/>
      <c r="AT114" s="518"/>
      <c r="AU114" s="518"/>
      <c r="AV114" s="518"/>
      <c r="AW114" s="518"/>
      <c r="AX114" s="518"/>
      <c r="AY114" s="518"/>
      <c r="AZ114" s="518"/>
      <c r="BA114" s="518"/>
      <c r="BB114" s="518"/>
      <c r="BC114" s="518"/>
      <c r="BD114" s="518"/>
      <c r="BE114" s="518"/>
      <c r="BF114" s="518"/>
      <c r="BG114" s="518"/>
      <c r="BH114" s="518"/>
      <c r="BI114" s="518"/>
      <c r="BJ114" s="518"/>
      <c r="BK114" s="347"/>
      <c r="BL114" s="518"/>
      <c r="BM114" s="518"/>
      <c r="BN114" s="518"/>
      <c r="BO114" s="518"/>
      <c r="BP114" s="518"/>
      <c r="BQ114" s="518"/>
      <c r="BR114" s="518"/>
      <c r="BS114" s="518"/>
      <c r="BT114" s="518"/>
      <c r="BU114" s="518"/>
      <c r="BV114" s="518"/>
      <c r="BW114" s="518"/>
      <c r="BX114" s="518"/>
      <c r="BY114" s="518"/>
      <c r="BZ114" s="347"/>
      <c r="CA114" s="347"/>
      <c r="CB114" s="347"/>
      <c r="CC114" s="347"/>
      <c r="CD114" s="347"/>
      <c r="CE114" s="347"/>
      <c r="CF114" s="347"/>
      <c r="CG114" s="347"/>
      <c r="CH114" s="347"/>
      <c r="CI114" s="347"/>
      <c r="CJ114" s="347"/>
      <c r="CK114" s="347"/>
      <c r="CL114" s="347"/>
      <c r="CM114" s="347"/>
      <c r="CN114" s="347"/>
      <c r="CO114" s="347"/>
      <c r="CP114" s="347"/>
      <c r="CQ114" s="347"/>
      <c r="CR114" s="347"/>
      <c r="CS114" s="347"/>
      <c r="CT114" s="347"/>
      <c r="CU114" s="347"/>
      <c r="CV114" s="347"/>
      <c r="CW114" s="347"/>
      <c r="CX114" s="347"/>
      <c r="CY114" s="462"/>
      <c r="CZ114" s="462"/>
      <c r="DA114" s="462"/>
      <c r="DB114" s="464"/>
      <c r="DC114" s="464"/>
      <c r="DD114" s="464"/>
      <c r="DE114" s="464"/>
      <c r="DF114" s="462"/>
    </row>
    <row r="115" spans="1:110" ht="15.75">
      <c r="A115" s="457" t="s">
        <v>3466</v>
      </c>
      <c r="B115" s="471"/>
      <c r="C115" s="471"/>
      <c r="D115" s="471"/>
      <c r="E115" s="471"/>
      <c r="F115" s="471"/>
      <c r="G115" s="483"/>
      <c r="H115" s="483"/>
      <c r="I115" s="483"/>
      <c r="J115" s="1798">
        <v>18</v>
      </c>
      <c r="K115" s="1838"/>
      <c r="L115" s="1838"/>
      <c r="M115" s="1838"/>
      <c r="N115" s="1838"/>
      <c r="O115" s="1838"/>
      <c r="P115" s="1838"/>
      <c r="Q115" s="1838"/>
      <c r="R115" s="1838"/>
      <c r="S115" s="1838"/>
      <c r="T115" s="1838"/>
      <c r="U115" s="1838"/>
      <c r="V115" s="1838"/>
      <c r="Z115" s="518"/>
      <c r="AA115" s="518"/>
      <c r="AB115" s="518"/>
      <c r="AC115" s="518"/>
      <c r="AD115" s="518"/>
      <c r="AE115" s="518"/>
      <c r="AF115" s="518"/>
      <c r="AG115" s="518"/>
      <c r="AH115" s="518"/>
      <c r="AI115" s="518"/>
      <c r="AJ115" s="518"/>
      <c r="AK115" s="518"/>
      <c r="AL115" s="518"/>
      <c r="AM115" s="518"/>
      <c r="AN115" s="518"/>
      <c r="AO115" s="518"/>
      <c r="AP115" s="518"/>
      <c r="AQ115" s="518"/>
      <c r="AR115" s="518"/>
      <c r="AS115" s="518"/>
      <c r="AT115" s="518"/>
      <c r="AU115" s="518"/>
      <c r="AV115" s="518"/>
      <c r="AW115" s="518"/>
      <c r="AX115" s="518"/>
      <c r="AY115" s="518"/>
      <c r="AZ115" s="518"/>
      <c r="BA115" s="518"/>
      <c r="BB115" s="518"/>
      <c r="BC115" s="522"/>
      <c r="BD115" s="518"/>
      <c r="BE115" s="518"/>
      <c r="BF115" s="518"/>
      <c r="BG115" s="518"/>
      <c r="BH115" s="518"/>
      <c r="BI115" s="518"/>
      <c r="BJ115" s="518"/>
      <c r="BK115" s="347"/>
      <c r="BL115" s="518"/>
      <c r="BM115" s="518"/>
      <c r="BN115" s="518"/>
      <c r="BO115" s="518"/>
      <c r="BP115" s="518"/>
      <c r="BQ115" s="518"/>
      <c r="BR115" s="518"/>
      <c r="BS115" s="518"/>
      <c r="BT115" s="518"/>
      <c r="BU115" s="518"/>
      <c r="BV115" s="518"/>
      <c r="BW115" s="518"/>
      <c r="BX115" s="518"/>
      <c r="BY115" s="518"/>
      <c r="BZ115" s="347"/>
      <c r="CA115" s="347"/>
      <c r="CB115" s="347"/>
      <c r="CC115" s="347"/>
      <c r="CD115" s="347"/>
      <c r="CE115" s="347"/>
      <c r="CF115" s="347"/>
      <c r="CG115" s="347"/>
      <c r="CH115" s="347"/>
      <c r="CI115" s="347"/>
      <c r="CJ115" s="347"/>
      <c r="CK115" s="347"/>
      <c r="CL115" s="347"/>
      <c r="CM115" s="347"/>
      <c r="CN115" s="347"/>
      <c r="CO115" s="347"/>
      <c r="CP115" s="347"/>
      <c r="CQ115" s="347"/>
      <c r="CR115" s="347"/>
      <c r="CS115" s="347"/>
      <c r="CT115" s="347"/>
      <c r="CU115" s="347"/>
      <c r="CV115" s="347"/>
      <c r="CW115" s="347"/>
      <c r="CX115" s="347"/>
      <c r="CY115" s="462"/>
      <c r="CZ115" s="462"/>
      <c r="DA115" s="462"/>
      <c r="DB115" s="464"/>
      <c r="DC115" s="464"/>
      <c r="DD115" s="464"/>
      <c r="DE115" s="464"/>
      <c r="DF115" s="462"/>
    </row>
    <row r="116" spans="1:110" ht="15.75">
      <c r="A116" s="457" t="s">
        <v>3468</v>
      </c>
      <c r="B116" s="471"/>
      <c r="C116" s="471"/>
      <c r="D116" s="471"/>
      <c r="E116" s="471"/>
      <c r="F116" s="471"/>
      <c r="G116" s="483"/>
      <c r="H116" s="483"/>
      <c r="I116" s="483"/>
      <c r="J116" s="1798">
        <v>19</v>
      </c>
      <c r="K116" s="1838"/>
      <c r="L116" s="1838"/>
      <c r="M116" s="1838"/>
      <c r="N116" s="1838"/>
      <c r="O116" s="1838"/>
      <c r="P116" s="1838"/>
      <c r="Q116" s="1838"/>
      <c r="R116" s="1838"/>
      <c r="S116" s="1838"/>
      <c r="T116" s="1838"/>
      <c r="U116" s="1838"/>
      <c r="V116" s="1838"/>
      <c r="Z116" s="518"/>
      <c r="AA116" s="518"/>
      <c r="AB116" s="518"/>
      <c r="AC116" s="518"/>
      <c r="AD116" s="518"/>
      <c r="AE116" s="518"/>
      <c r="AF116" s="518"/>
      <c r="AG116" s="518"/>
      <c r="AH116" s="518"/>
      <c r="AI116" s="518"/>
      <c r="AJ116" s="518"/>
      <c r="AK116" s="518"/>
      <c r="AL116" s="518"/>
      <c r="AM116" s="518"/>
      <c r="AN116" s="518"/>
      <c r="AO116" s="518"/>
      <c r="AP116" s="518"/>
      <c r="AQ116" s="518"/>
      <c r="AR116" s="518"/>
      <c r="AS116" s="518"/>
      <c r="AT116" s="518"/>
      <c r="AU116" s="518"/>
      <c r="AV116" s="518"/>
      <c r="AW116" s="518"/>
      <c r="AX116" s="518"/>
      <c r="AY116" s="518"/>
      <c r="AZ116" s="518"/>
      <c r="BA116" s="518"/>
      <c r="BB116" s="518"/>
      <c r="BC116" s="518"/>
      <c r="BD116" s="518"/>
      <c r="BE116" s="518"/>
      <c r="BF116" s="518"/>
      <c r="BG116" s="518"/>
      <c r="BH116" s="518"/>
      <c r="BI116" s="518"/>
      <c r="BJ116" s="518"/>
      <c r="BK116" s="347"/>
      <c r="BL116" s="518"/>
      <c r="BM116" s="518"/>
      <c r="BN116" s="518"/>
      <c r="BO116" s="518"/>
      <c r="BP116" s="518"/>
      <c r="BQ116" s="518"/>
      <c r="BR116" s="518"/>
      <c r="BS116" s="518"/>
      <c r="BT116" s="518"/>
      <c r="BU116" s="518"/>
      <c r="BV116" s="518"/>
      <c r="BW116" s="518"/>
      <c r="BX116" s="518"/>
      <c r="BY116" s="518"/>
      <c r="BZ116" s="347"/>
      <c r="CA116" s="347"/>
      <c r="CB116" s="347"/>
      <c r="CC116" s="347"/>
      <c r="CD116" s="347"/>
      <c r="CE116" s="347"/>
      <c r="CF116" s="347"/>
      <c r="CG116" s="347"/>
      <c r="CH116" s="347"/>
      <c r="CI116" s="347"/>
      <c r="CJ116" s="347"/>
      <c r="CK116" s="347"/>
      <c r="CL116" s="347"/>
      <c r="CM116" s="347"/>
      <c r="CN116" s="347"/>
      <c r="CO116" s="347"/>
      <c r="CP116" s="347"/>
      <c r="CQ116" s="347"/>
      <c r="CR116" s="347"/>
      <c r="CS116" s="347"/>
      <c r="CT116" s="347"/>
      <c r="CU116" s="347"/>
      <c r="CV116" s="347"/>
      <c r="CW116" s="347"/>
      <c r="CX116" s="347"/>
      <c r="CY116" s="462"/>
      <c r="CZ116" s="462"/>
      <c r="DA116" s="462"/>
      <c r="DB116" s="464"/>
      <c r="DC116" s="464"/>
      <c r="DD116" s="464"/>
      <c r="DE116" s="464"/>
      <c r="DF116" s="462"/>
    </row>
    <row r="117" spans="1:110" ht="15.75">
      <c r="A117" s="457" t="s">
        <v>3470</v>
      </c>
      <c r="B117" s="479"/>
      <c r="C117" s="479"/>
      <c r="D117" s="479"/>
      <c r="E117" s="479"/>
      <c r="F117" s="479"/>
      <c r="G117" s="1815"/>
      <c r="H117" s="1815"/>
      <c r="I117" s="1815"/>
      <c r="J117" s="1798">
        <v>20</v>
      </c>
      <c r="K117" s="1838"/>
      <c r="L117" s="1838"/>
      <c r="M117" s="1838"/>
      <c r="N117" s="1838"/>
      <c r="O117" s="1838"/>
      <c r="P117" s="1838"/>
      <c r="Q117" s="1838"/>
      <c r="R117" s="1838"/>
      <c r="S117" s="1838"/>
      <c r="T117" s="1838"/>
      <c r="U117" s="1838"/>
      <c r="V117" s="1838"/>
      <c r="Z117" s="518"/>
      <c r="AA117" s="518"/>
      <c r="AB117" s="518"/>
      <c r="AC117" s="518"/>
      <c r="AD117" s="518"/>
      <c r="AE117" s="518"/>
      <c r="AF117" s="518"/>
      <c r="AG117" s="518"/>
      <c r="AH117" s="518"/>
      <c r="AI117" s="518"/>
      <c r="AJ117" s="518"/>
      <c r="AK117" s="518"/>
      <c r="AL117" s="518"/>
      <c r="AM117" s="518"/>
      <c r="AN117" s="518"/>
      <c r="AO117" s="518"/>
      <c r="AP117" s="518"/>
      <c r="AQ117" s="518"/>
      <c r="AR117" s="518"/>
      <c r="AS117" s="518"/>
      <c r="AT117" s="518"/>
      <c r="AU117" s="518"/>
      <c r="AV117" s="518"/>
      <c r="AW117" s="518"/>
      <c r="AX117" s="518"/>
      <c r="AY117" s="518"/>
      <c r="AZ117" s="518"/>
      <c r="BA117" s="518"/>
      <c r="BB117" s="518"/>
      <c r="BC117" s="522"/>
      <c r="BD117" s="521"/>
      <c r="BE117" s="521"/>
      <c r="BF117" s="521"/>
      <c r="BG117" s="518"/>
      <c r="BH117" s="518"/>
      <c r="BI117" s="518"/>
      <c r="BJ117" s="518"/>
      <c r="BK117" s="347"/>
      <c r="BL117" s="518"/>
      <c r="BM117" s="518"/>
      <c r="BN117" s="518"/>
      <c r="BO117" s="518"/>
      <c r="BP117" s="518"/>
      <c r="BQ117" s="518"/>
      <c r="BR117" s="518"/>
      <c r="BS117" s="518"/>
      <c r="BT117" s="518"/>
      <c r="BU117" s="518"/>
      <c r="BV117" s="518"/>
      <c r="BW117" s="518"/>
      <c r="BX117" s="518"/>
      <c r="BY117" s="518"/>
      <c r="BZ117" s="347"/>
      <c r="CA117" s="347"/>
      <c r="CB117" s="347"/>
      <c r="CC117" s="347"/>
      <c r="CD117" s="347"/>
      <c r="CE117" s="347"/>
      <c r="CF117" s="347"/>
      <c r="CG117" s="347"/>
      <c r="CH117" s="347"/>
      <c r="CI117" s="347"/>
      <c r="CJ117" s="347"/>
      <c r="CK117" s="347"/>
      <c r="CL117" s="509"/>
      <c r="CM117" s="509"/>
      <c r="CN117" s="509"/>
      <c r="CO117" s="509"/>
      <c r="CP117" s="509"/>
      <c r="CQ117" s="509"/>
      <c r="CR117" s="347"/>
      <c r="CS117" s="347"/>
      <c r="CT117" s="347"/>
      <c r="CU117" s="347"/>
      <c r="CV117" s="347"/>
      <c r="CW117" s="347"/>
      <c r="CX117" s="347"/>
      <c r="CY117" s="462"/>
      <c r="CZ117" s="462"/>
      <c r="DA117" s="462"/>
      <c r="DB117" s="464"/>
      <c r="DC117" s="464"/>
      <c r="DD117" s="464"/>
      <c r="DE117" s="464"/>
      <c r="DF117" s="462"/>
    </row>
    <row r="118" spans="1:110" ht="15.75">
      <c r="A118" s="457" t="s">
        <v>3474</v>
      </c>
      <c r="B118" s="468"/>
      <c r="C118" s="468"/>
      <c r="D118" s="468"/>
      <c r="E118" s="468"/>
      <c r="F118" s="468"/>
      <c r="G118" s="1815"/>
      <c r="H118" s="1815"/>
      <c r="I118" s="1815"/>
      <c r="J118" s="1798">
        <v>21</v>
      </c>
      <c r="K118" s="1838"/>
      <c r="L118" s="1838"/>
      <c r="M118" s="1838"/>
      <c r="N118" s="1838"/>
      <c r="O118" s="1838"/>
      <c r="P118" s="1838"/>
      <c r="Q118" s="1838"/>
      <c r="R118" s="1838"/>
      <c r="S118" s="1838"/>
      <c r="T118" s="1838"/>
      <c r="U118" s="1838"/>
      <c r="V118" s="1838"/>
      <c r="Z118" s="518"/>
      <c r="AA118" s="518"/>
      <c r="AB118" s="518"/>
      <c r="AC118" s="518"/>
      <c r="AD118" s="518"/>
      <c r="AE118" s="518"/>
      <c r="AF118" s="518"/>
      <c r="AG118" s="518"/>
      <c r="AH118" s="518"/>
      <c r="AI118" s="518"/>
      <c r="AJ118" s="518"/>
      <c r="AK118" s="518"/>
      <c r="AL118" s="518"/>
      <c r="AM118" s="518"/>
      <c r="AN118" s="518"/>
      <c r="AO118" s="518"/>
      <c r="AP118" s="518"/>
      <c r="AQ118" s="518"/>
      <c r="AR118" s="518"/>
      <c r="AS118" s="518"/>
      <c r="AT118" s="518"/>
      <c r="AU118" s="518"/>
      <c r="AV118" s="518"/>
      <c r="AW118" s="518"/>
      <c r="AX118" s="518"/>
      <c r="AY118" s="518"/>
      <c r="AZ118" s="518"/>
      <c r="BA118" s="518"/>
      <c r="BB118" s="518"/>
      <c r="BC118" s="518"/>
      <c r="BD118" s="518"/>
      <c r="BE118" s="518"/>
      <c r="BF118" s="518"/>
      <c r="BG118" s="518"/>
      <c r="BH118" s="518"/>
      <c r="BI118" s="518"/>
      <c r="BJ118" s="518"/>
      <c r="BK118" s="347"/>
      <c r="BL118" s="518"/>
      <c r="BM118" s="518"/>
      <c r="BN118" s="518"/>
      <c r="BO118" s="518"/>
      <c r="BP118" s="518"/>
      <c r="BQ118" s="518"/>
      <c r="BR118" s="518"/>
      <c r="BS118" s="518"/>
      <c r="BT118" s="518"/>
      <c r="BU118" s="518"/>
      <c r="BV118" s="518"/>
      <c r="BW118" s="518"/>
      <c r="BX118" s="518"/>
      <c r="BY118" s="518"/>
      <c r="BZ118" s="518"/>
      <c r="CA118" s="347"/>
      <c r="CB118" s="347"/>
      <c r="CC118" s="347"/>
      <c r="CD118" s="347"/>
      <c r="CE118" s="347"/>
      <c r="CF118" s="347"/>
      <c r="CG118" s="347"/>
      <c r="CH118" s="347"/>
      <c r="CI118" s="347"/>
      <c r="CJ118" s="347"/>
      <c r="CK118" s="347"/>
      <c r="CL118" s="509"/>
      <c r="CM118" s="509"/>
      <c r="CN118" s="509"/>
      <c r="CO118" s="509"/>
      <c r="CP118" s="509"/>
      <c r="CQ118" s="509"/>
      <c r="CR118" s="347"/>
      <c r="CS118" s="347"/>
      <c r="CT118" s="347"/>
      <c r="CU118" s="347"/>
      <c r="CV118" s="347"/>
      <c r="CW118" s="347"/>
      <c r="CX118" s="347"/>
      <c r="CY118" s="462"/>
      <c r="CZ118" s="462"/>
      <c r="DA118" s="462"/>
      <c r="DB118" s="464"/>
      <c r="DC118" s="464"/>
      <c r="DD118" s="464"/>
      <c r="DE118" s="464"/>
      <c r="DF118" s="462"/>
    </row>
    <row r="119" spans="1:110" ht="15.75">
      <c r="A119" s="457" t="s">
        <v>3477</v>
      </c>
      <c r="B119" s="471"/>
      <c r="C119" s="471"/>
      <c r="D119" s="471"/>
      <c r="E119" s="471"/>
      <c r="F119" s="471"/>
      <c r="G119" s="1815"/>
      <c r="H119" s="1815"/>
      <c r="I119" s="1815"/>
      <c r="J119" s="1798">
        <v>22</v>
      </c>
      <c r="K119" s="1838"/>
      <c r="L119" s="1838"/>
      <c r="M119" s="1838"/>
      <c r="N119" s="1838"/>
      <c r="O119" s="1838"/>
      <c r="P119" s="1838"/>
      <c r="Q119" s="1838"/>
      <c r="R119" s="1838"/>
      <c r="S119" s="1838"/>
      <c r="T119" s="1838"/>
      <c r="U119" s="1838"/>
      <c r="V119" s="1838"/>
      <c r="Z119" s="518"/>
      <c r="AA119" s="518"/>
      <c r="AB119" s="518"/>
      <c r="AC119" s="518"/>
      <c r="AD119" s="518"/>
      <c r="AE119" s="518"/>
      <c r="AF119" s="518"/>
      <c r="AG119" s="518"/>
      <c r="AH119" s="518"/>
      <c r="AI119" s="518"/>
      <c r="AJ119" s="518"/>
      <c r="AK119" s="518"/>
      <c r="AL119" s="518"/>
      <c r="AM119" s="518"/>
      <c r="AN119" s="518"/>
      <c r="AO119" s="518"/>
      <c r="AP119" s="518"/>
      <c r="AQ119" s="518"/>
      <c r="AR119" s="518"/>
      <c r="AS119" s="518"/>
      <c r="AT119" s="518"/>
      <c r="AU119" s="518"/>
      <c r="AV119" s="518"/>
      <c r="AW119" s="518"/>
      <c r="AX119" s="518"/>
      <c r="AY119" s="518"/>
      <c r="AZ119" s="518"/>
      <c r="BA119" s="518"/>
      <c r="BB119" s="518"/>
      <c r="BC119" s="518"/>
      <c r="BD119" s="518"/>
      <c r="BE119" s="518"/>
      <c r="BF119" s="518"/>
      <c r="BG119" s="518"/>
      <c r="BH119" s="518"/>
      <c r="BI119" s="518"/>
      <c r="BJ119" s="518"/>
      <c r="BK119" s="347"/>
      <c r="BL119" s="518"/>
      <c r="BM119" s="518"/>
      <c r="BN119" s="518"/>
      <c r="BO119" s="518"/>
      <c r="BP119" s="518"/>
      <c r="BQ119" s="518"/>
      <c r="BR119" s="518"/>
      <c r="BS119" s="518"/>
      <c r="BT119" s="518"/>
      <c r="BU119" s="518"/>
      <c r="BV119" s="518"/>
      <c r="BW119" s="518"/>
      <c r="BX119" s="518"/>
      <c r="BY119" s="518"/>
      <c r="BZ119" s="347"/>
      <c r="CA119" s="347"/>
      <c r="CB119" s="347"/>
      <c r="CC119" s="347"/>
      <c r="CD119" s="347"/>
      <c r="CE119" s="347"/>
      <c r="CF119" s="347"/>
      <c r="CG119" s="347"/>
      <c r="CH119" s="347"/>
      <c r="CI119" s="347"/>
      <c r="CJ119" s="347"/>
      <c r="CK119" s="347"/>
      <c r="CL119" s="347"/>
      <c r="CM119" s="348"/>
      <c r="CN119" s="347"/>
      <c r="CO119" s="381"/>
      <c r="CP119" s="381"/>
      <c r="CQ119" s="381"/>
      <c r="CR119" s="347"/>
      <c r="CS119" s="347"/>
      <c r="CT119" s="347"/>
      <c r="CU119" s="347"/>
      <c r="CV119" s="347"/>
      <c r="CW119" s="347"/>
      <c r="CX119" s="347"/>
      <c r="CY119" s="462"/>
      <c r="CZ119" s="462"/>
      <c r="DA119" s="462"/>
      <c r="DB119" s="464"/>
      <c r="DC119" s="464"/>
      <c r="DD119" s="464"/>
      <c r="DE119" s="464"/>
      <c r="DF119" s="462"/>
    </row>
    <row r="120" spans="1:110" ht="15.75">
      <c r="A120" s="457" t="s">
        <v>3481</v>
      </c>
      <c r="B120" s="471"/>
      <c r="C120" s="471"/>
      <c r="D120" s="471"/>
      <c r="E120" s="471"/>
      <c r="F120" s="471"/>
      <c r="G120" s="1815"/>
      <c r="H120" s="1815"/>
      <c r="I120" s="1815"/>
      <c r="J120" s="1798">
        <v>23</v>
      </c>
      <c r="K120" s="1838"/>
      <c r="L120" s="1838"/>
      <c r="M120" s="1838"/>
      <c r="N120" s="1838"/>
      <c r="O120" s="1838"/>
      <c r="P120" s="1838"/>
      <c r="Q120" s="1838"/>
      <c r="R120" s="1838"/>
      <c r="S120" s="1838"/>
      <c r="T120" s="1838"/>
      <c r="U120" s="1838"/>
      <c r="V120" s="1838"/>
      <c r="Z120" s="518"/>
      <c r="AA120" s="518"/>
      <c r="AB120" s="518"/>
      <c r="AC120" s="518"/>
      <c r="AD120" s="518"/>
      <c r="AE120" s="518"/>
      <c r="AF120" s="518"/>
      <c r="AG120" s="518"/>
      <c r="AH120" s="518"/>
      <c r="AI120" s="518"/>
      <c r="AJ120" s="518"/>
      <c r="AK120" s="518"/>
      <c r="AL120" s="518"/>
      <c r="AM120" s="518"/>
      <c r="AN120" s="518"/>
      <c r="AO120" s="518"/>
      <c r="AP120" s="518"/>
      <c r="AQ120" s="518"/>
      <c r="AR120" s="518"/>
      <c r="AS120" s="518"/>
      <c r="AT120" s="518"/>
      <c r="AU120" s="518"/>
      <c r="AV120" s="518"/>
      <c r="AW120" s="518"/>
      <c r="AX120" s="518"/>
      <c r="AY120" s="518"/>
      <c r="AZ120" s="518"/>
      <c r="BA120" s="518"/>
      <c r="BB120" s="518"/>
      <c r="BC120" s="518"/>
      <c r="BD120" s="518"/>
      <c r="BE120" s="518"/>
      <c r="BF120" s="518"/>
      <c r="BG120" s="518"/>
      <c r="BH120" s="518"/>
      <c r="BI120" s="518"/>
      <c r="BJ120" s="518"/>
      <c r="BK120" s="347"/>
      <c r="BL120" s="518"/>
      <c r="BM120" s="518"/>
      <c r="BN120" s="518"/>
      <c r="BO120" s="518"/>
      <c r="BP120" s="518"/>
      <c r="BQ120" s="518"/>
      <c r="BR120" s="518"/>
      <c r="BS120" s="518"/>
      <c r="BT120" s="518"/>
      <c r="BU120" s="518"/>
      <c r="BV120" s="518"/>
      <c r="BW120" s="518"/>
      <c r="BX120" s="518"/>
      <c r="BY120" s="518"/>
      <c r="BZ120" s="347"/>
      <c r="CA120" s="347"/>
      <c r="CB120" s="347"/>
      <c r="CC120" s="347"/>
      <c r="CD120" s="347"/>
      <c r="CE120" s="347"/>
      <c r="CF120" s="347"/>
      <c r="CG120" s="347"/>
      <c r="CH120" s="347"/>
      <c r="CI120" s="347"/>
      <c r="CJ120" s="347"/>
      <c r="CK120" s="347"/>
      <c r="CL120" s="347"/>
      <c r="CM120" s="348"/>
      <c r="CN120" s="347"/>
      <c r="CO120" s="381"/>
      <c r="CP120" s="381"/>
      <c r="CQ120" s="381"/>
      <c r="CR120" s="347"/>
      <c r="CS120" s="347"/>
      <c r="CT120" s="347"/>
      <c r="CU120" s="347"/>
      <c r="CV120" s="347"/>
      <c r="CW120" s="347"/>
      <c r="CX120" s="347"/>
      <c r="CY120" s="462"/>
      <c r="CZ120" s="462"/>
      <c r="DA120" s="462"/>
      <c r="DB120" s="464"/>
      <c r="DC120" s="464"/>
      <c r="DD120" s="464"/>
      <c r="DE120" s="464"/>
      <c r="DF120" s="462"/>
    </row>
    <row r="121" spans="1:110" ht="15.75">
      <c r="A121" s="457" t="s">
        <v>3484</v>
      </c>
      <c r="B121" s="479"/>
      <c r="C121" s="479"/>
      <c r="D121" s="479"/>
      <c r="E121" s="479"/>
      <c r="F121" s="479"/>
      <c r="G121" s="1815"/>
      <c r="H121" s="1815"/>
      <c r="I121" s="1815"/>
      <c r="J121" s="1798">
        <v>24</v>
      </c>
      <c r="K121" s="1838"/>
      <c r="L121" s="1838"/>
      <c r="M121" s="1838"/>
      <c r="N121" s="1838"/>
      <c r="O121" s="1838"/>
      <c r="P121" s="1838"/>
      <c r="Q121" s="1838"/>
      <c r="R121" s="1838"/>
      <c r="S121" s="1838"/>
      <c r="T121" s="1838"/>
      <c r="U121" s="1838"/>
      <c r="V121" s="1838"/>
      <c r="Z121" s="518"/>
      <c r="AA121" s="518"/>
      <c r="AB121" s="518"/>
      <c r="AC121" s="518"/>
      <c r="AD121" s="518"/>
      <c r="AE121" s="518"/>
      <c r="AF121" s="518"/>
      <c r="AG121" s="518"/>
      <c r="AH121" s="518"/>
      <c r="AI121" s="518"/>
      <c r="AJ121" s="518"/>
      <c r="AK121" s="518"/>
      <c r="AL121" s="518"/>
      <c r="AM121" s="518"/>
      <c r="AN121" s="518"/>
      <c r="AO121" s="518"/>
      <c r="AP121" s="518"/>
      <c r="AQ121" s="518"/>
      <c r="AR121" s="518"/>
      <c r="AS121" s="518"/>
      <c r="AT121" s="518"/>
      <c r="AU121" s="518"/>
      <c r="AV121" s="518"/>
      <c r="AW121" s="518"/>
      <c r="AX121" s="518"/>
      <c r="AY121" s="518"/>
      <c r="AZ121" s="518"/>
      <c r="BA121" s="518"/>
      <c r="BB121" s="518"/>
      <c r="BC121" s="521"/>
      <c r="BD121" s="521"/>
      <c r="BE121" s="521"/>
      <c r="BF121" s="521"/>
      <c r="BG121" s="518"/>
      <c r="BH121" s="518"/>
      <c r="BI121" s="518"/>
      <c r="BJ121" s="518"/>
      <c r="BK121" s="347"/>
      <c r="BL121" s="518"/>
      <c r="BM121" s="518"/>
      <c r="BN121" s="518"/>
      <c r="BO121" s="518"/>
      <c r="BP121" s="518"/>
      <c r="BQ121" s="518"/>
      <c r="BR121" s="518"/>
      <c r="BS121" s="518"/>
      <c r="BT121" s="518"/>
      <c r="BU121" s="518"/>
      <c r="BV121" s="518"/>
      <c r="BW121" s="518"/>
      <c r="BX121" s="518"/>
      <c r="BY121" s="518"/>
      <c r="BZ121" s="347"/>
      <c r="CA121" s="347"/>
      <c r="CB121" s="347"/>
      <c r="CC121" s="347"/>
      <c r="CD121" s="347"/>
      <c r="CE121" s="347"/>
      <c r="CF121" s="347"/>
      <c r="CG121" s="347"/>
      <c r="CH121" s="347"/>
      <c r="CI121" s="347"/>
      <c r="CJ121" s="347"/>
      <c r="CK121" s="347"/>
      <c r="CL121" s="347"/>
      <c r="CM121" s="347"/>
      <c r="CN121" s="347"/>
      <c r="CO121" s="381"/>
      <c r="CP121" s="381"/>
      <c r="CQ121" s="381"/>
      <c r="CR121" s="347"/>
      <c r="CS121" s="347"/>
      <c r="CT121" s="347"/>
      <c r="CU121" s="347"/>
      <c r="CV121" s="347"/>
      <c r="CW121" s="347"/>
      <c r="CX121" s="347"/>
      <c r="CY121" s="462"/>
      <c r="CZ121" s="462"/>
      <c r="DA121" s="462"/>
      <c r="DB121" s="464"/>
      <c r="DC121" s="464"/>
      <c r="DD121" s="464"/>
      <c r="DE121" s="464"/>
      <c r="DF121" s="462"/>
    </row>
    <row r="122" spans="1:110" ht="15.75">
      <c r="A122" s="457" t="s">
        <v>3488</v>
      </c>
      <c r="B122" s="468"/>
      <c r="C122" s="468"/>
      <c r="D122" s="468"/>
      <c r="E122" s="468"/>
      <c r="F122" s="468"/>
      <c r="G122" s="1820"/>
      <c r="H122" s="1820"/>
      <c r="I122" s="1820"/>
      <c r="J122" s="1798">
        <v>25</v>
      </c>
      <c r="K122" s="1838"/>
      <c r="L122" s="1838"/>
      <c r="M122" s="1838"/>
      <c r="N122" s="1838"/>
      <c r="O122" s="1838"/>
      <c r="P122" s="1838"/>
      <c r="Q122" s="1838"/>
      <c r="R122" s="1838"/>
      <c r="S122" s="1838"/>
      <c r="T122" s="1838"/>
      <c r="U122" s="1838"/>
      <c r="V122" s="1838"/>
      <c r="Z122" s="518"/>
      <c r="AA122" s="518"/>
      <c r="AB122" s="518"/>
      <c r="AC122" s="518"/>
      <c r="AD122" s="518"/>
      <c r="AE122" s="518"/>
      <c r="AF122" s="518"/>
      <c r="AG122" s="518"/>
      <c r="AH122" s="518"/>
      <c r="AI122" s="518"/>
      <c r="AJ122" s="518"/>
      <c r="AK122" s="518"/>
      <c r="AL122" s="518"/>
      <c r="AM122" s="518"/>
      <c r="AN122" s="518"/>
      <c r="AO122" s="518"/>
      <c r="AP122" s="518"/>
      <c r="AQ122" s="518"/>
      <c r="AR122" s="518"/>
      <c r="AS122" s="518"/>
      <c r="AT122" s="518"/>
      <c r="AU122" s="518"/>
      <c r="AV122" s="518"/>
      <c r="AW122" s="518"/>
      <c r="AX122" s="518"/>
      <c r="AY122" s="518"/>
      <c r="AZ122" s="518"/>
      <c r="BA122" s="518"/>
      <c r="BB122" s="518"/>
      <c r="BC122" s="518"/>
      <c r="BD122" s="518"/>
      <c r="BE122" s="518"/>
      <c r="BF122" s="518"/>
      <c r="BG122" s="518"/>
      <c r="BH122" s="518"/>
      <c r="BI122" s="518"/>
      <c r="BJ122" s="518"/>
      <c r="BK122" s="347"/>
      <c r="BL122" s="518"/>
      <c r="BM122" s="518"/>
      <c r="BN122" s="518"/>
      <c r="BO122" s="518"/>
      <c r="BP122" s="518"/>
      <c r="BQ122" s="518"/>
      <c r="BR122" s="518"/>
      <c r="BS122" s="518"/>
      <c r="BT122" s="518"/>
      <c r="BU122" s="518"/>
      <c r="BV122" s="518"/>
      <c r="BW122" s="518"/>
      <c r="BX122" s="518"/>
      <c r="BY122" s="518"/>
      <c r="BZ122" s="347"/>
      <c r="CA122" s="347"/>
      <c r="CB122" s="347"/>
      <c r="CC122" s="347"/>
      <c r="CD122" s="347"/>
      <c r="CE122" s="347"/>
      <c r="CF122" s="347"/>
      <c r="CG122" s="347"/>
      <c r="CH122" s="347"/>
      <c r="CI122" s="347"/>
      <c r="CJ122" s="347"/>
      <c r="CK122" s="347"/>
      <c r="CL122" s="347"/>
      <c r="CM122" s="347"/>
      <c r="CN122" s="347"/>
      <c r="CO122" s="381"/>
      <c r="CP122" s="381"/>
      <c r="CQ122" s="381"/>
      <c r="CR122" s="347"/>
      <c r="CS122" s="347"/>
      <c r="CT122" s="347"/>
      <c r="CU122" s="347"/>
      <c r="CV122" s="347"/>
      <c r="CW122" s="347"/>
      <c r="CX122" s="347"/>
      <c r="CY122" s="462"/>
      <c r="CZ122" s="462"/>
      <c r="DA122" s="462"/>
      <c r="DB122" s="464"/>
      <c r="DC122" s="464"/>
      <c r="DD122" s="464"/>
      <c r="DE122" s="464"/>
      <c r="DF122" s="462"/>
    </row>
    <row r="123" spans="1:110" ht="15.75">
      <c r="A123" s="457" t="s">
        <v>3491</v>
      </c>
      <c r="B123" s="500"/>
      <c r="C123" s="500"/>
      <c r="D123" s="500"/>
      <c r="E123" s="500"/>
      <c r="F123" s="500"/>
      <c r="G123" s="1822"/>
      <c r="H123" s="1822"/>
      <c r="I123" s="1822"/>
      <c r="J123" s="1798">
        <v>26</v>
      </c>
      <c r="K123" s="1838"/>
      <c r="L123" s="1838"/>
      <c r="M123" s="1838"/>
      <c r="N123" s="1838"/>
      <c r="O123" s="1838"/>
      <c r="P123" s="1838"/>
      <c r="Q123" s="1838"/>
      <c r="R123" s="1838"/>
      <c r="S123" s="1838"/>
      <c r="T123" s="1838"/>
      <c r="U123" s="1838"/>
      <c r="V123" s="1838"/>
      <c r="Z123" s="518"/>
      <c r="AA123" s="518"/>
      <c r="AB123" s="518"/>
      <c r="AC123" s="518"/>
      <c r="AD123" s="518"/>
      <c r="AE123" s="518"/>
      <c r="AF123" s="518"/>
      <c r="AG123" s="518"/>
      <c r="AH123" s="518"/>
      <c r="AI123" s="518"/>
      <c r="AJ123" s="518"/>
      <c r="AK123" s="518"/>
      <c r="AL123" s="518"/>
      <c r="AM123" s="518"/>
      <c r="AN123" s="518"/>
      <c r="AO123" s="518"/>
      <c r="AP123" s="518"/>
      <c r="AQ123" s="518"/>
      <c r="AR123" s="518"/>
      <c r="AS123" s="518"/>
      <c r="AT123" s="518"/>
      <c r="AU123" s="518"/>
      <c r="AV123" s="518"/>
      <c r="AW123" s="518"/>
      <c r="AX123" s="518"/>
      <c r="AY123" s="518"/>
      <c r="AZ123" s="518"/>
      <c r="BA123" s="518"/>
      <c r="BB123" s="518"/>
      <c r="BC123" s="518"/>
      <c r="BD123" s="518"/>
      <c r="BE123" s="518"/>
      <c r="BF123" s="518"/>
      <c r="BG123" s="518"/>
      <c r="BH123" s="518"/>
      <c r="BI123" s="518"/>
      <c r="BJ123" s="518"/>
      <c r="BK123" s="347"/>
      <c r="BL123" s="518"/>
      <c r="BM123" s="518"/>
      <c r="BN123" s="518"/>
      <c r="BO123" s="518"/>
      <c r="BP123" s="518"/>
      <c r="BQ123" s="518"/>
      <c r="BR123" s="518"/>
      <c r="BS123" s="518"/>
      <c r="BT123" s="518"/>
      <c r="BU123" s="518"/>
      <c r="BV123" s="518"/>
      <c r="BW123" s="518"/>
      <c r="BX123" s="518"/>
      <c r="BY123" s="518"/>
      <c r="BZ123" s="347"/>
      <c r="CA123" s="347"/>
      <c r="CB123" s="347"/>
      <c r="CC123" s="347"/>
      <c r="CD123" s="347"/>
      <c r="CE123" s="347"/>
      <c r="CF123" s="347"/>
      <c r="CG123" s="347"/>
      <c r="CH123" s="347"/>
      <c r="CI123" s="347"/>
      <c r="CJ123" s="347"/>
      <c r="CK123" s="347"/>
      <c r="CL123" s="504"/>
      <c r="CM123" s="504"/>
      <c r="CN123" s="504"/>
      <c r="CO123" s="523"/>
      <c r="CP123" s="523"/>
      <c r="CQ123" s="523"/>
      <c r="CR123" s="347"/>
      <c r="CS123" s="347"/>
      <c r="CT123" s="347"/>
      <c r="CU123" s="347"/>
      <c r="CV123" s="347"/>
      <c r="CW123" s="347"/>
      <c r="CX123" s="347"/>
      <c r="CY123" s="462"/>
      <c r="CZ123" s="462"/>
      <c r="DA123" s="462"/>
      <c r="DB123" s="464"/>
      <c r="DC123" s="464"/>
      <c r="DD123" s="464"/>
      <c r="DE123" s="464"/>
      <c r="DF123" s="462"/>
    </row>
    <row r="124" spans="1:110" ht="15.75">
      <c r="A124" s="457" t="s">
        <v>3494</v>
      </c>
      <c r="B124" s="471"/>
      <c r="C124" s="471"/>
      <c r="D124" s="471"/>
      <c r="E124" s="471"/>
      <c r="F124" s="471"/>
      <c r="G124" s="1820"/>
      <c r="H124" s="1820"/>
      <c r="I124" s="1820"/>
      <c r="J124" s="1798">
        <v>27</v>
      </c>
      <c r="K124" s="1838"/>
      <c r="L124" s="1838"/>
      <c r="M124" s="1838"/>
      <c r="N124" s="1838"/>
      <c r="O124" s="1838"/>
      <c r="P124" s="1838"/>
      <c r="Q124" s="1838"/>
      <c r="R124" s="1838"/>
      <c r="S124" s="1838"/>
      <c r="T124" s="1838"/>
      <c r="U124" s="1838"/>
      <c r="V124" s="1838"/>
      <c r="Z124" s="518"/>
      <c r="AA124" s="518"/>
      <c r="AB124" s="518"/>
      <c r="AC124" s="518"/>
      <c r="AD124" s="518"/>
      <c r="AE124" s="518"/>
      <c r="AF124" s="518"/>
      <c r="AG124" s="518"/>
      <c r="AH124" s="518"/>
      <c r="AI124" s="518"/>
      <c r="AJ124" s="518"/>
      <c r="AK124" s="518"/>
      <c r="AL124" s="518"/>
      <c r="AM124" s="518"/>
      <c r="AN124" s="518"/>
      <c r="AO124" s="518"/>
      <c r="AP124" s="518"/>
      <c r="AQ124" s="518"/>
      <c r="AR124" s="518"/>
      <c r="AS124" s="518"/>
      <c r="AT124" s="518"/>
      <c r="AU124" s="518"/>
      <c r="AV124" s="518"/>
      <c r="AW124" s="518"/>
      <c r="AX124" s="518"/>
      <c r="AY124" s="518"/>
      <c r="AZ124" s="518"/>
      <c r="BA124" s="518"/>
      <c r="BB124" s="518"/>
      <c r="BC124" s="518"/>
      <c r="BD124" s="518"/>
      <c r="BE124" s="518"/>
      <c r="BF124" s="518"/>
      <c r="BG124" s="518"/>
      <c r="BH124" s="518"/>
      <c r="BI124" s="518"/>
      <c r="BJ124" s="518"/>
      <c r="BK124" s="347"/>
      <c r="BL124" s="518"/>
      <c r="BM124" s="518"/>
      <c r="BN124" s="518"/>
      <c r="BO124" s="518"/>
      <c r="BP124" s="518"/>
      <c r="BQ124" s="518"/>
      <c r="BR124" s="518"/>
      <c r="BS124" s="518"/>
      <c r="BT124" s="518"/>
      <c r="BU124" s="518"/>
      <c r="BV124" s="518"/>
      <c r="BW124" s="518"/>
      <c r="BX124" s="518"/>
      <c r="BY124" s="518"/>
      <c r="BZ124" s="347"/>
      <c r="CA124" s="347"/>
      <c r="CB124" s="347"/>
      <c r="CC124" s="347"/>
      <c r="CD124" s="347"/>
      <c r="CE124" s="347"/>
      <c r="CF124" s="347"/>
      <c r="CG124" s="347"/>
      <c r="CH124" s="347"/>
      <c r="CI124" s="347"/>
      <c r="CJ124" s="347"/>
      <c r="CK124" s="347"/>
      <c r="CL124" s="347"/>
      <c r="CM124" s="347"/>
      <c r="CN124" s="347"/>
      <c r="CO124" s="347"/>
      <c r="CP124" s="347"/>
      <c r="CQ124" s="347"/>
      <c r="CR124" s="347"/>
      <c r="CS124" s="347"/>
      <c r="CT124" s="347"/>
      <c r="CU124" s="347"/>
      <c r="CV124" s="347"/>
      <c r="CW124" s="347"/>
      <c r="CX124" s="347"/>
      <c r="CY124" s="462"/>
      <c r="CZ124" s="462"/>
      <c r="DA124" s="462"/>
      <c r="DB124" s="464"/>
      <c r="DC124" s="464"/>
      <c r="DD124" s="464"/>
      <c r="DE124" s="464"/>
      <c r="DF124" s="462"/>
    </row>
    <row r="125" spans="1:110" ht="15.75">
      <c r="A125" s="457" t="s">
        <v>3497</v>
      </c>
      <c r="B125" s="479"/>
      <c r="C125" s="479"/>
      <c r="D125" s="479"/>
      <c r="E125" s="479"/>
      <c r="F125" s="479"/>
      <c r="G125" s="1820"/>
      <c r="H125" s="1820"/>
      <c r="I125" s="1820"/>
      <c r="J125" s="1798">
        <v>28</v>
      </c>
      <c r="K125" s="1838"/>
      <c r="L125" s="1838"/>
      <c r="M125" s="1838"/>
      <c r="N125" s="1838"/>
      <c r="O125" s="1838"/>
      <c r="P125" s="1838"/>
      <c r="Q125" s="1838"/>
      <c r="R125" s="1838"/>
      <c r="S125" s="1838"/>
      <c r="T125" s="1838"/>
      <c r="U125" s="1838"/>
      <c r="V125" s="1838"/>
      <c r="Z125" s="518"/>
      <c r="AA125" s="518"/>
      <c r="AB125" s="518"/>
      <c r="AC125" s="518"/>
      <c r="AD125" s="518"/>
      <c r="AE125" s="518"/>
      <c r="AF125" s="518"/>
      <c r="AG125" s="518"/>
      <c r="AH125" s="518"/>
      <c r="AI125" s="518"/>
      <c r="AJ125" s="518"/>
      <c r="AK125" s="518"/>
      <c r="AL125" s="518"/>
      <c r="AM125" s="518"/>
      <c r="AN125" s="518"/>
      <c r="AO125" s="518"/>
      <c r="AP125" s="518"/>
      <c r="AQ125" s="518"/>
      <c r="AR125" s="518"/>
      <c r="AS125" s="518"/>
      <c r="AT125" s="518"/>
      <c r="AU125" s="518"/>
      <c r="AV125" s="518"/>
      <c r="AW125" s="518"/>
      <c r="AX125" s="518"/>
      <c r="AY125" s="518"/>
      <c r="AZ125" s="518"/>
      <c r="BA125" s="518"/>
      <c r="BB125" s="518"/>
      <c r="BC125" s="518"/>
      <c r="BD125" s="518"/>
      <c r="BE125" s="518"/>
      <c r="BF125" s="518"/>
      <c r="BG125" s="518"/>
      <c r="BH125" s="518"/>
      <c r="BI125" s="518"/>
      <c r="BJ125" s="518"/>
      <c r="BK125" s="347"/>
      <c r="BL125" s="518"/>
      <c r="BM125" s="518"/>
      <c r="BN125" s="518"/>
      <c r="BO125" s="518"/>
      <c r="BP125" s="518"/>
      <c r="BQ125" s="518"/>
      <c r="BR125" s="518"/>
      <c r="BS125" s="518"/>
      <c r="BT125" s="518"/>
      <c r="BU125" s="518"/>
      <c r="BV125" s="518"/>
      <c r="BW125" s="518"/>
      <c r="BX125" s="518"/>
      <c r="BY125" s="518"/>
      <c r="BZ125" s="347"/>
      <c r="CA125" s="347"/>
      <c r="CB125" s="347"/>
      <c r="CC125" s="347"/>
      <c r="CD125" s="347"/>
      <c r="CE125" s="347"/>
      <c r="CF125" s="347"/>
      <c r="CG125" s="347"/>
      <c r="CH125" s="347"/>
      <c r="CI125" s="347"/>
      <c r="CJ125" s="347"/>
      <c r="CK125" s="347"/>
      <c r="CL125" s="347"/>
      <c r="CM125" s="348"/>
      <c r="CN125" s="347"/>
      <c r="CO125" s="347"/>
      <c r="CP125" s="347"/>
      <c r="CQ125" s="347"/>
      <c r="CR125" s="347"/>
      <c r="CS125" s="347"/>
      <c r="CT125" s="347"/>
      <c r="CU125" s="347"/>
      <c r="CV125" s="347"/>
      <c r="CW125" s="347"/>
      <c r="CX125" s="347"/>
      <c r="CY125" s="462"/>
      <c r="CZ125" s="462"/>
      <c r="DA125" s="462"/>
      <c r="DB125" s="464"/>
      <c r="DC125" s="464"/>
      <c r="DD125" s="464"/>
      <c r="DE125" s="464"/>
      <c r="DF125" s="462"/>
    </row>
    <row r="126" spans="1:110" ht="15.75">
      <c r="A126" s="457" t="s">
        <v>3499</v>
      </c>
      <c r="B126" s="468"/>
      <c r="C126" s="468"/>
      <c r="D126" s="468"/>
      <c r="E126" s="468"/>
      <c r="F126" s="468"/>
      <c r="G126" s="370"/>
      <c r="H126" s="370"/>
      <c r="I126" s="370"/>
      <c r="J126" s="1798">
        <v>29</v>
      </c>
      <c r="K126" s="1838"/>
      <c r="L126" s="1838"/>
      <c r="M126" s="1838"/>
      <c r="N126" s="1838"/>
      <c r="O126" s="1838"/>
      <c r="P126" s="1838"/>
      <c r="Q126" s="1838"/>
      <c r="R126" s="1838"/>
      <c r="S126" s="1838"/>
      <c r="T126" s="1838"/>
      <c r="U126" s="1838"/>
      <c r="V126" s="1838"/>
      <c r="Z126" s="518"/>
      <c r="AA126" s="518"/>
      <c r="AB126" s="518"/>
      <c r="AC126" s="518"/>
      <c r="AD126" s="518"/>
      <c r="AE126" s="518"/>
      <c r="AF126" s="518"/>
      <c r="AG126" s="518"/>
      <c r="AH126" s="518"/>
      <c r="AI126" s="518"/>
      <c r="AJ126" s="518"/>
      <c r="AK126" s="518"/>
      <c r="AL126" s="518"/>
      <c r="AM126" s="518"/>
      <c r="AN126" s="518"/>
      <c r="AO126" s="518"/>
      <c r="AP126" s="518"/>
      <c r="AQ126" s="518"/>
      <c r="AR126" s="518"/>
      <c r="AS126" s="518"/>
      <c r="AT126" s="518"/>
      <c r="AU126" s="518"/>
      <c r="AV126" s="518"/>
      <c r="AW126" s="518"/>
      <c r="AX126" s="518"/>
      <c r="AY126" s="518"/>
      <c r="AZ126" s="518"/>
      <c r="BA126" s="518"/>
      <c r="BB126" s="518"/>
      <c r="BC126" s="518"/>
      <c r="BD126" s="518"/>
      <c r="BE126" s="518"/>
      <c r="BF126" s="518"/>
      <c r="BG126" s="518"/>
      <c r="BH126" s="518"/>
      <c r="BI126" s="518"/>
      <c r="BJ126" s="518"/>
      <c r="BK126" s="347"/>
      <c r="BL126" s="518"/>
      <c r="BM126" s="518"/>
      <c r="BN126" s="518"/>
      <c r="BO126" s="518"/>
      <c r="BP126" s="518"/>
      <c r="BQ126" s="518"/>
      <c r="BR126" s="518"/>
      <c r="BS126" s="518"/>
      <c r="BT126" s="518"/>
      <c r="BU126" s="518"/>
      <c r="BV126" s="518"/>
      <c r="BW126" s="518"/>
      <c r="BX126" s="518"/>
      <c r="BY126" s="518"/>
      <c r="BZ126" s="347"/>
      <c r="CA126" s="347"/>
      <c r="CB126" s="347"/>
      <c r="CC126" s="347"/>
      <c r="CD126" s="347"/>
      <c r="CE126" s="347"/>
      <c r="CF126" s="347"/>
      <c r="CG126" s="347"/>
      <c r="CH126" s="347"/>
      <c r="CI126" s="347"/>
      <c r="CJ126" s="347"/>
      <c r="CK126" s="347"/>
      <c r="CL126" s="347"/>
      <c r="CM126" s="348"/>
      <c r="CN126" s="347"/>
      <c r="CO126" s="347"/>
      <c r="CP126" s="347"/>
      <c r="CQ126" s="347"/>
      <c r="CR126" s="347"/>
      <c r="CS126" s="347"/>
      <c r="CT126" s="347"/>
      <c r="CU126" s="347"/>
      <c r="CV126" s="347"/>
      <c r="CW126" s="347"/>
      <c r="CX126" s="347"/>
      <c r="CY126" s="462"/>
      <c r="CZ126" s="462"/>
      <c r="DA126" s="462"/>
      <c r="DB126" s="464"/>
      <c r="DC126" s="464"/>
      <c r="DD126" s="464"/>
      <c r="DE126" s="464"/>
      <c r="DF126" s="462"/>
    </row>
    <row r="127" spans="1:110" ht="15.75">
      <c r="A127" s="457" t="s">
        <v>3504</v>
      </c>
      <c r="B127" s="506"/>
      <c r="C127" s="506"/>
      <c r="D127" s="506"/>
      <c r="E127" s="506"/>
      <c r="F127" s="506"/>
      <c r="G127" s="1824"/>
      <c r="H127" s="1824"/>
      <c r="I127" s="1824"/>
      <c r="J127" s="1798">
        <v>30</v>
      </c>
      <c r="K127" s="1838"/>
      <c r="L127" s="1838"/>
      <c r="M127" s="1838"/>
      <c r="N127" s="1838"/>
      <c r="O127" s="1838"/>
      <c r="P127" s="1838"/>
      <c r="Q127" s="1838"/>
      <c r="R127" s="1838"/>
      <c r="S127" s="1838"/>
      <c r="T127" s="1838"/>
      <c r="U127" s="1838"/>
      <c r="V127" s="1838"/>
      <c r="Z127" s="518"/>
      <c r="AA127" s="518"/>
      <c r="AB127" s="518"/>
      <c r="AC127" s="518"/>
      <c r="AD127" s="518"/>
      <c r="AE127" s="518"/>
      <c r="AF127" s="518"/>
      <c r="AG127" s="518"/>
      <c r="AH127" s="518"/>
      <c r="AI127" s="518"/>
      <c r="AJ127" s="518"/>
      <c r="AK127" s="518"/>
      <c r="AL127" s="518"/>
      <c r="AM127" s="518"/>
      <c r="AN127" s="518"/>
      <c r="AO127" s="518"/>
      <c r="AP127" s="518"/>
      <c r="AQ127" s="518"/>
      <c r="AR127" s="518"/>
      <c r="AS127" s="518"/>
      <c r="AT127" s="518"/>
      <c r="AU127" s="518"/>
      <c r="AV127" s="518"/>
      <c r="AW127" s="518"/>
      <c r="AX127" s="518"/>
      <c r="AY127" s="518"/>
      <c r="AZ127" s="518"/>
      <c r="BA127" s="518"/>
      <c r="BB127" s="518"/>
      <c r="BC127" s="518"/>
      <c r="BD127" s="518"/>
      <c r="BE127" s="518"/>
      <c r="BF127" s="518"/>
      <c r="BG127" s="518"/>
      <c r="BH127" s="518"/>
      <c r="BI127" s="518"/>
      <c r="BJ127" s="518"/>
      <c r="BK127" s="347"/>
      <c r="BL127" s="518"/>
      <c r="BM127" s="518"/>
      <c r="BN127" s="518"/>
      <c r="BO127" s="518"/>
      <c r="BP127" s="518"/>
      <c r="BQ127" s="518"/>
      <c r="BR127" s="518"/>
      <c r="BS127" s="518"/>
      <c r="BT127" s="518"/>
      <c r="BU127" s="518"/>
      <c r="BV127" s="518"/>
      <c r="BW127" s="518"/>
      <c r="BX127" s="518"/>
      <c r="BY127" s="518"/>
      <c r="BZ127" s="347"/>
      <c r="CA127" s="347"/>
      <c r="CB127" s="347"/>
      <c r="CC127" s="347"/>
      <c r="CD127" s="347"/>
      <c r="CE127" s="347"/>
      <c r="CF127" s="347"/>
      <c r="CG127" s="347"/>
      <c r="CH127" s="347"/>
      <c r="CI127" s="347"/>
      <c r="CJ127" s="347"/>
      <c r="CK127" s="347"/>
      <c r="CL127" s="347"/>
      <c r="CM127" s="348"/>
      <c r="CN127" s="347"/>
      <c r="CO127" s="347"/>
      <c r="CP127" s="347"/>
      <c r="CQ127" s="347"/>
      <c r="CR127" s="347"/>
      <c r="CS127" s="347"/>
      <c r="CT127" s="347"/>
      <c r="CU127" s="347"/>
      <c r="CV127" s="347"/>
      <c r="CW127" s="347"/>
      <c r="CX127" s="347"/>
      <c r="CY127" s="462"/>
      <c r="CZ127" s="462"/>
      <c r="DA127" s="462"/>
      <c r="DB127" s="464"/>
      <c r="DC127" s="464"/>
      <c r="DD127" s="464"/>
      <c r="DE127" s="464"/>
      <c r="DF127" s="462"/>
    </row>
    <row r="128" spans="1:110" ht="14.25">
      <c r="A128" s="1825" t="s">
        <v>3507</v>
      </c>
      <c r="B128" s="506"/>
      <c r="C128" s="506"/>
      <c r="D128" s="506"/>
      <c r="E128" s="506"/>
      <c r="F128" s="506"/>
      <c r="G128" s="1826"/>
      <c r="H128" s="1826"/>
      <c r="I128" s="1826"/>
      <c r="J128" s="1798">
        <v>31</v>
      </c>
      <c r="K128" s="1838"/>
      <c r="L128" s="1838"/>
      <c r="M128" s="1838"/>
      <c r="N128" s="1838"/>
      <c r="O128" s="1838"/>
      <c r="P128" s="1838"/>
      <c r="Q128" s="1838"/>
      <c r="R128" s="1838"/>
      <c r="S128" s="1838"/>
      <c r="T128" s="1838"/>
      <c r="U128" s="1838"/>
      <c r="V128" s="1838"/>
      <c r="Z128" s="518"/>
      <c r="AA128" s="518"/>
      <c r="AB128" s="518"/>
      <c r="AC128" s="518"/>
      <c r="AD128" s="518"/>
      <c r="AE128" s="518"/>
      <c r="AF128" s="518"/>
      <c r="AG128" s="518"/>
      <c r="AH128" s="518"/>
      <c r="AI128" s="518"/>
      <c r="AJ128" s="518"/>
      <c r="AK128" s="518"/>
      <c r="AL128" s="518"/>
      <c r="AM128" s="518"/>
      <c r="AN128" s="518"/>
      <c r="AO128" s="518"/>
      <c r="AP128" s="518"/>
      <c r="AQ128" s="518"/>
      <c r="AR128" s="518"/>
      <c r="AS128" s="518"/>
      <c r="AT128" s="518"/>
      <c r="AU128" s="518"/>
      <c r="AV128" s="518"/>
      <c r="AW128" s="518"/>
      <c r="AX128" s="518"/>
      <c r="AY128" s="518"/>
      <c r="AZ128" s="518"/>
      <c r="BA128" s="518"/>
      <c r="BB128" s="518"/>
      <c r="BC128" s="518"/>
      <c r="BD128" s="518"/>
      <c r="BE128" s="518"/>
      <c r="BF128" s="518"/>
      <c r="BG128" s="518"/>
      <c r="BH128" s="518"/>
      <c r="BI128" s="518"/>
      <c r="BJ128" s="518"/>
      <c r="BK128" s="347"/>
      <c r="BL128" s="518"/>
      <c r="BM128" s="518"/>
      <c r="BN128" s="518"/>
      <c r="BO128" s="518"/>
      <c r="BP128" s="518"/>
      <c r="BQ128" s="518"/>
      <c r="BR128" s="518"/>
      <c r="BS128" s="518"/>
      <c r="BT128" s="518"/>
      <c r="BU128" s="518"/>
      <c r="BV128" s="518"/>
      <c r="BW128" s="518"/>
      <c r="BX128" s="518"/>
      <c r="BY128" s="518"/>
      <c r="BZ128" s="347"/>
      <c r="CA128" s="347"/>
      <c r="CB128" s="347"/>
      <c r="CC128" s="347"/>
      <c r="CD128" s="347"/>
      <c r="CE128" s="347"/>
      <c r="CF128" s="347"/>
      <c r="CG128" s="347"/>
      <c r="CH128" s="347"/>
      <c r="CI128" s="347"/>
      <c r="CJ128" s="347"/>
      <c r="CK128" s="347"/>
      <c r="CL128" s="347"/>
      <c r="CM128" s="347"/>
      <c r="CN128" s="347"/>
      <c r="CO128" s="347"/>
      <c r="CP128" s="347"/>
      <c r="CQ128" s="347"/>
      <c r="CR128" s="347"/>
      <c r="CS128" s="347"/>
      <c r="CT128" s="347"/>
      <c r="CU128" s="347"/>
      <c r="CV128" s="347"/>
      <c r="CW128" s="347"/>
      <c r="CX128" s="347"/>
      <c r="CY128" s="462"/>
      <c r="CZ128" s="462"/>
      <c r="DA128" s="462"/>
      <c r="DB128" s="464"/>
      <c r="DC128" s="464"/>
      <c r="DD128" s="464"/>
      <c r="DE128" s="464"/>
      <c r="DF128" s="462"/>
    </row>
    <row r="129" spans="1:110">
      <c r="A129" s="370"/>
      <c r="B129" s="1838"/>
      <c r="C129" s="1838"/>
      <c r="D129" s="1838"/>
      <c r="E129" s="1838"/>
      <c r="F129" s="1838"/>
      <c r="G129" s="1838"/>
      <c r="H129" s="1838"/>
      <c r="I129" s="1838"/>
      <c r="J129" s="1838"/>
      <c r="K129" s="1838"/>
      <c r="L129" s="1838"/>
      <c r="M129" s="1838"/>
      <c r="N129" s="1838"/>
      <c r="O129" s="1838"/>
      <c r="P129" s="1838"/>
      <c r="Q129" s="1838"/>
      <c r="R129" s="1838"/>
      <c r="S129" s="1838"/>
      <c r="T129" s="1838"/>
      <c r="U129" s="1838"/>
      <c r="V129" s="1838"/>
      <c r="W129" s="518"/>
      <c r="X129" s="518"/>
      <c r="Y129" s="518"/>
      <c r="Z129" s="518"/>
      <c r="AA129" s="518"/>
      <c r="AB129" s="518"/>
      <c r="AC129" s="518"/>
      <c r="AD129" s="518"/>
      <c r="AE129" s="518"/>
      <c r="AF129" s="518"/>
      <c r="AG129" s="518"/>
      <c r="AH129" s="518"/>
      <c r="AI129" s="518"/>
      <c r="AJ129" s="518"/>
      <c r="AK129" s="518"/>
      <c r="AL129" s="518"/>
      <c r="AM129" s="518"/>
      <c r="AN129" s="518"/>
      <c r="AO129" s="518"/>
      <c r="AP129" s="518"/>
      <c r="AQ129" s="518"/>
      <c r="AR129" s="518"/>
      <c r="AS129" s="518"/>
      <c r="AT129" s="518"/>
      <c r="AU129" s="518"/>
      <c r="AV129" s="518"/>
      <c r="AW129" s="518"/>
      <c r="AX129" s="518"/>
      <c r="AY129" s="518"/>
      <c r="AZ129" s="518"/>
      <c r="BA129" s="518"/>
      <c r="BB129" s="518"/>
      <c r="BC129" s="518"/>
      <c r="BD129" s="518"/>
      <c r="BE129" s="518"/>
      <c r="BF129" s="518"/>
      <c r="BG129" s="518"/>
      <c r="BH129" s="518"/>
      <c r="BI129" s="518"/>
      <c r="BJ129" s="518"/>
      <c r="BK129" s="347"/>
      <c r="BL129" s="518"/>
      <c r="BM129" s="518"/>
      <c r="BN129" s="518"/>
      <c r="BO129" s="518"/>
      <c r="BP129" s="518"/>
      <c r="BQ129" s="518"/>
      <c r="BR129" s="518"/>
      <c r="BS129" s="518"/>
      <c r="BT129" s="518"/>
      <c r="BU129" s="518"/>
      <c r="BV129" s="518"/>
      <c r="BW129" s="518"/>
      <c r="BX129" s="518"/>
      <c r="BY129" s="518"/>
      <c r="BZ129" s="347"/>
      <c r="CA129" s="347"/>
      <c r="CB129" s="347"/>
      <c r="CC129" s="347"/>
      <c r="CD129" s="347"/>
      <c r="CE129" s="347"/>
      <c r="CF129" s="347"/>
      <c r="CG129" s="347"/>
      <c r="CH129" s="347"/>
      <c r="CI129" s="347"/>
      <c r="CJ129" s="347"/>
      <c r="CK129" s="347"/>
      <c r="CL129" s="347"/>
      <c r="CM129" s="347"/>
      <c r="CN129" s="347"/>
      <c r="CO129" s="347"/>
      <c r="CP129" s="347"/>
      <c r="CQ129" s="347"/>
      <c r="CR129" s="347"/>
      <c r="CS129" s="347"/>
      <c r="CT129" s="347"/>
      <c r="CU129" s="347"/>
      <c r="CV129" s="347"/>
      <c r="CW129" s="347"/>
      <c r="CX129" s="347"/>
      <c r="CY129" s="462"/>
      <c r="CZ129" s="462"/>
      <c r="DA129" s="462"/>
      <c r="DB129" s="464"/>
      <c r="DC129" s="464"/>
      <c r="DD129" s="464"/>
      <c r="DE129" s="464"/>
      <c r="DF129" s="462"/>
    </row>
    <row r="130" spans="1:110">
      <c r="A130" s="370"/>
      <c r="B130" s="1838"/>
      <c r="C130" s="1838"/>
      <c r="D130" s="1838"/>
      <c r="E130" s="1838"/>
      <c r="F130" s="1838"/>
      <c r="G130" s="1838"/>
      <c r="H130" s="1838"/>
      <c r="I130" s="1838"/>
      <c r="J130" s="1838"/>
      <c r="K130" s="1838"/>
      <c r="L130" s="1838"/>
      <c r="M130" s="1838"/>
      <c r="N130" s="1838"/>
      <c r="O130" s="1838"/>
      <c r="P130" s="1838"/>
      <c r="Q130" s="1838"/>
      <c r="R130" s="1838"/>
      <c r="S130" s="1838"/>
      <c r="T130" s="1838"/>
      <c r="U130" s="1838"/>
      <c r="V130" s="1838"/>
      <c r="W130" s="518"/>
      <c r="X130" s="518"/>
      <c r="Y130" s="518"/>
      <c r="Z130" s="518"/>
      <c r="AA130" s="518"/>
      <c r="AB130" s="518"/>
      <c r="AC130" s="518"/>
      <c r="AD130" s="518"/>
      <c r="AE130" s="518"/>
      <c r="AF130" s="518"/>
      <c r="AG130" s="518"/>
      <c r="AH130" s="518"/>
      <c r="AI130" s="518"/>
      <c r="AJ130" s="518"/>
      <c r="AK130" s="518"/>
      <c r="AL130" s="518"/>
      <c r="AM130" s="518"/>
      <c r="AN130" s="518"/>
      <c r="AO130" s="518"/>
      <c r="AP130" s="518"/>
      <c r="AQ130" s="518"/>
      <c r="AR130" s="518"/>
      <c r="AS130" s="518"/>
      <c r="AT130" s="518"/>
      <c r="AU130" s="518"/>
      <c r="AV130" s="518"/>
      <c r="AW130" s="518"/>
      <c r="AX130" s="518"/>
      <c r="AY130" s="518"/>
      <c r="AZ130" s="518"/>
      <c r="BA130" s="518"/>
      <c r="BB130" s="518"/>
      <c r="BC130" s="518"/>
      <c r="BD130" s="518"/>
      <c r="BE130" s="518"/>
      <c r="BF130" s="518"/>
      <c r="BG130" s="518"/>
      <c r="BH130" s="518"/>
      <c r="BI130" s="518"/>
      <c r="BJ130" s="518"/>
      <c r="BK130" s="347"/>
      <c r="BL130" s="518"/>
      <c r="BM130" s="518"/>
      <c r="BN130" s="518"/>
      <c r="BO130" s="518"/>
      <c r="BP130" s="518"/>
      <c r="BQ130" s="518"/>
      <c r="BR130" s="518"/>
      <c r="BS130" s="518"/>
      <c r="BT130" s="518"/>
      <c r="BU130" s="518"/>
      <c r="BV130" s="518"/>
      <c r="BW130" s="518"/>
      <c r="BX130" s="518"/>
      <c r="BY130" s="518"/>
      <c r="BZ130" s="347"/>
      <c r="CA130" s="347"/>
      <c r="CB130" s="347"/>
      <c r="CC130" s="347"/>
      <c r="CD130" s="347"/>
      <c r="CE130" s="347"/>
      <c r="CF130" s="347"/>
      <c r="CG130" s="347"/>
      <c r="CH130" s="347"/>
      <c r="CI130" s="347"/>
      <c r="CJ130" s="347"/>
      <c r="CK130" s="347"/>
      <c r="CL130" s="347"/>
      <c r="CM130" s="347"/>
      <c r="CN130" s="347"/>
      <c r="CO130" s="347"/>
      <c r="CP130" s="347"/>
      <c r="CQ130" s="347"/>
      <c r="CR130" s="347"/>
      <c r="CS130" s="347"/>
      <c r="CT130" s="347"/>
      <c r="CU130" s="347"/>
      <c r="CV130" s="347"/>
      <c r="CW130" s="347"/>
      <c r="CX130" s="347"/>
      <c r="CY130" s="462"/>
      <c r="CZ130" s="462"/>
      <c r="DA130" s="462"/>
      <c r="DB130" s="464"/>
      <c r="DC130" s="464"/>
      <c r="DD130" s="464"/>
      <c r="DE130" s="464"/>
      <c r="DF130" s="462"/>
    </row>
    <row r="131" spans="1:110">
      <c r="A131" s="370"/>
      <c r="B131" s="1838"/>
      <c r="C131" s="1838"/>
      <c r="D131" s="1838"/>
      <c r="E131" s="1838"/>
      <c r="F131" s="1838"/>
      <c r="G131" s="1838"/>
      <c r="H131" s="1838"/>
      <c r="I131" s="1838"/>
      <c r="J131" s="1838"/>
      <c r="K131" s="1838"/>
      <c r="L131" s="1838"/>
      <c r="M131" s="1838"/>
      <c r="N131" s="1838"/>
      <c r="O131" s="1838"/>
      <c r="P131" s="1838"/>
      <c r="Q131" s="1838"/>
      <c r="R131" s="1838"/>
      <c r="S131" s="1838"/>
      <c r="T131" s="1838"/>
      <c r="U131" s="1838"/>
      <c r="V131" s="1838"/>
      <c r="W131" s="518"/>
      <c r="X131" s="518"/>
      <c r="Y131" s="518"/>
      <c r="Z131" s="518"/>
      <c r="AA131" s="518"/>
      <c r="AB131" s="518"/>
      <c r="AC131" s="518"/>
      <c r="AD131" s="518"/>
      <c r="AE131" s="518"/>
      <c r="AF131" s="518"/>
      <c r="AG131" s="518"/>
      <c r="AH131" s="518"/>
      <c r="AI131" s="518"/>
      <c r="AJ131" s="518"/>
      <c r="AK131" s="518"/>
      <c r="AL131" s="518"/>
      <c r="AM131" s="518"/>
      <c r="AN131" s="518"/>
      <c r="AO131" s="518"/>
      <c r="AP131" s="518"/>
      <c r="AQ131" s="518"/>
      <c r="AR131" s="518"/>
      <c r="AS131" s="518"/>
      <c r="AT131" s="518"/>
      <c r="AU131" s="518"/>
      <c r="AV131" s="518"/>
      <c r="AW131" s="518"/>
      <c r="AX131" s="518"/>
      <c r="AY131" s="518"/>
      <c r="AZ131" s="518"/>
      <c r="BA131" s="518"/>
      <c r="BB131" s="518"/>
      <c r="BC131" s="518"/>
      <c r="BD131" s="518"/>
      <c r="BE131" s="518"/>
      <c r="BF131" s="518"/>
      <c r="BG131" s="518"/>
      <c r="BH131" s="518"/>
      <c r="BI131" s="518"/>
      <c r="BJ131" s="518"/>
      <c r="BK131" s="347"/>
      <c r="BL131" s="518"/>
      <c r="BM131" s="518"/>
      <c r="BN131" s="518"/>
      <c r="BO131" s="518"/>
      <c r="BP131" s="518"/>
      <c r="BQ131" s="518"/>
      <c r="BR131" s="518"/>
      <c r="BS131" s="518"/>
      <c r="BT131" s="518"/>
      <c r="BU131" s="518"/>
      <c r="BV131" s="518"/>
      <c r="BW131" s="518"/>
      <c r="BX131" s="518"/>
      <c r="BY131" s="518"/>
      <c r="BZ131" s="347"/>
      <c r="CA131" s="347"/>
      <c r="CB131" s="347"/>
      <c r="CC131" s="347"/>
      <c r="CD131" s="347"/>
      <c r="CE131" s="347"/>
      <c r="CF131" s="347"/>
      <c r="CG131" s="347"/>
      <c r="CH131" s="347"/>
      <c r="CI131" s="347"/>
      <c r="CJ131" s="347"/>
      <c r="CK131" s="347"/>
      <c r="CL131" s="347"/>
      <c r="CM131" s="347"/>
      <c r="CN131" s="347"/>
      <c r="CO131" s="347"/>
      <c r="CP131" s="347"/>
      <c r="CQ131" s="347"/>
      <c r="CR131" s="524"/>
      <c r="CS131" s="524"/>
      <c r="CT131" s="347"/>
      <c r="CU131" s="347"/>
      <c r="CV131" s="347"/>
      <c r="CW131" s="347"/>
      <c r="CX131" s="347"/>
      <c r="CY131" s="462"/>
      <c r="CZ131" s="462"/>
      <c r="DA131" s="462"/>
      <c r="DB131" s="464"/>
      <c r="DC131" s="464"/>
      <c r="DD131" s="464"/>
      <c r="DE131" s="464"/>
      <c r="DF131" s="462"/>
    </row>
    <row r="132" spans="1:110">
      <c r="A132" s="370"/>
      <c r="B132" s="1838"/>
      <c r="C132" s="1838"/>
      <c r="D132" s="1838"/>
      <c r="E132" s="1838"/>
      <c r="F132" s="1838"/>
      <c r="G132" s="1838"/>
      <c r="H132" s="1838"/>
      <c r="I132" s="1838"/>
      <c r="J132" s="1838"/>
      <c r="K132" s="1838"/>
      <c r="L132" s="1838"/>
      <c r="M132" s="1838"/>
      <c r="N132" s="1838"/>
      <c r="O132" s="1838"/>
      <c r="P132" s="1838"/>
      <c r="Q132" s="1838"/>
      <c r="R132" s="1838"/>
      <c r="S132" s="1838"/>
      <c r="T132" s="1838"/>
      <c r="U132" s="1838"/>
      <c r="V132" s="1838"/>
      <c r="W132" s="518"/>
      <c r="X132" s="518"/>
      <c r="Y132" s="518"/>
      <c r="Z132" s="518"/>
      <c r="AA132" s="518"/>
      <c r="AB132" s="518"/>
      <c r="AC132" s="518"/>
      <c r="AD132" s="518"/>
      <c r="AE132" s="518"/>
      <c r="AF132" s="518"/>
      <c r="AG132" s="518"/>
      <c r="AH132" s="518"/>
      <c r="AI132" s="518"/>
      <c r="AJ132" s="518"/>
      <c r="AK132" s="518"/>
      <c r="AL132" s="518"/>
      <c r="AM132" s="518"/>
      <c r="AN132" s="518"/>
      <c r="AO132" s="518"/>
      <c r="AP132" s="518"/>
      <c r="AQ132" s="518"/>
      <c r="AR132" s="518"/>
      <c r="AS132" s="518"/>
      <c r="AT132" s="518"/>
      <c r="AU132" s="518"/>
      <c r="AV132" s="518"/>
      <c r="AW132" s="518"/>
      <c r="AX132" s="518"/>
      <c r="AY132" s="518"/>
      <c r="AZ132" s="518"/>
      <c r="BA132" s="518"/>
      <c r="BB132" s="518"/>
      <c r="BC132" s="518"/>
      <c r="BD132" s="518"/>
      <c r="BE132" s="518"/>
      <c r="BF132" s="518"/>
      <c r="BG132" s="518"/>
      <c r="BH132" s="518"/>
      <c r="BI132" s="518"/>
      <c r="BJ132" s="518"/>
      <c r="BK132" s="347"/>
      <c r="BL132" s="518"/>
      <c r="BM132" s="518"/>
      <c r="BN132" s="518"/>
      <c r="BO132" s="518"/>
      <c r="BP132" s="518"/>
      <c r="BQ132" s="518"/>
      <c r="BR132" s="518"/>
      <c r="BS132" s="518"/>
      <c r="BT132" s="518"/>
      <c r="BU132" s="518"/>
      <c r="BV132" s="518"/>
      <c r="BW132" s="518"/>
      <c r="BX132" s="518"/>
      <c r="BY132" s="518"/>
      <c r="BZ132" s="347"/>
      <c r="CA132" s="347"/>
      <c r="CB132" s="347"/>
      <c r="CC132" s="347"/>
      <c r="CD132" s="347"/>
      <c r="CE132" s="347"/>
      <c r="CF132" s="347"/>
      <c r="CG132" s="347"/>
      <c r="CH132" s="347"/>
      <c r="CI132" s="347"/>
      <c r="CJ132" s="347"/>
      <c r="CK132" s="347"/>
      <c r="CL132" s="347"/>
      <c r="CM132" s="347"/>
      <c r="CN132" s="347"/>
      <c r="CO132" s="347"/>
      <c r="CP132" s="347"/>
      <c r="CQ132" s="347"/>
      <c r="CR132" s="524"/>
      <c r="CS132" s="524"/>
      <c r="CT132" s="347"/>
      <c r="CU132" s="347"/>
      <c r="CV132" s="347"/>
      <c r="CW132" s="347"/>
      <c r="CX132" s="347"/>
      <c r="CY132" s="462"/>
      <c r="CZ132" s="462"/>
      <c r="DA132" s="462"/>
      <c r="DB132" s="464"/>
      <c r="DC132" s="464"/>
      <c r="DD132" s="464"/>
      <c r="DE132" s="464"/>
      <c r="DF132" s="462"/>
    </row>
    <row r="133" spans="1:110">
      <c r="A133" s="370"/>
      <c r="B133" s="1838"/>
      <c r="C133" s="1838"/>
      <c r="D133" s="1838"/>
      <c r="E133" s="1838"/>
      <c r="F133" s="1838"/>
      <c r="G133" s="1838"/>
      <c r="H133" s="1838"/>
      <c r="I133" s="1838"/>
      <c r="J133" s="1838"/>
      <c r="K133" s="1838"/>
      <c r="L133" s="1838"/>
      <c r="M133" s="1838"/>
      <c r="N133" s="1838"/>
      <c r="O133" s="1838"/>
      <c r="P133" s="1838"/>
      <c r="Q133" s="1838"/>
      <c r="R133" s="1838"/>
      <c r="S133" s="1838"/>
      <c r="T133" s="1838"/>
      <c r="U133" s="1838"/>
      <c r="V133" s="1838"/>
      <c r="W133" s="518"/>
      <c r="X133" s="518"/>
      <c r="Y133" s="518"/>
      <c r="Z133" s="518"/>
      <c r="AA133" s="518"/>
      <c r="AB133" s="518"/>
      <c r="AC133" s="518"/>
      <c r="AD133" s="518"/>
      <c r="AE133" s="518"/>
      <c r="AF133" s="518"/>
      <c r="AG133" s="518"/>
      <c r="AH133" s="518"/>
      <c r="AI133" s="518"/>
      <c r="AJ133" s="518"/>
      <c r="AK133" s="518"/>
      <c r="AL133" s="518"/>
      <c r="AM133" s="518"/>
      <c r="AN133" s="518"/>
      <c r="AO133" s="518"/>
      <c r="AP133" s="518"/>
      <c r="AQ133" s="518"/>
      <c r="AR133" s="518"/>
      <c r="AS133" s="518"/>
      <c r="AT133" s="518"/>
      <c r="AU133" s="518"/>
      <c r="AV133" s="518"/>
      <c r="AW133" s="518"/>
      <c r="AX133" s="518"/>
      <c r="AY133" s="518"/>
      <c r="AZ133" s="518"/>
      <c r="BA133" s="518"/>
      <c r="BB133" s="518"/>
      <c r="BC133" s="518"/>
      <c r="BD133" s="518"/>
      <c r="BE133" s="518"/>
      <c r="BF133" s="518"/>
      <c r="BG133" s="518"/>
      <c r="BH133" s="518"/>
      <c r="BI133" s="518"/>
      <c r="BJ133" s="518"/>
      <c r="BK133" s="347"/>
      <c r="BL133" s="518"/>
      <c r="BM133" s="518"/>
      <c r="BN133" s="518"/>
      <c r="BO133" s="518"/>
      <c r="BP133" s="518"/>
      <c r="BQ133" s="518"/>
      <c r="BR133" s="518"/>
      <c r="BS133" s="518"/>
      <c r="BT133" s="518"/>
      <c r="BU133" s="518"/>
      <c r="BV133" s="518"/>
      <c r="BW133" s="518"/>
      <c r="BX133" s="518"/>
      <c r="BY133" s="518"/>
      <c r="BZ133" s="347"/>
      <c r="CA133" s="347"/>
      <c r="CB133" s="347"/>
      <c r="CC133" s="347"/>
      <c r="CD133" s="347"/>
      <c r="CE133" s="347"/>
      <c r="CF133" s="347"/>
      <c r="CG133" s="347"/>
      <c r="CH133" s="347"/>
      <c r="CI133" s="347"/>
      <c r="CJ133" s="347"/>
      <c r="CK133" s="347"/>
      <c r="CL133" s="347"/>
      <c r="CM133" s="347"/>
      <c r="CN133" s="347"/>
      <c r="CO133" s="347"/>
      <c r="CP133" s="347"/>
      <c r="CQ133" s="347"/>
      <c r="CR133" s="524"/>
      <c r="CS133" s="524"/>
      <c r="CT133" s="347"/>
      <c r="CU133" s="347"/>
      <c r="CV133" s="347"/>
      <c r="CW133" s="347"/>
      <c r="CX133" s="347"/>
      <c r="CY133" s="462"/>
      <c r="CZ133" s="462"/>
      <c r="DA133" s="462"/>
      <c r="DB133" s="464"/>
      <c r="DC133" s="464"/>
      <c r="DD133" s="464"/>
      <c r="DE133" s="464"/>
      <c r="DF133" s="462"/>
    </row>
    <row r="134" spans="1:110">
      <c r="A134" s="370"/>
      <c r="B134" s="1838"/>
      <c r="C134" s="1838"/>
      <c r="D134" s="1838"/>
      <c r="E134" s="1838"/>
      <c r="F134" s="1838"/>
      <c r="G134" s="1838"/>
      <c r="H134" s="1838"/>
      <c r="I134" s="1838"/>
      <c r="J134" s="1838"/>
      <c r="K134" s="1838"/>
      <c r="L134" s="1838"/>
      <c r="M134" s="1838"/>
      <c r="N134" s="1838"/>
      <c r="O134" s="1838"/>
      <c r="P134" s="1838"/>
      <c r="Q134" s="1838"/>
      <c r="R134" s="1838"/>
      <c r="S134" s="1838"/>
      <c r="T134" s="1838"/>
      <c r="U134" s="1838"/>
      <c r="V134" s="1838"/>
      <c r="W134" s="518"/>
      <c r="X134" s="518"/>
      <c r="Y134" s="518"/>
      <c r="Z134" s="518"/>
      <c r="AA134" s="518"/>
      <c r="AB134" s="518"/>
      <c r="AC134" s="518"/>
      <c r="AD134" s="518"/>
      <c r="AE134" s="518"/>
      <c r="AF134" s="518"/>
      <c r="AG134" s="518"/>
      <c r="AH134" s="518"/>
      <c r="AI134" s="518"/>
      <c r="AJ134" s="518"/>
      <c r="AK134" s="518"/>
      <c r="AL134" s="518"/>
      <c r="AM134" s="518"/>
      <c r="AN134" s="518"/>
      <c r="AO134" s="518"/>
      <c r="AP134" s="518"/>
      <c r="AQ134" s="518"/>
      <c r="AR134" s="518"/>
      <c r="AS134" s="518"/>
      <c r="AT134" s="518"/>
      <c r="AU134" s="518"/>
      <c r="AV134" s="518"/>
      <c r="AW134" s="518"/>
      <c r="AX134" s="518"/>
      <c r="AY134" s="518"/>
      <c r="AZ134" s="518"/>
      <c r="BA134" s="518"/>
      <c r="BB134" s="518"/>
      <c r="BC134" s="518"/>
      <c r="BD134" s="518"/>
      <c r="BE134" s="518"/>
      <c r="BF134" s="518"/>
      <c r="BG134" s="518"/>
      <c r="BH134" s="518"/>
      <c r="BI134" s="518"/>
      <c r="BJ134" s="518"/>
      <c r="BK134" s="347"/>
      <c r="BL134" s="518"/>
      <c r="BM134" s="518"/>
      <c r="BN134" s="518"/>
      <c r="BO134" s="518"/>
      <c r="BP134" s="518"/>
      <c r="BQ134" s="518"/>
      <c r="BR134" s="518"/>
      <c r="BS134" s="518"/>
      <c r="BT134" s="518"/>
      <c r="BU134" s="518"/>
      <c r="BV134" s="518"/>
      <c r="BW134" s="518"/>
      <c r="BX134" s="518"/>
      <c r="BY134" s="518"/>
      <c r="BZ134" s="347"/>
      <c r="CA134" s="347"/>
      <c r="CB134" s="347"/>
      <c r="CC134" s="347"/>
      <c r="CD134" s="347"/>
      <c r="CE134" s="347"/>
      <c r="CF134" s="347"/>
      <c r="CG134" s="347"/>
      <c r="CH134" s="347"/>
      <c r="CI134" s="347"/>
      <c r="CJ134" s="347"/>
      <c r="CK134" s="347"/>
      <c r="CL134" s="347"/>
      <c r="CM134" s="347"/>
      <c r="CN134" s="347"/>
      <c r="CO134" s="381"/>
      <c r="CP134" s="347"/>
      <c r="CQ134" s="347"/>
      <c r="CR134" s="524"/>
      <c r="CS134" s="524"/>
      <c r="CT134" s="347"/>
      <c r="CU134" s="347"/>
      <c r="CV134" s="347"/>
      <c r="CW134" s="347"/>
      <c r="CX134" s="347"/>
      <c r="CY134" s="462"/>
      <c r="CZ134" s="462"/>
      <c r="DA134" s="462"/>
      <c r="DB134" s="464"/>
      <c r="DC134" s="464"/>
      <c r="DD134" s="464"/>
      <c r="DE134" s="464"/>
      <c r="DF134" s="462"/>
    </row>
    <row r="135" spans="1:110">
      <c r="A135" s="370"/>
      <c r="B135" s="1838"/>
      <c r="C135" s="1838"/>
      <c r="D135" s="1838"/>
      <c r="E135" s="1838"/>
      <c r="F135" s="1838"/>
      <c r="G135" s="1838"/>
      <c r="H135" s="1838"/>
      <c r="I135" s="1838"/>
      <c r="J135" s="1838"/>
      <c r="K135" s="1838"/>
      <c r="L135" s="1838"/>
      <c r="M135" s="1838"/>
      <c r="N135" s="1838"/>
      <c r="O135" s="1838"/>
      <c r="P135" s="1838"/>
      <c r="Q135" s="1838"/>
      <c r="R135" s="1838"/>
      <c r="S135" s="1838"/>
      <c r="T135" s="1838"/>
      <c r="U135" s="1838"/>
      <c r="V135" s="1838"/>
      <c r="W135" s="518"/>
      <c r="X135" s="518"/>
      <c r="Y135" s="518"/>
      <c r="Z135" s="518"/>
      <c r="AA135" s="518"/>
      <c r="AB135" s="518"/>
      <c r="AC135" s="518"/>
      <c r="AD135" s="518"/>
      <c r="AE135" s="518"/>
      <c r="AF135" s="518"/>
      <c r="AG135" s="518"/>
      <c r="AH135" s="518"/>
      <c r="AI135" s="518"/>
      <c r="AJ135" s="518"/>
      <c r="AK135" s="518"/>
      <c r="AL135" s="518"/>
      <c r="AM135" s="518"/>
      <c r="AN135" s="518"/>
      <c r="AO135" s="518"/>
      <c r="AP135" s="518"/>
      <c r="AQ135" s="518"/>
      <c r="AR135" s="518"/>
      <c r="AS135" s="518"/>
      <c r="AT135" s="518"/>
      <c r="AU135" s="518"/>
      <c r="AV135" s="518"/>
      <c r="AW135" s="518"/>
      <c r="AX135" s="518"/>
      <c r="AY135" s="518"/>
      <c r="AZ135" s="518"/>
      <c r="BA135" s="518"/>
      <c r="BB135" s="518"/>
      <c r="BC135" s="518"/>
      <c r="BD135" s="518"/>
      <c r="BE135" s="518"/>
      <c r="BF135" s="518"/>
      <c r="BG135" s="518"/>
      <c r="BH135" s="518"/>
      <c r="BI135" s="518"/>
      <c r="BJ135" s="518"/>
      <c r="BK135" s="347"/>
      <c r="BL135" s="518"/>
      <c r="BM135" s="518"/>
      <c r="BN135" s="518"/>
      <c r="BO135" s="518"/>
      <c r="BP135" s="518"/>
      <c r="BQ135" s="518"/>
      <c r="BR135" s="518"/>
      <c r="BS135" s="518"/>
      <c r="BT135" s="518"/>
      <c r="BU135" s="518"/>
      <c r="BV135" s="518"/>
      <c r="BW135" s="518"/>
      <c r="BX135" s="518"/>
      <c r="BY135" s="518"/>
      <c r="BZ135" s="347"/>
      <c r="CA135" s="347"/>
      <c r="CB135" s="347"/>
      <c r="CC135" s="347"/>
      <c r="CD135" s="347"/>
      <c r="CE135" s="347"/>
      <c r="CF135" s="347"/>
      <c r="CG135" s="347"/>
      <c r="CH135" s="347"/>
      <c r="CI135" s="347"/>
      <c r="CJ135" s="347"/>
      <c r="CK135" s="347"/>
      <c r="CL135" s="347"/>
      <c r="CM135" s="347"/>
      <c r="CN135" s="347"/>
      <c r="CO135" s="347"/>
      <c r="CP135" s="347"/>
      <c r="CQ135" s="347"/>
      <c r="CR135" s="524"/>
      <c r="CS135" s="524"/>
      <c r="CT135" s="347"/>
      <c r="CU135" s="347"/>
      <c r="CV135" s="347"/>
      <c r="CW135" s="347"/>
      <c r="CX135" s="347"/>
      <c r="CY135" s="462"/>
      <c r="CZ135" s="462"/>
      <c r="DA135" s="462"/>
      <c r="DB135" s="464"/>
      <c r="DC135" s="464"/>
      <c r="DD135" s="464"/>
      <c r="DE135" s="464"/>
      <c r="DF135" s="462"/>
    </row>
    <row r="136" spans="1:110">
      <c r="A136" s="370"/>
      <c r="B136" s="1838"/>
      <c r="C136" s="1838"/>
      <c r="D136" s="1838"/>
      <c r="E136" s="1838"/>
      <c r="F136" s="1838"/>
      <c r="G136" s="1838"/>
      <c r="H136" s="1838"/>
      <c r="I136" s="1838"/>
      <c r="J136" s="1838"/>
      <c r="K136" s="1838"/>
      <c r="L136" s="1838"/>
      <c r="M136" s="1838"/>
      <c r="N136" s="1838"/>
      <c r="O136" s="1838"/>
      <c r="P136" s="1838"/>
      <c r="Q136" s="1838"/>
      <c r="R136" s="1838"/>
      <c r="S136" s="1838"/>
      <c r="T136" s="1838"/>
      <c r="U136" s="1838"/>
      <c r="V136" s="1838"/>
      <c r="W136" s="518"/>
      <c r="X136" s="518"/>
      <c r="Y136" s="518"/>
      <c r="Z136" s="518"/>
      <c r="AA136" s="518"/>
      <c r="AB136" s="518"/>
      <c r="AC136" s="518"/>
      <c r="AD136" s="518"/>
      <c r="AE136" s="518"/>
      <c r="AF136" s="518"/>
      <c r="AG136" s="518"/>
      <c r="AH136" s="518"/>
      <c r="AI136" s="518"/>
      <c r="AJ136" s="518"/>
      <c r="AK136" s="518"/>
      <c r="AL136" s="518"/>
      <c r="AM136" s="518"/>
      <c r="AN136" s="518"/>
      <c r="AO136" s="518"/>
      <c r="AP136" s="518"/>
      <c r="AQ136" s="518"/>
      <c r="AR136" s="518"/>
      <c r="AS136" s="518"/>
      <c r="AT136" s="518"/>
      <c r="AU136" s="518"/>
      <c r="AV136" s="518"/>
      <c r="AW136" s="518"/>
      <c r="AX136" s="518"/>
      <c r="AY136" s="518"/>
      <c r="AZ136" s="518"/>
      <c r="BA136" s="518"/>
      <c r="BB136" s="518"/>
      <c r="BC136" s="518"/>
      <c r="BD136" s="518"/>
      <c r="BE136" s="518"/>
      <c r="BF136" s="518"/>
      <c r="BG136" s="518"/>
      <c r="BH136" s="518"/>
      <c r="BI136" s="518"/>
      <c r="BJ136" s="518"/>
      <c r="BK136" s="347"/>
      <c r="BL136" s="518"/>
      <c r="BM136" s="518"/>
      <c r="BN136" s="518"/>
      <c r="BO136" s="518"/>
      <c r="BP136" s="518"/>
      <c r="BQ136" s="518"/>
      <c r="BR136" s="518"/>
      <c r="BS136" s="518"/>
      <c r="BT136" s="518"/>
      <c r="BU136" s="518"/>
      <c r="BV136" s="518"/>
      <c r="BW136" s="518"/>
      <c r="BX136" s="518"/>
      <c r="BY136" s="518"/>
      <c r="BZ136" s="347"/>
      <c r="CA136" s="347"/>
      <c r="CB136" s="347"/>
      <c r="CC136" s="347"/>
      <c r="CD136" s="347"/>
      <c r="CE136" s="347"/>
      <c r="CF136" s="347"/>
      <c r="CG136" s="347"/>
      <c r="CH136" s="347"/>
      <c r="CI136" s="347"/>
      <c r="CJ136" s="347"/>
      <c r="CK136" s="347"/>
      <c r="CL136" s="347"/>
      <c r="CM136" s="347"/>
      <c r="CN136" s="347"/>
      <c r="CO136" s="347"/>
      <c r="CP136" s="347"/>
      <c r="CQ136" s="347"/>
      <c r="CR136" s="524"/>
      <c r="CS136" s="524"/>
      <c r="CT136" s="347"/>
      <c r="CU136" s="347"/>
      <c r="CV136" s="347"/>
      <c r="CW136" s="347"/>
      <c r="CX136" s="347"/>
      <c r="CY136" s="462"/>
      <c r="CZ136" s="462"/>
      <c r="DA136" s="462"/>
      <c r="DB136" s="464"/>
      <c r="DC136" s="464"/>
      <c r="DD136" s="464"/>
      <c r="DE136" s="464"/>
      <c r="DF136" s="462"/>
    </row>
    <row r="137" spans="1:110">
      <c r="A137" s="370"/>
      <c r="B137" s="1838"/>
      <c r="C137" s="1838"/>
      <c r="D137" s="1838"/>
      <c r="E137" s="1838"/>
      <c r="F137" s="1838"/>
      <c r="G137" s="1838"/>
      <c r="H137" s="1838"/>
      <c r="I137" s="1838"/>
      <c r="J137" s="1838"/>
      <c r="K137" s="1838"/>
      <c r="L137" s="1838"/>
      <c r="M137" s="1838"/>
      <c r="N137" s="1838"/>
      <c r="O137" s="1838"/>
      <c r="P137" s="1838"/>
      <c r="Q137" s="1838"/>
      <c r="R137" s="1838"/>
      <c r="S137" s="1838"/>
      <c r="T137" s="1838"/>
      <c r="U137" s="1838"/>
      <c r="V137" s="1838"/>
      <c r="W137" s="518"/>
      <c r="X137" s="518"/>
      <c r="Y137" s="518"/>
      <c r="Z137" s="518"/>
      <c r="AA137" s="518"/>
      <c r="AB137" s="518"/>
      <c r="AC137" s="518"/>
      <c r="AD137" s="518"/>
      <c r="AE137" s="518"/>
      <c r="AF137" s="518"/>
      <c r="AG137" s="518"/>
      <c r="AH137" s="518"/>
      <c r="AI137" s="518"/>
      <c r="AJ137" s="518"/>
      <c r="AK137" s="518"/>
      <c r="AL137" s="518"/>
      <c r="AM137" s="518"/>
      <c r="AN137" s="518"/>
      <c r="AO137" s="518"/>
      <c r="AP137" s="518"/>
      <c r="AQ137" s="518"/>
      <c r="AR137" s="518"/>
      <c r="AS137" s="518"/>
      <c r="AT137" s="518"/>
      <c r="AU137" s="518"/>
      <c r="AV137" s="518"/>
      <c r="AW137" s="518"/>
      <c r="AX137" s="518"/>
      <c r="AY137" s="518"/>
      <c r="AZ137" s="518"/>
      <c r="BA137" s="518"/>
      <c r="BB137" s="518"/>
      <c r="BC137" s="518"/>
      <c r="BD137" s="518"/>
      <c r="BE137" s="518"/>
      <c r="BF137" s="518"/>
      <c r="BG137" s="518"/>
      <c r="BH137" s="518"/>
      <c r="BI137" s="518"/>
      <c r="BJ137" s="518"/>
      <c r="BK137" s="347"/>
      <c r="BL137" s="518"/>
      <c r="BM137" s="518"/>
      <c r="BN137" s="518"/>
      <c r="BO137" s="518"/>
      <c r="BP137" s="518"/>
      <c r="BQ137" s="518"/>
      <c r="BR137" s="518"/>
      <c r="BS137" s="518"/>
      <c r="BT137" s="518"/>
      <c r="BU137" s="518"/>
      <c r="BV137" s="518"/>
      <c r="BW137" s="518"/>
      <c r="BX137" s="518"/>
      <c r="BY137" s="518"/>
      <c r="BZ137" s="347"/>
      <c r="CA137" s="347"/>
      <c r="CB137" s="347"/>
      <c r="CC137" s="347"/>
      <c r="CD137" s="347"/>
      <c r="CE137" s="347"/>
      <c r="CF137" s="347"/>
      <c r="CG137" s="347"/>
      <c r="CH137" s="347"/>
      <c r="CI137" s="347"/>
      <c r="CJ137" s="347"/>
      <c r="CK137" s="347"/>
      <c r="CL137" s="347"/>
      <c r="CM137" s="347"/>
      <c r="CN137" s="347"/>
      <c r="CO137" s="347"/>
      <c r="CP137" s="347"/>
      <c r="CQ137" s="347"/>
      <c r="CR137" s="524"/>
      <c r="CS137" s="524"/>
      <c r="CT137" s="347"/>
      <c r="CU137" s="347"/>
      <c r="CV137" s="347"/>
      <c r="CW137" s="347"/>
      <c r="CX137" s="347"/>
      <c r="CY137" s="462"/>
      <c r="CZ137" s="462"/>
      <c r="DA137" s="462"/>
      <c r="DB137" s="464"/>
      <c r="DC137" s="464"/>
      <c r="DD137" s="464"/>
      <c r="DE137" s="464"/>
      <c r="DF137" s="462"/>
    </row>
    <row r="138" spans="1:110">
      <c r="A138" s="370"/>
      <c r="B138" s="1838"/>
      <c r="C138" s="1838"/>
      <c r="D138" s="1838"/>
      <c r="E138" s="1838"/>
      <c r="F138" s="1838"/>
      <c r="G138" s="1838"/>
      <c r="H138" s="1838"/>
      <c r="I138" s="1838"/>
      <c r="J138" s="1838"/>
      <c r="K138" s="1838"/>
      <c r="L138" s="1838"/>
      <c r="M138" s="1838"/>
      <c r="N138" s="1838"/>
      <c r="O138" s="1838"/>
      <c r="P138" s="1838"/>
      <c r="Q138" s="1838"/>
      <c r="R138" s="1838"/>
      <c r="S138" s="1838"/>
      <c r="T138" s="1838"/>
      <c r="U138" s="1838"/>
      <c r="V138" s="1838"/>
      <c r="W138" s="518"/>
      <c r="X138" s="518"/>
      <c r="Y138" s="518"/>
      <c r="Z138" s="518"/>
      <c r="AA138" s="518"/>
      <c r="AB138" s="518"/>
      <c r="AC138" s="518"/>
      <c r="AD138" s="518"/>
      <c r="AE138" s="518"/>
      <c r="AF138" s="518"/>
      <c r="AG138" s="518"/>
      <c r="AH138" s="518"/>
      <c r="AI138" s="518"/>
      <c r="AJ138" s="518"/>
      <c r="AK138" s="518"/>
      <c r="AL138" s="518"/>
      <c r="AM138" s="518"/>
      <c r="AN138" s="518"/>
      <c r="AO138" s="518"/>
      <c r="AP138" s="518"/>
      <c r="AQ138" s="518"/>
      <c r="AR138" s="518"/>
      <c r="AS138" s="518"/>
      <c r="AT138" s="518"/>
      <c r="AU138" s="518"/>
      <c r="AV138" s="518"/>
      <c r="AW138" s="518"/>
      <c r="AX138" s="518"/>
      <c r="AY138" s="518"/>
      <c r="AZ138" s="518"/>
      <c r="BA138" s="518"/>
      <c r="BB138" s="518"/>
      <c r="BC138" s="518"/>
      <c r="BD138" s="518"/>
      <c r="BE138" s="518"/>
      <c r="BF138" s="518"/>
      <c r="BG138" s="518"/>
      <c r="BH138" s="518"/>
      <c r="BI138" s="518"/>
      <c r="BJ138" s="518"/>
      <c r="BK138" s="347"/>
      <c r="BL138" s="518"/>
      <c r="BM138" s="518"/>
      <c r="BN138" s="518"/>
      <c r="BO138" s="518"/>
      <c r="BP138" s="518"/>
      <c r="BQ138" s="518"/>
      <c r="BR138" s="518"/>
      <c r="BS138" s="518"/>
      <c r="BT138" s="518"/>
      <c r="BU138" s="518"/>
      <c r="BV138" s="518"/>
      <c r="BW138" s="518"/>
      <c r="BX138" s="518"/>
      <c r="BY138" s="518"/>
      <c r="BZ138" s="347"/>
      <c r="CA138" s="347"/>
      <c r="CB138" s="347"/>
      <c r="CC138" s="347"/>
      <c r="CD138" s="347"/>
      <c r="CE138" s="347"/>
      <c r="CF138" s="347"/>
      <c r="CG138" s="347"/>
      <c r="CH138" s="347"/>
      <c r="CI138" s="347"/>
      <c r="CJ138" s="347"/>
      <c r="CK138" s="347"/>
      <c r="CL138" s="347"/>
      <c r="CM138" s="347"/>
      <c r="CN138" s="347"/>
      <c r="CO138" s="347"/>
      <c r="CP138" s="347"/>
      <c r="CQ138" s="347"/>
      <c r="CR138" s="524"/>
      <c r="CS138" s="524"/>
      <c r="CT138" s="347"/>
      <c r="CU138" s="347"/>
      <c r="CV138" s="347"/>
      <c r="CW138" s="347"/>
      <c r="CX138" s="347"/>
      <c r="CY138" s="462"/>
      <c r="CZ138" s="462"/>
      <c r="DA138" s="462"/>
      <c r="DB138" s="464"/>
      <c r="DC138" s="464"/>
      <c r="DD138" s="464"/>
      <c r="DE138" s="464"/>
      <c r="DF138" s="462"/>
    </row>
    <row r="139" spans="1:110">
      <c r="A139" s="370"/>
      <c r="B139" s="1838"/>
      <c r="C139" s="1838"/>
      <c r="D139" s="1838"/>
      <c r="E139" s="1838"/>
      <c r="F139" s="1838"/>
      <c r="G139" s="1838"/>
      <c r="H139" s="1838"/>
      <c r="I139" s="1838"/>
      <c r="J139" s="1838"/>
      <c r="K139" s="1838"/>
      <c r="L139" s="1838"/>
      <c r="M139" s="1838"/>
      <c r="N139" s="1838"/>
      <c r="O139" s="1838"/>
      <c r="P139" s="1838"/>
      <c r="Q139" s="1838"/>
      <c r="R139" s="1838"/>
      <c r="S139" s="1838"/>
      <c r="T139" s="1838"/>
      <c r="U139" s="1838"/>
      <c r="V139" s="1838"/>
      <c r="W139" s="518"/>
      <c r="X139" s="518"/>
      <c r="Y139" s="518"/>
      <c r="Z139" s="518"/>
      <c r="AA139" s="518"/>
      <c r="AB139" s="518"/>
      <c r="AC139" s="518"/>
      <c r="AD139" s="518"/>
      <c r="AE139" s="518"/>
      <c r="AF139" s="518"/>
      <c r="AG139" s="518"/>
      <c r="AH139" s="518"/>
      <c r="AI139" s="518"/>
      <c r="AJ139" s="518"/>
      <c r="AK139" s="518"/>
      <c r="AL139" s="518"/>
      <c r="AM139" s="518"/>
      <c r="AN139" s="518"/>
      <c r="AO139" s="518"/>
      <c r="AP139" s="518"/>
      <c r="AQ139" s="518"/>
      <c r="AR139" s="518"/>
      <c r="AS139" s="518"/>
      <c r="AT139" s="518"/>
      <c r="AU139" s="518"/>
      <c r="AV139" s="518"/>
      <c r="AW139" s="518"/>
      <c r="AX139" s="518"/>
      <c r="AY139" s="518"/>
      <c r="AZ139" s="518"/>
      <c r="BA139" s="518"/>
      <c r="BB139" s="518"/>
      <c r="BC139" s="518"/>
      <c r="BD139" s="518"/>
      <c r="BE139" s="518"/>
      <c r="BF139" s="518"/>
      <c r="BG139" s="518"/>
      <c r="BH139" s="518"/>
      <c r="BI139" s="518"/>
      <c r="BJ139" s="518"/>
      <c r="BK139" s="347"/>
      <c r="BL139" s="518"/>
      <c r="BM139" s="518"/>
      <c r="BN139" s="518"/>
      <c r="BO139" s="518"/>
      <c r="BP139" s="518"/>
      <c r="BQ139" s="518"/>
      <c r="BR139" s="518"/>
      <c r="BS139" s="518"/>
      <c r="BT139" s="518"/>
      <c r="BU139" s="518"/>
      <c r="BV139" s="518"/>
      <c r="BW139" s="518"/>
      <c r="BX139" s="518"/>
      <c r="BY139" s="518"/>
      <c r="BZ139" s="347"/>
      <c r="CA139" s="347"/>
      <c r="CB139" s="347"/>
      <c r="CC139" s="347"/>
      <c r="CD139" s="347"/>
      <c r="CE139" s="347"/>
      <c r="CF139" s="347"/>
      <c r="CG139" s="347"/>
      <c r="CH139" s="347"/>
      <c r="CI139" s="347"/>
      <c r="CJ139" s="347"/>
      <c r="CK139" s="347"/>
      <c r="CL139" s="347"/>
      <c r="CM139" s="347"/>
      <c r="CN139" s="347"/>
      <c r="CO139" s="347"/>
      <c r="CP139" s="347"/>
      <c r="CQ139" s="347"/>
      <c r="CR139" s="524"/>
      <c r="CS139" s="524"/>
      <c r="CT139" s="347"/>
      <c r="CU139" s="347"/>
      <c r="CV139" s="347"/>
      <c r="CW139" s="347"/>
      <c r="CX139" s="347"/>
      <c r="CY139" s="462"/>
      <c r="CZ139" s="462"/>
      <c r="DA139" s="462"/>
      <c r="DB139" s="464"/>
      <c r="DC139" s="464"/>
      <c r="DD139" s="464"/>
      <c r="DE139" s="464"/>
      <c r="DF139" s="462"/>
    </row>
    <row r="140" spans="1:110">
      <c r="A140" s="370"/>
      <c r="B140" s="1838"/>
      <c r="C140" s="1838"/>
      <c r="D140" s="1838"/>
      <c r="E140" s="1838"/>
      <c r="F140" s="1838"/>
      <c r="G140" s="1838"/>
      <c r="H140" s="1838"/>
      <c r="I140" s="1838"/>
      <c r="J140" s="1838"/>
      <c r="K140" s="1838"/>
      <c r="L140" s="1838"/>
      <c r="M140" s="1838"/>
      <c r="N140" s="1838"/>
      <c r="O140" s="1838"/>
      <c r="P140" s="1838"/>
      <c r="Q140" s="1838"/>
      <c r="R140" s="1838"/>
      <c r="S140" s="1838"/>
      <c r="T140" s="1838"/>
      <c r="U140" s="1838"/>
      <c r="V140" s="1838"/>
      <c r="W140" s="518"/>
      <c r="X140" s="518"/>
      <c r="Y140" s="518"/>
      <c r="Z140" s="518"/>
      <c r="AA140" s="518"/>
      <c r="AB140" s="518"/>
      <c r="AC140" s="518"/>
      <c r="AD140" s="518"/>
      <c r="AE140" s="518"/>
      <c r="AF140" s="518"/>
      <c r="AG140" s="518"/>
      <c r="AH140" s="518"/>
      <c r="AI140" s="518"/>
      <c r="AJ140" s="518"/>
      <c r="AK140" s="518"/>
      <c r="AL140" s="518"/>
      <c r="AM140" s="518"/>
      <c r="AN140" s="518"/>
      <c r="AO140" s="518"/>
      <c r="AP140" s="518"/>
      <c r="AQ140" s="518"/>
      <c r="AR140" s="518"/>
      <c r="AS140" s="518"/>
      <c r="AT140" s="518"/>
      <c r="AU140" s="518"/>
      <c r="AV140" s="518"/>
      <c r="AW140" s="518"/>
      <c r="AX140" s="518"/>
      <c r="AY140" s="518"/>
      <c r="AZ140" s="518"/>
      <c r="BA140" s="518"/>
      <c r="BB140" s="518"/>
      <c r="BC140" s="518"/>
      <c r="BD140" s="518"/>
      <c r="BE140" s="518"/>
      <c r="BF140" s="518"/>
      <c r="BG140" s="518"/>
      <c r="BH140" s="518"/>
      <c r="BI140" s="518"/>
      <c r="BJ140" s="518"/>
      <c r="BK140" s="347"/>
      <c r="BL140" s="518"/>
      <c r="BM140" s="518"/>
      <c r="BN140" s="518"/>
      <c r="BO140" s="518"/>
      <c r="BP140" s="518"/>
      <c r="BQ140" s="518"/>
      <c r="BR140" s="518"/>
      <c r="BS140" s="518"/>
      <c r="BT140" s="518"/>
      <c r="BU140" s="518"/>
      <c r="BV140" s="518"/>
      <c r="BW140" s="518"/>
      <c r="BX140" s="518"/>
      <c r="BY140" s="518"/>
      <c r="BZ140" s="347"/>
      <c r="CA140" s="347"/>
      <c r="CB140" s="347"/>
      <c r="CC140" s="347"/>
      <c r="CD140" s="347"/>
      <c r="CE140" s="347"/>
      <c r="CF140" s="347"/>
      <c r="CG140" s="347"/>
      <c r="CH140" s="347"/>
      <c r="CI140" s="347"/>
      <c r="CJ140" s="347"/>
      <c r="CK140" s="347"/>
      <c r="CL140" s="347"/>
      <c r="CM140" s="525"/>
      <c r="CN140" s="525"/>
      <c r="CO140" s="381"/>
      <c r="CP140" s="347"/>
      <c r="CQ140" s="347"/>
      <c r="CR140" s="524"/>
      <c r="CS140" s="524"/>
      <c r="CT140" s="347"/>
      <c r="CU140" s="347"/>
      <c r="CV140" s="347"/>
      <c r="CW140" s="347"/>
      <c r="CX140" s="347"/>
      <c r="CY140" s="462"/>
      <c r="CZ140" s="462"/>
      <c r="DA140" s="462"/>
      <c r="DB140" s="464"/>
      <c r="DC140" s="464"/>
      <c r="DD140" s="464"/>
      <c r="DE140" s="464"/>
      <c r="DF140" s="462"/>
    </row>
    <row r="141" spans="1:110">
      <c r="A141" s="370"/>
      <c r="B141" s="1838"/>
      <c r="C141" s="1838"/>
      <c r="D141" s="1838"/>
      <c r="E141" s="1838"/>
      <c r="F141" s="1838"/>
      <c r="G141" s="1838"/>
      <c r="H141" s="1838"/>
      <c r="I141" s="1838"/>
      <c r="J141" s="1838"/>
      <c r="K141" s="1838"/>
      <c r="L141" s="1838"/>
      <c r="M141" s="1838"/>
      <c r="N141" s="1838"/>
      <c r="O141" s="1838"/>
      <c r="P141" s="1838"/>
      <c r="Q141" s="1838"/>
      <c r="R141" s="1838"/>
      <c r="S141" s="1838"/>
      <c r="T141" s="1838"/>
      <c r="U141" s="1838"/>
      <c r="V141" s="1838"/>
      <c r="W141" s="518"/>
      <c r="X141" s="518"/>
      <c r="Y141" s="518"/>
      <c r="Z141" s="518"/>
      <c r="AA141" s="518"/>
      <c r="AB141" s="518"/>
      <c r="AC141" s="518"/>
      <c r="AD141" s="518"/>
      <c r="AE141" s="518"/>
      <c r="AF141" s="518"/>
      <c r="AG141" s="518"/>
      <c r="AH141" s="518"/>
      <c r="AI141" s="518"/>
      <c r="AJ141" s="518"/>
      <c r="AK141" s="518"/>
      <c r="AL141" s="518"/>
      <c r="AM141" s="518"/>
      <c r="AN141" s="518"/>
      <c r="AO141" s="518"/>
      <c r="AP141" s="518"/>
      <c r="AQ141" s="518"/>
      <c r="AR141" s="518"/>
      <c r="AS141" s="518"/>
      <c r="AT141" s="518"/>
      <c r="AU141" s="518"/>
      <c r="AV141" s="518"/>
      <c r="AW141" s="518"/>
      <c r="AX141" s="518"/>
      <c r="AY141" s="518"/>
      <c r="AZ141" s="518"/>
      <c r="BA141" s="518"/>
      <c r="BB141" s="518"/>
      <c r="BC141" s="518"/>
      <c r="BD141" s="518"/>
      <c r="BE141" s="518"/>
      <c r="BF141" s="518"/>
      <c r="BG141" s="518"/>
      <c r="BH141" s="518"/>
      <c r="BI141" s="518"/>
      <c r="BJ141" s="518"/>
      <c r="BK141" s="347"/>
      <c r="BL141" s="518"/>
      <c r="BM141" s="518"/>
      <c r="BN141" s="518"/>
      <c r="BO141" s="518"/>
      <c r="BP141" s="518"/>
      <c r="BQ141" s="518"/>
      <c r="BR141" s="518"/>
      <c r="BS141" s="518"/>
      <c r="BT141" s="518"/>
      <c r="BU141" s="518"/>
      <c r="BV141" s="518"/>
      <c r="BW141" s="518"/>
      <c r="BX141" s="518"/>
      <c r="BY141" s="518"/>
      <c r="BZ141" s="347"/>
      <c r="CA141" s="347"/>
      <c r="CB141" s="347"/>
      <c r="CC141" s="347"/>
      <c r="CD141" s="347"/>
      <c r="CE141" s="347"/>
      <c r="CF141" s="347"/>
      <c r="CG141" s="347"/>
      <c r="CH141" s="347"/>
      <c r="CI141" s="347"/>
      <c r="CJ141" s="347"/>
      <c r="CK141" s="347"/>
      <c r="CL141" s="347"/>
      <c r="CM141" s="347"/>
      <c r="CN141" s="347"/>
      <c r="CO141" s="347"/>
      <c r="CP141" s="347"/>
      <c r="CQ141" s="347"/>
      <c r="CR141" s="524"/>
      <c r="CS141" s="524"/>
      <c r="CT141" s="347"/>
      <c r="CU141" s="347"/>
      <c r="CV141" s="347"/>
      <c r="CW141" s="347"/>
      <c r="CX141" s="347"/>
      <c r="CY141" s="462"/>
      <c r="CZ141" s="462"/>
      <c r="DA141" s="462"/>
      <c r="DB141" s="464"/>
      <c r="DC141" s="464"/>
      <c r="DD141" s="464"/>
      <c r="DE141" s="464"/>
      <c r="DF141" s="462"/>
    </row>
    <row r="142" spans="1:110">
      <c r="A142" s="370"/>
      <c r="B142" s="1838"/>
      <c r="C142" s="1838"/>
      <c r="D142" s="1838"/>
      <c r="E142" s="1838"/>
      <c r="F142" s="1838"/>
      <c r="G142" s="1838"/>
      <c r="H142" s="1838"/>
      <c r="I142" s="1838"/>
      <c r="J142" s="1838"/>
      <c r="K142" s="1838"/>
      <c r="L142" s="1838"/>
      <c r="M142" s="1838"/>
      <c r="N142" s="1838"/>
      <c r="O142" s="1838"/>
      <c r="P142" s="1838"/>
      <c r="Q142" s="1838"/>
      <c r="R142" s="1838"/>
      <c r="S142" s="1838"/>
      <c r="T142" s="1838"/>
      <c r="U142" s="1838"/>
      <c r="V142" s="1838"/>
      <c r="W142" s="518"/>
      <c r="X142" s="518"/>
      <c r="Y142" s="518"/>
      <c r="Z142" s="518"/>
      <c r="AA142" s="518"/>
      <c r="AB142" s="518"/>
      <c r="AC142" s="518"/>
      <c r="AD142" s="518"/>
      <c r="AE142" s="518"/>
      <c r="AF142" s="518"/>
      <c r="AG142" s="518"/>
      <c r="AH142" s="518"/>
      <c r="AI142" s="518"/>
      <c r="AJ142" s="518"/>
      <c r="AK142" s="518"/>
      <c r="AL142" s="518"/>
      <c r="AM142" s="518"/>
      <c r="AN142" s="518"/>
      <c r="AO142" s="518"/>
      <c r="AP142" s="518"/>
      <c r="AQ142" s="518"/>
      <c r="AR142" s="518"/>
      <c r="AS142" s="518"/>
      <c r="AT142" s="518"/>
      <c r="AU142" s="518"/>
      <c r="AV142" s="518"/>
      <c r="AW142" s="518"/>
      <c r="AX142" s="518"/>
      <c r="AY142" s="518"/>
      <c r="AZ142" s="518"/>
      <c r="BA142" s="518"/>
      <c r="BB142" s="518"/>
      <c r="BC142" s="518"/>
      <c r="BD142" s="518"/>
      <c r="BE142" s="518"/>
      <c r="BF142" s="518"/>
      <c r="BG142" s="518"/>
      <c r="BH142" s="518"/>
      <c r="BI142" s="518"/>
      <c r="BJ142" s="518"/>
      <c r="BK142" s="347"/>
      <c r="BL142" s="518"/>
      <c r="BM142" s="518"/>
      <c r="BN142" s="518"/>
      <c r="BO142" s="518"/>
      <c r="BP142" s="518"/>
      <c r="BQ142" s="518"/>
      <c r="BR142" s="518"/>
      <c r="BS142" s="518"/>
      <c r="BT142" s="518"/>
      <c r="BU142" s="518"/>
      <c r="BV142" s="518"/>
      <c r="BW142" s="518"/>
      <c r="BX142" s="518"/>
      <c r="BY142" s="518"/>
      <c r="BZ142" s="347"/>
      <c r="CA142" s="347"/>
      <c r="CB142" s="347"/>
      <c r="CC142" s="347"/>
      <c r="CD142" s="347"/>
      <c r="CE142" s="347"/>
      <c r="CF142" s="347"/>
      <c r="CG142" s="347"/>
      <c r="CH142" s="347"/>
      <c r="CI142" s="347"/>
      <c r="CJ142" s="347"/>
      <c r="CK142" s="347"/>
      <c r="CL142" s="347"/>
      <c r="CM142" s="348"/>
      <c r="CN142" s="347"/>
      <c r="CO142" s="347"/>
      <c r="CP142" s="347"/>
      <c r="CQ142" s="347"/>
      <c r="CR142" s="524"/>
      <c r="CS142" s="524"/>
      <c r="CT142" s="347"/>
      <c r="CU142" s="347"/>
      <c r="CV142" s="347"/>
      <c r="CW142" s="347"/>
      <c r="CX142" s="347"/>
      <c r="CY142" s="462"/>
      <c r="CZ142" s="462"/>
      <c r="DA142" s="462"/>
      <c r="DB142" s="464"/>
      <c r="DC142" s="464"/>
      <c r="DD142" s="464"/>
      <c r="DE142" s="464"/>
      <c r="DF142" s="462"/>
    </row>
    <row r="143" spans="1:110">
      <c r="A143" s="370"/>
      <c r="B143" s="1838"/>
      <c r="C143" s="1838"/>
      <c r="D143" s="1838"/>
      <c r="E143" s="1838"/>
      <c r="F143" s="1838"/>
      <c r="G143" s="1838"/>
      <c r="H143" s="1838"/>
      <c r="I143" s="1838"/>
      <c r="J143" s="1838"/>
      <c r="K143" s="1838"/>
      <c r="L143" s="1838"/>
      <c r="M143" s="1838"/>
      <c r="N143" s="1838"/>
      <c r="O143" s="1838"/>
      <c r="P143" s="1838"/>
      <c r="Q143" s="1838"/>
      <c r="R143" s="1838"/>
      <c r="S143" s="1838"/>
      <c r="T143" s="1838"/>
      <c r="U143" s="1838"/>
      <c r="V143" s="1838"/>
      <c r="W143" s="518"/>
      <c r="X143" s="518"/>
      <c r="Y143" s="518"/>
      <c r="Z143" s="518"/>
      <c r="AA143" s="518"/>
      <c r="AB143" s="518"/>
      <c r="AC143" s="518"/>
      <c r="AD143" s="518"/>
      <c r="AE143" s="518"/>
      <c r="AF143" s="518"/>
      <c r="AG143" s="518"/>
      <c r="AH143" s="518"/>
      <c r="AI143" s="518"/>
      <c r="AJ143" s="518"/>
      <c r="AK143" s="518"/>
      <c r="AL143" s="518"/>
      <c r="AM143" s="518"/>
      <c r="AN143" s="518"/>
      <c r="AO143" s="518"/>
      <c r="AP143" s="518"/>
      <c r="AQ143" s="518"/>
      <c r="AR143" s="518"/>
      <c r="AS143" s="518"/>
      <c r="AT143" s="518"/>
      <c r="AU143" s="518"/>
      <c r="AV143" s="518"/>
      <c r="AW143" s="518"/>
      <c r="AX143" s="518"/>
      <c r="AY143" s="518"/>
      <c r="AZ143" s="518"/>
      <c r="BA143" s="518"/>
      <c r="BB143" s="518"/>
      <c r="BC143" s="518"/>
      <c r="BD143" s="518"/>
      <c r="BE143" s="518"/>
      <c r="BF143" s="518"/>
      <c r="BG143" s="518"/>
      <c r="BH143" s="518"/>
      <c r="BI143" s="518"/>
      <c r="BJ143" s="518"/>
      <c r="BK143" s="347"/>
      <c r="BL143" s="518"/>
      <c r="BM143" s="518"/>
      <c r="BN143" s="518"/>
      <c r="BO143" s="518"/>
      <c r="BP143" s="518"/>
      <c r="BQ143" s="518"/>
      <c r="BR143" s="518"/>
      <c r="BS143" s="518"/>
      <c r="BT143" s="518"/>
      <c r="BU143" s="518"/>
      <c r="BV143" s="518"/>
      <c r="BW143" s="518"/>
      <c r="BX143" s="518"/>
      <c r="BY143" s="518"/>
      <c r="BZ143" s="347"/>
      <c r="CA143" s="347"/>
      <c r="CB143" s="347"/>
      <c r="CC143" s="347"/>
      <c r="CD143" s="347"/>
      <c r="CE143" s="347"/>
      <c r="CF143" s="347"/>
      <c r="CG143" s="347"/>
      <c r="CH143" s="347"/>
      <c r="CI143" s="347"/>
      <c r="CJ143" s="347"/>
      <c r="CK143" s="347"/>
      <c r="CL143" s="347"/>
      <c r="CM143" s="348"/>
      <c r="CN143" s="347"/>
      <c r="CO143" s="347"/>
      <c r="CP143" s="347"/>
      <c r="CQ143" s="347"/>
      <c r="CR143" s="524"/>
      <c r="CS143" s="524"/>
      <c r="CT143" s="347"/>
      <c r="CU143" s="347"/>
      <c r="CV143" s="347"/>
      <c r="CW143" s="347"/>
      <c r="CX143" s="347"/>
      <c r="CY143" s="462"/>
      <c r="CZ143" s="462"/>
      <c r="DA143" s="462"/>
      <c r="DB143" s="464"/>
      <c r="DC143" s="464"/>
      <c r="DD143" s="464"/>
      <c r="DE143" s="464"/>
      <c r="DF143" s="462"/>
    </row>
    <row r="144" spans="1:110">
      <c r="A144" s="1841"/>
      <c r="B144" s="1842"/>
      <c r="C144" s="1842"/>
      <c r="D144" s="1842"/>
      <c r="E144" s="1842"/>
      <c r="F144" s="1842"/>
      <c r="G144" s="1842"/>
      <c r="H144" s="1842"/>
      <c r="I144" s="1842"/>
      <c r="J144" s="1842"/>
      <c r="K144" s="1842"/>
      <c r="L144" s="1842"/>
      <c r="M144" s="1842"/>
      <c r="N144" s="1842"/>
      <c r="O144" s="1842"/>
      <c r="P144" s="1842"/>
      <c r="Q144" s="1842"/>
      <c r="R144" s="1842"/>
      <c r="S144" s="1842"/>
      <c r="T144" s="1842"/>
      <c r="U144" s="1842"/>
      <c r="V144" s="1842"/>
      <c r="W144" s="526"/>
      <c r="X144" s="526"/>
      <c r="Y144" s="526"/>
      <c r="Z144" s="526"/>
      <c r="AA144" s="526"/>
      <c r="AB144" s="526"/>
      <c r="AC144" s="526"/>
      <c r="AD144" s="526"/>
      <c r="AE144" s="526"/>
      <c r="AF144" s="526"/>
      <c r="AG144" s="526"/>
      <c r="AH144" s="526"/>
      <c r="AI144" s="526"/>
      <c r="AJ144" s="526"/>
      <c r="AK144" s="526"/>
      <c r="AL144" s="526"/>
      <c r="AM144" s="526"/>
      <c r="AN144" s="526"/>
      <c r="AO144" s="526"/>
      <c r="AP144" s="526"/>
      <c r="AQ144" s="526"/>
      <c r="AR144" s="526"/>
      <c r="AS144" s="526"/>
      <c r="AT144" s="526"/>
      <c r="AU144" s="526"/>
      <c r="AV144" s="526"/>
      <c r="AW144" s="526"/>
      <c r="AX144" s="526"/>
      <c r="AY144" s="526"/>
      <c r="AZ144" s="526"/>
      <c r="BA144" s="526"/>
      <c r="BB144" s="526"/>
      <c r="BC144" s="526"/>
      <c r="BD144" s="526"/>
      <c r="BE144" s="526"/>
      <c r="BF144" s="526"/>
      <c r="BG144" s="526"/>
      <c r="BH144" s="526"/>
      <c r="BI144" s="526"/>
      <c r="BJ144" s="526"/>
      <c r="BK144" s="347"/>
      <c r="BL144" s="526"/>
      <c r="BM144" s="526"/>
      <c r="BN144" s="526"/>
      <c r="BO144" s="526"/>
      <c r="BP144" s="526"/>
      <c r="BQ144" s="526"/>
      <c r="BR144" s="526"/>
      <c r="BS144" s="526"/>
      <c r="BT144" s="526"/>
      <c r="BU144" s="526"/>
      <c r="BV144" s="526"/>
      <c r="BW144" s="526"/>
      <c r="BX144" s="526"/>
      <c r="BY144" s="526"/>
      <c r="BZ144" s="347"/>
      <c r="CA144" s="347"/>
      <c r="CB144" s="347"/>
      <c r="CC144" s="347"/>
      <c r="CD144" s="347"/>
      <c r="CE144" s="347"/>
      <c r="CF144" s="347"/>
      <c r="CG144" s="347"/>
      <c r="CH144" s="347"/>
      <c r="CI144" s="347"/>
      <c r="CJ144" s="347"/>
      <c r="CK144" s="347"/>
      <c r="CL144" s="347"/>
      <c r="CM144" s="348"/>
      <c r="CN144" s="348"/>
      <c r="CO144" s="347"/>
      <c r="CP144" s="347"/>
      <c r="CQ144" s="347"/>
      <c r="CR144" s="524"/>
      <c r="CS144" s="524"/>
      <c r="CT144" s="347"/>
      <c r="CU144" s="347"/>
      <c r="CV144" s="347"/>
      <c r="CW144" s="347"/>
      <c r="CX144" s="347"/>
      <c r="CY144" s="462"/>
      <c r="CZ144" s="462"/>
      <c r="DA144" s="462"/>
      <c r="DB144" s="464"/>
      <c r="DC144" s="464"/>
      <c r="DD144" s="464"/>
      <c r="DE144" s="464"/>
      <c r="DF144" s="462"/>
    </row>
    <row r="145" spans="1:110">
      <c r="A145" s="1839"/>
      <c r="B145" s="1839"/>
      <c r="C145" s="1839"/>
      <c r="D145" s="1839"/>
      <c r="E145" s="1839"/>
      <c r="F145" s="1839"/>
      <c r="G145" s="1839"/>
      <c r="H145" s="1839"/>
      <c r="I145" s="1839"/>
      <c r="J145" s="1839"/>
      <c r="K145" s="1839"/>
      <c r="L145" s="1839"/>
      <c r="M145" s="1839"/>
      <c r="N145" s="1839"/>
      <c r="O145" s="1839"/>
      <c r="P145" s="1839"/>
      <c r="Q145" s="1839"/>
      <c r="R145" s="1839"/>
      <c r="S145" s="1839"/>
      <c r="T145" s="1839"/>
      <c r="U145" s="1839"/>
      <c r="V145" s="1839"/>
      <c r="W145" s="472"/>
      <c r="X145" s="472"/>
      <c r="Y145" s="472"/>
      <c r="Z145" s="472"/>
      <c r="AA145" s="472"/>
      <c r="AB145" s="472"/>
      <c r="AC145" s="472"/>
      <c r="AD145" s="472"/>
      <c r="AE145" s="472"/>
      <c r="AF145" s="472"/>
      <c r="AG145" s="472"/>
      <c r="AH145" s="472"/>
      <c r="AI145" s="472"/>
      <c r="AJ145" s="472"/>
      <c r="AK145" s="472"/>
      <c r="AL145" s="472"/>
      <c r="AM145" s="472"/>
      <c r="AN145" s="472"/>
      <c r="AO145" s="472"/>
      <c r="AP145" s="472"/>
      <c r="AQ145" s="472"/>
      <c r="AR145" s="472"/>
      <c r="AS145" s="472"/>
      <c r="AT145" s="472"/>
      <c r="AU145" s="472"/>
      <c r="AV145" s="472"/>
      <c r="AW145" s="472"/>
      <c r="AX145" s="472"/>
      <c r="AY145" s="472"/>
      <c r="AZ145" s="472"/>
      <c r="BA145" s="472"/>
      <c r="BB145" s="472"/>
      <c r="BC145" s="472"/>
      <c r="BD145" s="472"/>
      <c r="BE145" s="472"/>
      <c r="BF145" s="472"/>
      <c r="BG145" s="472"/>
      <c r="BH145" s="472"/>
      <c r="BI145" s="472"/>
      <c r="BJ145" s="472"/>
      <c r="BK145" s="347"/>
      <c r="BL145" s="472"/>
      <c r="BM145" s="472"/>
      <c r="BN145" s="472"/>
      <c r="BO145" s="472"/>
      <c r="BP145" s="472"/>
      <c r="BQ145" s="472"/>
      <c r="BR145" s="472"/>
      <c r="BS145" s="472"/>
      <c r="BT145" s="472"/>
      <c r="BU145" s="472"/>
      <c r="BV145" s="472"/>
      <c r="BW145" s="472"/>
      <c r="BX145" s="2121"/>
      <c r="BY145" s="2087"/>
      <c r="BZ145" s="347"/>
      <c r="CA145" s="347"/>
      <c r="CB145" s="347"/>
      <c r="CC145" s="347"/>
      <c r="CD145" s="347"/>
      <c r="CE145" s="347"/>
      <c r="CF145" s="347"/>
      <c r="CG145" s="347"/>
      <c r="CH145" s="347"/>
      <c r="CI145" s="347"/>
      <c r="CJ145" s="347"/>
      <c r="CK145" s="347"/>
      <c r="CL145" s="347"/>
      <c r="CM145" s="348"/>
      <c r="CN145" s="347"/>
      <c r="CO145" s="347"/>
      <c r="CP145" s="347"/>
      <c r="CQ145" s="347"/>
      <c r="CR145" s="524"/>
      <c r="CS145" s="524"/>
      <c r="CT145" s="347"/>
      <c r="CU145" s="347"/>
      <c r="CV145" s="347"/>
      <c r="CW145" s="347"/>
      <c r="CX145" s="347"/>
      <c r="CY145" s="462"/>
      <c r="CZ145" s="462"/>
      <c r="DA145" s="462"/>
      <c r="DB145" s="464"/>
      <c r="DC145" s="464"/>
      <c r="DD145" s="464"/>
      <c r="DE145" s="464"/>
      <c r="DF145" s="462"/>
    </row>
    <row r="146" spans="1:110">
      <c r="A146" s="1839"/>
      <c r="B146" s="1839"/>
      <c r="C146" s="1839"/>
      <c r="D146" s="1839"/>
      <c r="E146" s="1839"/>
      <c r="F146" s="1839"/>
      <c r="G146" s="1839"/>
      <c r="H146" s="1839"/>
      <c r="I146" s="1839"/>
      <c r="J146" s="1839"/>
      <c r="K146" s="1839"/>
      <c r="L146" s="1839"/>
      <c r="M146" s="1839"/>
      <c r="N146" s="1839"/>
      <c r="O146" s="1839"/>
      <c r="P146" s="1839"/>
      <c r="Q146" s="1839"/>
      <c r="R146" s="1839"/>
      <c r="S146" s="1839"/>
      <c r="T146" s="1839"/>
      <c r="U146" s="1839"/>
      <c r="V146" s="1839"/>
      <c r="W146" s="472"/>
      <c r="X146" s="472"/>
      <c r="Y146" s="472"/>
      <c r="Z146" s="472"/>
      <c r="AA146" s="472"/>
      <c r="AB146" s="472"/>
      <c r="AC146" s="472"/>
      <c r="AD146" s="472"/>
      <c r="AE146" s="472"/>
      <c r="AF146" s="472"/>
      <c r="AG146" s="472"/>
      <c r="AH146" s="472"/>
      <c r="AI146" s="472"/>
      <c r="AJ146" s="472"/>
      <c r="AK146" s="472"/>
      <c r="AL146" s="472"/>
      <c r="AM146" s="472"/>
      <c r="AN146" s="472"/>
      <c r="AO146" s="472"/>
      <c r="AP146" s="472"/>
      <c r="AQ146" s="472"/>
      <c r="AR146" s="472"/>
      <c r="AS146" s="472"/>
      <c r="AT146" s="472"/>
      <c r="AU146" s="472"/>
      <c r="AV146" s="472"/>
      <c r="AW146" s="472"/>
      <c r="AX146" s="472"/>
      <c r="AY146" s="472"/>
      <c r="AZ146" s="472"/>
      <c r="BA146" s="472"/>
      <c r="BB146" s="472"/>
      <c r="BC146" s="472"/>
      <c r="BD146" s="472"/>
      <c r="BE146" s="472"/>
      <c r="BF146" s="472"/>
      <c r="BG146" s="472"/>
      <c r="BH146" s="472"/>
      <c r="BI146" s="472"/>
      <c r="BJ146" s="472"/>
      <c r="BK146" s="347"/>
      <c r="BL146" s="472"/>
      <c r="BM146" s="472"/>
      <c r="BN146" s="472"/>
      <c r="BO146" s="472"/>
      <c r="BP146" s="472"/>
      <c r="BQ146" s="472"/>
      <c r="BR146" s="472"/>
      <c r="BS146" s="472"/>
      <c r="BT146" s="472"/>
      <c r="BU146" s="472"/>
      <c r="BV146" s="472"/>
      <c r="BW146" s="472"/>
      <c r="BX146" s="472"/>
      <c r="BY146" s="472"/>
      <c r="BZ146" s="347"/>
      <c r="CA146" s="347"/>
      <c r="CB146" s="347"/>
      <c r="CC146" s="347"/>
      <c r="CD146" s="347"/>
      <c r="CE146" s="347"/>
      <c r="CF146" s="347"/>
      <c r="CG146" s="347"/>
      <c r="CH146" s="347"/>
      <c r="CI146" s="347"/>
      <c r="CJ146" s="347"/>
      <c r="CK146" s="347"/>
      <c r="CL146" s="347"/>
      <c r="CM146" s="348"/>
      <c r="CN146" s="347"/>
      <c r="CO146" s="347"/>
      <c r="CP146" s="347"/>
      <c r="CQ146" s="347"/>
      <c r="CR146" s="474"/>
      <c r="CS146" s="347"/>
      <c r="CT146" s="347"/>
      <c r="CU146" s="347"/>
      <c r="CV146" s="347"/>
      <c r="CW146" s="347"/>
      <c r="CX146" s="347"/>
      <c r="CY146" s="462"/>
      <c r="CZ146" s="462"/>
      <c r="DA146" s="462"/>
      <c r="DB146" s="464"/>
      <c r="DC146" s="464"/>
      <c r="DD146" s="464"/>
      <c r="DE146" s="464"/>
      <c r="DF146" s="462"/>
    </row>
    <row r="147" spans="1:110">
      <c r="A147" s="370"/>
      <c r="B147" s="370"/>
      <c r="C147" s="370"/>
      <c r="D147" s="370"/>
      <c r="E147" s="370"/>
      <c r="F147" s="370"/>
      <c r="G147" s="370"/>
      <c r="H147" s="370"/>
      <c r="I147" s="370"/>
      <c r="J147" s="370"/>
      <c r="K147" s="370"/>
      <c r="L147" s="370"/>
      <c r="M147" s="370"/>
      <c r="N147" s="370"/>
      <c r="O147" s="370"/>
      <c r="P147" s="370"/>
      <c r="Q147" s="370"/>
      <c r="R147" s="370"/>
      <c r="S147" s="370"/>
      <c r="T147" s="370"/>
      <c r="U147" s="370"/>
      <c r="V147" s="370"/>
      <c r="W147" s="347"/>
      <c r="X147" s="347"/>
      <c r="Y147" s="347"/>
      <c r="Z147" s="347"/>
      <c r="AA147" s="347"/>
      <c r="AB147" s="347"/>
      <c r="AC147" s="347"/>
      <c r="AD147" s="347"/>
      <c r="AE147" s="347"/>
      <c r="AF147" s="347"/>
      <c r="AG147" s="347"/>
      <c r="AH147" s="347"/>
      <c r="AI147" s="347"/>
      <c r="AJ147" s="347"/>
      <c r="AK147" s="347"/>
      <c r="AL147" s="347"/>
      <c r="AM147" s="347"/>
      <c r="AN147" s="347"/>
      <c r="AO147" s="347"/>
      <c r="AP147" s="347"/>
      <c r="AQ147" s="347"/>
      <c r="AR147" s="347"/>
      <c r="AS147" s="347"/>
      <c r="AT147" s="347"/>
      <c r="AU147" s="347"/>
      <c r="AV147" s="347"/>
      <c r="AW147" s="347"/>
      <c r="AX147" s="347"/>
      <c r="AY147" s="347"/>
      <c r="AZ147" s="347"/>
      <c r="BA147" s="347"/>
      <c r="BB147" s="347"/>
      <c r="BC147" s="347"/>
      <c r="BD147" s="347"/>
      <c r="BE147" s="347"/>
      <c r="BF147" s="347"/>
      <c r="BG147" s="347"/>
      <c r="BH147" s="347"/>
      <c r="BI147" s="347"/>
      <c r="BJ147" s="347"/>
      <c r="BK147" s="347"/>
      <c r="BL147" s="347"/>
      <c r="BM147" s="347"/>
      <c r="BN147" s="347"/>
      <c r="BO147" s="347"/>
      <c r="BP147" s="347"/>
      <c r="BQ147" s="347"/>
      <c r="BR147" s="347"/>
      <c r="BS147" s="347"/>
      <c r="BT147" s="347"/>
      <c r="BU147" s="347"/>
      <c r="BV147" s="347"/>
      <c r="BW147" s="347"/>
      <c r="BX147" s="347"/>
      <c r="BY147" s="347"/>
      <c r="BZ147" s="347"/>
      <c r="CA147" s="347"/>
      <c r="CB147" s="347"/>
      <c r="CC147" s="347"/>
      <c r="CD147" s="347"/>
      <c r="CE147" s="347"/>
      <c r="CF147" s="347"/>
      <c r="CG147" s="347"/>
      <c r="CH147" s="347"/>
      <c r="CI147" s="347"/>
      <c r="CJ147" s="347"/>
      <c r="CK147" s="347"/>
      <c r="CL147" s="347"/>
      <c r="CM147" s="348"/>
      <c r="CN147" s="347"/>
      <c r="CO147" s="347"/>
      <c r="CP147" s="347"/>
      <c r="CQ147" s="347"/>
      <c r="CR147" s="474"/>
      <c r="CS147" s="347"/>
      <c r="CT147" s="347"/>
      <c r="CU147" s="347"/>
      <c r="CV147" s="347"/>
      <c r="CW147" s="347"/>
      <c r="CX147" s="347"/>
      <c r="CY147" s="462"/>
      <c r="CZ147" s="462"/>
      <c r="DA147" s="462"/>
      <c r="DB147" s="464"/>
      <c r="DC147" s="464"/>
      <c r="DD147" s="464"/>
      <c r="DE147" s="464"/>
      <c r="DF147" s="462"/>
    </row>
    <row r="148" spans="1:110">
      <c r="A148" s="370"/>
      <c r="B148" s="370"/>
      <c r="C148" s="370"/>
      <c r="D148" s="370"/>
      <c r="E148" s="370"/>
      <c r="F148" s="370"/>
      <c r="G148" s="370"/>
      <c r="H148" s="370"/>
      <c r="I148" s="370"/>
      <c r="J148" s="370"/>
      <c r="K148" s="370"/>
      <c r="L148" s="370"/>
      <c r="M148" s="370"/>
      <c r="N148" s="370"/>
      <c r="O148" s="370"/>
      <c r="P148" s="370"/>
      <c r="Q148" s="370"/>
      <c r="R148" s="370"/>
      <c r="S148" s="370"/>
      <c r="T148" s="370"/>
      <c r="U148" s="370"/>
      <c r="V148" s="370"/>
      <c r="W148" s="347"/>
      <c r="X148" s="347"/>
      <c r="Y148" s="347"/>
      <c r="Z148" s="347"/>
      <c r="AA148" s="347"/>
      <c r="AB148" s="347"/>
      <c r="AC148" s="347"/>
      <c r="AD148" s="347"/>
      <c r="AE148" s="347"/>
      <c r="AF148" s="347"/>
      <c r="AG148" s="347"/>
      <c r="AH148" s="347"/>
      <c r="AI148" s="347"/>
      <c r="AJ148" s="347"/>
      <c r="AK148" s="347"/>
      <c r="AL148" s="347"/>
      <c r="AM148" s="347"/>
      <c r="AN148" s="347"/>
      <c r="AO148" s="347"/>
      <c r="AP148" s="347"/>
      <c r="AQ148" s="347"/>
      <c r="AR148" s="347"/>
      <c r="AS148" s="347"/>
      <c r="AT148" s="347"/>
      <c r="AU148" s="347"/>
      <c r="AV148" s="347"/>
      <c r="AW148" s="347"/>
      <c r="AX148" s="347"/>
      <c r="AY148" s="347"/>
      <c r="AZ148" s="347"/>
      <c r="BA148" s="347"/>
      <c r="BB148" s="347"/>
      <c r="BC148" s="347"/>
      <c r="BD148" s="347"/>
      <c r="BE148" s="347"/>
      <c r="BF148" s="347"/>
      <c r="BG148" s="347"/>
      <c r="BH148" s="347"/>
      <c r="BI148" s="347"/>
      <c r="BJ148" s="347"/>
      <c r="BK148" s="347"/>
      <c r="BL148" s="347"/>
      <c r="BM148" s="347"/>
      <c r="BN148" s="347"/>
      <c r="BO148" s="347"/>
      <c r="BP148" s="347"/>
      <c r="BQ148" s="347"/>
      <c r="BR148" s="347"/>
      <c r="BS148" s="347"/>
      <c r="BT148" s="347"/>
      <c r="BU148" s="347"/>
      <c r="BV148" s="347"/>
      <c r="BW148" s="347"/>
      <c r="BX148" s="347"/>
      <c r="BY148" s="347"/>
      <c r="BZ148" s="347"/>
      <c r="CA148" s="347"/>
      <c r="CB148" s="347"/>
      <c r="CC148" s="347"/>
      <c r="CD148" s="347"/>
      <c r="CE148" s="347"/>
      <c r="CF148" s="347"/>
      <c r="CG148" s="347"/>
      <c r="CH148" s="347"/>
      <c r="CI148" s="347"/>
      <c r="CJ148" s="347"/>
      <c r="CK148" s="347"/>
      <c r="CL148" s="347"/>
      <c r="CM148" s="348"/>
      <c r="CN148" s="347"/>
      <c r="CO148" s="347"/>
      <c r="CP148" s="347"/>
      <c r="CQ148" s="347"/>
      <c r="CR148" s="474"/>
      <c r="CS148" s="347"/>
      <c r="CT148" s="347"/>
      <c r="CU148" s="347"/>
      <c r="CV148" s="347"/>
      <c r="CW148" s="347"/>
      <c r="CX148" s="347"/>
      <c r="CY148" s="462"/>
      <c r="CZ148" s="462"/>
      <c r="DA148" s="462"/>
      <c r="DB148" s="464"/>
      <c r="DC148" s="464"/>
      <c r="DD148" s="464"/>
      <c r="DE148" s="464"/>
      <c r="DF148" s="462"/>
    </row>
    <row r="149" spans="1:110">
      <c r="A149" s="370"/>
      <c r="B149" s="370"/>
      <c r="C149" s="370"/>
      <c r="D149" s="370"/>
      <c r="E149" s="370"/>
      <c r="F149" s="370"/>
      <c r="G149" s="370"/>
      <c r="H149" s="370"/>
      <c r="I149" s="370"/>
      <c r="J149" s="370"/>
      <c r="K149" s="370"/>
      <c r="L149" s="370"/>
      <c r="M149" s="370"/>
      <c r="N149" s="370"/>
      <c r="O149" s="370"/>
      <c r="P149" s="370"/>
      <c r="Q149" s="370"/>
      <c r="R149" s="370"/>
      <c r="S149" s="370"/>
      <c r="T149" s="370"/>
      <c r="U149" s="370"/>
      <c r="V149" s="370"/>
      <c r="W149" s="347"/>
      <c r="X149" s="347"/>
      <c r="Y149" s="347"/>
      <c r="Z149" s="347"/>
      <c r="AA149" s="347"/>
      <c r="AB149" s="347"/>
      <c r="AC149" s="347"/>
      <c r="AD149" s="347"/>
      <c r="AE149" s="347"/>
      <c r="AF149" s="347"/>
      <c r="AG149" s="347"/>
      <c r="AH149" s="347"/>
      <c r="AI149" s="347"/>
      <c r="AJ149" s="347"/>
      <c r="AK149" s="347"/>
      <c r="AL149" s="347"/>
      <c r="AM149" s="347"/>
      <c r="AN149" s="347"/>
      <c r="AO149" s="347"/>
      <c r="AP149" s="347"/>
      <c r="AQ149" s="347"/>
      <c r="AR149" s="347"/>
      <c r="AS149" s="347"/>
      <c r="AT149" s="347"/>
      <c r="AU149" s="347"/>
      <c r="AV149" s="347"/>
      <c r="AW149" s="347"/>
      <c r="AX149" s="347"/>
      <c r="AY149" s="347"/>
      <c r="AZ149" s="347"/>
      <c r="BA149" s="347"/>
      <c r="BB149" s="347"/>
      <c r="BC149" s="347"/>
      <c r="BD149" s="347"/>
      <c r="BE149" s="347"/>
      <c r="BF149" s="347"/>
      <c r="BG149" s="347"/>
      <c r="BH149" s="347"/>
      <c r="BI149" s="347"/>
      <c r="BJ149" s="347"/>
      <c r="BK149" s="347"/>
      <c r="BL149" s="347"/>
      <c r="BM149" s="347"/>
      <c r="BN149" s="347"/>
      <c r="BO149" s="347"/>
      <c r="BP149" s="347"/>
      <c r="BQ149" s="347"/>
      <c r="BR149" s="347"/>
      <c r="BS149" s="2122"/>
      <c r="BT149" s="2087"/>
      <c r="BU149" s="347"/>
      <c r="BV149" s="347"/>
      <c r="BW149" s="347"/>
      <c r="BX149" s="347"/>
      <c r="BY149" s="347"/>
      <c r="BZ149" s="347"/>
      <c r="CA149" s="347"/>
      <c r="CB149" s="347"/>
      <c r="CC149" s="347"/>
      <c r="CD149" s="347"/>
      <c r="CE149" s="347"/>
      <c r="CF149" s="347"/>
      <c r="CG149" s="347"/>
      <c r="CH149" s="347"/>
      <c r="CI149" s="347"/>
      <c r="CJ149" s="347"/>
      <c r="CK149" s="347"/>
      <c r="CL149" s="347"/>
      <c r="CM149" s="348"/>
      <c r="CN149" s="527"/>
      <c r="CO149" s="347"/>
      <c r="CP149" s="347"/>
      <c r="CQ149" s="347"/>
      <c r="CR149" s="347"/>
      <c r="CS149" s="347"/>
      <c r="CT149" s="347"/>
      <c r="CU149" s="347"/>
      <c r="CV149" s="347"/>
      <c r="CW149" s="347"/>
      <c r="CX149" s="347"/>
      <c r="CY149" s="462"/>
      <c r="CZ149" s="462"/>
      <c r="DA149" s="462"/>
      <c r="DB149" s="464"/>
      <c r="DC149" s="464"/>
      <c r="DD149" s="464"/>
      <c r="DE149" s="464"/>
      <c r="DF149" s="462"/>
    </row>
    <row r="150" spans="1:110">
      <c r="A150" s="370"/>
      <c r="B150" s="370"/>
      <c r="C150" s="370"/>
      <c r="D150" s="370"/>
      <c r="E150" s="370"/>
      <c r="F150" s="370"/>
      <c r="G150" s="370"/>
      <c r="H150" s="370"/>
      <c r="I150" s="370"/>
      <c r="J150" s="370"/>
      <c r="K150" s="370"/>
      <c r="L150" s="370"/>
      <c r="M150" s="370"/>
      <c r="N150" s="370"/>
      <c r="O150" s="370"/>
      <c r="P150" s="370"/>
      <c r="Q150" s="370"/>
      <c r="R150" s="370"/>
      <c r="S150" s="370"/>
      <c r="T150" s="370"/>
      <c r="U150" s="370"/>
      <c r="V150" s="370"/>
      <c r="W150" s="347"/>
      <c r="X150" s="347"/>
      <c r="Y150" s="347"/>
      <c r="Z150" s="347"/>
      <c r="AA150" s="347"/>
      <c r="AB150" s="347"/>
      <c r="AC150" s="347"/>
      <c r="AD150" s="347"/>
      <c r="AE150" s="347"/>
      <c r="AF150" s="347"/>
      <c r="AG150" s="347"/>
      <c r="AH150" s="347"/>
      <c r="AI150" s="347"/>
      <c r="AJ150" s="347"/>
      <c r="AK150" s="347"/>
      <c r="AL150" s="347"/>
      <c r="AM150" s="347"/>
      <c r="AN150" s="347"/>
      <c r="AO150" s="347"/>
      <c r="AP150" s="347"/>
      <c r="AQ150" s="347"/>
      <c r="AR150" s="347"/>
      <c r="AS150" s="347"/>
      <c r="AT150" s="347"/>
      <c r="AU150" s="347"/>
      <c r="AV150" s="347"/>
      <c r="AW150" s="347"/>
      <c r="AX150" s="347"/>
      <c r="AY150" s="347"/>
      <c r="AZ150" s="347"/>
      <c r="BA150" s="347"/>
      <c r="BB150" s="347"/>
      <c r="BC150" s="347"/>
      <c r="BD150" s="347"/>
      <c r="BE150" s="347"/>
      <c r="BF150" s="347"/>
      <c r="BG150" s="347"/>
      <c r="BH150" s="347"/>
      <c r="BI150" s="347"/>
      <c r="BJ150" s="347"/>
      <c r="BK150" s="347"/>
      <c r="BL150" s="347"/>
      <c r="BM150" s="347"/>
      <c r="BN150" s="347"/>
      <c r="BO150" s="347"/>
      <c r="BP150" s="347"/>
      <c r="BQ150" s="347"/>
      <c r="BR150" s="347"/>
      <c r="BS150" s="347"/>
      <c r="BT150" s="347"/>
      <c r="BU150" s="347"/>
      <c r="BV150" s="347"/>
      <c r="BW150" s="347"/>
      <c r="BX150" s="347"/>
      <c r="BY150" s="347"/>
      <c r="BZ150" s="347"/>
      <c r="CA150" s="347"/>
      <c r="CB150" s="347"/>
      <c r="CC150" s="347"/>
      <c r="CD150" s="347"/>
      <c r="CE150" s="347"/>
      <c r="CF150" s="347"/>
      <c r="CG150" s="347"/>
      <c r="CH150" s="347"/>
      <c r="CI150" s="347"/>
      <c r="CJ150" s="347"/>
      <c r="CK150" s="347"/>
      <c r="CL150" s="347"/>
      <c r="CM150" s="348"/>
      <c r="CN150" s="347"/>
      <c r="CO150" s="347"/>
      <c r="CP150" s="347"/>
      <c r="CQ150" s="347"/>
      <c r="CR150" s="347"/>
      <c r="CS150" s="347"/>
      <c r="CT150" s="347"/>
      <c r="CU150" s="347"/>
      <c r="CV150" s="347"/>
      <c r="CW150" s="347"/>
      <c r="CX150" s="347"/>
      <c r="CY150" s="462"/>
      <c r="CZ150" s="462"/>
      <c r="DA150" s="462"/>
      <c r="DB150" s="464"/>
      <c r="DC150" s="464"/>
      <c r="DD150" s="464"/>
      <c r="DE150" s="464"/>
      <c r="DF150" s="462"/>
    </row>
    <row r="151" spans="1:110">
      <c r="A151" s="370"/>
      <c r="B151" s="370"/>
      <c r="C151" s="370"/>
      <c r="D151" s="370"/>
      <c r="E151" s="370"/>
      <c r="F151" s="370"/>
      <c r="G151" s="370"/>
      <c r="H151" s="370"/>
      <c r="I151" s="370"/>
      <c r="J151" s="370"/>
      <c r="K151" s="370"/>
      <c r="L151" s="370"/>
      <c r="M151" s="370"/>
      <c r="N151" s="370"/>
      <c r="O151" s="370"/>
      <c r="P151" s="370"/>
      <c r="Q151" s="370"/>
      <c r="R151" s="370"/>
      <c r="S151" s="370"/>
      <c r="T151" s="370"/>
      <c r="U151" s="370"/>
      <c r="V151" s="370"/>
      <c r="W151" s="347"/>
      <c r="X151" s="347"/>
      <c r="Y151" s="347"/>
      <c r="Z151" s="347"/>
      <c r="AA151" s="347"/>
      <c r="AB151" s="347"/>
      <c r="AC151" s="347"/>
      <c r="AD151" s="347"/>
      <c r="AE151" s="347"/>
      <c r="AF151" s="347"/>
      <c r="AG151" s="347"/>
      <c r="AH151" s="347"/>
      <c r="AI151" s="347"/>
      <c r="AJ151" s="347"/>
      <c r="AK151" s="347"/>
      <c r="AL151" s="347"/>
      <c r="AM151" s="347"/>
      <c r="AN151" s="347"/>
      <c r="AO151" s="347"/>
      <c r="AP151" s="347"/>
      <c r="AQ151" s="347"/>
      <c r="AR151" s="347"/>
      <c r="AS151" s="347"/>
      <c r="AT151" s="347"/>
      <c r="AU151" s="347"/>
      <c r="AV151" s="347"/>
      <c r="AW151" s="347"/>
      <c r="AX151" s="347"/>
      <c r="AY151" s="347"/>
      <c r="AZ151" s="347"/>
      <c r="BA151" s="347"/>
      <c r="BB151" s="347"/>
      <c r="BC151" s="347"/>
      <c r="BD151" s="347"/>
      <c r="BE151" s="347"/>
      <c r="BF151" s="347"/>
      <c r="BG151" s="347"/>
      <c r="BH151" s="347"/>
      <c r="BI151" s="347"/>
      <c r="BJ151" s="347"/>
      <c r="BK151" s="347"/>
      <c r="BL151" s="347"/>
      <c r="BM151" s="347"/>
      <c r="BN151" s="347"/>
      <c r="BO151" s="347"/>
      <c r="BP151" s="347"/>
      <c r="BQ151" s="347"/>
      <c r="BR151" s="347"/>
      <c r="BS151" s="347"/>
      <c r="BT151" s="347"/>
      <c r="BU151" s="347"/>
      <c r="BV151" s="347"/>
      <c r="BW151" s="347"/>
      <c r="BX151" s="347"/>
      <c r="BY151" s="347"/>
      <c r="BZ151" s="347"/>
      <c r="CA151" s="347"/>
      <c r="CB151" s="347"/>
      <c r="CC151" s="347"/>
      <c r="CD151" s="347"/>
      <c r="CE151" s="347"/>
      <c r="CF151" s="347"/>
      <c r="CG151" s="347"/>
      <c r="CH151" s="347"/>
      <c r="CI151" s="347"/>
      <c r="CJ151" s="347"/>
      <c r="CK151" s="347"/>
      <c r="CL151" s="347"/>
      <c r="CM151" s="348"/>
      <c r="CN151" s="347"/>
      <c r="CO151" s="347"/>
      <c r="CP151" s="347"/>
      <c r="CQ151" s="347"/>
      <c r="CR151" s="347"/>
      <c r="CS151" s="347"/>
      <c r="CT151" s="347"/>
      <c r="CU151" s="347"/>
      <c r="CV151" s="347"/>
      <c r="CW151" s="347"/>
      <c r="CX151" s="347"/>
      <c r="CY151" s="462"/>
      <c r="CZ151" s="462"/>
      <c r="DA151" s="462"/>
      <c r="DB151" s="464"/>
      <c r="DC151" s="464"/>
      <c r="DD151" s="464"/>
      <c r="DE151" s="464"/>
      <c r="DF151" s="462"/>
    </row>
    <row r="152" spans="1:110">
      <c r="A152" s="370"/>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47"/>
      <c r="X152" s="347"/>
      <c r="Y152" s="347"/>
      <c r="Z152" s="347"/>
      <c r="AA152" s="347"/>
      <c r="AB152" s="347"/>
      <c r="AC152" s="347"/>
      <c r="AD152" s="347"/>
      <c r="AE152" s="347"/>
      <c r="AF152" s="347"/>
      <c r="AG152" s="347"/>
      <c r="AH152" s="347"/>
      <c r="AI152" s="347"/>
      <c r="AJ152" s="347"/>
      <c r="AK152" s="347"/>
      <c r="AL152" s="347"/>
      <c r="AM152" s="347"/>
      <c r="AN152" s="347"/>
      <c r="AO152" s="347"/>
      <c r="AP152" s="347"/>
      <c r="AQ152" s="347"/>
      <c r="AR152" s="347"/>
      <c r="AS152" s="347"/>
      <c r="AT152" s="347"/>
      <c r="AU152" s="347"/>
      <c r="AV152" s="347"/>
      <c r="AW152" s="347"/>
      <c r="AX152" s="347"/>
      <c r="AY152" s="347"/>
      <c r="AZ152" s="347"/>
      <c r="BA152" s="347"/>
      <c r="BB152" s="347"/>
      <c r="BC152" s="347"/>
      <c r="BD152" s="347"/>
      <c r="BE152" s="347"/>
      <c r="BF152" s="347"/>
      <c r="BG152" s="347"/>
      <c r="BH152" s="347"/>
      <c r="BI152" s="347"/>
      <c r="BJ152" s="347"/>
      <c r="BK152" s="347"/>
      <c r="BL152" s="347"/>
      <c r="BM152" s="347"/>
      <c r="BN152" s="347"/>
      <c r="BO152" s="347"/>
      <c r="BP152" s="347"/>
      <c r="BQ152" s="347"/>
      <c r="BR152" s="347"/>
      <c r="BS152" s="347"/>
      <c r="BT152" s="347"/>
      <c r="BU152" s="347"/>
      <c r="BV152" s="347"/>
      <c r="BW152" s="347"/>
      <c r="BX152" s="347"/>
      <c r="BY152" s="347"/>
      <c r="BZ152" s="347"/>
      <c r="CA152" s="347"/>
      <c r="CB152" s="347"/>
      <c r="CC152" s="347"/>
      <c r="CD152" s="347"/>
      <c r="CE152" s="347"/>
      <c r="CF152" s="347"/>
      <c r="CG152" s="347"/>
      <c r="CH152" s="347"/>
      <c r="CI152" s="347"/>
      <c r="CJ152" s="347"/>
      <c r="CK152" s="347"/>
      <c r="CL152" s="347"/>
      <c r="CM152" s="348"/>
      <c r="CN152" s="347"/>
      <c r="CO152" s="347"/>
      <c r="CP152" s="347"/>
      <c r="CQ152" s="347"/>
      <c r="CR152" s="347"/>
      <c r="CS152" s="347"/>
      <c r="CT152" s="347"/>
      <c r="CU152" s="347"/>
      <c r="CV152" s="347"/>
      <c r="CW152" s="347"/>
      <c r="CX152" s="347"/>
      <c r="CY152" s="462"/>
      <c r="CZ152" s="462"/>
      <c r="DA152" s="462"/>
      <c r="DB152" s="464"/>
      <c r="DC152" s="464"/>
      <c r="DD152" s="464"/>
      <c r="DE152" s="464"/>
      <c r="DF152" s="462"/>
    </row>
    <row r="153" spans="1:110">
      <c r="A153" s="370"/>
      <c r="B153" s="370"/>
      <c r="C153" s="370"/>
      <c r="D153" s="370"/>
      <c r="E153" s="370"/>
      <c r="F153" s="370"/>
      <c r="G153" s="370"/>
      <c r="H153" s="370"/>
      <c r="I153" s="370"/>
      <c r="J153" s="370"/>
      <c r="K153" s="370"/>
      <c r="L153" s="370"/>
      <c r="M153" s="370"/>
      <c r="N153" s="370"/>
      <c r="O153" s="370"/>
      <c r="P153" s="370"/>
      <c r="Q153" s="370"/>
      <c r="R153" s="370"/>
      <c r="S153" s="370"/>
      <c r="T153" s="370"/>
      <c r="U153" s="370"/>
      <c r="V153" s="370"/>
      <c r="W153" s="347"/>
      <c r="X153" s="347"/>
      <c r="Y153" s="347"/>
      <c r="Z153" s="347"/>
      <c r="AA153" s="347"/>
      <c r="AB153" s="347"/>
      <c r="AC153" s="347"/>
      <c r="AD153" s="347"/>
      <c r="AE153" s="347"/>
      <c r="AF153" s="347"/>
      <c r="AG153" s="347"/>
      <c r="AH153" s="347"/>
      <c r="AI153" s="347"/>
      <c r="AJ153" s="347"/>
      <c r="AK153" s="347"/>
      <c r="AL153" s="347"/>
      <c r="AM153" s="347"/>
      <c r="AN153" s="347"/>
      <c r="AO153" s="347"/>
      <c r="AP153" s="347"/>
      <c r="AQ153" s="347"/>
      <c r="AR153" s="347"/>
      <c r="AS153" s="347"/>
      <c r="AT153" s="347"/>
      <c r="AU153" s="347"/>
      <c r="AV153" s="347"/>
      <c r="AW153" s="347"/>
      <c r="AX153" s="347"/>
      <c r="AY153" s="347"/>
      <c r="AZ153" s="347"/>
      <c r="BA153" s="347"/>
      <c r="BB153" s="347"/>
      <c r="BC153" s="347"/>
      <c r="BD153" s="347"/>
      <c r="BE153" s="347"/>
      <c r="BF153" s="347"/>
      <c r="BG153" s="347"/>
      <c r="BH153" s="347"/>
      <c r="BI153" s="347"/>
      <c r="BJ153" s="347"/>
      <c r="BK153" s="347"/>
      <c r="BL153" s="347"/>
      <c r="BM153" s="347"/>
      <c r="BN153" s="347"/>
      <c r="BO153" s="347"/>
      <c r="BP153" s="347"/>
      <c r="BQ153" s="347"/>
      <c r="BR153" s="347"/>
      <c r="BS153" s="347"/>
      <c r="BT153" s="347"/>
      <c r="BU153" s="347"/>
      <c r="BV153" s="347"/>
      <c r="BW153" s="347"/>
      <c r="BX153" s="347"/>
      <c r="BY153" s="347"/>
      <c r="BZ153" s="347"/>
      <c r="CA153" s="347"/>
      <c r="CB153" s="347"/>
      <c r="CC153" s="347"/>
      <c r="CD153" s="347"/>
      <c r="CE153" s="347"/>
      <c r="CF153" s="347"/>
      <c r="CG153" s="347"/>
      <c r="CH153" s="347"/>
      <c r="CI153" s="347"/>
      <c r="CJ153" s="347"/>
      <c r="CK153" s="347"/>
      <c r="CL153" s="347"/>
      <c r="CM153" s="347"/>
      <c r="CN153" s="347"/>
      <c r="CO153" s="347"/>
      <c r="CP153" s="347"/>
      <c r="CQ153" s="347"/>
      <c r="CR153" s="347"/>
      <c r="CS153" s="347"/>
      <c r="CT153" s="347"/>
      <c r="CU153" s="347"/>
      <c r="CV153" s="347"/>
      <c r="CW153" s="347"/>
      <c r="CX153" s="347"/>
      <c r="CY153" s="462"/>
      <c r="CZ153" s="462"/>
      <c r="DA153" s="462"/>
      <c r="DB153" s="464"/>
      <c r="DC153" s="464"/>
      <c r="DD153" s="464"/>
      <c r="DE153" s="464"/>
      <c r="DF153" s="462"/>
    </row>
    <row r="154" spans="1:110" ht="15.75">
      <c r="A154" s="370"/>
      <c r="B154" s="370"/>
      <c r="C154" s="370"/>
      <c r="D154" s="370"/>
      <c r="E154" s="370"/>
      <c r="F154" s="370"/>
      <c r="G154" s="370"/>
      <c r="H154" s="370"/>
      <c r="I154" s="370"/>
      <c r="J154" s="370"/>
      <c r="K154" s="370"/>
      <c r="L154" s="370"/>
      <c r="M154" s="370"/>
      <c r="N154" s="370"/>
      <c r="O154" s="370"/>
      <c r="P154" s="370"/>
      <c r="Q154" s="370"/>
      <c r="R154" s="370"/>
      <c r="S154" s="370"/>
      <c r="T154" s="370"/>
      <c r="U154" s="370"/>
      <c r="V154" s="370"/>
      <c r="W154" s="347"/>
      <c r="X154" s="347"/>
      <c r="Y154" s="347"/>
      <c r="Z154" s="347"/>
      <c r="AA154" s="347"/>
      <c r="AB154" s="347"/>
      <c r="AC154" s="347"/>
      <c r="AD154" s="347"/>
      <c r="AE154" s="347"/>
      <c r="AF154" s="347"/>
      <c r="AG154" s="347"/>
      <c r="AH154" s="347"/>
      <c r="AI154" s="347"/>
      <c r="AJ154" s="347"/>
      <c r="AK154" s="347"/>
      <c r="AL154" s="347"/>
      <c r="AM154" s="347"/>
      <c r="AN154" s="347"/>
      <c r="AO154" s="347"/>
      <c r="AP154" s="347"/>
      <c r="AQ154" s="347"/>
      <c r="AR154" s="347"/>
      <c r="AS154" s="347"/>
      <c r="AT154" s="347"/>
      <c r="AU154" s="347"/>
      <c r="AV154" s="347"/>
      <c r="AW154" s="347"/>
      <c r="AX154" s="347"/>
      <c r="AY154" s="347"/>
      <c r="AZ154" s="347"/>
      <c r="BA154" s="347"/>
      <c r="BB154" s="347"/>
      <c r="BC154" s="347"/>
      <c r="BD154" s="347"/>
      <c r="BE154" s="347"/>
      <c r="BF154" s="347"/>
      <c r="BG154" s="347"/>
      <c r="BH154" s="347"/>
      <c r="BI154" s="347"/>
      <c r="BJ154" s="347"/>
      <c r="BK154" s="347"/>
      <c r="BL154" s="347"/>
      <c r="BM154" s="2123"/>
      <c r="BN154" s="2087"/>
      <c r="BO154" s="2087"/>
      <c r="BP154" s="2087"/>
      <c r="BQ154" s="2087"/>
      <c r="BR154" s="2087"/>
      <c r="BS154" s="2087"/>
      <c r="BT154" s="2087"/>
      <c r="BU154" s="2087"/>
      <c r="BV154" s="2087"/>
      <c r="BW154" s="2087"/>
      <c r="BX154" s="2087"/>
      <c r="BY154" s="2087"/>
      <c r="BZ154" s="2087"/>
      <c r="CA154" s="2087"/>
      <c r="CB154" s="2087"/>
      <c r="CC154" s="347"/>
      <c r="CD154" s="347"/>
      <c r="CE154" s="347"/>
      <c r="CF154" s="347"/>
      <c r="CG154" s="347"/>
      <c r="CH154" s="347"/>
      <c r="CI154" s="347"/>
      <c r="CJ154" s="347"/>
      <c r="CK154" s="347"/>
      <c r="CL154" s="347"/>
      <c r="CM154" s="348"/>
      <c r="CN154" s="347"/>
      <c r="CO154" s="347"/>
      <c r="CP154" s="347"/>
      <c r="CQ154" s="347"/>
      <c r="CR154" s="347"/>
      <c r="CS154" s="347"/>
      <c r="CT154" s="347"/>
      <c r="CU154" s="347"/>
      <c r="CV154" s="347"/>
      <c r="CW154" s="347"/>
      <c r="CX154" s="347"/>
      <c r="CY154" s="462"/>
      <c r="CZ154" s="462"/>
      <c r="DA154" s="462"/>
      <c r="DB154" s="464"/>
      <c r="DC154" s="464"/>
      <c r="DD154" s="464"/>
      <c r="DE154" s="464"/>
      <c r="DF154" s="462"/>
    </row>
    <row r="155" spans="1:110" ht="15.75">
      <c r="A155" s="370"/>
      <c r="B155" s="370"/>
      <c r="C155" s="370"/>
      <c r="D155" s="370"/>
      <c r="E155" s="370"/>
      <c r="F155" s="370"/>
      <c r="G155" s="370"/>
      <c r="H155" s="370"/>
      <c r="I155" s="370"/>
      <c r="J155" s="370"/>
      <c r="K155" s="370"/>
      <c r="L155" s="370"/>
      <c r="M155" s="370"/>
      <c r="N155" s="370"/>
      <c r="O155" s="370"/>
      <c r="P155" s="370"/>
      <c r="Q155" s="370"/>
      <c r="R155" s="370"/>
      <c r="S155" s="370"/>
      <c r="T155" s="370"/>
      <c r="U155" s="370"/>
      <c r="V155" s="370"/>
      <c r="W155" s="347"/>
      <c r="X155" s="347"/>
      <c r="Y155" s="347"/>
      <c r="Z155" s="347"/>
      <c r="AA155" s="347"/>
      <c r="AB155" s="347"/>
      <c r="AC155" s="347"/>
      <c r="AD155" s="347"/>
      <c r="AE155" s="347"/>
      <c r="AF155" s="347"/>
      <c r="AG155" s="347"/>
      <c r="AH155" s="347"/>
      <c r="AI155" s="347"/>
      <c r="AJ155" s="347"/>
      <c r="AK155" s="347"/>
      <c r="AL155" s="347"/>
      <c r="AM155" s="347"/>
      <c r="AN155" s="347"/>
      <c r="AO155" s="347"/>
      <c r="AP155" s="347"/>
      <c r="AQ155" s="347"/>
      <c r="AR155" s="347"/>
      <c r="AS155" s="347"/>
      <c r="AT155" s="347"/>
      <c r="AU155" s="347"/>
      <c r="AV155" s="347"/>
      <c r="AW155" s="347"/>
      <c r="AX155" s="347"/>
      <c r="AY155" s="347"/>
      <c r="AZ155" s="347"/>
      <c r="BA155" s="347"/>
      <c r="BB155" s="347"/>
      <c r="BC155" s="347"/>
      <c r="BD155" s="347"/>
      <c r="BE155" s="347"/>
      <c r="BF155" s="347"/>
      <c r="BG155" s="347"/>
      <c r="BH155" s="347"/>
      <c r="BI155" s="347"/>
      <c r="BJ155" s="347"/>
      <c r="BK155" s="347"/>
      <c r="BL155" s="347"/>
      <c r="BM155" s="2123"/>
      <c r="BN155" s="2087"/>
      <c r="BO155" s="2087"/>
      <c r="BP155" s="2087"/>
      <c r="BQ155" s="2087"/>
      <c r="BR155" s="2087"/>
      <c r="BS155" s="2087"/>
      <c r="BT155" s="2087"/>
      <c r="BU155" s="2087"/>
      <c r="BV155" s="2087"/>
      <c r="BW155" s="2087"/>
      <c r="BX155" s="2087"/>
      <c r="BY155" s="2087"/>
      <c r="BZ155" s="2087"/>
      <c r="CA155" s="2087"/>
      <c r="CB155" s="2087"/>
      <c r="CC155" s="347"/>
      <c r="CD155" s="347"/>
      <c r="CE155" s="347"/>
      <c r="CF155" s="347"/>
      <c r="CG155" s="347"/>
      <c r="CH155" s="347"/>
      <c r="CI155" s="347"/>
      <c r="CJ155" s="347"/>
      <c r="CK155" s="347"/>
      <c r="CL155" s="347"/>
      <c r="CM155" s="348"/>
      <c r="CN155" s="347"/>
      <c r="CO155" s="347"/>
      <c r="CP155" s="347"/>
      <c r="CQ155" s="347"/>
      <c r="CR155" s="347"/>
      <c r="CS155" s="347"/>
      <c r="CT155" s="347"/>
      <c r="CU155" s="347"/>
      <c r="CV155" s="347"/>
      <c r="CW155" s="347"/>
      <c r="CX155" s="347"/>
      <c r="CY155" s="462"/>
      <c r="CZ155" s="462"/>
      <c r="DA155" s="462"/>
      <c r="DB155" s="464"/>
      <c r="DC155" s="464"/>
      <c r="DD155" s="464"/>
      <c r="DE155" s="464"/>
      <c r="DF155" s="462"/>
    </row>
    <row r="156" spans="1:110" ht="16.5">
      <c r="A156" s="370"/>
      <c r="B156" s="370"/>
      <c r="C156" s="370"/>
      <c r="D156" s="370"/>
      <c r="E156" s="370"/>
      <c r="F156" s="370"/>
      <c r="G156" s="370"/>
      <c r="H156" s="370"/>
      <c r="I156" s="370"/>
      <c r="J156" s="370"/>
      <c r="K156" s="370"/>
      <c r="L156" s="370"/>
      <c r="M156" s="370"/>
      <c r="N156" s="370"/>
      <c r="O156" s="370"/>
      <c r="P156" s="370"/>
      <c r="Q156" s="370"/>
      <c r="R156" s="370"/>
      <c r="S156" s="370"/>
      <c r="T156" s="370"/>
      <c r="U156" s="370"/>
      <c r="V156" s="370"/>
      <c r="W156" s="347"/>
      <c r="X156" s="347"/>
      <c r="Y156" s="347"/>
      <c r="Z156" s="347"/>
      <c r="AA156" s="347"/>
      <c r="AB156" s="347"/>
      <c r="AC156" s="347"/>
      <c r="AD156" s="347"/>
      <c r="AE156" s="347"/>
      <c r="AF156" s="347"/>
      <c r="AG156" s="347"/>
      <c r="AH156" s="347"/>
      <c r="AI156" s="347"/>
      <c r="AJ156" s="347"/>
      <c r="AK156" s="347"/>
      <c r="AL156" s="347"/>
      <c r="AM156" s="347"/>
      <c r="AN156" s="347"/>
      <c r="AO156" s="347"/>
      <c r="AP156" s="347"/>
      <c r="AQ156" s="347"/>
      <c r="AR156" s="347"/>
      <c r="AS156" s="347"/>
      <c r="AT156" s="347"/>
      <c r="AU156" s="347"/>
      <c r="AV156" s="347"/>
      <c r="AW156" s="347"/>
      <c r="AX156" s="347"/>
      <c r="AY156" s="347"/>
      <c r="AZ156" s="347"/>
      <c r="BA156" s="347"/>
      <c r="BB156" s="347"/>
      <c r="BC156" s="347"/>
      <c r="BD156" s="347"/>
      <c r="BE156" s="347"/>
      <c r="BF156" s="347"/>
      <c r="BG156" s="347"/>
      <c r="BH156" s="347"/>
      <c r="BI156" s="347"/>
      <c r="BJ156" s="347"/>
      <c r="BK156" s="347"/>
      <c r="BL156" s="347"/>
      <c r="BM156" s="2124"/>
      <c r="BN156" s="2087"/>
      <c r="BO156" s="2087"/>
      <c r="BP156" s="2087"/>
      <c r="BQ156" s="2087"/>
      <c r="BR156" s="2087"/>
      <c r="BS156" s="2087"/>
      <c r="BT156" s="2087"/>
      <c r="BU156" s="2087"/>
      <c r="BV156" s="2087"/>
      <c r="BW156" s="2087"/>
      <c r="BX156" s="2087"/>
      <c r="BY156" s="2087"/>
      <c r="BZ156" s="2087"/>
      <c r="CA156" s="2087"/>
      <c r="CB156" s="2087"/>
      <c r="CC156" s="347"/>
      <c r="CD156" s="347"/>
      <c r="CE156" s="347"/>
      <c r="CF156" s="347"/>
      <c r="CG156" s="347"/>
      <c r="CH156" s="347"/>
      <c r="CI156" s="347"/>
      <c r="CJ156" s="347"/>
      <c r="CK156" s="347"/>
      <c r="CL156" s="347"/>
      <c r="CM156" s="348"/>
      <c r="CN156" s="347"/>
      <c r="CO156" s="347"/>
      <c r="CP156" s="347"/>
      <c r="CQ156" s="347"/>
      <c r="CR156" s="347"/>
      <c r="CS156" s="347"/>
      <c r="CT156" s="347"/>
      <c r="CU156" s="347"/>
      <c r="CV156" s="347"/>
      <c r="CW156" s="347"/>
      <c r="CX156" s="347"/>
      <c r="CY156" s="462"/>
      <c r="CZ156" s="462"/>
      <c r="DA156" s="462"/>
      <c r="DB156" s="464"/>
      <c r="DC156" s="464"/>
      <c r="DD156" s="464"/>
      <c r="DE156" s="464"/>
      <c r="DF156" s="462"/>
    </row>
    <row r="157" spans="1:110">
      <c r="A157" s="370"/>
      <c r="B157" s="370"/>
      <c r="C157" s="370"/>
      <c r="D157" s="370"/>
      <c r="E157" s="370"/>
      <c r="F157" s="370"/>
      <c r="G157" s="370"/>
      <c r="H157" s="370"/>
      <c r="I157" s="370"/>
      <c r="J157" s="370"/>
      <c r="K157" s="370"/>
      <c r="L157" s="370"/>
      <c r="M157" s="370"/>
      <c r="N157" s="370"/>
      <c r="O157" s="370"/>
      <c r="P157" s="370"/>
      <c r="Q157" s="370"/>
      <c r="R157" s="370"/>
      <c r="S157" s="370"/>
      <c r="T157" s="370"/>
      <c r="U157" s="370"/>
      <c r="V157" s="370"/>
      <c r="W157" s="347"/>
      <c r="X157" s="347"/>
      <c r="Y157" s="347"/>
      <c r="Z157" s="347"/>
      <c r="AA157" s="347"/>
      <c r="AB157" s="347"/>
      <c r="AC157" s="347"/>
      <c r="AD157" s="347"/>
      <c r="AE157" s="347"/>
      <c r="AF157" s="347"/>
      <c r="AG157" s="347"/>
      <c r="AH157" s="347"/>
      <c r="AI157" s="347"/>
      <c r="AJ157" s="347"/>
      <c r="AK157" s="347"/>
      <c r="AL157" s="347"/>
      <c r="AM157" s="347"/>
      <c r="AN157" s="347"/>
      <c r="AO157" s="347"/>
      <c r="AP157" s="347"/>
      <c r="AQ157" s="347"/>
      <c r="AR157" s="347"/>
      <c r="AS157" s="347"/>
      <c r="AT157" s="347"/>
      <c r="AU157" s="347"/>
      <c r="AV157" s="347"/>
      <c r="AW157" s="347"/>
      <c r="AX157" s="347"/>
      <c r="AY157" s="347"/>
      <c r="AZ157" s="347"/>
      <c r="BA157" s="347"/>
      <c r="BB157" s="347"/>
      <c r="BC157" s="347"/>
      <c r="BD157" s="347"/>
      <c r="BE157" s="348"/>
      <c r="BF157" s="347"/>
      <c r="BG157" s="347"/>
      <c r="BH157" s="347"/>
      <c r="BI157" s="347"/>
      <c r="BJ157" s="347"/>
      <c r="BK157" s="347"/>
      <c r="BL157" s="347"/>
      <c r="BM157" s="347"/>
      <c r="BN157" s="347"/>
      <c r="BO157" s="347"/>
      <c r="BP157" s="347"/>
      <c r="BQ157" s="347"/>
      <c r="BR157" s="347"/>
      <c r="BS157" s="347"/>
      <c r="BT157" s="347"/>
      <c r="BU157" s="347"/>
      <c r="BV157" s="347"/>
      <c r="BW157" s="347"/>
      <c r="BX157" s="347"/>
      <c r="BY157" s="347"/>
      <c r="BZ157" s="347"/>
      <c r="CA157" s="347"/>
      <c r="CB157" s="347"/>
      <c r="CC157" s="347"/>
      <c r="CD157" s="347"/>
      <c r="CE157" s="347"/>
      <c r="CF157" s="347"/>
      <c r="CG157" s="347"/>
      <c r="CH157" s="347"/>
      <c r="CI157" s="347"/>
      <c r="CJ157" s="347"/>
      <c r="CK157" s="347"/>
      <c r="CL157" s="347"/>
      <c r="CM157" s="348"/>
      <c r="CN157" s="347"/>
      <c r="CO157" s="347"/>
      <c r="CP157" s="347"/>
      <c r="CQ157" s="347"/>
      <c r="CR157" s="347"/>
      <c r="CS157" s="347"/>
      <c r="CT157" s="347"/>
      <c r="CU157" s="347"/>
      <c r="CV157" s="347"/>
      <c r="CW157" s="347"/>
      <c r="CX157" s="347"/>
      <c r="CY157" s="462"/>
      <c r="CZ157" s="462"/>
      <c r="DA157" s="462"/>
      <c r="DB157" s="464"/>
      <c r="DC157" s="464"/>
      <c r="DD157" s="464"/>
      <c r="DE157" s="464"/>
      <c r="DF157" s="462"/>
    </row>
    <row r="158" spans="1:110">
      <c r="A158" s="370"/>
      <c r="B158" s="370"/>
      <c r="C158" s="370"/>
      <c r="D158" s="370"/>
      <c r="E158" s="370"/>
      <c r="F158" s="370"/>
      <c r="G158" s="370"/>
      <c r="H158" s="370"/>
      <c r="I158" s="370"/>
      <c r="J158" s="370"/>
      <c r="K158" s="370"/>
      <c r="L158" s="370"/>
      <c r="M158" s="370"/>
      <c r="N158" s="370"/>
      <c r="O158" s="370"/>
      <c r="P158" s="370"/>
      <c r="Q158" s="370"/>
      <c r="R158" s="370"/>
      <c r="S158" s="370"/>
      <c r="T158" s="370"/>
      <c r="U158" s="370"/>
      <c r="V158" s="370"/>
      <c r="W158" s="347"/>
      <c r="X158" s="347"/>
      <c r="Y158" s="347"/>
      <c r="Z158" s="347"/>
      <c r="AA158" s="347"/>
      <c r="AB158" s="347"/>
      <c r="AC158" s="347"/>
      <c r="AD158" s="347"/>
      <c r="AE158" s="347"/>
      <c r="AF158" s="347"/>
      <c r="AG158" s="347"/>
      <c r="AH158" s="347"/>
      <c r="AI158" s="347"/>
      <c r="AJ158" s="347"/>
      <c r="AK158" s="347"/>
      <c r="AL158" s="347"/>
      <c r="AM158" s="347"/>
      <c r="AN158" s="347"/>
      <c r="AO158" s="347"/>
      <c r="AP158" s="347"/>
      <c r="AQ158" s="347"/>
      <c r="AR158" s="347"/>
      <c r="AS158" s="347"/>
      <c r="AT158" s="347"/>
      <c r="AU158" s="347"/>
      <c r="AV158" s="347"/>
      <c r="AW158" s="347"/>
      <c r="AX158" s="347"/>
      <c r="AY158" s="347"/>
      <c r="AZ158" s="347"/>
      <c r="BA158" s="347"/>
      <c r="BB158" s="347"/>
      <c r="BC158" s="347"/>
      <c r="BD158" s="347"/>
      <c r="BE158" s="347"/>
      <c r="BF158" s="347"/>
      <c r="BG158" s="347"/>
      <c r="BH158" s="347"/>
      <c r="BI158" s="347"/>
      <c r="BJ158" s="347"/>
      <c r="BK158" s="347"/>
      <c r="BL158" s="347"/>
      <c r="BM158" s="347"/>
      <c r="BN158" s="347"/>
      <c r="BO158" s="347"/>
      <c r="BP158" s="347"/>
      <c r="BQ158" s="347"/>
      <c r="BR158" s="347"/>
      <c r="BS158" s="347"/>
      <c r="BT158" s="347"/>
      <c r="BU158" s="347"/>
      <c r="BV158" s="347"/>
      <c r="BW158" s="347"/>
      <c r="BX158" s="347"/>
      <c r="BY158" s="347"/>
      <c r="BZ158" s="347"/>
      <c r="CA158" s="347"/>
      <c r="CB158" s="347"/>
      <c r="CC158" s="347"/>
      <c r="CD158" s="347"/>
      <c r="CE158" s="347"/>
      <c r="CF158" s="347"/>
      <c r="CG158" s="347"/>
      <c r="CH158" s="347"/>
      <c r="CI158" s="347"/>
      <c r="CJ158" s="347"/>
      <c r="CK158" s="347"/>
      <c r="CL158" s="347"/>
      <c r="CM158" s="348"/>
      <c r="CN158" s="347"/>
      <c r="CO158" s="347"/>
      <c r="CP158" s="347"/>
      <c r="CQ158" s="347"/>
      <c r="CR158" s="347"/>
      <c r="CS158" s="347"/>
      <c r="CT158" s="347"/>
      <c r="CU158" s="347"/>
      <c r="CV158" s="347"/>
      <c r="CW158" s="347"/>
      <c r="CX158" s="347"/>
      <c r="CY158" s="462"/>
      <c r="CZ158" s="462"/>
      <c r="DA158" s="462"/>
      <c r="DB158" s="464"/>
      <c r="DC158" s="464"/>
      <c r="DD158" s="464"/>
      <c r="DE158" s="464"/>
      <c r="DF158" s="462"/>
    </row>
    <row r="159" spans="1:110">
      <c r="A159" s="370"/>
      <c r="B159" s="1843"/>
      <c r="C159" s="1843"/>
      <c r="D159" s="1843"/>
      <c r="E159" s="1843"/>
      <c r="F159" s="1843"/>
      <c r="G159" s="1843"/>
      <c r="H159" s="1843"/>
      <c r="I159" s="1843"/>
      <c r="J159" s="1843"/>
      <c r="K159" s="1843"/>
      <c r="L159" s="1843"/>
      <c r="M159" s="1843"/>
      <c r="N159" s="1843"/>
      <c r="O159" s="1843"/>
      <c r="P159" s="1843"/>
      <c r="Q159" s="1843"/>
      <c r="R159" s="1843"/>
      <c r="S159" s="1843"/>
      <c r="T159" s="1843"/>
      <c r="U159" s="1843"/>
      <c r="V159" s="1843"/>
      <c r="W159" s="381"/>
      <c r="X159" s="381"/>
      <c r="Y159" s="381"/>
      <c r="Z159" s="381"/>
      <c r="AA159" s="381"/>
      <c r="AB159" s="381"/>
      <c r="AC159" s="381"/>
      <c r="AD159" s="381"/>
      <c r="AE159" s="381"/>
      <c r="AF159" s="381"/>
      <c r="AG159" s="381"/>
      <c r="AH159" s="381"/>
      <c r="AI159" s="381"/>
      <c r="AJ159" s="381"/>
      <c r="AK159" s="381"/>
      <c r="AL159" s="381"/>
      <c r="AM159" s="381"/>
      <c r="AN159" s="381"/>
      <c r="AO159" s="381"/>
      <c r="AP159" s="381"/>
      <c r="AQ159" s="381"/>
      <c r="AR159" s="381"/>
      <c r="AS159" s="381"/>
      <c r="AT159" s="381"/>
      <c r="AU159" s="381"/>
      <c r="AV159" s="381"/>
      <c r="AW159" s="381"/>
      <c r="AX159" s="381"/>
      <c r="AY159" s="381"/>
      <c r="AZ159" s="381"/>
      <c r="BA159" s="381"/>
      <c r="BB159" s="381"/>
      <c r="BC159" s="381"/>
      <c r="BD159" s="381"/>
      <c r="BE159" s="381"/>
      <c r="BF159" s="381"/>
      <c r="BG159" s="381"/>
      <c r="BH159" s="381"/>
      <c r="BI159" s="381"/>
      <c r="BJ159" s="381"/>
      <c r="BK159" s="381"/>
      <c r="BL159" s="381"/>
      <c r="BM159" s="381"/>
      <c r="BN159" s="381"/>
      <c r="BO159" s="381"/>
      <c r="BP159" s="381"/>
      <c r="BQ159" s="381"/>
      <c r="BR159" s="347"/>
      <c r="BS159" s="347"/>
      <c r="BT159" s="347"/>
      <c r="BU159" s="347"/>
      <c r="BV159" s="347"/>
      <c r="BW159" s="347"/>
      <c r="BX159" s="347"/>
      <c r="BY159" s="347"/>
      <c r="BZ159" s="347"/>
      <c r="CA159" s="347"/>
      <c r="CB159" s="347"/>
      <c r="CC159" s="347"/>
      <c r="CD159" s="347"/>
      <c r="CE159" s="347"/>
      <c r="CF159" s="347"/>
      <c r="CG159" s="347"/>
      <c r="CH159" s="347"/>
      <c r="CI159" s="347"/>
      <c r="CJ159" s="347"/>
      <c r="CK159" s="347"/>
      <c r="CL159" s="347"/>
      <c r="CM159" s="348"/>
      <c r="CN159" s="347"/>
      <c r="CO159" s="347"/>
      <c r="CP159" s="347"/>
      <c r="CQ159" s="347"/>
      <c r="CR159" s="347"/>
      <c r="CS159" s="347"/>
      <c r="CT159" s="347"/>
      <c r="CU159" s="347"/>
      <c r="CV159" s="347"/>
      <c r="CW159" s="347"/>
      <c r="CX159" s="347"/>
      <c r="CY159" s="462"/>
      <c r="CZ159" s="463"/>
      <c r="DA159" s="463"/>
      <c r="DB159" s="464"/>
      <c r="DC159" s="464"/>
      <c r="DD159" s="464"/>
      <c r="DE159" s="464"/>
      <c r="DF159" s="462"/>
    </row>
    <row r="160" spans="1:110">
      <c r="A160" s="370"/>
      <c r="B160" s="1843"/>
      <c r="C160" s="1843"/>
      <c r="D160" s="1843"/>
      <c r="E160" s="1843"/>
      <c r="F160" s="1843"/>
      <c r="G160" s="1843"/>
      <c r="H160" s="1843"/>
      <c r="I160" s="1843"/>
      <c r="J160" s="1843"/>
      <c r="K160" s="1843"/>
      <c r="L160" s="1843"/>
      <c r="M160" s="1843"/>
      <c r="N160" s="1843"/>
      <c r="O160" s="1843"/>
      <c r="P160" s="1843"/>
      <c r="Q160" s="1843"/>
      <c r="R160" s="1843"/>
      <c r="S160" s="1843"/>
      <c r="T160" s="1843"/>
      <c r="U160" s="1843"/>
      <c r="V160" s="1843"/>
      <c r="W160" s="381"/>
      <c r="X160" s="381"/>
      <c r="Y160" s="381"/>
      <c r="Z160" s="381"/>
      <c r="AA160" s="381"/>
      <c r="AB160" s="381"/>
      <c r="AC160" s="381"/>
      <c r="AD160" s="381"/>
      <c r="AE160" s="381"/>
      <c r="AF160" s="381"/>
      <c r="AG160" s="381"/>
      <c r="AH160" s="381"/>
      <c r="AI160" s="381"/>
      <c r="AJ160" s="381"/>
      <c r="AK160" s="381"/>
      <c r="AL160" s="381"/>
      <c r="AM160" s="381"/>
      <c r="AN160" s="381"/>
      <c r="AO160" s="381"/>
      <c r="AP160" s="381"/>
      <c r="AQ160" s="381"/>
      <c r="AR160" s="381"/>
      <c r="AS160" s="381"/>
      <c r="AT160" s="381"/>
      <c r="AU160" s="381"/>
      <c r="AV160" s="381"/>
      <c r="AW160" s="381"/>
      <c r="AX160" s="381"/>
      <c r="AY160" s="381"/>
      <c r="AZ160" s="381"/>
      <c r="BA160" s="381"/>
      <c r="BB160" s="381"/>
      <c r="BC160" s="381"/>
      <c r="BD160" s="381"/>
      <c r="BE160" s="381"/>
      <c r="BF160" s="381"/>
      <c r="BG160" s="381"/>
      <c r="BH160" s="381"/>
      <c r="BI160" s="381"/>
      <c r="BJ160" s="381"/>
      <c r="BK160" s="381"/>
      <c r="BL160" s="381"/>
      <c r="BM160" s="381"/>
      <c r="BN160" s="381"/>
      <c r="BO160" s="381"/>
      <c r="BP160" s="381"/>
      <c r="BQ160" s="381"/>
      <c r="BR160" s="347"/>
      <c r="BS160" s="347"/>
      <c r="BT160" s="347"/>
      <c r="BU160" s="347"/>
      <c r="BV160" s="347"/>
      <c r="BW160" s="347"/>
      <c r="BX160" s="347"/>
      <c r="BY160" s="347"/>
      <c r="BZ160" s="347"/>
      <c r="CA160" s="347"/>
      <c r="CB160" s="347"/>
      <c r="CC160" s="347"/>
      <c r="CD160" s="347"/>
      <c r="CE160" s="347"/>
      <c r="CF160" s="347"/>
      <c r="CG160" s="347"/>
      <c r="CH160" s="347"/>
      <c r="CI160" s="347"/>
      <c r="CJ160" s="347"/>
      <c r="CK160" s="347"/>
      <c r="CL160" s="347"/>
      <c r="CM160" s="348"/>
      <c r="CN160" s="347"/>
      <c r="CO160" s="347"/>
      <c r="CP160" s="347"/>
      <c r="CQ160" s="347"/>
      <c r="CR160" s="347"/>
      <c r="CS160" s="347"/>
      <c r="CT160" s="347"/>
      <c r="CU160" s="347"/>
      <c r="CV160" s="347"/>
      <c r="CW160" s="347"/>
      <c r="CX160" s="347"/>
      <c r="CY160" s="462"/>
      <c r="CZ160" s="463"/>
      <c r="DA160" s="463"/>
      <c r="DB160" s="464"/>
      <c r="DC160" s="464"/>
      <c r="DD160" s="464"/>
      <c r="DE160" s="464"/>
      <c r="DF160" s="462"/>
    </row>
    <row r="161" spans="1:110">
      <c r="A161" s="1825"/>
      <c r="B161" s="1844"/>
      <c r="C161" s="1844"/>
      <c r="D161" s="1844"/>
      <c r="E161" s="1844"/>
      <c r="F161" s="1844"/>
      <c r="G161" s="1844"/>
      <c r="H161" s="1844"/>
      <c r="I161" s="1844"/>
      <c r="J161" s="1844"/>
      <c r="K161" s="1844"/>
      <c r="L161" s="1844"/>
      <c r="M161" s="1844"/>
      <c r="N161" s="1844"/>
      <c r="O161" s="1844"/>
      <c r="P161" s="1844"/>
      <c r="Q161" s="1844"/>
      <c r="R161" s="1844"/>
      <c r="S161" s="1844"/>
      <c r="T161" s="1844"/>
      <c r="U161" s="1844"/>
      <c r="V161" s="1844"/>
      <c r="W161" s="521"/>
      <c r="X161" s="521"/>
      <c r="Y161" s="521"/>
      <c r="Z161" s="521"/>
      <c r="AA161" s="521"/>
      <c r="AB161" s="521"/>
      <c r="AC161" s="521"/>
      <c r="AD161" s="521"/>
      <c r="AE161" s="521"/>
      <c r="AF161" s="521"/>
      <c r="AG161" s="521"/>
      <c r="AH161" s="521"/>
      <c r="AI161" s="521"/>
      <c r="AJ161" s="521"/>
      <c r="AK161" s="521"/>
      <c r="AL161" s="521"/>
      <c r="AM161" s="521"/>
      <c r="AN161" s="521"/>
      <c r="AO161" s="521"/>
      <c r="AP161" s="521"/>
      <c r="AQ161" s="521"/>
      <c r="AR161" s="521"/>
      <c r="AS161" s="521"/>
      <c r="AT161" s="521"/>
      <c r="AU161" s="521"/>
      <c r="AV161" s="521"/>
      <c r="AW161" s="521"/>
      <c r="AX161" s="521"/>
      <c r="AY161" s="521"/>
      <c r="AZ161" s="521"/>
      <c r="BA161" s="2125"/>
      <c r="BB161" s="2087"/>
      <c r="BC161" s="521"/>
      <c r="BD161" s="521"/>
      <c r="BE161" s="521"/>
      <c r="BF161" s="521"/>
      <c r="BG161" s="521"/>
      <c r="BH161" s="509"/>
      <c r="BI161" s="509"/>
      <c r="BJ161" s="521"/>
      <c r="BK161" s="521"/>
      <c r="BL161" s="521"/>
      <c r="BM161" s="521"/>
      <c r="BN161" s="521"/>
      <c r="BO161" s="509"/>
      <c r="BP161" s="509"/>
      <c r="BQ161" s="509"/>
      <c r="BR161" s="347"/>
      <c r="BS161" s="347"/>
      <c r="BT161" s="347"/>
      <c r="BU161" s="347"/>
      <c r="BV161" s="347"/>
      <c r="BW161" s="347"/>
      <c r="BX161" s="347"/>
      <c r="BY161" s="347"/>
      <c r="BZ161" s="347"/>
      <c r="CA161" s="347"/>
      <c r="CB161" s="347"/>
      <c r="CC161" s="347"/>
      <c r="CD161" s="347"/>
      <c r="CE161" s="347"/>
      <c r="CF161" s="347"/>
      <c r="CG161" s="347"/>
      <c r="CH161" s="347"/>
      <c r="CI161" s="347"/>
      <c r="CJ161" s="347"/>
      <c r="CK161" s="347"/>
      <c r="CL161" s="347"/>
      <c r="CM161" s="348"/>
      <c r="CN161" s="347"/>
      <c r="CO161" s="347"/>
      <c r="CP161" s="347"/>
      <c r="CQ161" s="347"/>
      <c r="CR161" s="347"/>
      <c r="CS161" s="347"/>
      <c r="CT161" s="347"/>
      <c r="CU161" s="347"/>
      <c r="CV161" s="347"/>
      <c r="CW161" s="347"/>
      <c r="CX161" s="347"/>
      <c r="CY161" s="462"/>
      <c r="CZ161" s="462"/>
      <c r="DA161" s="462"/>
      <c r="DB161" s="464"/>
      <c r="DC161" s="464"/>
      <c r="DD161" s="464"/>
      <c r="DE161" s="464"/>
      <c r="DF161" s="462"/>
    </row>
    <row r="162" spans="1:110" ht="25.5">
      <c r="A162" s="1596"/>
      <c r="B162" s="1601"/>
      <c r="C162" s="1601"/>
      <c r="D162" s="1601"/>
      <c r="E162" s="1601"/>
      <c r="F162" s="1601"/>
      <c r="G162" s="1601"/>
      <c r="H162" s="1601"/>
      <c r="I162" s="1601"/>
      <c r="J162" s="1601"/>
      <c r="K162" s="1601"/>
      <c r="L162" s="1601"/>
      <c r="M162" s="1601"/>
      <c r="N162" s="1601"/>
      <c r="O162" s="1601"/>
      <c r="P162" s="1601"/>
      <c r="Q162" s="1601"/>
      <c r="R162" s="1601"/>
      <c r="S162" s="1601"/>
      <c r="T162" s="1601"/>
      <c r="U162" s="1601"/>
      <c r="V162" s="1601"/>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2086"/>
      <c r="BB162" s="2087"/>
      <c r="BC162" s="12"/>
      <c r="BD162" s="12"/>
      <c r="BE162" s="12"/>
      <c r="BF162" s="12"/>
      <c r="BG162" s="12"/>
      <c r="BH162" s="12"/>
      <c r="BI162" s="12"/>
      <c r="BJ162" s="12"/>
      <c r="BK162" s="12"/>
      <c r="BL162" s="12">
        <v>0</v>
      </c>
      <c r="BM162" s="12">
        <v>0</v>
      </c>
      <c r="BN162" s="12">
        <v>0</v>
      </c>
      <c r="BO162" s="12">
        <f>BO161*12/100</f>
        <v>0</v>
      </c>
      <c r="BP162" s="12">
        <f>BP161*12/100</f>
        <v>0</v>
      </c>
      <c r="BQ162" s="12">
        <f>BQ161*12/100</f>
        <v>0</v>
      </c>
      <c r="BR162" s="12">
        <f>BR161*12/100</f>
        <v>0</v>
      </c>
      <c r="CL162" s="9" t="s">
        <v>3248</v>
      </c>
      <c r="CM162" s="8">
        <v>43291</v>
      </c>
      <c r="CN162" s="9" t="s">
        <v>3249</v>
      </c>
      <c r="CY162" s="361"/>
      <c r="CZ162" s="361"/>
      <c r="DA162" s="361"/>
      <c r="DB162" s="448"/>
      <c r="DC162" s="448"/>
      <c r="DD162" s="448"/>
      <c r="DE162" s="448"/>
      <c r="DF162" s="361"/>
    </row>
    <row r="163" spans="1:110" ht="25.5">
      <c r="A163" s="1596"/>
      <c r="B163" s="1601"/>
      <c r="C163" s="1601"/>
      <c r="D163" s="1601"/>
      <c r="E163" s="1601"/>
      <c r="F163" s="1601"/>
      <c r="G163" s="1601"/>
      <c r="H163" s="1601"/>
      <c r="I163" s="1601"/>
      <c r="J163" s="1601"/>
      <c r="K163" s="1601"/>
      <c r="L163" s="1601"/>
      <c r="M163" s="1601"/>
      <c r="N163" s="1601"/>
      <c r="O163" s="1601"/>
      <c r="P163" s="1601"/>
      <c r="Q163" s="1601"/>
      <c r="R163" s="1601"/>
      <c r="S163" s="1601"/>
      <c r="T163" s="1601"/>
      <c r="U163" s="1601"/>
      <c r="V163" s="1601"/>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2086"/>
      <c r="BB163" s="2087"/>
      <c r="BC163" s="12"/>
      <c r="BD163" s="12"/>
      <c r="BE163" s="12"/>
      <c r="BF163" s="12"/>
      <c r="BG163" s="12"/>
      <c r="BH163" s="12"/>
      <c r="BI163" s="12"/>
      <c r="BJ163" s="12"/>
      <c r="BK163" s="12"/>
      <c r="BL163" s="12">
        <f>BL161*2.9/100</f>
        <v>0</v>
      </c>
      <c r="BM163" s="12">
        <v>2.0299999999999998</v>
      </c>
      <c r="BN163" s="12">
        <v>2.0299999999999998</v>
      </c>
      <c r="BO163" s="12">
        <f>BO161*2.9/100</f>
        <v>0</v>
      </c>
      <c r="BP163" s="12">
        <f>BP161*2.9/100</f>
        <v>0</v>
      </c>
      <c r="BQ163" s="12">
        <f>BQ161*2.9/100</f>
        <v>0</v>
      </c>
      <c r="BR163" s="12">
        <f>BR161*2.9/100</f>
        <v>0</v>
      </c>
      <c r="CL163" s="9" t="s">
        <v>3247</v>
      </c>
      <c r="CM163" s="8">
        <v>43295</v>
      </c>
      <c r="CY163" s="361" t="s">
        <v>3521</v>
      </c>
      <c r="CZ163" s="361"/>
      <c r="DA163" s="361"/>
      <c r="DB163" s="448"/>
      <c r="DC163" s="448"/>
      <c r="DD163" s="448"/>
      <c r="DE163" s="448"/>
      <c r="DF163" s="361"/>
    </row>
    <row r="164" spans="1:110">
      <c r="A164" s="1596"/>
      <c r="B164" s="1601"/>
      <c r="C164" s="1601"/>
      <c r="D164" s="1601"/>
      <c r="E164" s="1601"/>
      <c r="F164" s="1601"/>
      <c r="G164" s="1601"/>
      <c r="H164" s="1601"/>
      <c r="I164" s="1601"/>
      <c r="J164" s="1601"/>
      <c r="K164" s="1601"/>
      <c r="L164" s="1601"/>
      <c r="M164" s="1601"/>
      <c r="N164" s="1601"/>
      <c r="O164" s="1601"/>
      <c r="P164" s="1601"/>
      <c r="Q164" s="1601"/>
      <c r="R164" s="1601"/>
      <c r="S164" s="1601"/>
      <c r="T164" s="1601"/>
      <c r="U164" s="1601"/>
      <c r="V164" s="1601"/>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2086"/>
      <c r="BB164" s="2087"/>
      <c r="BC164" s="12"/>
      <c r="BD164" s="12"/>
      <c r="BE164" s="12"/>
      <c r="BF164" s="12"/>
      <c r="BG164" s="12"/>
      <c r="BH164" s="12"/>
      <c r="BI164" s="12"/>
      <c r="BJ164" s="12"/>
      <c r="BK164" s="12"/>
      <c r="BL164" s="12">
        <v>0.3</v>
      </c>
      <c r="BM164" s="12">
        <v>0.3</v>
      </c>
      <c r="BN164" s="12">
        <v>0.3</v>
      </c>
      <c r="BO164" s="12">
        <v>0.3</v>
      </c>
      <c r="BP164" s="12">
        <v>0.3</v>
      </c>
      <c r="BQ164" s="12">
        <v>0.3</v>
      </c>
      <c r="BR164" s="12">
        <v>0.3</v>
      </c>
      <c r="CL164" s="9" t="s">
        <v>3245</v>
      </c>
      <c r="CM164" s="8">
        <v>43306</v>
      </c>
      <c r="CN164" s="8">
        <v>43311</v>
      </c>
      <c r="CY164" s="361"/>
      <c r="CZ164" s="361"/>
      <c r="DA164" s="361"/>
      <c r="DB164" s="448"/>
      <c r="DC164" s="448"/>
      <c r="DD164" s="448"/>
      <c r="DE164" s="448"/>
      <c r="DF164" s="361"/>
    </row>
    <row r="165" spans="1:110" ht="25.5">
      <c r="A165" s="1596"/>
      <c r="B165" s="1601"/>
      <c r="C165" s="1601"/>
      <c r="D165" s="1601"/>
      <c r="E165" s="1601"/>
      <c r="F165" s="1601"/>
      <c r="G165" s="1601"/>
      <c r="H165" s="1601"/>
      <c r="I165" s="1601"/>
      <c r="J165" s="1601"/>
      <c r="K165" s="1601"/>
      <c r="L165" s="1601"/>
      <c r="M165" s="1601"/>
      <c r="N165" s="1601"/>
      <c r="O165" s="1601"/>
      <c r="P165" s="1601"/>
      <c r="Q165" s="1601"/>
      <c r="R165" s="1601"/>
      <c r="S165" s="1601"/>
      <c r="T165" s="1601"/>
      <c r="U165" s="1601"/>
      <c r="V165" s="1601"/>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2086"/>
      <c r="BB165" s="2087"/>
      <c r="BC165" s="12"/>
      <c r="BD165" s="12"/>
      <c r="BE165" s="12"/>
      <c r="BF165" s="12"/>
      <c r="BG165" s="12"/>
      <c r="BH165" s="12"/>
      <c r="BI165" s="12"/>
      <c r="BJ165" s="12"/>
      <c r="BK165" s="12"/>
      <c r="BL165" s="12">
        <v>0</v>
      </c>
      <c r="BM165" s="12">
        <f>3.72+0.61</f>
        <v>4.33</v>
      </c>
      <c r="BN165" s="12">
        <v>5.66</v>
      </c>
      <c r="BO165" s="12">
        <f>3.72+0.61</f>
        <v>4.33</v>
      </c>
      <c r="BP165" s="12">
        <v>0</v>
      </c>
      <c r="BQ165" s="12">
        <f>3.72+0.61</f>
        <v>4.33</v>
      </c>
      <c r="BR165" s="12">
        <f>3.72+0.61</f>
        <v>4.33</v>
      </c>
      <c r="CL165" s="9" t="s">
        <v>3244</v>
      </c>
      <c r="CM165" s="8">
        <v>43309</v>
      </c>
      <c r="CY165" s="361"/>
      <c r="CZ165" s="361"/>
      <c r="DA165" s="361"/>
      <c r="DB165" s="448"/>
      <c r="DC165" s="448"/>
      <c r="DD165" s="448"/>
      <c r="DE165" s="448"/>
      <c r="DF165" s="361"/>
    </row>
    <row r="166" spans="1:110">
      <c r="A166" s="1596"/>
      <c r="B166" s="1601"/>
      <c r="C166" s="1601"/>
      <c r="D166" s="1601"/>
      <c r="E166" s="1601"/>
      <c r="F166" s="1601"/>
      <c r="G166" s="1601"/>
      <c r="H166" s="1601"/>
      <c r="I166" s="1601"/>
      <c r="J166" s="1601"/>
      <c r="K166" s="1601"/>
      <c r="L166" s="1601"/>
      <c r="M166" s="1601"/>
      <c r="N166" s="1601"/>
      <c r="O166" s="1601"/>
      <c r="P166" s="1601"/>
      <c r="Q166" s="1601"/>
      <c r="R166" s="1601"/>
      <c r="S166" s="1601"/>
      <c r="T166" s="1601"/>
      <c r="U166" s="1601"/>
      <c r="V166" s="1601"/>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2086"/>
      <c r="BB166" s="2087"/>
      <c r="BC166" s="12"/>
      <c r="BD166" s="12"/>
      <c r="BE166" s="12"/>
      <c r="BF166" s="12"/>
      <c r="BG166" s="12"/>
      <c r="BH166" s="12"/>
      <c r="BI166" s="12"/>
      <c r="BJ166" s="12"/>
      <c r="BK166" s="12"/>
      <c r="BL166" s="12">
        <v>0</v>
      </c>
      <c r="BM166" s="12">
        <v>2.8</v>
      </c>
      <c r="BN166" s="12">
        <v>2.8</v>
      </c>
      <c r="BO166" s="12">
        <v>2.8</v>
      </c>
      <c r="BP166" s="12">
        <v>0</v>
      </c>
      <c r="BQ166" s="12">
        <v>3.33</v>
      </c>
      <c r="BR166" s="12">
        <v>2.8</v>
      </c>
      <c r="CL166" s="9" t="s">
        <v>3243</v>
      </c>
      <c r="CM166" s="8">
        <v>43310</v>
      </c>
      <c r="CY166" s="361"/>
      <c r="CZ166" s="361"/>
      <c r="DA166" s="361"/>
      <c r="DB166" s="448"/>
      <c r="DC166" s="448"/>
      <c r="DD166" s="448"/>
      <c r="DE166" s="448"/>
      <c r="DF166" s="361"/>
    </row>
    <row r="167" spans="1:110" ht="25.5">
      <c r="A167" s="1596"/>
      <c r="B167" s="1601"/>
      <c r="C167" s="1601"/>
      <c r="D167" s="1601"/>
      <c r="E167" s="1601"/>
      <c r="F167" s="1601"/>
      <c r="G167" s="1601"/>
      <c r="H167" s="1601"/>
      <c r="I167" s="1601"/>
      <c r="J167" s="1601"/>
      <c r="K167" s="1601"/>
      <c r="L167" s="1601"/>
      <c r="M167" s="1601"/>
      <c r="N167" s="1601"/>
      <c r="O167" s="1601"/>
      <c r="P167" s="1601"/>
      <c r="Q167" s="1601"/>
      <c r="R167" s="1601"/>
      <c r="S167" s="1601"/>
      <c r="T167" s="1601"/>
      <c r="U167" s="1601"/>
      <c r="V167" s="1601"/>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2086"/>
      <c r="BB167" s="2087"/>
      <c r="BC167" s="12"/>
      <c r="BD167" s="12"/>
      <c r="BE167" s="12"/>
      <c r="BF167" s="12"/>
      <c r="BG167" s="12"/>
      <c r="BH167" s="12"/>
      <c r="BI167" s="12"/>
      <c r="BJ167" s="12"/>
      <c r="BK167" s="12"/>
      <c r="BL167" s="12">
        <v>0</v>
      </c>
      <c r="BM167" s="12">
        <f>BM166-3.99</f>
        <v>-1.1900000000000004</v>
      </c>
      <c r="BN167" s="12">
        <f>BN166-3.99</f>
        <v>-1.1900000000000004</v>
      </c>
      <c r="BO167" s="12">
        <f>BO166-4.99</f>
        <v>-2.1900000000000004</v>
      </c>
      <c r="BP167" s="12">
        <v>0</v>
      </c>
      <c r="BQ167" s="12">
        <f>BQ166-4.99</f>
        <v>-1.6600000000000001</v>
      </c>
      <c r="BR167" s="12">
        <v>0</v>
      </c>
      <c r="CL167" s="9" t="s">
        <v>3240</v>
      </c>
      <c r="CM167" s="8">
        <v>43313</v>
      </c>
      <c r="CY167" s="361"/>
      <c r="CZ167" s="361"/>
      <c r="DA167" s="361"/>
      <c r="DB167" s="448"/>
      <c r="DC167" s="448"/>
      <c r="DD167" s="448"/>
      <c r="DE167" s="448"/>
      <c r="DF167" s="361"/>
    </row>
    <row r="168" spans="1:110">
      <c r="A168" s="1596"/>
      <c r="B168" s="1601"/>
      <c r="C168" s="1601"/>
      <c r="D168" s="1601"/>
      <c r="E168" s="1601"/>
      <c r="F168" s="1601"/>
      <c r="G168" s="1601"/>
      <c r="H168" s="1601"/>
      <c r="I168" s="1601"/>
      <c r="J168" s="1601"/>
      <c r="K168" s="1601"/>
      <c r="L168" s="1601"/>
      <c r="M168" s="1601"/>
      <c r="N168" s="1601"/>
      <c r="O168" s="1601"/>
      <c r="P168" s="1601"/>
      <c r="Q168" s="1601"/>
      <c r="R168" s="1601"/>
      <c r="S168" s="1601"/>
      <c r="T168" s="1601"/>
      <c r="U168" s="1601"/>
      <c r="V168" s="1601"/>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2086"/>
      <c r="BB168" s="2087"/>
      <c r="BC168" s="12"/>
      <c r="BD168" s="12"/>
      <c r="BE168" s="12"/>
      <c r="BF168" s="12"/>
      <c r="BG168" s="12"/>
      <c r="BH168" s="12"/>
      <c r="BI168" s="12"/>
      <c r="BJ168" s="12"/>
      <c r="BK168" s="12"/>
      <c r="BL168" s="12">
        <v>0</v>
      </c>
      <c r="BM168" s="12">
        <v>0.08</v>
      </c>
      <c r="BN168" s="12">
        <v>0.08</v>
      </c>
      <c r="BO168" s="12">
        <v>0.08</v>
      </c>
      <c r="BP168" s="12">
        <v>0</v>
      </c>
      <c r="BQ168" s="12">
        <v>0.55000000000000004</v>
      </c>
      <c r="BR168" s="12">
        <v>0.55000000000000004</v>
      </c>
      <c r="CL168" s="9" t="s">
        <v>3241</v>
      </c>
      <c r="CM168" s="8">
        <v>43312</v>
      </c>
      <c r="CY168" s="361"/>
      <c r="CZ168" s="361"/>
      <c r="DA168" s="361"/>
      <c r="DB168" s="448"/>
      <c r="DC168" s="448"/>
      <c r="DD168" s="448"/>
      <c r="DE168" s="448"/>
      <c r="DF168" s="361"/>
    </row>
    <row r="169" spans="1:110">
      <c r="A169" s="1596"/>
      <c r="B169" s="1601"/>
      <c r="C169" s="1601"/>
      <c r="D169" s="1601"/>
      <c r="E169" s="1601"/>
      <c r="F169" s="1601"/>
      <c r="G169" s="1601"/>
      <c r="H169" s="1601"/>
      <c r="I169" s="1601"/>
      <c r="J169" s="1601"/>
      <c r="K169" s="1601"/>
      <c r="L169" s="1601"/>
      <c r="M169" s="1601"/>
      <c r="N169" s="1601"/>
      <c r="O169" s="1601"/>
      <c r="P169" s="1601"/>
      <c r="Q169" s="1601"/>
      <c r="R169" s="1601"/>
      <c r="S169" s="1601"/>
      <c r="T169" s="1601"/>
      <c r="U169" s="1601"/>
      <c r="V169" s="1601"/>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2086"/>
      <c r="BB169" s="2087"/>
      <c r="BC169" s="12"/>
      <c r="BD169" s="12"/>
      <c r="BE169" s="12"/>
      <c r="BF169" s="12"/>
      <c r="BG169" s="12"/>
      <c r="BH169" s="12"/>
      <c r="BM169" s="12"/>
      <c r="BN169" s="12"/>
      <c r="CL169" s="9" t="s">
        <v>3242</v>
      </c>
      <c r="CM169" s="8">
        <v>43312</v>
      </c>
      <c r="CY169" s="361"/>
      <c r="CZ169" s="361"/>
      <c r="DA169" s="361"/>
      <c r="DB169" s="448"/>
      <c r="DC169" s="448"/>
      <c r="DD169" s="448"/>
      <c r="DE169" s="448"/>
      <c r="DF169" s="361"/>
    </row>
    <row r="170" spans="1:110">
      <c r="A170" s="1607"/>
      <c r="B170" s="1659"/>
      <c r="C170" s="1659"/>
      <c r="D170" s="1659"/>
      <c r="E170" s="1659"/>
      <c r="F170" s="1659"/>
      <c r="G170" s="1659"/>
      <c r="H170" s="1659"/>
      <c r="I170" s="1659"/>
      <c r="J170" s="1659"/>
      <c r="K170" s="1659"/>
      <c r="L170" s="1659"/>
      <c r="M170" s="1659"/>
      <c r="N170" s="1659"/>
      <c r="O170" s="1659"/>
      <c r="P170" s="1659"/>
      <c r="Q170" s="1659"/>
      <c r="R170" s="1659"/>
      <c r="S170" s="1659"/>
      <c r="T170" s="1659"/>
      <c r="U170" s="1659"/>
      <c r="V170" s="1659"/>
      <c r="W170" s="65"/>
      <c r="X170" s="65"/>
      <c r="Y170" s="65"/>
      <c r="Z170" s="65"/>
      <c r="AA170" s="65"/>
      <c r="AB170" s="65"/>
      <c r="AC170" s="65"/>
      <c r="AD170" s="65"/>
      <c r="AE170" s="65"/>
      <c r="AF170" s="65"/>
      <c r="AG170" s="65"/>
      <c r="AH170" s="65"/>
      <c r="AI170" s="65"/>
      <c r="AJ170" s="65"/>
      <c r="AK170" s="65"/>
      <c r="AL170" s="65"/>
      <c r="AM170" s="65"/>
      <c r="AN170" s="65"/>
      <c r="AO170" s="65"/>
      <c r="AP170" s="65"/>
      <c r="AQ170" s="65"/>
      <c r="AR170" s="65"/>
      <c r="AS170" s="65"/>
      <c r="AT170" s="65"/>
      <c r="AU170" s="65"/>
      <c r="AV170" s="65"/>
      <c r="AW170" s="65"/>
      <c r="AX170" s="65"/>
      <c r="AY170" s="65"/>
      <c r="AZ170" s="65"/>
      <c r="BA170" s="2086"/>
      <c r="BB170" s="2087"/>
      <c r="BC170" s="65"/>
      <c r="BD170" s="65"/>
      <c r="BE170" s="65"/>
      <c r="BF170" s="65"/>
      <c r="BG170" s="65"/>
      <c r="BH170" s="65"/>
      <c r="BI170" s="65"/>
      <c r="BJ170" s="65"/>
      <c r="BK170" s="65"/>
      <c r="BL170" s="65">
        <f t="shared" ref="BL170:BR170" si="5">BL161-SUM(BL162:BL169)</f>
        <v>-0.3</v>
      </c>
      <c r="BM170" s="65">
        <f t="shared" si="5"/>
        <v>-8.35</v>
      </c>
      <c r="BN170" s="65">
        <f t="shared" si="5"/>
        <v>-9.6799999999999979</v>
      </c>
      <c r="BO170" s="65">
        <f t="shared" si="5"/>
        <v>-5.3199999999999994</v>
      </c>
      <c r="BP170" s="65">
        <f t="shared" si="5"/>
        <v>-0.3</v>
      </c>
      <c r="BQ170" s="65">
        <f t="shared" si="5"/>
        <v>-6.85</v>
      </c>
      <c r="BR170" s="65">
        <f t="shared" si="5"/>
        <v>-7.9799999999999995</v>
      </c>
      <c r="CL170" s="9" t="s">
        <v>3239</v>
      </c>
      <c r="CM170" s="8">
        <v>43317</v>
      </c>
      <c r="CY170" s="361"/>
      <c r="CZ170" s="361"/>
      <c r="DA170" s="361"/>
      <c r="DB170" s="448"/>
      <c r="DC170" s="448"/>
      <c r="DD170" s="448"/>
      <c r="DE170" s="448"/>
      <c r="DF170" s="361"/>
    </row>
    <row r="171" spans="1:110">
      <c r="A171" s="1596"/>
      <c r="B171" s="1596"/>
      <c r="C171" s="1596"/>
      <c r="D171" s="1596"/>
      <c r="E171" s="1596"/>
      <c r="F171" s="1596"/>
      <c r="G171" s="1596"/>
      <c r="H171" s="1596"/>
      <c r="I171" s="1596"/>
      <c r="J171" s="1596"/>
      <c r="K171" s="1596"/>
      <c r="L171" s="1596"/>
      <c r="M171" s="1596"/>
      <c r="N171" s="1596"/>
      <c r="O171" s="1596"/>
      <c r="P171" s="1596"/>
      <c r="Q171" s="1596"/>
      <c r="R171" s="1596"/>
      <c r="S171" s="1596"/>
      <c r="T171" s="1596"/>
      <c r="U171" s="1596"/>
      <c r="V171" s="1596"/>
      <c r="BA171" s="2086"/>
      <c r="BB171" s="2087"/>
      <c r="CL171" s="9" t="s">
        <v>1808</v>
      </c>
      <c r="CM171" s="8">
        <v>43318</v>
      </c>
      <c r="CN171" s="8">
        <v>43325</v>
      </c>
      <c r="CY171" s="361"/>
      <c r="CZ171" s="361"/>
      <c r="DA171" s="361"/>
      <c r="DB171" s="448"/>
      <c r="DC171" s="448"/>
      <c r="DD171" s="448"/>
      <c r="DE171" s="448"/>
      <c r="DF171" s="361"/>
    </row>
    <row r="172" spans="1:110">
      <c r="A172" s="1596"/>
      <c r="B172" s="424"/>
      <c r="C172" s="424"/>
      <c r="D172" s="424"/>
      <c r="E172" s="424"/>
      <c r="F172" s="424"/>
      <c r="G172" s="424"/>
      <c r="H172" s="424"/>
      <c r="I172" s="424"/>
      <c r="J172" s="424"/>
      <c r="K172" s="424"/>
      <c r="L172" s="424"/>
      <c r="M172" s="424"/>
      <c r="N172" s="424"/>
      <c r="O172" s="424"/>
      <c r="P172" s="424"/>
      <c r="Q172" s="424"/>
      <c r="R172" s="424"/>
      <c r="S172" s="424"/>
      <c r="T172" s="424"/>
      <c r="U172" s="424"/>
      <c r="V172" s="424"/>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2086"/>
      <c r="BB172" s="2087"/>
      <c r="BC172" s="82"/>
      <c r="BD172" s="82"/>
      <c r="BE172" s="82"/>
      <c r="BF172" s="82"/>
      <c r="BG172" s="82"/>
      <c r="BH172" s="82"/>
      <c r="BI172" s="82"/>
      <c r="BJ172" s="82"/>
      <c r="BK172" s="82"/>
      <c r="BL172" s="82" t="s">
        <v>725</v>
      </c>
      <c r="BM172" s="82" t="s">
        <v>725</v>
      </c>
      <c r="BN172" s="82" t="s">
        <v>725</v>
      </c>
      <c r="CL172" s="9" t="s">
        <v>3522</v>
      </c>
      <c r="CM172" s="8">
        <v>43291</v>
      </c>
      <c r="CY172" s="361"/>
      <c r="CZ172" s="361"/>
      <c r="DA172" s="361"/>
      <c r="DB172" s="448"/>
      <c r="DC172" s="448"/>
      <c r="DD172" s="448"/>
      <c r="DE172" s="448"/>
      <c r="DF172" s="361"/>
    </row>
    <row r="173" spans="1:110" ht="25.5">
      <c r="A173" s="1596"/>
      <c r="B173" s="424"/>
      <c r="C173" s="424"/>
      <c r="D173" s="424"/>
      <c r="E173" s="424"/>
      <c r="F173" s="424"/>
      <c r="G173" s="424"/>
      <c r="H173" s="424"/>
      <c r="I173" s="424"/>
      <c r="J173" s="424"/>
      <c r="K173" s="424"/>
      <c r="L173" s="424"/>
      <c r="M173" s="424"/>
      <c r="N173" s="424"/>
      <c r="O173" s="424"/>
      <c r="P173" s="424"/>
      <c r="Q173" s="424"/>
      <c r="R173" s="424"/>
      <c r="S173" s="424"/>
      <c r="T173" s="424"/>
      <c r="U173" s="424"/>
      <c r="V173" s="424"/>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2086"/>
      <c r="BB173" s="2087"/>
      <c r="BC173" s="82"/>
      <c r="BD173" s="82"/>
      <c r="BE173" s="82"/>
      <c r="BF173" s="82"/>
      <c r="BG173" s="82"/>
      <c r="BH173" s="82"/>
      <c r="BI173" s="82"/>
      <c r="BJ173" s="82"/>
      <c r="BK173" s="82"/>
      <c r="BL173" s="82" t="s">
        <v>3523</v>
      </c>
      <c r="BM173" s="82" t="s">
        <v>3523</v>
      </c>
      <c r="BN173" s="82" t="s">
        <v>3523</v>
      </c>
      <c r="BQ173" s="9" t="s">
        <v>3524</v>
      </c>
      <c r="CL173" s="22" t="s">
        <v>3236</v>
      </c>
      <c r="CM173" s="8">
        <v>43326</v>
      </c>
      <c r="CN173" s="8">
        <v>43328</v>
      </c>
      <c r="CY173" s="361"/>
      <c r="CZ173" s="361"/>
      <c r="DA173" s="361"/>
      <c r="DB173" s="448"/>
      <c r="DC173" s="448"/>
      <c r="DD173" s="448"/>
      <c r="DE173" s="448"/>
      <c r="DF173" s="361"/>
    </row>
    <row r="174" spans="1:110">
      <c r="A174" s="1607"/>
      <c r="B174" s="1659"/>
      <c r="C174" s="1659"/>
      <c r="D174" s="1659"/>
      <c r="E174" s="1659"/>
      <c r="F174" s="1659"/>
      <c r="G174" s="1659"/>
      <c r="H174" s="1659"/>
      <c r="I174" s="1659"/>
      <c r="J174" s="1659"/>
      <c r="K174" s="1659"/>
      <c r="L174" s="1659"/>
      <c r="M174" s="1659"/>
      <c r="N174" s="1659"/>
      <c r="O174" s="1659"/>
      <c r="P174" s="1659"/>
      <c r="Q174" s="1659"/>
      <c r="R174" s="1659"/>
      <c r="S174" s="1659"/>
      <c r="T174" s="1659"/>
      <c r="U174" s="1659"/>
      <c r="V174" s="1659"/>
      <c r="W174" s="65"/>
      <c r="X174" s="65"/>
      <c r="Y174" s="65"/>
      <c r="Z174" s="65"/>
      <c r="AA174" s="65"/>
      <c r="AB174" s="65"/>
      <c r="AC174" s="65"/>
      <c r="AD174" s="65"/>
      <c r="AE174" s="65"/>
      <c r="AF174" s="65"/>
      <c r="AG174" s="65"/>
      <c r="AH174" s="65"/>
      <c r="AI174" s="65"/>
      <c r="AJ174" s="65"/>
      <c r="AK174" s="65"/>
      <c r="AL174" s="65"/>
      <c r="AM174" s="65"/>
      <c r="AN174" s="65"/>
      <c r="AO174" s="65"/>
      <c r="AP174" s="65"/>
      <c r="AQ174" s="65"/>
      <c r="AR174" s="65"/>
      <c r="AS174" s="65"/>
      <c r="AT174" s="65"/>
      <c r="AU174" s="65"/>
      <c r="AV174" s="65"/>
      <c r="AW174" s="65"/>
      <c r="AX174" s="65"/>
      <c r="AY174" s="65"/>
      <c r="AZ174" s="65"/>
      <c r="BA174" s="2086"/>
      <c r="BB174" s="2087"/>
      <c r="BC174" s="65"/>
      <c r="BD174" s="65"/>
      <c r="BE174" s="65"/>
      <c r="BF174" s="65"/>
      <c r="BG174" s="65"/>
      <c r="BH174" s="65"/>
      <c r="BI174" s="65"/>
      <c r="BJ174" s="65"/>
      <c r="BK174" s="65"/>
      <c r="BL174" s="65">
        <v>23.91</v>
      </c>
      <c r="BM174" s="65">
        <v>22.91</v>
      </c>
      <c r="BN174" s="65">
        <v>21.91</v>
      </c>
      <c r="BQ174" s="9" t="s">
        <v>3525</v>
      </c>
      <c r="CL174" s="9" t="s">
        <v>3237</v>
      </c>
      <c r="CM174" s="8">
        <v>43322</v>
      </c>
      <c r="CY174" s="361"/>
      <c r="CZ174" s="361"/>
      <c r="DA174" s="361"/>
      <c r="DB174" s="448"/>
      <c r="DC174" s="448"/>
      <c r="DD174" s="448"/>
      <c r="DE174" s="448"/>
      <c r="DF174" s="361"/>
    </row>
    <row r="175" spans="1:110" ht="25.5">
      <c r="A175" s="1596"/>
      <c r="B175" s="1601"/>
      <c r="C175" s="1601"/>
      <c r="D175" s="1601"/>
      <c r="E175" s="1601"/>
      <c r="F175" s="1601"/>
      <c r="G175" s="1601"/>
      <c r="H175" s="1601"/>
      <c r="I175" s="1601"/>
      <c r="J175" s="1601"/>
      <c r="K175" s="1601"/>
      <c r="L175" s="1601"/>
      <c r="M175" s="1601"/>
      <c r="N175" s="1601"/>
      <c r="O175" s="1601"/>
      <c r="P175" s="1601"/>
      <c r="Q175" s="1601"/>
      <c r="R175" s="1601"/>
      <c r="S175" s="1601"/>
      <c r="T175" s="1601"/>
      <c r="U175" s="1601"/>
      <c r="V175" s="1601"/>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2086"/>
      <c r="BB175" s="2087"/>
      <c r="BC175" s="12"/>
      <c r="BD175" s="12"/>
      <c r="BE175" s="12"/>
      <c r="BF175" s="12"/>
      <c r="BG175" s="12"/>
      <c r="BH175" s="12"/>
      <c r="BI175" s="12"/>
      <c r="BJ175" s="12"/>
      <c r="BK175" s="12"/>
      <c r="BL175" s="12">
        <v>6.15</v>
      </c>
      <c r="BM175" s="12">
        <v>6.15</v>
      </c>
      <c r="BN175" s="12">
        <v>6.15</v>
      </c>
      <c r="BQ175" s="9">
        <f>3.3-2.8</f>
        <v>0.5</v>
      </c>
      <c r="CL175" s="9" t="s">
        <v>3238</v>
      </c>
      <c r="CM175" s="8">
        <v>43322</v>
      </c>
      <c r="CY175" s="361"/>
      <c r="CZ175" s="361"/>
      <c r="DA175" s="361"/>
      <c r="DB175" s="448"/>
      <c r="DC175" s="448"/>
      <c r="DD175" s="448"/>
      <c r="DE175" s="448"/>
      <c r="DF175" s="361"/>
    </row>
    <row r="176" spans="1:110" ht="25.5">
      <c r="A176" s="1596"/>
      <c r="B176" s="1601"/>
      <c r="C176" s="1601"/>
      <c r="D176" s="1601"/>
      <c r="E176" s="1601"/>
      <c r="F176" s="1601"/>
      <c r="G176" s="1601"/>
      <c r="H176" s="1601"/>
      <c r="I176" s="1601"/>
      <c r="J176" s="1601"/>
      <c r="K176" s="1601"/>
      <c r="L176" s="1601"/>
      <c r="M176" s="1601"/>
      <c r="N176" s="1601"/>
      <c r="O176" s="1601"/>
      <c r="P176" s="1601"/>
      <c r="Q176" s="1601"/>
      <c r="R176" s="1601"/>
      <c r="S176" s="1601"/>
      <c r="T176" s="1601"/>
      <c r="U176" s="1601"/>
      <c r="V176" s="1601"/>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2086"/>
      <c r="BB176" s="2087"/>
      <c r="BC176" s="12"/>
      <c r="BD176" s="12"/>
      <c r="BE176" s="12"/>
      <c r="BF176" s="12"/>
      <c r="BG176" s="12"/>
      <c r="BH176" s="12"/>
      <c r="BI176" s="12"/>
      <c r="BJ176" s="12"/>
      <c r="BK176" s="12"/>
      <c r="BL176" s="12">
        <v>3</v>
      </c>
      <c r="BM176" s="12">
        <v>3</v>
      </c>
      <c r="BN176" s="12">
        <v>3</v>
      </c>
      <c r="BQ176" s="9">
        <f>0.55-0.08</f>
        <v>0.47000000000000003</v>
      </c>
      <c r="CL176" s="9" t="s">
        <v>3231</v>
      </c>
      <c r="CM176" s="8">
        <v>43331</v>
      </c>
      <c r="CN176" s="8">
        <v>43334</v>
      </c>
      <c r="CY176" s="361"/>
      <c r="CZ176" s="361"/>
      <c r="DA176" s="361"/>
      <c r="DB176" s="448"/>
      <c r="DC176" s="448"/>
      <c r="DD176" s="448"/>
      <c r="DE176" s="448"/>
      <c r="DF176" s="361"/>
    </row>
    <row r="177" spans="1:110" ht="25.5">
      <c r="A177" s="1596"/>
      <c r="B177" s="1601"/>
      <c r="C177" s="1601"/>
      <c r="D177" s="1601"/>
      <c r="E177" s="1601"/>
      <c r="F177" s="1601"/>
      <c r="G177" s="1601"/>
      <c r="H177" s="1601"/>
      <c r="I177" s="1601"/>
      <c r="J177" s="1601"/>
      <c r="K177" s="1601"/>
      <c r="L177" s="1601"/>
      <c r="M177" s="1601"/>
      <c r="N177" s="1601"/>
      <c r="O177" s="1601"/>
      <c r="P177" s="1601"/>
      <c r="Q177" s="1601"/>
      <c r="R177" s="1601"/>
      <c r="S177" s="1601"/>
      <c r="T177" s="1601"/>
      <c r="U177" s="1601"/>
      <c r="V177" s="1601"/>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2086"/>
      <c r="BB177" s="2087"/>
      <c r="BC177" s="12"/>
      <c r="BD177" s="12"/>
      <c r="BE177" s="12"/>
      <c r="BF177" s="12"/>
      <c r="BG177" s="12"/>
      <c r="BH177" s="12"/>
      <c r="BI177" s="12"/>
      <c r="BJ177" s="12"/>
      <c r="BK177" s="12"/>
      <c r="BL177" s="12">
        <v>0</v>
      </c>
      <c r="BM177" s="12">
        <v>0</v>
      </c>
      <c r="BN177" s="12">
        <v>0</v>
      </c>
      <c r="BQ177" s="9">
        <f>BQ175+BQ176</f>
        <v>0.97</v>
      </c>
      <c r="CL177" s="9" t="s">
        <v>3230</v>
      </c>
      <c r="CM177" s="8">
        <v>43334</v>
      </c>
      <c r="CN177" s="8">
        <v>43339</v>
      </c>
      <c r="CY177" s="361"/>
      <c r="CZ177" s="361"/>
      <c r="DA177" s="361"/>
      <c r="DB177" s="448"/>
      <c r="DC177" s="448"/>
      <c r="DD177" s="448"/>
      <c r="DE177" s="448"/>
      <c r="DF177" s="361"/>
    </row>
    <row r="178" spans="1:110" ht="25.5">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2086"/>
      <c r="BB178" s="2087"/>
      <c r="BC178" s="12"/>
      <c r="BD178" s="12"/>
      <c r="BE178" s="12"/>
      <c r="BF178" s="12"/>
      <c r="BG178" s="12"/>
      <c r="BH178" s="12"/>
      <c r="BI178" s="12"/>
      <c r="BJ178" s="12"/>
      <c r="BK178" s="12"/>
      <c r="BL178" s="12">
        <f>3.72+0.61</f>
        <v>4.33</v>
      </c>
      <c r="BM178" s="12">
        <f>3.72+0.61</f>
        <v>4.33</v>
      </c>
      <c r="BN178" s="12">
        <f>3.72+0.61</f>
        <v>4.33</v>
      </c>
      <c r="CL178" s="9" t="s">
        <v>3229</v>
      </c>
      <c r="CM178" s="8">
        <v>43335</v>
      </c>
      <c r="CN178" s="8">
        <v>43339</v>
      </c>
      <c r="CY178" s="361"/>
      <c r="CZ178" s="361"/>
      <c r="DA178" s="361"/>
      <c r="DB178" s="448"/>
      <c r="DC178" s="448"/>
      <c r="DD178" s="448"/>
      <c r="DE178" s="448"/>
      <c r="DF178" s="361"/>
    </row>
    <row r="179" spans="1:110">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2086"/>
      <c r="BB179" s="2087"/>
      <c r="BC179" s="12"/>
      <c r="BD179" s="12"/>
      <c r="BE179" s="12"/>
      <c r="BF179" s="12"/>
      <c r="BG179" s="12"/>
      <c r="BH179" s="12"/>
      <c r="BI179" s="12"/>
      <c r="BJ179" s="12"/>
      <c r="BK179" s="12"/>
      <c r="BL179" s="12">
        <v>2.8</v>
      </c>
      <c r="BM179" s="12">
        <v>2.8</v>
      </c>
      <c r="BN179" s="12">
        <v>2.8</v>
      </c>
      <c r="CL179" s="9" t="s">
        <v>3232</v>
      </c>
      <c r="CM179" s="8">
        <v>43331</v>
      </c>
      <c r="CN179" s="8">
        <v>43341</v>
      </c>
      <c r="CO179" s="9" t="s">
        <v>3233</v>
      </c>
      <c r="CY179" s="361"/>
      <c r="CZ179" s="361"/>
      <c r="DA179" s="361"/>
      <c r="DB179" s="448"/>
      <c r="DC179" s="448"/>
      <c r="DD179" s="448"/>
      <c r="DE179" s="448"/>
      <c r="DF179" s="361"/>
    </row>
    <row r="180" spans="1:110">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2086"/>
      <c r="BB180" s="2087"/>
      <c r="BC180" s="12"/>
      <c r="BD180" s="12"/>
      <c r="BE180" s="12"/>
      <c r="BF180" s="12"/>
      <c r="BG180" s="12"/>
      <c r="BH180" s="12"/>
      <c r="BI180" s="12"/>
      <c r="BJ180" s="12"/>
      <c r="BK180" s="12"/>
      <c r="BL180" s="12">
        <v>0</v>
      </c>
      <c r="BM180" s="12">
        <v>0</v>
      </c>
      <c r="BN180" s="12">
        <v>0</v>
      </c>
      <c r="CL180" s="9" t="s">
        <v>3234</v>
      </c>
      <c r="CM180" s="8">
        <v>43328</v>
      </c>
      <c r="CN180" s="8">
        <v>43340</v>
      </c>
      <c r="CO180" s="9" t="s">
        <v>3235</v>
      </c>
      <c r="CY180" s="361"/>
      <c r="CZ180" s="361"/>
      <c r="DA180" s="361"/>
      <c r="DB180" s="448"/>
      <c r="DC180" s="448"/>
      <c r="DD180" s="448"/>
      <c r="DE180" s="448"/>
      <c r="DF180" s="361"/>
    </row>
    <row r="181" spans="1:110">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2086"/>
      <c r="BB181" s="2087"/>
      <c r="BC181" s="12"/>
      <c r="BD181" s="12"/>
      <c r="BE181" s="12"/>
      <c r="BF181" s="12"/>
      <c r="BG181" s="12"/>
      <c r="BH181" s="12"/>
      <c r="BI181" s="12"/>
      <c r="BJ181" s="12"/>
      <c r="BK181" s="12"/>
      <c r="BL181" s="12">
        <v>0.55000000000000004</v>
      </c>
      <c r="BM181" s="12">
        <v>0.55000000000000004</v>
      </c>
      <c r="BN181" s="12">
        <v>0.55000000000000004</v>
      </c>
      <c r="CL181" s="9" t="s">
        <v>3228</v>
      </c>
      <c r="CM181" s="8">
        <v>43338</v>
      </c>
      <c r="CN181" s="8">
        <v>43342</v>
      </c>
      <c r="CY181" s="361"/>
      <c r="CZ181" s="361"/>
      <c r="DA181" s="361"/>
      <c r="DB181" s="448"/>
      <c r="DC181" s="448"/>
      <c r="DD181" s="448"/>
      <c r="DE181" s="448"/>
      <c r="DF181" s="361"/>
    </row>
    <row r="182" spans="1:110">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2086"/>
      <c r="BB182" s="2087"/>
      <c r="BC182" s="12"/>
      <c r="BD182" s="12"/>
      <c r="BE182" s="12"/>
      <c r="BF182" s="12"/>
      <c r="BG182" s="12"/>
      <c r="BH182" s="12"/>
      <c r="BI182" s="12"/>
      <c r="BJ182" s="12"/>
      <c r="BK182" s="12"/>
      <c r="BL182" s="12"/>
      <c r="BM182" s="12"/>
      <c r="BN182" s="12"/>
      <c r="CL182" s="9" t="s">
        <v>3226</v>
      </c>
      <c r="CM182" s="8">
        <v>43339</v>
      </c>
      <c r="CN182" s="8">
        <v>43341</v>
      </c>
      <c r="CO182" s="9">
        <v>1881938</v>
      </c>
      <c r="CY182" s="361"/>
      <c r="CZ182" s="361"/>
      <c r="DA182" s="361"/>
      <c r="DB182" s="448"/>
      <c r="DC182" s="448"/>
      <c r="DD182" s="448"/>
      <c r="DE182" s="448"/>
      <c r="DF182" s="361"/>
    </row>
    <row r="183" spans="1:110">
      <c r="A183" s="3"/>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c r="AQ183" s="65"/>
      <c r="AR183" s="65"/>
      <c r="AS183" s="65"/>
      <c r="AT183" s="65"/>
      <c r="AU183" s="65"/>
      <c r="AV183" s="65"/>
      <c r="AW183" s="65"/>
      <c r="AX183" s="65"/>
      <c r="AY183" s="65"/>
      <c r="AZ183" s="65"/>
      <c r="BA183" s="2086"/>
      <c r="BB183" s="2087"/>
      <c r="BC183" s="65"/>
      <c r="BD183" s="65"/>
      <c r="BE183" s="65"/>
      <c r="BF183" s="65"/>
      <c r="BG183" s="65"/>
      <c r="BH183" s="65"/>
      <c r="BI183" s="65"/>
      <c r="BJ183" s="65"/>
      <c r="BK183" s="65"/>
      <c r="BL183" s="65">
        <f>BL174-SUM(BL175:BL182)</f>
        <v>7.0799999999999983</v>
      </c>
      <c r="BM183" s="65">
        <f>BM174-SUM(BM175:BM182)</f>
        <v>6.0799999999999983</v>
      </c>
      <c r="BN183" s="65">
        <f>BN174-SUM(BN175:BN182)</f>
        <v>5.0799999999999983</v>
      </c>
      <c r="CL183" s="9" t="s">
        <v>3227</v>
      </c>
      <c r="CM183" s="8">
        <v>43339</v>
      </c>
      <c r="CN183" s="8">
        <v>43354</v>
      </c>
      <c r="CY183" s="361"/>
      <c r="CZ183" s="361"/>
      <c r="DA183" s="361"/>
      <c r="DB183" s="448"/>
      <c r="DC183" s="448"/>
      <c r="DD183" s="448"/>
      <c r="DE183" s="448"/>
      <c r="DF183" s="361"/>
    </row>
    <row r="184" spans="1:110">
      <c r="CL184" s="9" t="s">
        <v>3225</v>
      </c>
      <c r="CM184" s="8">
        <v>43355</v>
      </c>
      <c r="CN184" s="8">
        <v>43358</v>
      </c>
      <c r="CY184" s="361"/>
      <c r="CZ184" s="361"/>
      <c r="DA184" s="361"/>
      <c r="DB184" s="448"/>
      <c r="DC184" s="448"/>
      <c r="DD184" s="448"/>
      <c r="DE184" s="448"/>
      <c r="DF184" s="361"/>
    </row>
    <row r="185" spans="1:110" ht="85.5">
      <c r="CL185" s="9" t="s">
        <v>3223</v>
      </c>
      <c r="CM185" s="8">
        <v>43356</v>
      </c>
      <c r="CO185" s="528" t="s">
        <v>3224</v>
      </c>
      <c r="CY185" s="361"/>
      <c r="CZ185" s="361"/>
      <c r="DA185" s="361"/>
      <c r="DB185" s="448"/>
      <c r="DC185" s="448"/>
      <c r="DD185" s="448"/>
      <c r="DE185" s="448"/>
      <c r="DF185" s="361"/>
    </row>
    <row r="186" spans="1:110" ht="25.5">
      <c r="CL186" s="9" t="s">
        <v>3221</v>
      </c>
      <c r="CM186" s="8">
        <v>43377</v>
      </c>
      <c r="CN186" s="8">
        <v>43382</v>
      </c>
      <c r="CY186" s="361"/>
      <c r="CZ186" s="361"/>
      <c r="DA186" s="361"/>
      <c r="DB186" s="448"/>
      <c r="DC186" s="448"/>
      <c r="DD186" s="448"/>
      <c r="DE186" s="448"/>
      <c r="DF186" s="361"/>
    </row>
    <row r="187" spans="1:110">
      <c r="A187" s="2087"/>
      <c r="B187" s="2087"/>
      <c r="C187" s="2087"/>
      <c r="D187" s="2087"/>
      <c r="E187" s="2087"/>
      <c r="F187" s="2087"/>
      <c r="G187" s="2087"/>
      <c r="H187" s="2087"/>
      <c r="I187" s="2087"/>
      <c r="J187" s="2087"/>
      <c r="K187" s="2087"/>
      <c r="L187" s="2087"/>
      <c r="M187" s="2087"/>
      <c r="N187" s="2087"/>
      <c r="O187" s="2087"/>
      <c r="P187" s="2087"/>
      <c r="Q187" s="2087"/>
      <c r="R187" s="2087"/>
      <c r="S187" s="2087"/>
      <c r="T187" s="2087"/>
      <c r="U187" s="2087"/>
      <c r="V187" s="2087"/>
      <c r="W187" s="2087"/>
      <c r="X187" s="2087"/>
      <c r="Y187" s="2087"/>
      <c r="Z187" s="2087"/>
      <c r="AA187" s="2087"/>
      <c r="AB187" s="2087"/>
      <c r="AC187" s="2087"/>
      <c r="AD187" s="2087"/>
      <c r="AE187" s="2087"/>
      <c r="AF187" s="2087"/>
      <c r="AG187" s="2087"/>
      <c r="AH187" s="2087"/>
      <c r="AI187" s="2087"/>
      <c r="AJ187" s="2087"/>
      <c r="AK187" s="2087"/>
      <c r="AL187" s="2087"/>
      <c r="AM187" s="2087"/>
      <c r="AN187" s="2087"/>
      <c r="AO187" s="2087"/>
      <c r="AP187" s="2087"/>
      <c r="AQ187" s="2087"/>
      <c r="AR187" s="2087"/>
      <c r="AS187" s="2087"/>
      <c r="AT187" s="2087"/>
      <c r="AU187" s="2087"/>
      <c r="AV187" s="2087"/>
      <c r="AW187" s="2087"/>
      <c r="AX187" s="2087"/>
      <c r="AY187" s="2087"/>
      <c r="AZ187" s="2087"/>
      <c r="BA187" s="2087"/>
      <c r="BB187" s="2087"/>
      <c r="BC187" s="2087"/>
      <c r="BD187" s="2087"/>
      <c r="BE187" s="2087"/>
      <c r="BF187" s="2087"/>
      <c r="BG187" s="2087"/>
      <c r="BH187" s="2087"/>
      <c r="BI187" s="2087"/>
      <c r="BJ187" s="2087"/>
      <c r="BK187" s="2087"/>
      <c r="BL187" s="9">
        <v>1</v>
      </c>
      <c r="CL187" s="9" t="s">
        <v>3218</v>
      </c>
      <c r="CM187" s="8">
        <v>43378</v>
      </c>
      <c r="CN187" s="8">
        <v>43382</v>
      </c>
      <c r="CY187" s="361"/>
      <c r="CZ187" s="361"/>
      <c r="DA187" s="361"/>
      <c r="DB187" s="448"/>
      <c r="DC187" s="448"/>
      <c r="DD187" s="448"/>
      <c r="DE187" s="448"/>
      <c r="DF187" s="361"/>
    </row>
    <row r="188" spans="1:110" ht="25.5">
      <c r="A188" s="2087"/>
      <c r="B188" s="2087"/>
      <c r="C188" s="2087"/>
      <c r="D188" s="2087"/>
      <c r="E188" s="2087"/>
      <c r="F188" s="2087"/>
      <c r="G188" s="2087"/>
      <c r="H188" s="2087"/>
      <c r="I188" s="2087"/>
      <c r="J188" s="2087"/>
      <c r="K188" s="2087"/>
      <c r="L188" s="2087"/>
      <c r="M188" s="2087"/>
      <c r="N188" s="2087"/>
      <c r="O188" s="2087"/>
      <c r="P188" s="2087"/>
      <c r="Q188" s="2087"/>
      <c r="R188" s="2087"/>
      <c r="S188" s="2087"/>
      <c r="T188" s="2087"/>
      <c r="U188" s="2087"/>
      <c r="V188" s="2087"/>
      <c r="W188" s="2087"/>
      <c r="X188" s="2087"/>
      <c r="Y188" s="2087"/>
      <c r="Z188" s="2087"/>
      <c r="AA188" s="2087"/>
      <c r="AB188" s="2087"/>
      <c r="AC188" s="2087"/>
      <c r="AD188" s="2087"/>
      <c r="AE188" s="2087"/>
      <c r="AF188" s="2087"/>
      <c r="AG188" s="2087"/>
      <c r="AH188" s="2087"/>
      <c r="AI188" s="2087"/>
      <c r="AJ188" s="2087"/>
      <c r="AK188" s="2087"/>
      <c r="AL188" s="2087"/>
      <c r="AM188" s="2087"/>
      <c r="AN188" s="2087"/>
      <c r="AO188" s="2087"/>
      <c r="AP188" s="2087"/>
      <c r="AQ188" s="2087"/>
      <c r="AR188" s="2087"/>
      <c r="AS188" s="2087"/>
      <c r="AT188" s="2087"/>
      <c r="AU188" s="2087"/>
      <c r="AV188" s="2087"/>
      <c r="AW188" s="2087"/>
      <c r="AX188" s="2087"/>
      <c r="AY188" s="2087"/>
      <c r="AZ188" s="2087"/>
      <c r="BA188" s="2087"/>
      <c r="BB188" s="2087"/>
      <c r="BC188" s="2087"/>
      <c r="BD188" s="2087"/>
      <c r="BE188" s="2087"/>
      <c r="BF188" s="2087"/>
      <c r="BG188" s="2087"/>
      <c r="BH188" s="2087"/>
      <c r="BI188" s="2087"/>
      <c r="BJ188" s="2087"/>
      <c r="BK188" s="2087"/>
      <c r="BL188" s="9">
        <v>2</v>
      </c>
      <c r="CL188" s="9" t="s">
        <v>3274</v>
      </c>
      <c r="CN188" s="8">
        <v>43378</v>
      </c>
      <c r="CO188" s="9" t="s">
        <v>3275</v>
      </c>
      <c r="CY188" s="361"/>
      <c r="CZ188" s="361"/>
      <c r="DA188" s="361"/>
      <c r="DB188" s="448"/>
      <c r="DC188" s="448"/>
      <c r="DD188" s="448"/>
      <c r="DE188" s="448"/>
      <c r="DF188" s="361"/>
    </row>
    <row r="189" spans="1:110">
      <c r="A189" s="2087"/>
      <c r="B189" s="2087"/>
      <c r="C189" s="2087"/>
      <c r="D189" s="2087"/>
      <c r="E189" s="2087"/>
      <c r="F189" s="2087"/>
      <c r="G189" s="2087"/>
      <c r="H189" s="2087"/>
      <c r="I189" s="2087"/>
      <c r="J189" s="2087"/>
      <c r="K189" s="2087"/>
      <c r="L189" s="2087"/>
      <c r="M189" s="2087"/>
      <c r="N189" s="2087"/>
      <c r="O189" s="2087"/>
      <c r="P189" s="2087"/>
      <c r="Q189" s="2087"/>
      <c r="R189" s="2087"/>
      <c r="S189" s="2087"/>
      <c r="T189" s="2087"/>
      <c r="U189" s="2087"/>
      <c r="V189" s="2087"/>
      <c r="W189" s="2087"/>
      <c r="X189" s="2087"/>
      <c r="Y189" s="2087"/>
      <c r="Z189" s="2087"/>
      <c r="AA189" s="2087"/>
      <c r="AB189" s="2087"/>
      <c r="AC189" s="2087"/>
      <c r="AD189" s="2087"/>
      <c r="AE189" s="2087"/>
      <c r="AF189" s="2087"/>
      <c r="AG189" s="2087"/>
      <c r="AH189" s="2087"/>
      <c r="AI189" s="2087"/>
      <c r="AJ189" s="2087"/>
      <c r="AK189" s="2087"/>
      <c r="AL189" s="2087"/>
      <c r="AM189" s="2087"/>
      <c r="AN189" s="2087"/>
      <c r="AO189" s="2087"/>
      <c r="AP189" s="2087"/>
      <c r="AQ189" s="2087"/>
      <c r="AR189" s="2087"/>
      <c r="AS189" s="2087"/>
      <c r="AT189" s="2087"/>
      <c r="AU189" s="2087"/>
      <c r="AV189" s="2087"/>
      <c r="AW189" s="2087"/>
      <c r="AX189" s="2087"/>
      <c r="AY189" s="2087"/>
      <c r="AZ189" s="2087"/>
      <c r="BA189" s="2087"/>
      <c r="BB189" s="2087"/>
      <c r="BC189" s="2087"/>
      <c r="BD189" s="2087"/>
      <c r="BE189" s="2087"/>
      <c r="BF189" s="2087"/>
      <c r="BG189" s="2087"/>
      <c r="BH189" s="2087"/>
      <c r="BI189" s="2087"/>
      <c r="BJ189" s="2087"/>
      <c r="BK189" s="2087"/>
      <c r="BL189" s="9">
        <v>3</v>
      </c>
      <c r="CL189" s="9" t="s">
        <v>3222</v>
      </c>
      <c r="CM189" s="8">
        <v>43377</v>
      </c>
      <c r="CN189" s="8">
        <v>43384</v>
      </c>
      <c r="CY189" s="361"/>
      <c r="CZ189" s="361"/>
      <c r="DA189" s="361"/>
      <c r="DB189" s="448"/>
      <c r="DC189" s="448"/>
      <c r="DD189" s="448"/>
      <c r="DE189" s="448"/>
      <c r="DF189" s="361"/>
    </row>
    <row r="190" spans="1:110">
      <c r="A190" s="2087"/>
      <c r="B190" s="2087"/>
      <c r="C190" s="2087"/>
      <c r="D190" s="2087"/>
      <c r="E190" s="2087"/>
      <c r="F190" s="2087"/>
      <c r="G190" s="2087"/>
      <c r="H190" s="2087"/>
      <c r="I190" s="2087"/>
      <c r="J190" s="2087"/>
      <c r="K190" s="2087"/>
      <c r="L190" s="2087"/>
      <c r="M190" s="2087"/>
      <c r="N190" s="2087"/>
      <c r="O190" s="2087"/>
      <c r="P190" s="2087"/>
      <c r="Q190" s="2087"/>
      <c r="R190" s="2087"/>
      <c r="S190" s="2087"/>
      <c r="T190" s="2087"/>
      <c r="U190" s="2087"/>
      <c r="V190" s="2087"/>
      <c r="W190" s="2087"/>
      <c r="X190" s="2087"/>
      <c r="Y190" s="2087"/>
      <c r="Z190" s="2087"/>
      <c r="AA190" s="2087"/>
      <c r="AB190" s="2087"/>
      <c r="AC190" s="2087"/>
      <c r="AD190" s="2087"/>
      <c r="AE190" s="2087"/>
      <c r="AF190" s="2087"/>
      <c r="AG190" s="2087"/>
      <c r="AH190" s="2087"/>
      <c r="AI190" s="2087"/>
      <c r="AJ190" s="2087"/>
      <c r="AK190" s="2087"/>
      <c r="AL190" s="2087"/>
      <c r="AM190" s="2087"/>
      <c r="AN190" s="2087"/>
      <c r="AO190" s="2087"/>
      <c r="AP190" s="2087"/>
      <c r="AQ190" s="2087"/>
      <c r="AR190" s="2087"/>
      <c r="AS190" s="2087"/>
      <c r="AT190" s="2087"/>
      <c r="AU190" s="2087"/>
      <c r="AV190" s="2087"/>
      <c r="AW190" s="2087"/>
      <c r="AX190" s="2087"/>
      <c r="AY190" s="2087"/>
      <c r="AZ190" s="2087"/>
      <c r="BA190" s="2087"/>
      <c r="BB190" s="2087"/>
      <c r="BC190" s="2087"/>
      <c r="BD190" s="2087"/>
      <c r="BE190" s="2087"/>
      <c r="BF190" s="2087"/>
      <c r="BG190" s="2087"/>
      <c r="BH190" s="2087"/>
      <c r="BI190" s="2087"/>
      <c r="BJ190" s="2087"/>
      <c r="BK190" s="2087"/>
      <c r="BL190" s="9">
        <v>4</v>
      </c>
      <c r="CL190" s="9" t="s">
        <v>3219</v>
      </c>
      <c r="CM190" s="8">
        <v>43378</v>
      </c>
      <c r="CN190" s="8">
        <v>43382</v>
      </c>
      <c r="CO190" s="9" t="s">
        <v>3220</v>
      </c>
      <c r="CY190" s="361"/>
      <c r="CZ190" s="361"/>
      <c r="DA190" s="361"/>
      <c r="DB190" s="448"/>
      <c r="DC190" s="448"/>
      <c r="DD190" s="448"/>
      <c r="DE190" s="448"/>
      <c r="DF190" s="361"/>
    </row>
    <row r="191" spans="1:110">
      <c r="A191" s="2087"/>
      <c r="B191" s="2087"/>
      <c r="C191" s="2087"/>
      <c r="D191" s="2087"/>
      <c r="E191" s="2087"/>
      <c r="F191" s="2087"/>
      <c r="G191" s="2087"/>
      <c r="H191" s="2087"/>
      <c r="I191" s="2087"/>
      <c r="J191" s="2087"/>
      <c r="K191" s="2087"/>
      <c r="L191" s="2087"/>
      <c r="M191" s="2087"/>
      <c r="N191" s="2087"/>
      <c r="O191" s="2087"/>
      <c r="P191" s="2087"/>
      <c r="Q191" s="2087"/>
      <c r="R191" s="2087"/>
      <c r="S191" s="2087"/>
      <c r="T191" s="2087"/>
      <c r="U191" s="2087"/>
      <c r="V191" s="2087"/>
      <c r="W191" s="2087"/>
      <c r="X191" s="2087"/>
      <c r="Y191" s="2087"/>
      <c r="Z191" s="2087"/>
      <c r="AA191" s="2087"/>
      <c r="AB191" s="2087"/>
      <c r="AC191" s="2087"/>
      <c r="AD191" s="2087"/>
      <c r="AE191" s="2087"/>
      <c r="AF191" s="2087"/>
      <c r="AG191" s="2087"/>
      <c r="AH191" s="2087"/>
      <c r="AI191" s="2087"/>
      <c r="AJ191" s="2087"/>
      <c r="AK191" s="2087"/>
      <c r="AL191" s="2087"/>
      <c r="AM191" s="2087"/>
      <c r="AN191" s="2087"/>
      <c r="AO191" s="2087"/>
      <c r="AP191" s="2087"/>
      <c r="AQ191" s="2087"/>
      <c r="AR191" s="2087"/>
      <c r="AS191" s="2087"/>
      <c r="AT191" s="2087"/>
      <c r="AU191" s="2087"/>
      <c r="AV191" s="2087"/>
      <c r="AW191" s="2087"/>
      <c r="AX191" s="2087"/>
      <c r="AY191" s="2087"/>
      <c r="AZ191" s="2087"/>
      <c r="BA191" s="2087"/>
      <c r="BB191" s="2087"/>
      <c r="BC191" s="2087"/>
      <c r="BD191" s="2087"/>
      <c r="BE191" s="2087"/>
      <c r="BF191" s="2087"/>
      <c r="BG191" s="2087"/>
      <c r="BH191" s="2087"/>
      <c r="BI191" s="2087"/>
      <c r="BJ191" s="2087"/>
      <c r="BK191" s="2087"/>
      <c r="BL191" s="9">
        <v>5</v>
      </c>
      <c r="CL191" s="9" t="s">
        <v>3217</v>
      </c>
      <c r="CM191" s="8">
        <v>43382</v>
      </c>
      <c r="CN191" s="8">
        <v>43384</v>
      </c>
      <c r="CY191" s="361"/>
      <c r="CZ191" s="361"/>
      <c r="DA191" s="361"/>
      <c r="DB191" s="448"/>
      <c r="DC191" s="448"/>
      <c r="DD191" s="448"/>
      <c r="DE191" s="448"/>
      <c r="DF191" s="361"/>
    </row>
    <row r="192" spans="1:110" ht="25.5">
      <c r="A192" s="2087"/>
      <c r="B192" s="2087"/>
      <c r="C192" s="2087"/>
      <c r="D192" s="2087"/>
      <c r="E192" s="2087"/>
      <c r="F192" s="2087"/>
      <c r="G192" s="2087"/>
      <c r="H192" s="2087"/>
      <c r="I192" s="2087"/>
      <c r="J192" s="2087"/>
      <c r="K192" s="2087"/>
      <c r="L192" s="2087"/>
      <c r="M192" s="2087"/>
      <c r="N192" s="2087"/>
      <c r="O192" s="2087"/>
      <c r="P192" s="2087"/>
      <c r="Q192" s="2087"/>
      <c r="R192" s="2087"/>
      <c r="S192" s="2087"/>
      <c r="T192" s="2087"/>
      <c r="U192" s="2087"/>
      <c r="V192" s="2087"/>
      <c r="W192" s="2087"/>
      <c r="X192" s="2087"/>
      <c r="Y192" s="2087"/>
      <c r="Z192" s="2087"/>
      <c r="AA192" s="2087"/>
      <c r="AB192" s="2087"/>
      <c r="AC192" s="2087"/>
      <c r="AD192" s="2087"/>
      <c r="AE192" s="2087"/>
      <c r="AF192" s="2087"/>
      <c r="AG192" s="2087"/>
      <c r="AH192" s="2087"/>
      <c r="AI192" s="2087"/>
      <c r="AJ192" s="2087"/>
      <c r="AK192" s="2087"/>
      <c r="AL192" s="2087"/>
      <c r="AM192" s="2087"/>
      <c r="AN192" s="2087"/>
      <c r="AO192" s="2087"/>
      <c r="AP192" s="2087"/>
      <c r="AQ192" s="2087"/>
      <c r="AR192" s="2087"/>
      <c r="AS192" s="2087"/>
      <c r="AT192" s="2087"/>
      <c r="AU192" s="2087"/>
      <c r="AV192" s="2087"/>
      <c r="AW192" s="2087"/>
      <c r="AX192" s="2087"/>
      <c r="AY192" s="2087"/>
      <c r="AZ192" s="2087"/>
      <c r="BA192" s="2087"/>
      <c r="BB192" s="2087"/>
      <c r="BC192" s="2087"/>
      <c r="BD192" s="2087"/>
      <c r="BE192" s="2087"/>
      <c r="BF192" s="2087"/>
      <c r="BG192" s="2087"/>
      <c r="BH192" s="2087"/>
      <c r="BI192" s="2087"/>
      <c r="BJ192" s="2087"/>
      <c r="BK192" s="2087"/>
      <c r="BL192" s="9">
        <v>6</v>
      </c>
      <c r="CL192" s="9" t="s">
        <v>3216</v>
      </c>
      <c r="CM192" s="8">
        <v>43383</v>
      </c>
      <c r="CN192" s="8">
        <v>43388</v>
      </c>
      <c r="CY192" s="361"/>
      <c r="CZ192" s="361"/>
      <c r="DA192" s="361"/>
      <c r="DB192" s="448"/>
      <c r="DC192" s="448"/>
      <c r="DD192" s="448"/>
      <c r="DE192" s="448"/>
      <c r="DF192" s="361"/>
    </row>
    <row r="193" spans="1:110">
      <c r="A193" s="2087"/>
      <c r="B193" s="2087"/>
      <c r="C193" s="2087"/>
      <c r="D193" s="2087"/>
      <c r="E193" s="2087"/>
      <c r="F193" s="2087"/>
      <c r="G193" s="2087"/>
      <c r="H193" s="2087"/>
      <c r="I193" s="2087"/>
      <c r="J193" s="2087"/>
      <c r="K193" s="2087"/>
      <c r="L193" s="2087"/>
      <c r="M193" s="2087"/>
      <c r="N193" s="2087"/>
      <c r="O193" s="2087"/>
      <c r="P193" s="2087"/>
      <c r="Q193" s="2087"/>
      <c r="R193" s="2087"/>
      <c r="S193" s="2087"/>
      <c r="T193" s="2087"/>
      <c r="U193" s="2087"/>
      <c r="V193" s="2087"/>
      <c r="W193" s="2087"/>
      <c r="X193" s="2087"/>
      <c r="Y193" s="2087"/>
      <c r="Z193" s="2087"/>
      <c r="AA193" s="2087"/>
      <c r="AB193" s="2087"/>
      <c r="AC193" s="2087"/>
      <c r="AD193" s="2087"/>
      <c r="AE193" s="2087"/>
      <c r="AF193" s="2087"/>
      <c r="AG193" s="2087"/>
      <c r="AH193" s="2087"/>
      <c r="AI193" s="2087"/>
      <c r="AJ193" s="2087"/>
      <c r="AK193" s="2087"/>
      <c r="AL193" s="2087"/>
      <c r="AM193" s="2087"/>
      <c r="AN193" s="2087"/>
      <c r="AO193" s="2087"/>
      <c r="AP193" s="2087"/>
      <c r="AQ193" s="2087"/>
      <c r="AR193" s="2087"/>
      <c r="AS193" s="2087"/>
      <c r="AT193" s="2087"/>
      <c r="AU193" s="2087"/>
      <c r="AV193" s="2087"/>
      <c r="AW193" s="2087"/>
      <c r="AX193" s="2087"/>
      <c r="AY193" s="2087"/>
      <c r="AZ193" s="2087"/>
      <c r="BA193" s="2087"/>
      <c r="BB193" s="2087"/>
      <c r="BC193" s="2087"/>
      <c r="BD193" s="2087"/>
      <c r="BE193" s="2087"/>
      <c r="BF193" s="2087"/>
      <c r="BG193" s="2087"/>
      <c r="BH193" s="2087"/>
      <c r="BI193" s="2087"/>
      <c r="BJ193" s="2087"/>
      <c r="BK193" s="2087"/>
      <c r="BL193" s="9">
        <v>7</v>
      </c>
      <c r="CM193" s="8"/>
      <c r="CY193" s="361"/>
      <c r="CZ193" s="361"/>
      <c r="DA193" s="361"/>
      <c r="DB193" s="448"/>
      <c r="DC193" s="448"/>
      <c r="DD193" s="448"/>
      <c r="DE193" s="448"/>
      <c r="DF193" s="361"/>
    </row>
    <row r="194" spans="1:110">
      <c r="A194" s="2087"/>
      <c r="B194" s="2087"/>
      <c r="C194" s="2087"/>
      <c r="D194" s="2087"/>
      <c r="E194" s="2087"/>
      <c r="F194" s="2087"/>
      <c r="G194" s="2087"/>
      <c r="H194" s="2087"/>
      <c r="I194" s="2087"/>
      <c r="J194" s="2087"/>
      <c r="K194" s="2087"/>
      <c r="L194" s="2087"/>
      <c r="M194" s="2087"/>
      <c r="N194" s="2087"/>
      <c r="O194" s="2087"/>
      <c r="P194" s="2087"/>
      <c r="Q194" s="2087"/>
      <c r="R194" s="2087"/>
      <c r="S194" s="2087"/>
      <c r="T194" s="2087"/>
      <c r="U194" s="2087"/>
      <c r="V194" s="2087"/>
      <c r="W194" s="2087"/>
      <c r="X194" s="2087"/>
      <c r="Y194" s="2087"/>
      <c r="Z194" s="2087"/>
      <c r="AA194" s="2087"/>
      <c r="AB194" s="2087"/>
      <c r="AC194" s="2087"/>
      <c r="AD194" s="2087"/>
      <c r="AE194" s="2087"/>
      <c r="AF194" s="2087"/>
      <c r="AG194" s="2087"/>
      <c r="AH194" s="2087"/>
      <c r="AI194" s="2087"/>
      <c r="AJ194" s="2087"/>
      <c r="AK194" s="2087"/>
      <c r="AL194" s="2087"/>
      <c r="AM194" s="2087"/>
      <c r="AN194" s="2087"/>
      <c r="AO194" s="2087"/>
      <c r="AP194" s="2087"/>
      <c r="AQ194" s="2087"/>
      <c r="AR194" s="2087"/>
      <c r="AS194" s="2087"/>
      <c r="AT194" s="2087"/>
      <c r="AU194" s="2087"/>
      <c r="AV194" s="2087"/>
      <c r="AW194" s="2087"/>
      <c r="AX194" s="2087"/>
      <c r="AY194" s="2087"/>
      <c r="AZ194" s="2087"/>
      <c r="BA194" s="2087"/>
      <c r="BB194" s="2087"/>
      <c r="BC194" s="2087"/>
      <c r="BD194" s="2087"/>
      <c r="BE194" s="2087"/>
      <c r="BF194" s="2087"/>
      <c r="BG194" s="2087"/>
      <c r="BH194" s="2087"/>
      <c r="BI194" s="2087"/>
      <c r="BJ194" s="2087"/>
      <c r="BK194" s="2087"/>
      <c r="BL194" s="9">
        <v>8</v>
      </c>
      <c r="CL194" s="439" t="s">
        <v>3199</v>
      </c>
      <c r="CM194" s="8">
        <v>43423</v>
      </c>
      <c r="CN194" s="8">
        <v>43425</v>
      </c>
      <c r="CY194" s="361"/>
      <c r="CZ194" s="361"/>
      <c r="DA194" s="361"/>
      <c r="DB194" s="448"/>
      <c r="DC194" s="448"/>
      <c r="DD194" s="448"/>
      <c r="DE194" s="448"/>
      <c r="DF194" s="361"/>
    </row>
    <row r="195" spans="1:110" ht="25.5">
      <c r="A195" s="2087"/>
      <c r="B195" s="2087"/>
      <c r="C195" s="2087"/>
      <c r="D195" s="2087"/>
      <c r="E195" s="2087"/>
      <c r="F195" s="2087"/>
      <c r="G195" s="2087"/>
      <c r="H195" s="2087"/>
      <c r="I195" s="2087"/>
      <c r="J195" s="2087"/>
      <c r="K195" s="2087"/>
      <c r="L195" s="2087"/>
      <c r="M195" s="2087"/>
      <c r="N195" s="2087"/>
      <c r="O195" s="2087"/>
      <c r="P195" s="2087"/>
      <c r="Q195" s="2087"/>
      <c r="R195" s="2087"/>
      <c r="S195" s="2087"/>
      <c r="T195" s="2087"/>
      <c r="U195" s="2087"/>
      <c r="V195" s="2087"/>
      <c r="W195" s="2087"/>
      <c r="X195" s="2087"/>
      <c r="Y195" s="2087"/>
      <c r="Z195" s="2087"/>
      <c r="AA195" s="2087"/>
      <c r="AB195" s="2087"/>
      <c r="AC195" s="2087"/>
      <c r="AD195" s="2087"/>
      <c r="AE195" s="2087"/>
      <c r="AF195" s="2087"/>
      <c r="AG195" s="2087"/>
      <c r="AH195" s="2087"/>
      <c r="AI195" s="2087"/>
      <c r="AJ195" s="2087"/>
      <c r="AK195" s="2087"/>
      <c r="AL195" s="2087"/>
      <c r="AM195" s="2087"/>
      <c r="AN195" s="2087"/>
      <c r="AO195" s="2087"/>
      <c r="AP195" s="2087"/>
      <c r="AQ195" s="2087"/>
      <c r="AR195" s="2087"/>
      <c r="AS195" s="2087"/>
      <c r="AT195" s="2087"/>
      <c r="AU195" s="2087"/>
      <c r="AV195" s="2087"/>
      <c r="AW195" s="2087"/>
      <c r="AX195" s="2087"/>
      <c r="AY195" s="2087"/>
      <c r="AZ195" s="2087"/>
      <c r="BA195" s="2087"/>
      <c r="BB195" s="2087"/>
      <c r="BC195" s="2087"/>
      <c r="BD195" s="2087"/>
      <c r="BE195" s="2087"/>
      <c r="BF195" s="2087"/>
      <c r="BG195" s="2087"/>
      <c r="BH195" s="2087"/>
      <c r="BI195" s="2087"/>
      <c r="BJ195" s="2087"/>
      <c r="BK195" s="2087"/>
      <c r="BL195" s="9">
        <v>9</v>
      </c>
      <c r="CL195" s="9" t="s">
        <v>226</v>
      </c>
      <c r="CM195" s="8">
        <v>43416</v>
      </c>
      <c r="CN195" s="8">
        <v>43432</v>
      </c>
      <c r="CY195" s="361"/>
      <c r="CZ195" s="361"/>
      <c r="DA195" s="361"/>
      <c r="DB195" s="448"/>
      <c r="DC195" s="448"/>
      <c r="DD195" s="448"/>
      <c r="DE195" s="448"/>
      <c r="DF195" s="361"/>
    </row>
    <row r="196" spans="1:110">
      <c r="A196" s="2087"/>
      <c r="B196" s="2087"/>
      <c r="C196" s="2087"/>
      <c r="D196" s="2087"/>
      <c r="E196" s="2087"/>
      <c r="F196" s="2087"/>
      <c r="G196" s="2087"/>
      <c r="H196" s="2087"/>
      <c r="I196" s="2087"/>
      <c r="J196" s="2087"/>
      <c r="K196" s="2087"/>
      <c r="L196" s="2087"/>
      <c r="M196" s="2087"/>
      <c r="N196" s="2087"/>
      <c r="O196" s="2087"/>
      <c r="P196" s="2087"/>
      <c r="Q196" s="2087"/>
      <c r="R196" s="2087"/>
      <c r="S196" s="2087"/>
      <c r="T196" s="2087"/>
      <c r="U196" s="2087"/>
      <c r="V196" s="2087"/>
      <c r="W196" s="2087"/>
      <c r="X196" s="2087"/>
      <c r="Y196" s="2087"/>
      <c r="Z196" s="2087"/>
      <c r="AA196" s="2087"/>
      <c r="AB196" s="2087"/>
      <c r="AC196" s="2087"/>
      <c r="AD196" s="2087"/>
      <c r="AE196" s="2087"/>
      <c r="AF196" s="2087"/>
      <c r="AG196" s="2087"/>
      <c r="AH196" s="2087"/>
      <c r="AI196" s="2087"/>
      <c r="AJ196" s="2087"/>
      <c r="AK196" s="2087"/>
      <c r="AL196" s="2087"/>
      <c r="AM196" s="2087"/>
      <c r="AN196" s="2087"/>
      <c r="AO196" s="2087"/>
      <c r="AP196" s="2087"/>
      <c r="AQ196" s="2087"/>
      <c r="AR196" s="2087"/>
      <c r="AS196" s="2087"/>
      <c r="AT196" s="2087"/>
      <c r="AU196" s="2087"/>
      <c r="AV196" s="2087"/>
      <c r="AW196" s="2087"/>
      <c r="AX196" s="2087"/>
      <c r="AY196" s="2087"/>
      <c r="AZ196" s="2087"/>
      <c r="BA196" s="2087"/>
      <c r="BB196" s="2087"/>
      <c r="BC196" s="2087"/>
      <c r="BD196" s="2087"/>
      <c r="BE196" s="2087"/>
      <c r="BF196" s="2087"/>
      <c r="BG196" s="2087"/>
      <c r="BH196" s="2087"/>
      <c r="BI196" s="2087"/>
      <c r="BJ196" s="2087"/>
      <c r="BK196" s="2087"/>
      <c r="BL196" s="9">
        <v>10</v>
      </c>
      <c r="CM196" s="8">
        <v>43432</v>
      </c>
      <c r="CN196" s="8">
        <v>43435</v>
      </c>
      <c r="CY196" s="361"/>
      <c r="CZ196" s="361"/>
      <c r="DA196" s="361"/>
      <c r="DB196" s="448"/>
      <c r="DC196" s="448"/>
      <c r="DD196" s="448"/>
      <c r="DE196" s="448"/>
      <c r="DF196" s="361"/>
    </row>
    <row r="197" spans="1:110">
      <c r="A197" s="2087"/>
      <c r="B197" s="2087"/>
      <c r="C197" s="2087"/>
      <c r="D197" s="2087"/>
      <c r="E197" s="2087"/>
      <c r="F197" s="2087"/>
      <c r="G197" s="2087"/>
      <c r="H197" s="2087"/>
      <c r="I197" s="2087"/>
      <c r="J197" s="2087"/>
      <c r="K197" s="2087"/>
      <c r="L197" s="2087"/>
      <c r="M197" s="2087"/>
      <c r="N197" s="2087"/>
      <c r="O197" s="2087"/>
      <c r="P197" s="2087"/>
      <c r="Q197" s="2087"/>
      <c r="R197" s="2087"/>
      <c r="S197" s="2087"/>
      <c r="T197" s="2087"/>
      <c r="U197" s="2087"/>
      <c r="V197" s="2087"/>
      <c r="W197" s="2087"/>
      <c r="X197" s="2087"/>
      <c r="Y197" s="2087"/>
      <c r="Z197" s="2087"/>
      <c r="AA197" s="2087"/>
      <c r="AB197" s="2087"/>
      <c r="AC197" s="2087"/>
      <c r="AD197" s="2087"/>
      <c r="AE197" s="2087"/>
      <c r="AF197" s="2087"/>
      <c r="AG197" s="2087"/>
      <c r="AH197" s="2087"/>
      <c r="AI197" s="2087"/>
      <c r="AJ197" s="2087"/>
      <c r="AK197" s="2087"/>
      <c r="AL197" s="2087"/>
      <c r="AM197" s="2087"/>
      <c r="AN197" s="2087"/>
      <c r="AO197" s="2087"/>
      <c r="AP197" s="2087"/>
      <c r="AQ197" s="2087"/>
      <c r="AR197" s="2087"/>
      <c r="AS197" s="2087"/>
      <c r="AT197" s="2087"/>
      <c r="AU197" s="2087"/>
      <c r="AV197" s="2087"/>
      <c r="AW197" s="2087"/>
      <c r="AX197" s="2087"/>
      <c r="AY197" s="2087"/>
      <c r="AZ197" s="2087"/>
      <c r="BA197" s="2087"/>
      <c r="BB197" s="2087"/>
      <c r="BC197" s="2087"/>
      <c r="BD197" s="2087"/>
      <c r="BE197" s="2087"/>
      <c r="BF197" s="2087"/>
      <c r="BG197" s="2087"/>
      <c r="BH197" s="2087"/>
      <c r="BI197" s="2087"/>
      <c r="BJ197" s="2087"/>
      <c r="BK197" s="2087"/>
      <c r="BL197" s="9">
        <v>11</v>
      </c>
      <c r="CM197" s="8"/>
      <c r="CY197" s="361"/>
      <c r="CZ197" s="361"/>
      <c r="DA197" s="361"/>
      <c r="DB197" s="448"/>
      <c r="DC197" s="448"/>
      <c r="DD197" s="448"/>
      <c r="DE197" s="448"/>
      <c r="DF197" s="361"/>
    </row>
    <row r="198" spans="1:110">
      <c r="A198" s="2087"/>
      <c r="B198" s="2087"/>
      <c r="C198" s="2087"/>
      <c r="D198" s="2087"/>
      <c r="E198" s="2087"/>
      <c r="F198" s="2087"/>
      <c r="G198" s="2087"/>
      <c r="H198" s="2087"/>
      <c r="I198" s="2087"/>
      <c r="J198" s="2087"/>
      <c r="K198" s="2087"/>
      <c r="L198" s="2087"/>
      <c r="M198" s="2087"/>
      <c r="N198" s="2087"/>
      <c r="O198" s="2087"/>
      <c r="P198" s="2087"/>
      <c r="Q198" s="2087"/>
      <c r="R198" s="2087"/>
      <c r="S198" s="2087"/>
      <c r="T198" s="2087"/>
      <c r="U198" s="2087"/>
      <c r="V198" s="2087"/>
      <c r="W198" s="2087"/>
      <c r="X198" s="2087"/>
      <c r="Y198" s="2087"/>
      <c r="Z198" s="2087"/>
      <c r="AA198" s="2087"/>
      <c r="AB198" s="2087"/>
      <c r="AC198" s="2087"/>
      <c r="AD198" s="2087"/>
      <c r="AE198" s="2087"/>
      <c r="AF198" s="2087"/>
      <c r="AG198" s="2087"/>
      <c r="AH198" s="2087"/>
      <c r="AI198" s="2087"/>
      <c r="AJ198" s="2087"/>
      <c r="AK198" s="2087"/>
      <c r="AL198" s="2087"/>
      <c r="AM198" s="2087"/>
      <c r="AN198" s="2087"/>
      <c r="AO198" s="2087"/>
      <c r="AP198" s="2087"/>
      <c r="AQ198" s="2087"/>
      <c r="AR198" s="2087"/>
      <c r="AS198" s="2087"/>
      <c r="AT198" s="2087"/>
      <c r="AU198" s="2087"/>
      <c r="AV198" s="2087"/>
      <c r="AW198" s="2087"/>
      <c r="AX198" s="2087"/>
      <c r="AY198" s="2087"/>
      <c r="AZ198" s="2087"/>
      <c r="BA198" s="2087"/>
      <c r="BB198" s="2087"/>
      <c r="BC198" s="2087"/>
      <c r="BD198" s="2087"/>
      <c r="BE198" s="2087"/>
      <c r="BF198" s="2087"/>
      <c r="BG198" s="2087"/>
      <c r="BH198" s="2087"/>
      <c r="BI198" s="2087"/>
      <c r="BJ198" s="2087"/>
      <c r="BK198" s="2087"/>
      <c r="BL198" s="9">
        <v>12</v>
      </c>
      <c r="CL198" s="115" t="s">
        <v>3210</v>
      </c>
      <c r="CM198" s="8">
        <v>43394</v>
      </c>
      <c r="CY198" s="361"/>
      <c r="CZ198" s="361"/>
      <c r="DA198" s="361"/>
      <c r="DB198" s="448"/>
      <c r="DC198" s="448"/>
      <c r="DD198" s="448"/>
      <c r="DE198" s="448"/>
      <c r="DF198" s="361"/>
    </row>
    <row r="199" spans="1:110" ht="25.5">
      <c r="A199" s="2087"/>
      <c r="B199" s="2087"/>
      <c r="C199" s="2087"/>
      <c r="D199" s="2087"/>
      <c r="E199" s="2087"/>
      <c r="F199" s="2087"/>
      <c r="G199" s="2087"/>
      <c r="H199" s="2087"/>
      <c r="I199" s="2087"/>
      <c r="J199" s="2087"/>
      <c r="K199" s="2087"/>
      <c r="L199" s="2087"/>
      <c r="M199" s="2087"/>
      <c r="N199" s="2087"/>
      <c r="O199" s="2087"/>
      <c r="P199" s="2087"/>
      <c r="Q199" s="2087"/>
      <c r="R199" s="2087"/>
      <c r="S199" s="2087"/>
      <c r="T199" s="2087"/>
      <c r="U199" s="2087"/>
      <c r="V199" s="2087"/>
      <c r="W199" s="2087"/>
      <c r="X199" s="2087"/>
      <c r="Y199" s="2087"/>
      <c r="Z199" s="2087"/>
      <c r="AA199" s="2087"/>
      <c r="AB199" s="2087"/>
      <c r="AC199" s="2087"/>
      <c r="AD199" s="2087"/>
      <c r="AE199" s="2087"/>
      <c r="AF199" s="2087"/>
      <c r="AG199" s="2087"/>
      <c r="AH199" s="2087"/>
      <c r="AI199" s="2087"/>
      <c r="AJ199" s="2087"/>
      <c r="AK199" s="2087"/>
      <c r="AL199" s="2087"/>
      <c r="AM199" s="2087"/>
      <c r="AN199" s="2087"/>
      <c r="AO199" s="2087"/>
      <c r="AP199" s="2087"/>
      <c r="AQ199" s="2087"/>
      <c r="AR199" s="2087"/>
      <c r="AS199" s="2087"/>
      <c r="AT199" s="2087"/>
      <c r="AU199" s="2087"/>
      <c r="AV199" s="2087"/>
      <c r="AW199" s="2087"/>
      <c r="AX199" s="2087"/>
      <c r="AY199" s="2087"/>
      <c r="AZ199" s="2087"/>
      <c r="BA199" s="2087"/>
      <c r="BB199" s="2087"/>
      <c r="BC199" s="2087"/>
      <c r="BD199" s="2087"/>
      <c r="BE199" s="2087"/>
      <c r="BF199" s="2087"/>
      <c r="BG199" s="2087"/>
      <c r="BH199" s="2087"/>
      <c r="BI199" s="2087"/>
      <c r="BJ199" s="2087"/>
      <c r="BK199" s="2087"/>
      <c r="BL199" s="9">
        <v>13</v>
      </c>
      <c r="CL199" s="9" t="s">
        <v>3209</v>
      </c>
      <c r="CM199" s="8">
        <v>43395</v>
      </c>
      <c r="CY199" s="361"/>
      <c r="CZ199" s="361"/>
      <c r="DA199" s="361"/>
      <c r="DB199" s="448"/>
      <c r="DC199" s="448"/>
      <c r="DD199" s="448"/>
      <c r="DE199" s="448"/>
      <c r="DF199" s="361"/>
    </row>
    <row r="200" spans="1:110">
      <c r="A200" s="2087"/>
      <c r="B200" s="2087"/>
      <c r="C200" s="2087"/>
      <c r="D200" s="2087"/>
      <c r="E200" s="2087"/>
      <c r="F200" s="2087"/>
      <c r="G200" s="2087"/>
      <c r="H200" s="2087"/>
      <c r="I200" s="2087"/>
      <c r="J200" s="2087"/>
      <c r="K200" s="2087"/>
      <c r="L200" s="2087"/>
      <c r="M200" s="2087"/>
      <c r="N200" s="2087"/>
      <c r="O200" s="2087"/>
      <c r="P200" s="2087"/>
      <c r="Q200" s="2087"/>
      <c r="R200" s="2087"/>
      <c r="S200" s="2087"/>
      <c r="T200" s="2087"/>
      <c r="U200" s="2087"/>
      <c r="V200" s="2087"/>
      <c r="W200" s="2087"/>
      <c r="X200" s="2087"/>
      <c r="Y200" s="2087"/>
      <c r="Z200" s="2087"/>
      <c r="AA200" s="2087"/>
      <c r="AB200" s="2087"/>
      <c r="AC200" s="2087"/>
      <c r="AD200" s="2087"/>
      <c r="AE200" s="2087"/>
      <c r="AF200" s="2087"/>
      <c r="AG200" s="2087"/>
      <c r="AH200" s="2087"/>
      <c r="AI200" s="2087"/>
      <c r="AJ200" s="2087"/>
      <c r="AK200" s="2087"/>
      <c r="AL200" s="2087"/>
      <c r="AM200" s="2087"/>
      <c r="AN200" s="2087"/>
      <c r="AO200" s="2087"/>
      <c r="AP200" s="2087"/>
      <c r="AQ200" s="2087"/>
      <c r="AR200" s="2087"/>
      <c r="AS200" s="2087"/>
      <c r="AT200" s="2087"/>
      <c r="AU200" s="2087"/>
      <c r="AV200" s="2087"/>
      <c r="AW200" s="2087"/>
      <c r="AX200" s="2087"/>
      <c r="AY200" s="2087"/>
      <c r="AZ200" s="2087"/>
      <c r="BA200" s="2087"/>
      <c r="BB200" s="2087"/>
      <c r="BC200" s="2087"/>
      <c r="BD200" s="2087"/>
      <c r="BE200" s="2087"/>
      <c r="BF200" s="2087"/>
      <c r="BG200" s="2087"/>
      <c r="BH200" s="2087"/>
      <c r="BI200" s="2087"/>
      <c r="BJ200" s="2087"/>
      <c r="BK200" s="2087"/>
      <c r="BL200" s="9">
        <v>14</v>
      </c>
      <c r="CL200" s="9" t="s">
        <v>3207</v>
      </c>
      <c r="CM200" s="8">
        <v>43405</v>
      </c>
      <c r="CY200" s="361"/>
      <c r="CZ200" s="361"/>
      <c r="DA200" s="361"/>
      <c r="DB200" s="448"/>
      <c r="DC200" s="448"/>
      <c r="DD200" s="448"/>
      <c r="DE200" s="448"/>
      <c r="DF200" s="361"/>
    </row>
    <row r="201" spans="1:110">
      <c r="A201" s="2087"/>
      <c r="B201" s="2087"/>
      <c r="C201" s="2087"/>
      <c r="D201" s="2087"/>
      <c r="E201" s="2087"/>
      <c r="F201" s="2087"/>
      <c r="G201" s="2087"/>
      <c r="H201" s="2087"/>
      <c r="I201" s="2087"/>
      <c r="J201" s="2087"/>
      <c r="K201" s="2087"/>
      <c r="L201" s="2087"/>
      <c r="M201" s="2087"/>
      <c r="N201" s="2087"/>
      <c r="O201" s="2087"/>
      <c r="P201" s="2087"/>
      <c r="Q201" s="2087"/>
      <c r="R201" s="2087"/>
      <c r="S201" s="2087"/>
      <c r="T201" s="2087"/>
      <c r="U201" s="2087"/>
      <c r="V201" s="2087"/>
      <c r="W201" s="2087"/>
      <c r="X201" s="2087"/>
      <c r="Y201" s="2087"/>
      <c r="Z201" s="2087"/>
      <c r="AA201" s="2087"/>
      <c r="AB201" s="2087"/>
      <c r="AC201" s="2087"/>
      <c r="AD201" s="2087"/>
      <c r="AE201" s="2087"/>
      <c r="AF201" s="2087"/>
      <c r="AG201" s="2087"/>
      <c r="AH201" s="2087"/>
      <c r="AI201" s="2087"/>
      <c r="AJ201" s="2087"/>
      <c r="AK201" s="2087"/>
      <c r="AL201" s="2087"/>
      <c r="AM201" s="2087"/>
      <c r="AN201" s="2087"/>
      <c r="AO201" s="2087"/>
      <c r="AP201" s="2087"/>
      <c r="AQ201" s="2087"/>
      <c r="AR201" s="2087"/>
      <c r="AS201" s="2087"/>
      <c r="AT201" s="2087"/>
      <c r="AU201" s="2087"/>
      <c r="AV201" s="2087"/>
      <c r="AW201" s="2087"/>
      <c r="AX201" s="2087"/>
      <c r="AY201" s="2087"/>
      <c r="AZ201" s="2087"/>
      <c r="BA201" s="2087"/>
      <c r="BB201" s="2087"/>
      <c r="BC201" s="2087"/>
      <c r="BD201" s="2087"/>
      <c r="BE201" s="2087"/>
      <c r="BF201" s="2087"/>
      <c r="BG201" s="2087"/>
      <c r="BH201" s="2087"/>
      <c r="BI201" s="2087"/>
      <c r="BJ201" s="2087"/>
      <c r="BK201" s="2087"/>
      <c r="BL201" s="9">
        <v>15</v>
      </c>
      <c r="CM201" s="8"/>
      <c r="CY201" s="361"/>
      <c r="CZ201" s="361"/>
      <c r="DA201" s="361"/>
      <c r="DB201" s="448"/>
      <c r="DC201" s="448"/>
      <c r="DD201" s="448"/>
      <c r="DE201" s="448"/>
      <c r="DF201" s="361"/>
    </row>
    <row r="202" spans="1:110" ht="25.5">
      <c r="A202" s="2087"/>
      <c r="B202" s="2087"/>
      <c r="C202" s="2087"/>
      <c r="D202" s="2087"/>
      <c r="E202" s="2087"/>
      <c r="F202" s="2087"/>
      <c r="G202" s="2087"/>
      <c r="H202" s="2087"/>
      <c r="I202" s="2087"/>
      <c r="J202" s="2087"/>
      <c r="K202" s="2087"/>
      <c r="L202" s="2087"/>
      <c r="M202" s="2087"/>
      <c r="N202" s="2087"/>
      <c r="O202" s="2087"/>
      <c r="P202" s="2087"/>
      <c r="Q202" s="2087"/>
      <c r="R202" s="2087"/>
      <c r="S202" s="2087"/>
      <c r="T202" s="2087"/>
      <c r="U202" s="2087"/>
      <c r="V202" s="2087"/>
      <c r="W202" s="2087"/>
      <c r="X202" s="2087"/>
      <c r="Y202" s="2087"/>
      <c r="Z202" s="2087"/>
      <c r="AA202" s="2087"/>
      <c r="AB202" s="2087"/>
      <c r="AC202" s="2087"/>
      <c r="AD202" s="2087"/>
      <c r="AE202" s="2087"/>
      <c r="AF202" s="2087"/>
      <c r="AG202" s="2087"/>
      <c r="AH202" s="2087"/>
      <c r="AI202" s="2087"/>
      <c r="AJ202" s="2087"/>
      <c r="AK202" s="2087"/>
      <c r="AL202" s="2087"/>
      <c r="AM202" s="2087"/>
      <c r="AN202" s="2087"/>
      <c r="AO202" s="2087"/>
      <c r="AP202" s="2087"/>
      <c r="AQ202" s="2087"/>
      <c r="AR202" s="2087"/>
      <c r="AS202" s="2087"/>
      <c r="AT202" s="2087"/>
      <c r="AU202" s="2087"/>
      <c r="AV202" s="2087"/>
      <c r="AW202" s="2087"/>
      <c r="AX202" s="2087"/>
      <c r="AY202" s="2087"/>
      <c r="AZ202" s="2087"/>
      <c r="BA202" s="2087"/>
      <c r="BB202" s="2087"/>
      <c r="BC202" s="2087"/>
      <c r="BD202" s="2087"/>
      <c r="BE202" s="2087"/>
      <c r="BF202" s="2087"/>
      <c r="BG202" s="2087"/>
      <c r="BH202" s="2087"/>
      <c r="BI202" s="2087"/>
      <c r="BJ202" s="2087"/>
      <c r="BK202" s="2087"/>
      <c r="BL202" s="9">
        <v>16</v>
      </c>
      <c r="CL202" s="9" t="s">
        <v>3205</v>
      </c>
      <c r="CM202" s="8">
        <v>43408</v>
      </c>
      <c r="CY202" s="361"/>
      <c r="CZ202" s="361"/>
      <c r="DA202" s="361"/>
      <c r="DB202" s="448"/>
      <c r="DC202" s="448"/>
      <c r="DD202" s="448"/>
      <c r="DE202" s="448"/>
      <c r="DF202" s="361"/>
    </row>
    <row r="203" spans="1:110">
      <c r="A203" s="2087"/>
      <c r="B203" s="2087"/>
      <c r="C203" s="2087"/>
      <c r="D203" s="2087"/>
      <c r="E203" s="2087"/>
      <c r="F203" s="2087"/>
      <c r="G203" s="2087"/>
      <c r="H203" s="2087"/>
      <c r="I203" s="2087"/>
      <c r="J203" s="2087"/>
      <c r="K203" s="2087"/>
      <c r="L203" s="2087"/>
      <c r="M203" s="2087"/>
      <c r="N203" s="2087"/>
      <c r="O203" s="2087"/>
      <c r="P203" s="2087"/>
      <c r="Q203" s="2087"/>
      <c r="R203" s="2087"/>
      <c r="S203" s="2087"/>
      <c r="T203" s="2087"/>
      <c r="U203" s="2087"/>
      <c r="V203" s="2087"/>
      <c r="W203" s="2087"/>
      <c r="X203" s="2087"/>
      <c r="Y203" s="2087"/>
      <c r="Z203" s="2087"/>
      <c r="AA203" s="2087"/>
      <c r="AB203" s="2087"/>
      <c r="AC203" s="2087"/>
      <c r="AD203" s="2087"/>
      <c r="AE203" s="2087"/>
      <c r="AF203" s="2087"/>
      <c r="AG203" s="2087"/>
      <c r="AH203" s="2087"/>
      <c r="AI203" s="2087"/>
      <c r="AJ203" s="2087"/>
      <c r="AK203" s="2087"/>
      <c r="AL203" s="2087"/>
      <c r="AM203" s="2087"/>
      <c r="AN203" s="2087"/>
      <c r="AO203" s="2087"/>
      <c r="AP203" s="2087"/>
      <c r="AQ203" s="2087"/>
      <c r="AR203" s="2087"/>
      <c r="AS203" s="2087"/>
      <c r="AT203" s="2087"/>
      <c r="AU203" s="2087"/>
      <c r="AV203" s="2087"/>
      <c r="AW203" s="2087"/>
      <c r="AX203" s="2087"/>
      <c r="AY203" s="2087"/>
      <c r="AZ203" s="2087"/>
      <c r="BA203" s="2087"/>
      <c r="BB203" s="2087"/>
      <c r="BC203" s="2087"/>
      <c r="BD203" s="2087"/>
      <c r="BE203" s="2087"/>
      <c r="BF203" s="2087"/>
      <c r="BG203" s="2087"/>
      <c r="BH203" s="2087"/>
      <c r="BI203" s="2087"/>
      <c r="BJ203" s="2087"/>
      <c r="BK203" s="2087"/>
      <c r="BL203" s="9">
        <v>17</v>
      </c>
      <c r="CL203" s="9" t="s">
        <v>3203</v>
      </c>
      <c r="CM203" s="8">
        <v>43411</v>
      </c>
      <c r="CY203" s="361"/>
      <c r="CZ203" s="361"/>
      <c r="DA203" s="361"/>
      <c r="DB203" s="448"/>
      <c r="DC203" s="448"/>
      <c r="DD203" s="448"/>
      <c r="DE203" s="448"/>
      <c r="DF203" s="361"/>
    </row>
    <row r="204" spans="1:110">
      <c r="A204" s="2087"/>
      <c r="B204" s="2087"/>
      <c r="C204" s="2087"/>
      <c r="D204" s="2087"/>
      <c r="E204" s="2087"/>
      <c r="F204" s="2087"/>
      <c r="G204" s="2087"/>
      <c r="H204" s="2087"/>
      <c r="I204" s="2087"/>
      <c r="J204" s="2087"/>
      <c r="K204" s="2087"/>
      <c r="L204" s="2087"/>
      <c r="M204" s="2087"/>
      <c r="N204" s="2087"/>
      <c r="O204" s="2087"/>
      <c r="P204" s="2087"/>
      <c r="Q204" s="2087"/>
      <c r="R204" s="2087"/>
      <c r="S204" s="2087"/>
      <c r="T204" s="2087"/>
      <c r="U204" s="2087"/>
      <c r="V204" s="2087"/>
      <c r="W204" s="2087"/>
      <c r="X204" s="2087"/>
      <c r="Y204" s="2087"/>
      <c r="Z204" s="2087"/>
      <c r="AA204" s="2087"/>
      <c r="AB204" s="2087"/>
      <c r="AC204" s="2087"/>
      <c r="AD204" s="2087"/>
      <c r="AE204" s="2087"/>
      <c r="AF204" s="2087"/>
      <c r="AG204" s="2087"/>
      <c r="AH204" s="2087"/>
      <c r="AI204" s="2087"/>
      <c r="AJ204" s="2087"/>
      <c r="AK204" s="2087"/>
      <c r="AL204" s="2087"/>
      <c r="AM204" s="2087"/>
      <c r="AN204" s="2087"/>
      <c r="AO204" s="2087"/>
      <c r="AP204" s="2087"/>
      <c r="AQ204" s="2087"/>
      <c r="AR204" s="2087"/>
      <c r="AS204" s="2087"/>
      <c r="AT204" s="2087"/>
      <c r="AU204" s="2087"/>
      <c r="AV204" s="2087"/>
      <c r="AW204" s="2087"/>
      <c r="AX204" s="2087"/>
      <c r="AY204" s="2087"/>
      <c r="AZ204" s="2087"/>
      <c r="BA204" s="2087"/>
      <c r="BB204" s="2087"/>
      <c r="BC204" s="2087"/>
      <c r="BD204" s="2087"/>
      <c r="BE204" s="2087"/>
      <c r="BF204" s="2087"/>
      <c r="BG204" s="2087"/>
      <c r="BH204" s="2087"/>
      <c r="BI204" s="2087"/>
      <c r="BJ204" s="2087"/>
      <c r="BK204" s="2087"/>
      <c r="BL204" s="9">
        <v>18</v>
      </c>
      <c r="CM204" s="8"/>
      <c r="CY204" s="361"/>
      <c r="CZ204" s="361"/>
      <c r="DA204" s="361"/>
      <c r="DB204" s="448"/>
      <c r="DC204" s="448"/>
      <c r="DD204" s="448"/>
      <c r="DE204" s="448"/>
      <c r="DF204" s="361"/>
    </row>
    <row r="205" spans="1:110">
      <c r="A205" s="2087"/>
      <c r="B205" s="2087"/>
      <c r="C205" s="2087"/>
      <c r="D205" s="2087"/>
      <c r="E205" s="2087"/>
      <c r="F205" s="2087"/>
      <c r="G205" s="2087"/>
      <c r="H205" s="2087"/>
      <c r="I205" s="2087"/>
      <c r="J205" s="2087"/>
      <c r="K205" s="2087"/>
      <c r="L205" s="2087"/>
      <c r="M205" s="2087"/>
      <c r="N205" s="2087"/>
      <c r="O205" s="2087"/>
      <c r="P205" s="2087"/>
      <c r="Q205" s="2087"/>
      <c r="R205" s="2087"/>
      <c r="S205" s="2087"/>
      <c r="T205" s="2087"/>
      <c r="U205" s="2087"/>
      <c r="V205" s="2087"/>
      <c r="W205" s="2087"/>
      <c r="X205" s="2087"/>
      <c r="Y205" s="2087"/>
      <c r="Z205" s="2087"/>
      <c r="AA205" s="2087"/>
      <c r="AB205" s="2087"/>
      <c r="AC205" s="2087"/>
      <c r="AD205" s="2087"/>
      <c r="AE205" s="2087"/>
      <c r="AF205" s="2087"/>
      <c r="AG205" s="2087"/>
      <c r="AH205" s="2087"/>
      <c r="AI205" s="2087"/>
      <c r="AJ205" s="2087"/>
      <c r="AK205" s="2087"/>
      <c r="AL205" s="2087"/>
      <c r="AM205" s="2087"/>
      <c r="AN205" s="2087"/>
      <c r="AO205" s="2087"/>
      <c r="AP205" s="2087"/>
      <c r="AQ205" s="2087"/>
      <c r="AR205" s="2087"/>
      <c r="AS205" s="2087"/>
      <c r="AT205" s="2087"/>
      <c r="AU205" s="2087"/>
      <c r="AV205" s="2087"/>
      <c r="AW205" s="2087"/>
      <c r="AX205" s="2087"/>
      <c r="AY205" s="2087"/>
      <c r="AZ205" s="2087"/>
      <c r="BA205" s="2087"/>
      <c r="BB205" s="2087"/>
      <c r="BC205" s="2087"/>
      <c r="BD205" s="2087"/>
      <c r="BE205" s="2087"/>
      <c r="BF205" s="2087"/>
      <c r="BG205" s="2087"/>
      <c r="BH205" s="2087"/>
      <c r="BI205" s="2087"/>
      <c r="BJ205" s="2087"/>
      <c r="BK205" s="2087"/>
      <c r="BL205" s="9">
        <v>19</v>
      </c>
      <c r="CM205" s="8"/>
      <c r="CY205" s="361"/>
      <c r="CZ205" s="361"/>
      <c r="DA205" s="361"/>
      <c r="DB205" s="448"/>
      <c r="DC205" s="448"/>
      <c r="DD205" s="448"/>
      <c r="DE205" s="448"/>
      <c r="DF205" s="361"/>
    </row>
    <row r="206" spans="1:110">
      <c r="A206" s="2087"/>
      <c r="B206" s="2087"/>
      <c r="C206" s="2087"/>
      <c r="D206" s="2087"/>
      <c r="E206" s="2087"/>
      <c r="F206" s="2087"/>
      <c r="G206" s="2087"/>
      <c r="H206" s="2087"/>
      <c r="I206" s="2087"/>
      <c r="J206" s="2087"/>
      <c r="K206" s="2087"/>
      <c r="L206" s="2087"/>
      <c r="M206" s="2087"/>
      <c r="N206" s="2087"/>
      <c r="O206" s="2087"/>
      <c r="P206" s="2087"/>
      <c r="Q206" s="2087"/>
      <c r="R206" s="2087"/>
      <c r="S206" s="2087"/>
      <c r="T206" s="2087"/>
      <c r="U206" s="2087"/>
      <c r="V206" s="2087"/>
      <c r="W206" s="2087"/>
      <c r="X206" s="2087"/>
      <c r="Y206" s="2087"/>
      <c r="Z206" s="2087"/>
      <c r="AA206" s="2087"/>
      <c r="AB206" s="2087"/>
      <c r="AC206" s="2087"/>
      <c r="AD206" s="2087"/>
      <c r="AE206" s="2087"/>
      <c r="AF206" s="2087"/>
      <c r="AG206" s="2087"/>
      <c r="AH206" s="2087"/>
      <c r="AI206" s="2087"/>
      <c r="AJ206" s="2087"/>
      <c r="AK206" s="2087"/>
      <c r="AL206" s="2087"/>
      <c r="AM206" s="2087"/>
      <c r="AN206" s="2087"/>
      <c r="AO206" s="2087"/>
      <c r="AP206" s="2087"/>
      <c r="AQ206" s="2087"/>
      <c r="AR206" s="2087"/>
      <c r="AS206" s="2087"/>
      <c r="AT206" s="2087"/>
      <c r="AU206" s="2087"/>
      <c r="AV206" s="2087"/>
      <c r="AW206" s="2087"/>
      <c r="AX206" s="2087"/>
      <c r="AY206" s="2087"/>
      <c r="AZ206" s="2087"/>
      <c r="BA206" s="2087"/>
      <c r="BB206" s="2087"/>
      <c r="BC206" s="2087"/>
      <c r="BD206" s="2087"/>
      <c r="BE206" s="2087"/>
      <c r="BF206" s="2087"/>
      <c r="BG206" s="2087"/>
      <c r="BH206" s="2087"/>
      <c r="BI206" s="2087"/>
      <c r="BJ206" s="2087"/>
      <c r="BK206" s="2087"/>
      <c r="BL206" s="9">
        <v>20</v>
      </c>
      <c r="CM206" s="8"/>
      <c r="CY206" s="361"/>
      <c r="CZ206" s="361"/>
      <c r="DA206" s="361"/>
      <c r="DB206" s="448"/>
      <c r="DC206" s="448"/>
      <c r="DD206" s="448"/>
      <c r="DE206" s="448"/>
      <c r="DF206" s="361"/>
    </row>
    <row r="207" spans="1:110" ht="25.5">
      <c r="CL207" s="9" t="s">
        <v>3201</v>
      </c>
      <c r="CM207" s="8">
        <v>43416</v>
      </c>
      <c r="CN207" s="8">
        <v>43418</v>
      </c>
      <c r="CY207" s="361"/>
      <c r="CZ207" s="361"/>
      <c r="DA207" s="361"/>
      <c r="DB207" s="448"/>
      <c r="DC207" s="448"/>
      <c r="DD207" s="448"/>
      <c r="DE207" s="448"/>
      <c r="DF207" s="361"/>
    </row>
    <row r="208" spans="1:110">
      <c r="CL208" s="9" t="s">
        <v>3202</v>
      </c>
      <c r="CM208" s="8">
        <v>43416</v>
      </c>
      <c r="CN208" s="8">
        <v>43420</v>
      </c>
      <c r="CY208" s="361"/>
      <c r="CZ208" s="361"/>
      <c r="DA208" s="361"/>
      <c r="DB208" s="448"/>
      <c r="DC208" s="448"/>
      <c r="DD208" s="448"/>
      <c r="DE208" s="448"/>
      <c r="DF208" s="361"/>
    </row>
    <row r="209" spans="1:110">
      <c r="A209" s="2087"/>
      <c r="B209" s="2087"/>
      <c r="C209" s="2087"/>
      <c r="D209" s="2087"/>
      <c r="E209" s="2087"/>
      <c r="F209" s="2087"/>
      <c r="G209" s="2087"/>
      <c r="H209" s="2087"/>
      <c r="I209" s="2087"/>
      <c r="J209" s="2087"/>
      <c r="K209" s="2087"/>
      <c r="L209" s="2087"/>
      <c r="M209" s="2087"/>
      <c r="N209" s="2087"/>
      <c r="O209" s="2087"/>
      <c r="P209" s="2087"/>
      <c r="Q209" s="2087"/>
      <c r="R209" s="2087"/>
      <c r="S209" s="2087"/>
      <c r="T209" s="2087"/>
      <c r="U209" s="2087"/>
      <c r="V209" s="2087"/>
      <c r="W209" s="2087"/>
      <c r="X209" s="2087"/>
      <c r="Y209" s="2087"/>
      <c r="Z209" s="2087"/>
      <c r="AA209" s="2087"/>
      <c r="AB209" s="2087"/>
      <c r="AC209" s="2087"/>
      <c r="AD209" s="2087"/>
      <c r="AE209" s="2087"/>
      <c r="AF209" s="2087"/>
      <c r="AG209" s="2087"/>
      <c r="AH209" s="2087"/>
      <c r="AI209" s="2087"/>
      <c r="AJ209" s="2087"/>
      <c r="AK209" s="2087"/>
      <c r="AL209" s="2087"/>
      <c r="AM209" s="2087"/>
      <c r="AN209" s="2087"/>
      <c r="AO209" s="2087"/>
      <c r="AP209" s="2087"/>
      <c r="AQ209" s="2087"/>
      <c r="AR209" s="2087"/>
      <c r="AS209" s="2087"/>
      <c r="AT209" s="2087"/>
      <c r="AU209" s="2087"/>
      <c r="AV209" s="2087"/>
      <c r="AW209" s="2087"/>
      <c r="AX209" s="2087"/>
      <c r="AY209" s="2087"/>
      <c r="AZ209" s="2087"/>
      <c r="BA209" s="2087"/>
      <c r="BB209" s="2087"/>
      <c r="BC209" s="2087"/>
      <c r="BD209" s="2087"/>
      <c r="BE209" s="2087"/>
      <c r="BF209" s="2087"/>
      <c r="BG209" s="2087"/>
      <c r="BH209" s="2087"/>
      <c r="BI209" s="2087"/>
      <c r="BJ209" s="2087"/>
      <c r="BK209" s="2087"/>
      <c r="CL209" s="439"/>
      <c r="CM209" s="8"/>
      <c r="CN209" s="8"/>
      <c r="CO209" s="2087"/>
      <c r="CP209" s="2087"/>
      <c r="CQ209" s="2087"/>
      <c r="CY209" s="361"/>
      <c r="CZ209" s="361"/>
      <c r="DA209" s="361"/>
      <c r="DB209" s="448"/>
      <c r="DC209" s="448"/>
      <c r="DD209" s="448"/>
      <c r="DE209" s="448"/>
      <c r="DF209" s="361"/>
    </row>
    <row r="210" spans="1:110" ht="12.75" customHeight="1">
      <c r="A210" s="2087"/>
      <c r="B210" s="2087"/>
      <c r="C210" s="2087"/>
      <c r="D210" s="2087"/>
      <c r="E210" s="2087"/>
      <c r="F210" s="2087"/>
      <c r="G210" s="2087"/>
      <c r="H210" s="2087"/>
      <c r="I210" s="2087"/>
      <c r="J210" s="2087"/>
      <c r="K210" s="2087"/>
      <c r="L210" s="2087"/>
      <c r="M210" s="2087"/>
      <c r="N210" s="2087"/>
      <c r="O210" s="2087"/>
      <c r="P210" s="2087"/>
      <c r="Q210" s="2087"/>
      <c r="R210" s="2087"/>
      <c r="S210" s="2087"/>
      <c r="T210" s="2087"/>
      <c r="U210" s="2087"/>
      <c r="V210" s="2087"/>
      <c r="W210" s="2087"/>
      <c r="X210" s="2087"/>
      <c r="Y210" s="2087"/>
      <c r="Z210" s="2087"/>
      <c r="AA210" s="2087"/>
      <c r="AB210" s="2087"/>
      <c r="AC210" s="2087"/>
      <c r="AD210" s="2087"/>
      <c r="AE210" s="2087"/>
      <c r="AF210" s="2087"/>
      <c r="AG210" s="2087"/>
      <c r="AH210" s="2087"/>
      <c r="AI210" s="2087"/>
      <c r="AJ210" s="2087"/>
      <c r="AK210" s="2087"/>
      <c r="AL210" s="2087"/>
      <c r="AM210" s="2087"/>
      <c r="AN210" s="2087"/>
      <c r="AO210" s="2087"/>
      <c r="AP210" s="2087"/>
      <c r="AQ210" s="2087"/>
      <c r="AR210" s="2087"/>
      <c r="AS210" s="2087"/>
      <c r="AT210" s="2087"/>
      <c r="AU210" s="2087"/>
      <c r="AV210" s="2087"/>
      <c r="AW210" s="2087"/>
      <c r="AX210" s="2087"/>
      <c r="AY210" s="2087"/>
      <c r="AZ210" s="2087"/>
      <c r="BA210" s="2087"/>
      <c r="BB210" s="2087"/>
      <c r="BC210" s="2087"/>
      <c r="BD210" s="2087"/>
      <c r="BE210" s="2087"/>
      <c r="BF210" s="2087"/>
      <c r="BG210" s="2087"/>
      <c r="BH210" s="2087"/>
      <c r="BI210" s="2087"/>
      <c r="BJ210" s="2087"/>
      <c r="BK210" s="2087"/>
    </row>
    <row r="211" spans="1:110" ht="12.75" customHeight="1">
      <c r="A211" s="2087"/>
      <c r="B211" s="2087"/>
      <c r="C211" s="2087"/>
      <c r="D211" s="2087"/>
      <c r="E211" s="2087"/>
      <c r="F211" s="2087"/>
      <c r="G211" s="2087"/>
      <c r="H211" s="2087"/>
      <c r="I211" s="2087"/>
      <c r="J211" s="2087"/>
      <c r="K211" s="2087"/>
      <c r="L211" s="2087"/>
      <c r="M211" s="2087"/>
      <c r="N211" s="2087"/>
      <c r="O211" s="2087"/>
      <c r="P211" s="2087"/>
      <c r="Q211" s="2087"/>
      <c r="R211" s="2087"/>
      <c r="S211" s="2087"/>
      <c r="T211" s="2087"/>
      <c r="U211" s="2087"/>
      <c r="V211" s="2087"/>
      <c r="W211" s="2087"/>
      <c r="X211" s="2087"/>
      <c r="Y211" s="2087"/>
      <c r="Z211" s="2087"/>
      <c r="AA211" s="2087"/>
      <c r="AB211" s="2087"/>
      <c r="AC211" s="2087"/>
      <c r="AD211" s="2087"/>
      <c r="AE211" s="2087"/>
      <c r="AF211" s="2087"/>
      <c r="AG211" s="2087"/>
      <c r="AH211" s="2087"/>
      <c r="AI211" s="2087"/>
      <c r="AJ211" s="2087"/>
      <c r="AK211" s="2087"/>
      <c r="AL211" s="2087"/>
      <c r="AM211" s="2087"/>
      <c r="AN211" s="2087"/>
      <c r="AO211" s="2087"/>
      <c r="AP211" s="2087"/>
      <c r="AQ211" s="2087"/>
      <c r="AR211" s="2087"/>
      <c r="AS211" s="2087"/>
      <c r="AT211" s="2087"/>
      <c r="AU211" s="2087"/>
      <c r="AV211" s="2087"/>
      <c r="AW211" s="2087"/>
      <c r="AX211" s="2087"/>
      <c r="AY211" s="2087"/>
      <c r="AZ211" s="2087"/>
      <c r="BA211" s="2087"/>
      <c r="BB211" s="2087"/>
      <c r="BC211" s="2087"/>
      <c r="BD211" s="2087"/>
      <c r="BE211" s="2087"/>
      <c r="BF211" s="2087"/>
      <c r="BG211" s="2087"/>
      <c r="BH211" s="2087"/>
      <c r="BI211" s="2087"/>
      <c r="BJ211" s="2087"/>
      <c r="BK211" s="2087"/>
    </row>
    <row r="212" spans="1:110" ht="12.75" customHeight="1">
      <c r="A212" s="2087"/>
      <c r="B212" s="2087"/>
      <c r="C212" s="2087"/>
      <c r="D212" s="2087"/>
      <c r="E212" s="2087"/>
      <c r="F212" s="2087"/>
      <c r="G212" s="2087"/>
      <c r="H212" s="2087"/>
      <c r="I212" s="2087"/>
      <c r="J212" s="2087"/>
      <c r="K212" s="2087"/>
      <c r="L212" s="2087"/>
      <c r="M212" s="2087"/>
      <c r="N212" s="2087"/>
      <c r="O212" s="2087"/>
      <c r="P212" s="2087"/>
      <c r="Q212" s="2087"/>
      <c r="R212" s="2087"/>
      <c r="S212" s="2087"/>
      <c r="T212" s="2087"/>
      <c r="U212" s="2087"/>
      <c r="V212" s="2087"/>
      <c r="W212" s="2087"/>
      <c r="X212" s="2087"/>
      <c r="Y212" s="2087"/>
      <c r="Z212" s="2087"/>
      <c r="AA212" s="2087"/>
      <c r="AB212" s="2087"/>
      <c r="AC212" s="2087"/>
      <c r="AD212" s="2087"/>
      <c r="AE212" s="2087"/>
      <c r="AF212" s="2087"/>
      <c r="AG212" s="2087"/>
      <c r="AH212" s="2087"/>
      <c r="AI212" s="2087"/>
      <c r="AJ212" s="2087"/>
      <c r="AK212" s="2087"/>
      <c r="AL212" s="2087"/>
      <c r="AM212" s="2087"/>
      <c r="AN212" s="2087"/>
      <c r="AO212" s="2087"/>
      <c r="AP212" s="2087"/>
      <c r="AQ212" s="2087"/>
      <c r="AR212" s="2087"/>
      <c r="AS212" s="2087"/>
      <c r="AT212" s="2087"/>
      <c r="AU212" s="2087"/>
      <c r="AV212" s="2087"/>
      <c r="AW212" s="2087"/>
      <c r="AX212" s="2087"/>
      <c r="AY212" s="2087"/>
      <c r="AZ212" s="2087"/>
      <c r="BA212" s="2087"/>
      <c r="BB212" s="2087"/>
      <c r="BC212" s="2087"/>
      <c r="BD212" s="2087"/>
      <c r="BE212" s="2087"/>
      <c r="BF212" s="2087"/>
      <c r="BG212" s="2087"/>
      <c r="BH212" s="2087"/>
      <c r="BI212" s="2087"/>
      <c r="BJ212" s="2087"/>
      <c r="BK212" s="2087"/>
    </row>
    <row r="213" spans="1:110">
      <c r="A213" s="2087"/>
      <c r="B213" s="2087"/>
      <c r="C213" s="2087"/>
      <c r="D213" s="2087"/>
      <c r="E213" s="2087"/>
      <c r="F213" s="2087"/>
      <c r="G213" s="2087"/>
      <c r="H213" s="2087"/>
      <c r="I213" s="2087"/>
      <c r="J213" s="2087"/>
      <c r="K213" s="2087"/>
      <c r="L213" s="2087"/>
      <c r="M213" s="2087"/>
      <c r="N213" s="2087"/>
      <c r="O213" s="2087"/>
      <c r="P213" s="2087"/>
      <c r="Q213" s="2087"/>
      <c r="R213" s="2087"/>
      <c r="S213" s="2087"/>
      <c r="T213" s="2087"/>
      <c r="U213" s="2087"/>
      <c r="V213" s="2087"/>
      <c r="W213" s="2087"/>
      <c r="X213" s="2087"/>
      <c r="Y213" s="2087"/>
      <c r="Z213" s="2087"/>
      <c r="AA213" s="2087"/>
      <c r="AB213" s="2087"/>
      <c r="AC213" s="2087"/>
      <c r="AD213" s="2087"/>
      <c r="AE213" s="2087"/>
      <c r="AF213" s="2087"/>
      <c r="AG213" s="2087"/>
      <c r="AH213" s="2087"/>
      <c r="AI213" s="2087"/>
      <c r="AJ213" s="2087"/>
      <c r="AK213" s="2087"/>
      <c r="AL213" s="2087"/>
      <c r="AM213" s="2087"/>
      <c r="AN213" s="2087"/>
      <c r="AO213" s="2087"/>
      <c r="AP213" s="2087"/>
      <c r="AQ213" s="2087"/>
      <c r="AR213" s="2087"/>
      <c r="AS213" s="2087"/>
      <c r="AT213" s="2087"/>
      <c r="AU213" s="2087"/>
      <c r="AV213" s="2087"/>
      <c r="AW213" s="2087"/>
      <c r="AX213" s="2087"/>
      <c r="AY213" s="2087"/>
      <c r="AZ213" s="2087"/>
      <c r="BA213" s="2087"/>
      <c r="BB213" s="2087"/>
      <c r="BC213" s="2087"/>
      <c r="BD213" s="2087"/>
      <c r="BE213" s="2087"/>
      <c r="BF213" s="2087"/>
      <c r="BG213" s="2087"/>
      <c r="BH213" s="2087"/>
      <c r="BI213" s="2087"/>
      <c r="BJ213" s="2087"/>
      <c r="BK213" s="2087"/>
      <c r="CL213" s="9" t="s">
        <v>3196</v>
      </c>
      <c r="CM213" s="8">
        <v>43430</v>
      </c>
      <c r="CN213" s="8">
        <v>43433</v>
      </c>
      <c r="CY213" s="361"/>
      <c r="CZ213" s="361"/>
      <c r="DA213" s="361"/>
      <c r="DB213" s="448"/>
      <c r="DC213" s="448"/>
      <c r="DD213" s="448"/>
      <c r="DE213" s="448"/>
      <c r="DF213" s="361"/>
    </row>
    <row r="214" spans="1:110" ht="25.5">
      <c r="A214" s="2087"/>
      <c r="B214" s="2087"/>
      <c r="C214" s="2087"/>
      <c r="D214" s="2087"/>
      <c r="E214" s="2087"/>
      <c r="F214" s="2087"/>
      <c r="G214" s="2087"/>
      <c r="H214" s="2087"/>
      <c r="I214" s="2087"/>
      <c r="J214" s="2087"/>
      <c r="K214" s="2087"/>
      <c r="L214" s="2087"/>
      <c r="M214" s="2087"/>
      <c r="N214" s="2087"/>
      <c r="O214" s="2087"/>
      <c r="P214" s="2087"/>
      <c r="Q214" s="2087"/>
      <c r="R214" s="2087"/>
      <c r="S214" s="2087"/>
      <c r="T214" s="2087"/>
      <c r="U214" s="2087"/>
      <c r="V214" s="2087"/>
      <c r="W214" s="2087"/>
      <c r="X214" s="2087"/>
      <c r="Y214" s="2087"/>
      <c r="Z214" s="2087"/>
      <c r="AA214" s="2087"/>
      <c r="AB214" s="2087"/>
      <c r="AC214" s="2087"/>
      <c r="AD214" s="2087"/>
      <c r="AE214" s="2087"/>
      <c r="AF214" s="2087"/>
      <c r="AG214" s="2087"/>
      <c r="AH214" s="2087"/>
      <c r="AI214" s="2087"/>
      <c r="AJ214" s="2087"/>
      <c r="AK214" s="2087"/>
      <c r="AL214" s="2087"/>
      <c r="AM214" s="2087"/>
      <c r="AN214" s="2087"/>
      <c r="AO214" s="2087"/>
      <c r="AP214" s="2087"/>
      <c r="AQ214" s="2087"/>
      <c r="AR214" s="2087"/>
      <c r="AS214" s="2087"/>
      <c r="AT214" s="2087"/>
      <c r="AU214" s="2087"/>
      <c r="AV214" s="2087"/>
      <c r="AW214" s="2087"/>
      <c r="AX214" s="2087"/>
      <c r="AY214" s="2087"/>
      <c r="AZ214" s="2087"/>
      <c r="BA214" s="2087"/>
      <c r="BB214" s="2087"/>
      <c r="BC214" s="2087"/>
      <c r="BD214" s="2087"/>
      <c r="BE214" s="2087"/>
      <c r="BF214" s="2087"/>
      <c r="BG214" s="2087"/>
      <c r="BH214" s="2087"/>
      <c r="BI214" s="2087"/>
      <c r="BJ214" s="2087"/>
      <c r="BK214" s="2087"/>
      <c r="CL214" s="9" t="s">
        <v>3200</v>
      </c>
      <c r="CM214" s="8">
        <v>43420</v>
      </c>
      <c r="CO214" s="9" t="s">
        <v>2926</v>
      </c>
      <c r="CY214" s="361"/>
      <c r="CZ214" s="361"/>
      <c r="DA214" s="361"/>
      <c r="DB214" s="448"/>
      <c r="DC214" s="448"/>
      <c r="DD214" s="448"/>
      <c r="DE214" s="448"/>
      <c r="DF214" s="361"/>
    </row>
    <row r="215" spans="1:110">
      <c r="A215" s="2087"/>
      <c r="B215" s="2087"/>
      <c r="C215" s="2087"/>
      <c r="D215" s="2087"/>
      <c r="E215" s="2087"/>
      <c r="F215" s="2087"/>
      <c r="G215" s="2087"/>
      <c r="H215" s="2087"/>
      <c r="I215" s="2087"/>
      <c r="J215" s="2087"/>
      <c r="K215" s="2087"/>
      <c r="L215" s="2087"/>
      <c r="M215" s="2087"/>
      <c r="N215" s="2087"/>
      <c r="O215" s="2087"/>
      <c r="P215" s="2087"/>
      <c r="Q215" s="2087"/>
      <c r="R215" s="2087"/>
      <c r="S215" s="2087"/>
      <c r="T215" s="2087"/>
      <c r="U215" s="2087"/>
      <c r="V215" s="2087"/>
      <c r="W215" s="2087"/>
      <c r="X215" s="2087"/>
      <c r="Y215" s="2087"/>
      <c r="Z215" s="2087"/>
      <c r="AA215" s="2087"/>
      <c r="AB215" s="2087"/>
      <c r="AC215" s="2087"/>
      <c r="AD215" s="2087"/>
      <c r="AE215" s="2087"/>
      <c r="AF215" s="2087"/>
      <c r="AG215" s="2087"/>
      <c r="AH215" s="2087"/>
      <c r="AI215" s="2087"/>
      <c r="AJ215" s="2087"/>
      <c r="AK215" s="2087"/>
      <c r="AL215" s="2087"/>
      <c r="AM215" s="2087"/>
      <c r="AN215" s="2087"/>
      <c r="AO215" s="2087"/>
      <c r="AP215" s="2087"/>
      <c r="AQ215" s="2087"/>
      <c r="AR215" s="2087"/>
      <c r="AS215" s="2087"/>
      <c r="AT215" s="2087"/>
      <c r="AU215" s="2087"/>
      <c r="AV215" s="2087"/>
      <c r="AW215" s="2087"/>
      <c r="AX215" s="2087"/>
      <c r="AY215" s="2087"/>
      <c r="AZ215" s="2087"/>
      <c r="BA215" s="2087"/>
      <c r="BB215" s="2087"/>
      <c r="BC215" s="2087"/>
      <c r="BD215" s="2087"/>
      <c r="BE215" s="2087"/>
      <c r="BF215" s="2087"/>
      <c r="BG215" s="2087"/>
      <c r="BH215" s="2087"/>
      <c r="BI215" s="2087"/>
      <c r="BJ215" s="2087"/>
      <c r="BK215" s="2087"/>
      <c r="CM215" s="8"/>
      <c r="CY215" s="361"/>
      <c r="CZ215" s="361"/>
      <c r="DA215" s="361"/>
      <c r="DB215" s="448"/>
      <c r="DC215" s="448"/>
      <c r="DD215" s="448"/>
      <c r="DE215" s="448"/>
      <c r="DF215" s="361"/>
    </row>
    <row r="216" spans="1:110">
      <c r="A216" s="2087"/>
      <c r="B216" s="2087"/>
      <c r="C216" s="2087"/>
      <c r="D216" s="2087"/>
      <c r="E216" s="2087"/>
      <c r="F216" s="2087"/>
      <c r="G216" s="2087"/>
      <c r="H216" s="2087"/>
      <c r="I216" s="2087"/>
      <c r="J216" s="2087"/>
      <c r="K216" s="2087"/>
      <c r="L216" s="2087"/>
      <c r="M216" s="2087"/>
      <c r="N216" s="2087"/>
      <c r="O216" s="2087"/>
      <c r="P216" s="2087"/>
      <c r="Q216" s="2087"/>
      <c r="R216" s="2087"/>
      <c r="S216" s="2087"/>
      <c r="T216" s="2087"/>
      <c r="U216" s="2087"/>
      <c r="V216" s="2087"/>
      <c r="W216" s="2087"/>
      <c r="X216" s="2087"/>
      <c r="Y216" s="2087"/>
      <c r="Z216" s="2087"/>
      <c r="AA216" s="2087"/>
      <c r="AB216" s="2087"/>
      <c r="AC216" s="2087"/>
      <c r="AD216" s="2087"/>
      <c r="AE216" s="2087"/>
      <c r="AF216" s="2087"/>
      <c r="AG216" s="2087"/>
      <c r="AH216" s="2087"/>
      <c r="AI216" s="2087"/>
      <c r="AJ216" s="2087"/>
      <c r="AK216" s="2087"/>
      <c r="AL216" s="2087"/>
      <c r="AM216" s="2087"/>
      <c r="AN216" s="2087"/>
      <c r="AO216" s="2087"/>
      <c r="AP216" s="2087"/>
      <c r="AQ216" s="2087"/>
      <c r="AR216" s="2087"/>
      <c r="AS216" s="2087"/>
      <c r="AT216" s="2087"/>
      <c r="AU216" s="2087"/>
      <c r="AV216" s="2087"/>
      <c r="AW216" s="2087"/>
      <c r="AX216" s="2087"/>
      <c r="AY216" s="2087"/>
      <c r="AZ216" s="2087"/>
      <c r="BA216" s="2087"/>
      <c r="BB216" s="2087"/>
      <c r="BC216" s="2087"/>
      <c r="BD216" s="2087"/>
      <c r="BE216" s="2087"/>
      <c r="BF216" s="2087"/>
      <c r="BG216" s="2087"/>
      <c r="BH216" s="2087"/>
      <c r="BI216" s="2087"/>
      <c r="BJ216" s="2087"/>
      <c r="BK216" s="2087"/>
      <c r="CL216" s="9" t="s">
        <v>3194</v>
      </c>
      <c r="CM216" s="8">
        <v>43438</v>
      </c>
      <c r="CN216" s="8">
        <v>43441</v>
      </c>
      <c r="CO216" s="9" t="s">
        <v>1705</v>
      </c>
      <c r="CY216" s="361"/>
      <c r="CZ216" s="361"/>
      <c r="DA216" s="361"/>
      <c r="DB216" s="448"/>
      <c r="DC216" s="448"/>
      <c r="DD216" s="448"/>
      <c r="DE216" s="448"/>
      <c r="DF216" s="361"/>
    </row>
    <row r="217" spans="1:110" ht="25.5">
      <c r="A217" s="2087"/>
      <c r="B217" s="2087"/>
      <c r="C217" s="2087"/>
      <c r="D217" s="2087"/>
      <c r="E217" s="2087"/>
      <c r="F217" s="2087"/>
      <c r="G217" s="2087"/>
      <c r="H217" s="2087"/>
      <c r="I217" s="2087"/>
      <c r="J217" s="2087"/>
      <c r="K217" s="2087"/>
      <c r="L217" s="2087"/>
      <c r="M217" s="2087"/>
      <c r="N217" s="2087"/>
      <c r="O217" s="2087"/>
      <c r="P217" s="2087"/>
      <c r="Q217" s="2087"/>
      <c r="R217" s="2087"/>
      <c r="S217" s="2087"/>
      <c r="T217" s="2087"/>
      <c r="U217" s="2087"/>
      <c r="V217" s="2087"/>
      <c r="W217" s="2087"/>
      <c r="X217" s="2087"/>
      <c r="Y217" s="2087"/>
      <c r="Z217" s="2087"/>
      <c r="AA217" s="2087"/>
      <c r="AB217" s="2087"/>
      <c r="AC217" s="2087"/>
      <c r="AD217" s="2087"/>
      <c r="AE217" s="2087"/>
      <c r="AF217" s="2087"/>
      <c r="AG217" s="2087"/>
      <c r="AH217" s="2087"/>
      <c r="AI217" s="2087"/>
      <c r="AJ217" s="2087"/>
      <c r="AK217" s="2087"/>
      <c r="AL217" s="2087"/>
      <c r="AM217" s="2087"/>
      <c r="AN217" s="2087"/>
      <c r="AO217" s="2087"/>
      <c r="AP217" s="2087"/>
      <c r="AQ217" s="2087"/>
      <c r="AR217" s="2087"/>
      <c r="AS217" s="2087"/>
      <c r="AT217" s="2087"/>
      <c r="AU217" s="2087"/>
      <c r="AV217" s="2087"/>
      <c r="AW217" s="2087"/>
      <c r="AX217" s="2087"/>
      <c r="AY217" s="2087"/>
      <c r="AZ217" s="2087"/>
      <c r="BA217" s="2087"/>
      <c r="BB217" s="2087"/>
      <c r="BC217" s="2087"/>
      <c r="BD217" s="2087"/>
      <c r="BE217" s="2087"/>
      <c r="BF217" s="2087"/>
      <c r="BG217" s="2087"/>
      <c r="BH217" s="2087"/>
      <c r="BI217" s="2087"/>
      <c r="BJ217" s="2087"/>
      <c r="BK217" s="2087"/>
      <c r="CL217" s="9" t="s">
        <v>3189</v>
      </c>
      <c r="CM217" s="8">
        <v>43439</v>
      </c>
      <c r="CN217" s="9" t="s">
        <v>3190</v>
      </c>
      <c r="CO217" s="9" t="s">
        <v>3191</v>
      </c>
      <c r="CY217" s="361"/>
      <c r="CZ217" s="361"/>
      <c r="DA217" s="361"/>
      <c r="DB217" s="448"/>
      <c r="DC217" s="448"/>
      <c r="DD217" s="448"/>
      <c r="DE217" s="448"/>
      <c r="DF217" s="361"/>
    </row>
    <row r="218" spans="1:110" ht="25.5">
      <c r="A218" s="2087"/>
      <c r="B218" s="2087"/>
      <c r="C218" s="2087"/>
      <c r="D218" s="2087"/>
      <c r="E218" s="2087"/>
      <c r="F218" s="2087"/>
      <c r="G218" s="2087"/>
      <c r="H218" s="2087"/>
      <c r="I218" s="2087"/>
      <c r="J218" s="2087"/>
      <c r="K218" s="2087"/>
      <c r="L218" s="2087"/>
      <c r="M218" s="2087"/>
      <c r="N218" s="2087"/>
      <c r="O218" s="2087"/>
      <c r="P218" s="2087"/>
      <c r="Q218" s="2087"/>
      <c r="R218" s="2087"/>
      <c r="S218" s="2087"/>
      <c r="T218" s="2087"/>
      <c r="U218" s="2087"/>
      <c r="V218" s="2087"/>
      <c r="W218" s="2087"/>
      <c r="X218" s="2087"/>
      <c r="Y218" s="2087"/>
      <c r="Z218" s="2087"/>
      <c r="AA218" s="2087"/>
      <c r="AB218" s="2087"/>
      <c r="AC218" s="2087"/>
      <c r="AD218" s="2087"/>
      <c r="AE218" s="2087"/>
      <c r="AF218" s="2087"/>
      <c r="AG218" s="2087"/>
      <c r="AH218" s="2087"/>
      <c r="AI218" s="2087"/>
      <c r="AJ218" s="2087"/>
      <c r="AK218" s="2087"/>
      <c r="AL218" s="2087"/>
      <c r="AM218" s="2087"/>
      <c r="AN218" s="2087"/>
      <c r="AO218" s="2087"/>
      <c r="AP218" s="2087"/>
      <c r="AQ218" s="2087"/>
      <c r="AR218" s="2087"/>
      <c r="AS218" s="2087"/>
      <c r="AT218" s="2087"/>
      <c r="AU218" s="2087"/>
      <c r="AV218" s="2087"/>
      <c r="AW218" s="2087"/>
      <c r="AX218" s="2087"/>
      <c r="AY218" s="2087"/>
      <c r="AZ218" s="2087"/>
      <c r="BA218" s="2087"/>
      <c r="BB218" s="2087"/>
      <c r="BC218" s="2087"/>
      <c r="BD218" s="2087"/>
      <c r="BE218" s="2087"/>
      <c r="BF218" s="2087"/>
      <c r="BG218" s="2087"/>
      <c r="BH218" s="2087"/>
      <c r="BI218" s="2087"/>
      <c r="BJ218" s="2087"/>
      <c r="BK218" s="2087"/>
      <c r="CL218" s="9" t="s">
        <v>3187</v>
      </c>
      <c r="CM218" s="8">
        <v>43441</v>
      </c>
      <c r="CN218" s="8">
        <v>43446</v>
      </c>
      <c r="CO218" s="9" t="s">
        <v>3188</v>
      </c>
      <c r="CY218" s="361"/>
      <c r="CZ218" s="361"/>
      <c r="DA218" s="361"/>
      <c r="DB218" s="448"/>
      <c r="DC218" s="448"/>
      <c r="DD218" s="448"/>
      <c r="DE218" s="448"/>
      <c r="DF218" s="361"/>
    </row>
    <row r="219" spans="1:110" ht="25.5">
      <c r="A219" s="2087"/>
      <c r="B219" s="2087"/>
      <c r="C219" s="2087"/>
      <c r="D219" s="2087"/>
      <c r="E219" s="2087"/>
      <c r="F219" s="2087"/>
      <c r="G219" s="2087"/>
      <c r="H219" s="2087"/>
      <c r="I219" s="2087"/>
      <c r="J219" s="2087"/>
      <c r="K219" s="2087"/>
      <c r="L219" s="2087"/>
      <c r="M219" s="2087"/>
      <c r="N219" s="2087"/>
      <c r="O219" s="2087"/>
      <c r="P219" s="2087"/>
      <c r="Q219" s="2087"/>
      <c r="R219" s="2087"/>
      <c r="S219" s="2087"/>
      <c r="T219" s="2087"/>
      <c r="U219" s="2087"/>
      <c r="V219" s="2087"/>
      <c r="W219" s="2087"/>
      <c r="X219" s="2087"/>
      <c r="Y219" s="2087"/>
      <c r="Z219" s="2087"/>
      <c r="AA219" s="2087"/>
      <c r="AB219" s="2087"/>
      <c r="AC219" s="2087"/>
      <c r="AD219" s="2087"/>
      <c r="AE219" s="2087"/>
      <c r="AF219" s="2087"/>
      <c r="AG219" s="2087"/>
      <c r="AH219" s="2087"/>
      <c r="AI219" s="2087"/>
      <c r="AJ219" s="2087"/>
      <c r="AK219" s="2087"/>
      <c r="AL219" s="2087"/>
      <c r="AM219" s="2087"/>
      <c r="AN219" s="2087"/>
      <c r="AO219" s="2087"/>
      <c r="AP219" s="2087"/>
      <c r="AQ219" s="2087"/>
      <c r="AR219" s="2087"/>
      <c r="AS219" s="2087"/>
      <c r="AT219" s="2087"/>
      <c r="AU219" s="2087"/>
      <c r="AV219" s="2087"/>
      <c r="AW219" s="2087"/>
      <c r="AX219" s="2087"/>
      <c r="AY219" s="2087"/>
      <c r="AZ219" s="2087"/>
      <c r="BA219" s="2087"/>
      <c r="BB219" s="2087"/>
      <c r="BC219" s="2087"/>
      <c r="BD219" s="2087"/>
      <c r="BE219" s="2087"/>
      <c r="BF219" s="2087"/>
      <c r="BG219" s="2087"/>
      <c r="BH219" s="2087"/>
      <c r="BI219" s="2087"/>
      <c r="BJ219" s="2087"/>
      <c r="BK219" s="2087"/>
      <c r="CL219" s="9" t="s">
        <v>3276</v>
      </c>
      <c r="CN219" s="8">
        <v>43446</v>
      </c>
      <c r="CY219" s="361"/>
      <c r="CZ219" s="361"/>
      <c r="DA219" s="361"/>
      <c r="DB219" s="448"/>
      <c r="DC219" s="448"/>
      <c r="DD219" s="448"/>
      <c r="DE219" s="448"/>
      <c r="DF219" s="361"/>
    </row>
    <row r="220" spans="1:110">
      <c r="A220" s="2087"/>
      <c r="B220" s="2087"/>
      <c r="C220" s="2087"/>
      <c r="D220" s="2087"/>
      <c r="E220" s="2087"/>
      <c r="F220" s="2087"/>
      <c r="G220" s="2087"/>
      <c r="H220" s="2087"/>
      <c r="I220" s="2087"/>
      <c r="J220" s="2087"/>
      <c r="K220" s="2087"/>
      <c r="L220" s="2087"/>
      <c r="M220" s="2087"/>
      <c r="N220" s="2087"/>
      <c r="O220" s="2087"/>
      <c r="P220" s="2087"/>
      <c r="Q220" s="2087"/>
      <c r="R220" s="2087"/>
      <c r="S220" s="2087"/>
      <c r="T220" s="2087"/>
      <c r="U220" s="2087"/>
      <c r="V220" s="2087"/>
      <c r="W220" s="2087"/>
      <c r="X220" s="2087"/>
      <c r="Y220" s="2087"/>
      <c r="Z220" s="2087"/>
      <c r="AA220" s="2087"/>
      <c r="AB220" s="2087"/>
      <c r="AC220" s="2087"/>
      <c r="AD220" s="2087"/>
      <c r="AE220" s="2087"/>
      <c r="AF220" s="2087"/>
      <c r="AG220" s="2087"/>
      <c r="AH220" s="2087"/>
      <c r="AI220" s="2087"/>
      <c r="AJ220" s="2087"/>
      <c r="AK220" s="2087"/>
      <c r="AL220" s="2087"/>
      <c r="AM220" s="2087"/>
      <c r="AN220" s="2087"/>
      <c r="AO220" s="2087"/>
      <c r="AP220" s="2087"/>
      <c r="AQ220" s="2087"/>
      <c r="AR220" s="2087"/>
      <c r="AS220" s="2087"/>
      <c r="AT220" s="2087"/>
      <c r="AU220" s="2087"/>
      <c r="AV220" s="2087"/>
      <c r="AW220" s="2087"/>
      <c r="AX220" s="2087"/>
      <c r="AY220" s="2087"/>
      <c r="AZ220" s="2087"/>
      <c r="BA220" s="2087"/>
      <c r="BB220" s="2087"/>
      <c r="BC220" s="2087"/>
      <c r="BD220" s="2087"/>
      <c r="BE220" s="2087"/>
      <c r="BF220" s="2087"/>
      <c r="BG220" s="2087"/>
      <c r="BH220" s="2087"/>
      <c r="BI220" s="2087"/>
      <c r="BJ220" s="2087"/>
      <c r="BK220" s="2087"/>
      <c r="CL220" s="9" t="s">
        <v>3184</v>
      </c>
      <c r="CM220" s="8">
        <v>43450</v>
      </c>
      <c r="CN220" s="8">
        <v>43452</v>
      </c>
      <c r="CY220" s="361"/>
      <c r="CZ220" s="361"/>
      <c r="DA220" s="361"/>
      <c r="DB220" s="448"/>
      <c r="DC220" s="448"/>
      <c r="DD220" s="448"/>
      <c r="DE220" s="448"/>
      <c r="DF220" s="361"/>
    </row>
    <row r="221" spans="1:110">
      <c r="A221" s="2087"/>
      <c r="B221" s="2087"/>
      <c r="C221" s="2087"/>
      <c r="D221" s="2087"/>
      <c r="E221" s="2087"/>
      <c r="F221" s="2087"/>
      <c r="G221" s="2087"/>
      <c r="H221" s="2087"/>
      <c r="I221" s="2087"/>
      <c r="J221" s="2087"/>
      <c r="K221" s="2087"/>
      <c r="L221" s="2087"/>
      <c r="M221" s="2087"/>
      <c r="N221" s="2087"/>
      <c r="O221" s="2087"/>
      <c r="P221" s="2087"/>
      <c r="Q221" s="2087"/>
      <c r="R221" s="2087"/>
      <c r="S221" s="2087"/>
      <c r="T221" s="2087"/>
      <c r="U221" s="2087"/>
      <c r="V221" s="2087"/>
      <c r="W221" s="2087"/>
      <c r="X221" s="2087"/>
      <c r="Y221" s="2087"/>
      <c r="Z221" s="2087"/>
      <c r="AA221" s="2087"/>
      <c r="AB221" s="2087"/>
      <c r="AC221" s="2087"/>
      <c r="AD221" s="2087"/>
      <c r="AE221" s="2087"/>
      <c r="AF221" s="2087"/>
      <c r="AG221" s="2087"/>
      <c r="AH221" s="2087"/>
      <c r="AI221" s="2087"/>
      <c r="AJ221" s="2087"/>
      <c r="AK221" s="2087"/>
      <c r="AL221" s="2087"/>
      <c r="AM221" s="2087"/>
      <c r="AN221" s="2087"/>
      <c r="AO221" s="2087"/>
      <c r="AP221" s="2087"/>
      <c r="AQ221" s="2087"/>
      <c r="AR221" s="2087"/>
      <c r="AS221" s="2087"/>
      <c r="AT221" s="2087"/>
      <c r="AU221" s="2087"/>
      <c r="AV221" s="2087"/>
      <c r="AW221" s="2087"/>
      <c r="AX221" s="2087"/>
      <c r="AY221" s="2087"/>
      <c r="AZ221" s="2087"/>
      <c r="BA221" s="2087"/>
      <c r="BB221" s="2087"/>
      <c r="BC221" s="2087"/>
      <c r="BD221" s="2087"/>
      <c r="BE221" s="2087"/>
      <c r="BF221" s="2087"/>
      <c r="BG221" s="2087"/>
      <c r="BH221" s="2087"/>
      <c r="BI221" s="2087"/>
      <c r="BJ221" s="2087"/>
      <c r="BK221" s="2087"/>
      <c r="CL221" s="115" t="s">
        <v>3185</v>
      </c>
      <c r="CM221" s="8">
        <v>43449</v>
      </c>
      <c r="CN221" s="8">
        <v>43453</v>
      </c>
      <c r="CY221" s="361"/>
      <c r="CZ221" s="361"/>
      <c r="DA221" s="361"/>
      <c r="DB221" s="448"/>
      <c r="DC221" s="448"/>
      <c r="DD221" s="448"/>
      <c r="DE221" s="448"/>
      <c r="DF221" s="361"/>
    </row>
    <row r="222" spans="1:110">
      <c r="A222" s="2087"/>
      <c r="B222" s="2087"/>
      <c r="C222" s="2087"/>
      <c r="D222" s="2087"/>
      <c r="E222" s="2087"/>
      <c r="F222" s="2087"/>
      <c r="G222" s="2087"/>
      <c r="H222" s="2087"/>
      <c r="I222" s="2087"/>
      <c r="J222" s="2087"/>
      <c r="K222" s="2087"/>
      <c r="L222" s="2087"/>
      <c r="M222" s="2087"/>
      <c r="N222" s="2087"/>
      <c r="O222" s="2087"/>
      <c r="P222" s="2087"/>
      <c r="Q222" s="2087"/>
      <c r="R222" s="2087"/>
      <c r="S222" s="2087"/>
      <c r="T222" s="2087"/>
      <c r="U222" s="2087"/>
      <c r="V222" s="2087"/>
      <c r="W222" s="2087"/>
      <c r="X222" s="2087"/>
      <c r="Y222" s="2087"/>
      <c r="Z222" s="2087"/>
      <c r="AA222" s="2087"/>
      <c r="AB222" s="2087"/>
      <c r="AC222" s="2087"/>
      <c r="AD222" s="2087"/>
      <c r="AE222" s="2087"/>
      <c r="AF222" s="2087"/>
      <c r="AG222" s="2087"/>
      <c r="AH222" s="2087"/>
      <c r="AI222" s="2087"/>
      <c r="AJ222" s="2087"/>
      <c r="AK222" s="2087"/>
      <c r="AL222" s="2087"/>
      <c r="AM222" s="2087"/>
      <c r="AN222" s="2087"/>
      <c r="AO222" s="2087"/>
      <c r="AP222" s="2087"/>
      <c r="AQ222" s="2087"/>
      <c r="AR222" s="2087"/>
      <c r="AS222" s="2087"/>
      <c r="AT222" s="2087"/>
      <c r="AU222" s="2087"/>
      <c r="AV222" s="2087"/>
      <c r="AW222" s="2087"/>
      <c r="AX222" s="2087"/>
      <c r="AY222" s="2087"/>
      <c r="AZ222" s="2087"/>
      <c r="BA222" s="2087"/>
      <c r="BB222" s="2087"/>
      <c r="BC222" s="2087"/>
      <c r="BD222" s="2087"/>
      <c r="BE222" s="2087"/>
      <c r="BF222" s="2087"/>
      <c r="BG222" s="2087"/>
      <c r="BH222" s="2087"/>
      <c r="BI222" s="2087"/>
      <c r="BJ222" s="2087"/>
      <c r="BK222" s="2087"/>
      <c r="CL222" s="9" t="s">
        <v>3186</v>
      </c>
      <c r="CM222" s="8">
        <v>43449</v>
      </c>
      <c r="CN222" s="8">
        <v>43455</v>
      </c>
      <c r="CY222" s="361"/>
      <c r="CZ222" s="361"/>
      <c r="DA222" s="361"/>
      <c r="DB222" s="448"/>
      <c r="DC222" s="448"/>
      <c r="DD222" s="448"/>
      <c r="DE222" s="448"/>
      <c r="DF222" s="361"/>
    </row>
    <row r="223" spans="1:110">
      <c r="A223" s="2087"/>
      <c r="B223" s="2087"/>
      <c r="C223" s="2087"/>
      <c r="D223" s="2087"/>
      <c r="E223" s="2087"/>
      <c r="F223" s="2087"/>
      <c r="G223" s="2087"/>
      <c r="H223" s="2087"/>
      <c r="I223" s="2087"/>
      <c r="J223" s="2087"/>
      <c r="K223" s="2087"/>
      <c r="L223" s="2087"/>
      <c r="M223" s="2087"/>
      <c r="N223" s="2087"/>
      <c r="O223" s="2087"/>
      <c r="P223" s="2087"/>
      <c r="Q223" s="2087"/>
      <c r="R223" s="2087"/>
      <c r="S223" s="2087"/>
      <c r="T223" s="2087"/>
      <c r="U223" s="2087"/>
      <c r="V223" s="2087"/>
      <c r="W223" s="2087"/>
      <c r="X223" s="2087"/>
      <c r="Y223" s="2087"/>
      <c r="Z223" s="2087"/>
      <c r="AA223" s="2087"/>
      <c r="AB223" s="2087"/>
      <c r="AC223" s="2087"/>
      <c r="AD223" s="2087"/>
      <c r="AE223" s="2087"/>
      <c r="AF223" s="2087"/>
      <c r="AG223" s="2087"/>
      <c r="AH223" s="2087"/>
      <c r="AI223" s="2087"/>
      <c r="AJ223" s="2087"/>
      <c r="AK223" s="2087"/>
      <c r="AL223" s="2087"/>
      <c r="AM223" s="2087"/>
      <c r="AN223" s="2087"/>
      <c r="AO223" s="2087"/>
      <c r="AP223" s="2087"/>
      <c r="AQ223" s="2087"/>
      <c r="AR223" s="2087"/>
      <c r="AS223" s="2087"/>
      <c r="AT223" s="2087"/>
      <c r="AU223" s="2087"/>
      <c r="AV223" s="2087"/>
      <c r="AW223" s="2087"/>
      <c r="AX223" s="2087"/>
      <c r="AY223" s="2087"/>
      <c r="AZ223" s="2087"/>
      <c r="BA223" s="2087"/>
      <c r="BB223" s="2087"/>
      <c r="BC223" s="2087"/>
      <c r="BD223" s="2087"/>
      <c r="BE223" s="2087"/>
      <c r="BF223" s="2087"/>
      <c r="BG223" s="2087"/>
      <c r="BH223" s="2087"/>
      <c r="BI223" s="2087"/>
      <c r="BJ223" s="2087"/>
      <c r="BK223" s="2087"/>
      <c r="CM223" s="8"/>
      <c r="CY223" s="361"/>
      <c r="CZ223" s="361"/>
      <c r="DA223" s="361"/>
      <c r="DB223" s="448"/>
      <c r="DC223" s="448"/>
      <c r="DD223" s="448"/>
      <c r="DE223" s="448"/>
      <c r="DF223" s="361"/>
    </row>
    <row r="224" spans="1:110" ht="25.5">
      <c r="A224" s="2087"/>
      <c r="B224" s="2087"/>
      <c r="C224" s="2087"/>
      <c r="D224" s="2087"/>
      <c r="E224" s="2087"/>
      <c r="F224" s="2087"/>
      <c r="G224" s="2087"/>
      <c r="H224" s="2087"/>
      <c r="I224" s="2087"/>
      <c r="J224" s="2087"/>
      <c r="K224" s="2087"/>
      <c r="L224" s="2087"/>
      <c r="M224" s="2087"/>
      <c r="N224" s="2087"/>
      <c r="O224" s="2087"/>
      <c r="P224" s="2087"/>
      <c r="Q224" s="2087"/>
      <c r="R224" s="2087"/>
      <c r="S224" s="2087"/>
      <c r="T224" s="2087"/>
      <c r="U224" s="2087"/>
      <c r="V224" s="2087"/>
      <c r="W224" s="2087"/>
      <c r="X224" s="2087"/>
      <c r="Y224" s="2087"/>
      <c r="Z224" s="2087"/>
      <c r="AA224" s="2087"/>
      <c r="AB224" s="2087"/>
      <c r="AC224" s="2087"/>
      <c r="AD224" s="2087"/>
      <c r="AE224" s="2087"/>
      <c r="AF224" s="2087"/>
      <c r="AG224" s="2087"/>
      <c r="AH224" s="2087"/>
      <c r="AI224" s="2087"/>
      <c r="AJ224" s="2087"/>
      <c r="AK224" s="2087"/>
      <c r="AL224" s="2087"/>
      <c r="AM224" s="2087"/>
      <c r="AN224" s="2087"/>
      <c r="AO224" s="2087"/>
      <c r="AP224" s="2087"/>
      <c r="AQ224" s="2087"/>
      <c r="AR224" s="2087"/>
      <c r="AS224" s="2087"/>
      <c r="AT224" s="2087"/>
      <c r="AU224" s="2087"/>
      <c r="AV224" s="2087"/>
      <c r="AW224" s="2087"/>
      <c r="AX224" s="2087"/>
      <c r="AY224" s="2087"/>
      <c r="AZ224" s="2087"/>
      <c r="BA224" s="2087"/>
      <c r="BB224" s="2087"/>
      <c r="BC224" s="2087"/>
      <c r="BD224" s="2087"/>
      <c r="BE224" s="2087"/>
      <c r="BF224" s="2087"/>
      <c r="BG224" s="2087"/>
      <c r="BH224" s="2087"/>
      <c r="BI224" s="2087"/>
      <c r="BJ224" s="2087"/>
      <c r="BK224" s="2087"/>
      <c r="CL224" s="9" t="s">
        <v>3178</v>
      </c>
      <c r="CM224" s="8">
        <v>43455</v>
      </c>
      <c r="CN224" s="8">
        <v>43465</v>
      </c>
      <c r="CO224" s="9" t="s">
        <v>3179</v>
      </c>
      <c r="CP224" s="9" t="s">
        <v>3180</v>
      </c>
      <c r="CY224" s="361"/>
      <c r="CZ224" s="361"/>
      <c r="DA224" s="361"/>
      <c r="DB224" s="448"/>
      <c r="DC224" s="448"/>
      <c r="DD224" s="448"/>
      <c r="DE224" s="448"/>
      <c r="DF224" s="361"/>
    </row>
    <row r="225" spans="1:110" ht="25.5">
      <c r="A225" s="2087"/>
      <c r="B225" s="2087"/>
      <c r="C225" s="2087"/>
      <c r="D225" s="2087"/>
      <c r="E225" s="2087"/>
      <c r="F225" s="2087"/>
      <c r="G225" s="2087"/>
      <c r="H225" s="2087"/>
      <c r="I225" s="2087"/>
      <c r="J225" s="2087"/>
      <c r="K225" s="2087"/>
      <c r="L225" s="2087"/>
      <c r="M225" s="2087"/>
      <c r="N225" s="2087"/>
      <c r="O225" s="2087"/>
      <c r="P225" s="2087"/>
      <c r="Q225" s="2087"/>
      <c r="R225" s="2087"/>
      <c r="S225" s="2087"/>
      <c r="T225" s="2087"/>
      <c r="U225" s="2087"/>
      <c r="V225" s="2087"/>
      <c r="W225" s="2087"/>
      <c r="X225" s="2087"/>
      <c r="Y225" s="2087"/>
      <c r="Z225" s="2087"/>
      <c r="AA225" s="2087"/>
      <c r="AB225" s="2087"/>
      <c r="AC225" s="2087"/>
      <c r="AD225" s="2087"/>
      <c r="AE225" s="2087"/>
      <c r="AF225" s="2087"/>
      <c r="AG225" s="2087"/>
      <c r="AH225" s="2087"/>
      <c r="AI225" s="2087"/>
      <c r="AJ225" s="2087"/>
      <c r="AK225" s="2087"/>
      <c r="AL225" s="2087"/>
      <c r="AM225" s="2087"/>
      <c r="AN225" s="2087"/>
      <c r="AO225" s="2087"/>
      <c r="AP225" s="2087"/>
      <c r="AQ225" s="2087"/>
      <c r="AR225" s="2087"/>
      <c r="AS225" s="2087"/>
      <c r="AT225" s="2087"/>
      <c r="AU225" s="2087"/>
      <c r="AV225" s="2087"/>
      <c r="AW225" s="2087"/>
      <c r="AX225" s="2087"/>
      <c r="AY225" s="2087"/>
      <c r="AZ225" s="2087"/>
      <c r="BA225" s="2087"/>
      <c r="BB225" s="2087"/>
      <c r="BC225" s="2087"/>
      <c r="BD225" s="2087"/>
      <c r="BE225" s="2087"/>
      <c r="BF225" s="2087"/>
      <c r="BG225" s="2087"/>
      <c r="BH225" s="2087"/>
      <c r="BI225" s="2087"/>
      <c r="BJ225" s="2087"/>
      <c r="BK225" s="2087"/>
      <c r="CL225" s="9" t="s">
        <v>3173</v>
      </c>
      <c r="CM225" s="8">
        <v>43459</v>
      </c>
      <c r="CN225" s="9" t="s">
        <v>3174</v>
      </c>
      <c r="CY225" s="361"/>
      <c r="CZ225" s="361"/>
      <c r="DA225" s="361"/>
      <c r="DB225" s="448"/>
      <c r="DC225" s="448"/>
      <c r="DD225" s="448"/>
      <c r="DE225" s="448"/>
      <c r="DF225" s="361"/>
    </row>
    <row r="226" spans="1:110">
      <c r="A226" s="2087"/>
      <c r="B226" s="2087"/>
      <c r="C226" s="2087"/>
      <c r="D226" s="2087"/>
      <c r="E226" s="2087"/>
      <c r="F226" s="2087"/>
      <c r="G226" s="2087"/>
      <c r="H226" s="2087"/>
      <c r="I226" s="2087"/>
      <c r="J226" s="2087"/>
      <c r="K226" s="2087"/>
      <c r="L226" s="2087"/>
      <c r="M226" s="2087"/>
      <c r="N226" s="2087"/>
      <c r="O226" s="2087"/>
      <c r="P226" s="2087"/>
      <c r="Q226" s="2087"/>
      <c r="R226" s="2087"/>
      <c r="S226" s="2087"/>
      <c r="T226" s="2087"/>
      <c r="U226" s="2087"/>
      <c r="V226" s="2087"/>
      <c r="W226" s="2087"/>
      <c r="X226" s="2087"/>
      <c r="Y226" s="2087"/>
      <c r="Z226" s="2087"/>
      <c r="AA226" s="2087"/>
      <c r="AB226" s="2087"/>
      <c r="AC226" s="2087"/>
      <c r="AD226" s="2087"/>
      <c r="AE226" s="2087"/>
      <c r="AF226" s="2087"/>
      <c r="AG226" s="2087"/>
      <c r="AH226" s="2087"/>
      <c r="AI226" s="2087"/>
      <c r="AJ226" s="2087"/>
      <c r="AK226" s="2087"/>
      <c r="AL226" s="2087"/>
      <c r="AM226" s="2087"/>
      <c r="AN226" s="2087"/>
      <c r="AO226" s="2087"/>
      <c r="AP226" s="2087"/>
      <c r="AQ226" s="2087"/>
      <c r="AR226" s="2087"/>
      <c r="AS226" s="2087"/>
      <c r="AT226" s="2087"/>
      <c r="AU226" s="2087"/>
      <c r="AV226" s="2087"/>
      <c r="AW226" s="2087"/>
      <c r="AX226" s="2087"/>
      <c r="AY226" s="2087"/>
      <c r="AZ226" s="2087"/>
      <c r="BA226" s="2087"/>
      <c r="BB226" s="2087"/>
      <c r="BC226" s="2087"/>
      <c r="BD226" s="2087"/>
      <c r="BE226" s="2087"/>
      <c r="BF226" s="2087"/>
      <c r="BG226" s="2087"/>
      <c r="BH226" s="2087"/>
      <c r="BI226" s="2087"/>
      <c r="BJ226" s="2087"/>
      <c r="BK226" s="2087"/>
      <c r="CL226" s="9" t="s">
        <v>3172</v>
      </c>
      <c r="CM226" s="8">
        <v>43461</v>
      </c>
      <c r="CN226" s="8">
        <v>43131</v>
      </c>
      <c r="CY226" s="361"/>
      <c r="CZ226" s="361"/>
      <c r="DA226" s="361"/>
      <c r="DB226" s="448"/>
      <c r="DC226" s="448"/>
      <c r="DD226" s="448"/>
      <c r="DE226" s="448"/>
      <c r="DF226" s="361"/>
    </row>
    <row r="227" spans="1:110" ht="25.5">
      <c r="A227" s="2087"/>
      <c r="B227" s="2087"/>
      <c r="C227" s="2087"/>
      <c r="D227" s="2087"/>
      <c r="E227" s="2087"/>
      <c r="F227" s="2087"/>
      <c r="G227" s="2087"/>
      <c r="H227" s="2087"/>
      <c r="I227" s="2087"/>
      <c r="J227" s="2087"/>
      <c r="K227" s="2087"/>
      <c r="L227" s="2087"/>
      <c r="M227" s="2087"/>
      <c r="N227" s="2087"/>
      <c r="O227" s="2087"/>
      <c r="P227" s="2087"/>
      <c r="Q227" s="2087"/>
      <c r="R227" s="2087"/>
      <c r="S227" s="2087"/>
      <c r="T227" s="2087"/>
      <c r="U227" s="2087"/>
      <c r="V227" s="2087"/>
      <c r="W227" s="2087"/>
      <c r="X227" s="2087"/>
      <c r="Y227" s="2087"/>
      <c r="Z227" s="2087"/>
      <c r="AA227" s="2087"/>
      <c r="AB227" s="2087"/>
      <c r="AC227" s="2087"/>
      <c r="AD227" s="2087"/>
      <c r="AE227" s="2087"/>
      <c r="AF227" s="2087"/>
      <c r="AG227" s="2087"/>
      <c r="AH227" s="2087"/>
      <c r="AI227" s="2087"/>
      <c r="AJ227" s="2087"/>
      <c r="AK227" s="2087"/>
      <c r="AL227" s="2087"/>
      <c r="AM227" s="2087"/>
      <c r="AN227" s="2087"/>
      <c r="AO227" s="2087"/>
      <c r="AP227" s="2087"/>
      <c r="AQ227" s="2087"/>
      <c r="AR227" s="2087"/>
      <c r="AS227" s="2087"/>
      <c r="AT227" s="2087"/>
      <c r="AU227" s="2087"/>
      <c r="AV227" s="2087"/>
      <c r="AW227" s="2087"/>
      <c r="AX227" s="2087"/>
      <c r="AY227" s="2087"/>
      <c r="AZ227" s="2087"/>
      <c r="BA227" s="2087"/>
      <c r="BB227" s="2087"/>
      <c r="BC227" s="2087"/>
      <c r="BD227" s="2087"/>
      <c r="BE227" s="2087"/>
      <c r="BF227" s="2087"/>
      <c r="BG227" s="2087"/>
      <c r="BH227" s="2087"/>
      <c r="BI227" s="2087"/>
      <c r="BJ227" s="2087"/>
      <c r="BK227" s="2087"/>
      <c r="CL227" s="9" t="s">
        <v>3182</v>
      </c>
      <c r="CM227" s="8">
        <v>43453</v>
      </c>
      <c r="CY227" s="361"/>
      <c r="CZ227" s="361"/>
      <c r="DA227" s="361"/>
      <c r="DB227" s="448"/>
      <c r="DC227" s="448"/>
      <c r="DD227" s="448"/>
      <c r="DE227" s="448"/>
      <c r="DF227" s="361"/>
    </row>
    <row r="228" spans="1:110" ht="25.5">
      <c r="A228" s="2087"/>
      <c r="B228" s="2087"/>
      <c r="C228" s="2087"/>
      <c r="D228" s="2087"/>
      <c r="E228" s="2087"/>
      <c r="F228" s="2087"/>
      <c r="G228" s="2087"/>
      <c r="H228" s="2087"/>
      <c r="I228" s="2087"/>
      <c r="J228" s="2087"/>
      <c r="K228" s="2087"/>
      <c r="L228" s="2087"/>
      <c r="M228" s="2087"/>
      <c r="N228" s="2087"/>
      <c r="O228" s="2087"/>
      <c r="P228" s="2087"/>
      <c r="Q228" s="2087"/>
      <c r="R228" s="2087"/>
      <c r="S228" s="2087"/>
      <c r="T228" s="2087"/>
      <c r="U228" s="2087"/>
      <c r="V228" s="2087"/>
      <c r="W228" s="2087"/>
      <c r="X228" s="2087"/>
      <c r="Y228" s="2087"/>
      <c r="Z228" s="2087"/>
      <c r="AA228" s="2087"/>
      <c r="AB228" s="2087"/>
      <c r="AC228" s="2087"/>
      <c r="AD228" s="2087"/>
      <c r="AE228" s="2087"/>
      <c r="AF228" s="2087"/>
      <c r="AG228" s="2087"/>
      <c r="AH228" s="2087"/>
      <c r="AI228" s="2087"/>
      <c r="AJ228" s="2087"/>
      <c r="AK228" s="2087"/>
      <c r="AL228" s="2087"/>
      <c r="AM228" s="2087"/>
      <c r="AN228" s="2087"/>
      <c r="AO228" s="2087"/>
      <c r="AP228" s="2087"/>
      <c r="AQ228" s="2087"/>
      <c r="AR228" s="2087"/>
      <c r="AS228" s="2087"/>
      <c r="AT228" s="2087"/>
      <c r="AU228" s="2087"/>
      <c r="AV228" s="2087"/>
      <c r="AW228" s="2087"/>
      <c r="AX228" s="2087"/>
      <c r="AY228" s="2087"/>
      <c r="AZ228" s="2087"/>
      <c r="BA228" s="2087"/>
      <c r="BB228" s="2087"/>
      <c r="BC228" s="2087"/>
      <c r="BD228" s="2087"/>
      <c r="BE228" s="2087"/>
      <c r="BF228" s="2087"/>
      <c r="BG228" s="2087"/>
      <c r="BH228" s="2087"/>
      <c r="BI228" s="2087"/>
      <c r="BJ228" s="2087"/>
      <c r="BK228" s="2087"/>
      <c r="CL228" s="9" t="s">
        <v>3167</v>
      </c>
      <c r="CM228" s="8">
        <v>43463</v>
      </c>
      <c r="CN228" s="8">
        <v>43103</v>
      </c>
      <c r="CO228" s="9" t="s">
        <v>1880</v>
      </c>
      <c r="CY228" s="361"/>
      <c r="CZ228" s="361"/>
      <c r="DA228" s="361"/>
      <c r="DB228" s="448"/>
      <c r="DC228" s="448"/>
      <c r="DD228" s="448"/>
      <c r="DE228" s="448"/>
      <c r="DF228" s="361"/>
    </row>
    <row r="229" spans="1:110" ht="25.5">
      <c r="CL229" s="9" t="s">
        <v>3168</v>
      </c>
      <c r="CM229" s="8">
        <v>43463</v>
      </c>
      <c r="CN229" s="8">
        <v>43107</v>
      </c>
      <c r="CO229" s="9" t="s">
        <v>1880</v>
      </c>
      <c r="CY229" s="361"/>
      <c r="CZ229" s="361"/>
      <c r="DA229" s="361"/>
      <c r="DB229" s="448"/>
      <c r="DC229" s="448"/>
      <c r="DD229" s="448"/>
      <c r="DE229" s="448"/>
      <c r="DF229" s="361"/>
    </row>
    <row r="230" spans="1:110" ht="28.5">
      <c r="CL230" s="9" t="s">
        <v>3175</v>
      </c>
      <c r="CM230" s="8">
        <v>43458</v>
      </c>
      <c r="CN230" s="8">
        <v>43472</v>
      </c>
      <c r="CO230" s="9" t="s">
        <v>3176</v>
      </c>
      <c r="CP230" s="438" t="s">
        <v>3177</v>
      </c>
      <c r="CY230" s="361"/>
      <c r="CZ230" s="361"/>
      <c r="DA230" s="361"/>
      <c r="DB230" s="448"/>
      <c r="DC230" s="448"/>
      <c r="DD230" s="448"/>
      <c r="DE230" s="448"/>
      <c r="DF230" s="361"/>
    </row>
    <row r="231" spans="1:110" ht="30">
      <c r="CL231" s="9" t="s">
        <v>3169</v>
      </c>
      <c r="CM231" s="8">
        <v>43463</v>
      </c>
      <c r="CN231" s="8">
        <v>43472</v>
      </c>
      <c r="CO231" s="9" t="s">
        <v>3170</v>
      </c>
      <c r="CP231" s="327" t="s">
        <v>3171</v>
      </c>
      <c r="CY231" s="361"/>
      <c r="CZ231" s="361"/>
      <c r="DA231" s="361"/>
      <c r="DB231" s="448"/>
      <c r="DC231" s="448"/>
      <c r="DD231" s="448"/>
      <c r="DE231" s="448"/>
      <c r="DF231" s="361"/>
    </row>
    <row r="232" spans="1:110" ht="28.5">
      <c r="CL232" s="9" t="s">
        <v>3160</v>
      </c>
      <c r="CM232" s="8">
        <v>43470</v>
      </c>
      <c r="CN232" s="8">
        <v>43473</v>
      </c>
      <c r="CO232" s="9" t="s">
        <v>3161</v>
      </c>
      <c r="CP232" s="437" t="s">
        <v>3162</v>
      </c>
      <c r="CQ232" s="9" t="s">
        <v>1186</v>
      </c>
      <c r="CY232" s="361"/>
      <c r="CZ232" s="361"/>
      <c r="DA232" s="361"/>
      <c r="DB232" s="448"/>
      <c r="DC232" s="448"/>
      <c r="DD232" s="448"/>
      <c r="DE232" s="448"/>
      <c r="DF232" s="361"/>
    </row>
    <row r="233" spans="1:110" ht="25.5">
      <c r="CL233" s="9" t="s">
        <v>3181</v>
      </c>
      <c r="CM233" s="8">
        <v>43455</v>
      </c>
      <c r="CN233" s="8">
        <v>43474</v>
      </c>
      <c r="CO233" s="9" t="s">
        <v>2276</v>
      </c>
      <c r="CY233" s="361"/>
      <c r="CZ233" s="361"/>
      <c r="DA233" s="361"/>
      <c r="DB233" s="448"/>
      <c r="DC233" s="448"/>
      <c r="DD233" s="448"/>
      <c r="DE233" s="448"/>
      <c r="DF233" s="361"/>
    </row>
    <row r="234" spans="1:110" ht="30">
      <c r="CL234" s="9" t="s">
        <v>3164</v>
      </c>
      <c r="CM234" s="8">
        <v>43465</v>
      </c>
      <c r="CN234" s="8">
        <v>43474</v>
      </c>
      <c r="CO234" s="9" t="s">
        <v>3165</v>
      </c>
      <c r="CP234" s="327" t="s">
        <v>3166</v>
      </c>
      <c r="CY234" s="361"/>
      <c r="CZ234" s="361"/>
      <c r="DA234" s="361"/>
      <c r="DB234" s="448"/>
      <c r="DC234" s="448"/>
      <c r="DD234" s="448"/>
      <c r="DE234" s="448"/>
      <c r="DF234" s="361"/>
    </row>
    <row r="235" spans="1:110" ht="25.5">
      <c r="CL235" s="9" t="s">
        <v>3153</v>
      </c>
      <c r="CM235" s="8">
        <v>43474</v>
      </c>
      <c r="CN235" s="8">
        <v>43476</v>
      </c>
      <c r="CO235" s="9" t="s">
        <v>3154</v>
      </c>
      <c r="CP235" s="9" t="s">
        <v>1343</v>
      </c>
      <c r="CY235" s="361"/>
      <c r="CZ235" s="361"/>
      <c r="DA235" s="361"/>
      <c r="DB235" s="448"/>
      <c r="DC235" s="448"/>
      <c r="DD235" s="448"/>
      <c r="DE235" s="448"/>
      <c r="DF235" s="361"/>
    </row>
    <row r="236" spans="1:110" ht="30">
      <c r="CD236" s="529"/>
      <c r="CL236" s="9" t="s">
        <v>3158</v>
      </c>
      <c r="CM236" s="8">
        <v>43471</v>
      </c>
      <c r="CN236" s="8">
        <v>43475</v>
      </c>
      <c r="CO236" s="530" t="s">
        <v>3159</v>
      </c>
      <c r="CQ236" s="9" t="s">
        <v>1186</v>
      </c>
      <c r="CY236" s="361"/>
      <c r="CZ236" s="361"/>
      <c r="DA236" s="361"/>
      <c r="DB236" s="448"/>
      <c r="DC236" s="448"/>
      <c r="DD236" s="448"/>
      <c r="DE236" s="448"/>
      <c r="DF236" s="361"/>
    </row>
    <row r="237" spans="1:110">
      <c r="CD237" s="529"/>
      <c r="CL237" s="9" t="s">
        <v>3163</v>
      </c>
      <c r="CM237" s="8">
        <v>43468</v>
      </c>
      <c r="CN237" s="8">
        <v>43479</v>
      </c>
      <c r="CP237" s="9" t="s">
        <v>1198</v>
      </c>
      <c r="CY237" s="361"/>
      <c r="CZ237" s="361"/>
      <c r="DA237" s="361"/>
      <c r="DB237" s="448"/>
      <c r="DC237" s="448"/>
      <c r="DD237" s="448"/>
      <c r="DE237" s="448"/>
      <c r="DF237" s="361"/>
    </row>
    <row r="238" spans="1:110" ht="25.5">
      <c r="CD238" s="529"/>
      <c r="CL238" s="9" t="s">
        <v>3155</v>
      </c>
      <c r="CM238" s="8">
        <v>43474</v>
      </c>
      <c r="CN238" s="8">
        <v>43479</v>
      </c>
      <c r="CO238" s="9" t="s">
        <v>3156</v>
      </c>
      <c r="CP238" s="9" t="s">
        <v>1343</v>
      </c>
      <c r="CY238" s="361"/>
      <c r="CZ238" s="361"/>
      <c r="DA238" s="361"/>
      <c r="DB238" s="448"/>
      <c r="DC238" s="448"/>
      <c r="DD238" s="448"/>
      <c r="DE238" s="448"/>
      <c r="DF238" s="361"/>
    </row>
    <row r="239" spans="1:110" ht="25.5">
      <c r="A239" s="2107" t="s">
        <v>3526</v>
      </c>
      <c r="B239" s="2094"/>
      <c r="C239" s="2094"/>
      <c r="D239" s="2094"/>
      <c r="E239" s="2094"/>
      <c r="F239" s="2094"/>
      <c r="G239" s="2094"/>
      <c r="H239" s="2094"/>
      <c r="I239" s="2094"/>
      <c r="J239" s="2094"/>
      <c r="K239" s="2094"/>
      <c r="L239" s="2094"/>
      <c r="M239" s="2094"/>
      <c r="N239" s="2094"/>
      <c r="O239" s="2094"/>
      <c r="P239" s="2094"/>
      <c r="Q239" s="2094"/>
      <c r="R239" s="2094"/>
      <c r="S239" s="2094"/>
      <c r="T239" s="2094"/>
      <c r="U239" s="2094"/>
      <c r="V239" s="2094"/>
      <c r="W239" s="2094"/>
      <c r="X239" s="2094"/>
      <c r="Y239" s="2094"/>
      <c r="Z239" s="2094"/>
      <c r="AA239" s="2094"/>
      <c r="AB239" s="2094"/>
      <c r="AC239" s="2094"/>
      <c r="AD239" s="2094"/>
      <c r="AE239" s="2094"/>
      <c r="AF239" s="2094"/>
      <c r="AG239" s="2094"/>
      <c r="AH239" s="531"/>
      <c r="AI239" s="2108" t="s">
        <v>3527</v>
      </c>
      <c r="AJ239" s="2094"/>
      <c r="AK239" s="2094"/>
      <c r="AL239" s="2094"/>
      <c r="AM239" s="2094"/>
      <c r="AN239" s="2094"/>
      <c r="AO239" s="2094"/>
      <c r="AP239" s="2094"/>
      <c r="AQ239" s="2094"/>
      <c r="AR239" s="39"/>
      <c r="CD239" s="529"/>
      <c r="CL239" s="9" t="s">
        <v>3157</v>
      </c>
      <c r="CM239" s="8">
        <v>43474</v>
      </c>
      <c r="CN239" s="8">
        <v>43480</v>
      </c>
      <c r="CO239" s="9" t="s">
        <v>3156</v>
      </c>
      <c r="CP239" s="9" t="s">
        <v>1217</v>
      </c>
      <c r="CY239" s="361"/>
      <c r="CZ239" s="361"/>
      <c r="DA239" s="361"/>
      <c r="DB239" s="448"/>
      <c r="DC239" s="448"/>
      <c r="DD239" s="448"/>
      <c r="DE239" s="448"/>
      <c r="DF239" s="361"/>
    </row>
    <row r="240" spans="1:110" ht="25.5">
      <c r="A240" s="47" t="s">
        <v>3528</v>
      </c>
      <c r="B240" s="533"/>
      <c r="C240" s="533"/>
      <c r="D240" s="533"/>
      <c r="E240" s="533"/>
      <c r="F240" s="533"/>
      <c r="G240" s="533"/>
      <c r="H240" s="533"/>
      <c r="I240" s="533"/>
      <c r="J240" s="533"/>
      <c r="K240" s="533"/>
      <c r="L240" s="533"/>
      <c r="M240" s="533"/>
      <c r="N240" s="533"/>
      <c r="O240" s="533"/>
      <c r="P240" s="533"/>
      <c r="Q240" s="533"/>
      <c r="R240" s="533"/>
      <c r="S240" s="533"/>
      <c r="T240" s="533"/>
      <c r="U240" s="533"/>
      <c r="V240" s="533"/>
      <c r="W240" s="533"/>
      <c r="X240" s="533"/>
      <c r="Y240" s="533"/>
      <c r="Z240" s="533"/>
      <c r="AA240" s="533"/>
      <c r="AB240" s="533">
        <v>-30000</v>
      </c>
      <c r="AC240" s="533">
        <v>-25000</v>
      </c>
      <c r="AD240" s="533">
        <v>-20000</v>
      </c>
      <c r="AE240" s="533">
        <v>-15000</v>
      </c>
      <c r="AF240" s="533">
        <v>-1000</v>
      </c>
      <c r="AG240" s="533">
        <v>-500</v>
      </c>
      <c r="AH240" s="534" t="s">
        <v>3529</v>
      </c>
      <c r="AI240" s="533">
        <v>10000</v>
      </c>
      <c r="AJ240" s="533">
        <v>20000</v>
      </c>
      <c r="AK240" s="533">
        <v>50000</v>
      </c>
      <c r="AL240" s="533">
        <v>100000</v>
      </c>
      <c r="AM240" s="533">
        <v>400000</v>
      </c>
      <c r="AN240" s="533">
        <v>700000</v>
      </c>
      <c r="AO240" s="3" t="s">
        <v>3530</v>
      </c>
      <c r="AP240" s="3"/>
      <c r="AQ240" s="3"/>
      <c r="AR240" s="142"/>
      <c r="CD240" s="529"/>
      <c r="CL240" s="9" t="s">
        <v>3147</v>
      </c>
      <c r="CM240" s="8">
        <v>43477</v>
      </c>
      <c r="CN240" s="8">
        <v>43480</v>
      </c>
      <c r="CO240" s="9" t="s">
        <v>3148</v>
      </c>
      <c r="CP240" s="9" t="s">
        <v>1198</v>
      </c>
      <c r="CQ240" s="9" t="s">
        <v>69</v>
      </c>
      <c r="CY240" s="361"/>
      <c r="CZ240" s="361"/>
      <c r="DA240" s="361"/>
      <c r="DB240" s="448"/>
      <c r="DC240" s="448"/>
      <c r="DD240" s="448"/>
      <c r="DE240" s="448"/>
      <c r="DF240" s="361"/>
    </row>
    <row r="241" spans="1:110">
      <c r="A241" s="535" t="s">
        <v>3531</v>
      </c>
      <c r="B241" s="536"/>
      <c r="C241" s="536"/>
      <c r="D241" s="536"/>
      <c r="E241" s="536"/>
      <c r="F241" s="536"/>
      <c r="G241" s="536"/>
      <c r="H241" s="536"/>
      <c r="I241" s="536"/>
      <c r="J241" s="536"/>
      <c r="K241" s="536"/>
      <c r="L241" s="536"/>
      <c r="M241" s="536"/>
      <c r="N241" s="536"/>
      <c r="O241" s="536"/>
      <c r="P241" s="536"/>
      <c r="Q241" s="536"/>
      <c r="R241" s="536"/>
      <c r="S241" s="536"/>
      <c r="T241" s="536"/>
      <c r="U241" s="536"/>
      <c r="V241" s="536"/>
      <c r="W241" s="536"/>
      <c r="X241" s="536"/>
      <c r="Y241" s="536"/>
      <c r="Z241" s="536"/>
      <c r="AA241" s="536"/>
      <c r="AB241" s="536"/>
      <c r="AC241" s="536"/>
      <c r="AD241" s="536"/>
      <c r="AE241" s="536"/>
      <c r="AF241" s="536"/>
      <c r="AG241" s="536"/>
      <c r="AH241" s="537"/>
      <c r="AI241" s="536"/>
      <c r="AJ241" s="536"/>
      <c r="AK241" s="536"/>
      <c r="AL241" s="536"/>
      <c r="AM241" s="536"/>
      <c r="AN241" s="536"/>
      <c r="AO241" s="536" t="s">
        <v>3532</v>
      </c>
      <c r="AP241" s="536"/>
      <c r="AQ241" s="536"/>
      <c r="AR241" s="538"/>
      <c r="AS241" s="210"/>
      <c r="CD241" s="529"/>
      <c r="CL241" s="9" t="s">
        <v>3021</v>
      </c>
      <c r="CM241" s="8">
        <v>43802</v>
      </c>
      <c r="CN241" s="8">
        <v>43480</v>
      </c>
      <c r="CY241" s="361"/>
      <c r="CZ241" s="361"/>
      <c r="DA241" s="361"/>
      <c r="DB241" s="448"/>
      <c r="DC241" s="448"/>
      <c r="DD241" s="448"/>
      <c r="DE241" s="448"/>
      <c r="DF241" s="361"/>
    </row>
    <row r="242" spans="1:110" ht="25.5">
      <c r="AH242" s="119"/>
      <c r="CD242" s="529"/>
      <c r="CL242" s="9" t="s">
        <v>3149</v>
      </c>
      <c r="CM242" s="8">
        <v>43476</v>
      </c>
      <c r="CN242" s="8">
        <v>43483</v>
      </c>
      <c r="CO242" s="9" t="s">
        <v>3150</v>
      </c>
      <c r="CQ242" s="9" t="s">
        <v>1186</v>
      </c>
      <c r="CY242" s="361"/>
      <c r="CZ242" s="361"/>
      <c r="DA242" s="361"/>
      <c r="DB242" s="448"/>
      <c r="DC242" s="448"/>
      <c r="DD242" s="448"/>
      <c r="DE242" s="448"/>
      <c r="DF242" s="361"/>
    </row>
    <row r="243" spans="1:110" ht="42.75">
      <c r="CD243" s="529"/>
      <c r="CL243" s="9" t="s">
        <v>3145</v>
      </c>
      <c r="CM243" s="8">
        <v>43478</v>
      </c>
      <c r="CN243" s="8">
        <v>43484</v>
      </c>
      <c r="CO243" s="407" t="s">
        <v>3146</v>
      </c>
      <c r="CP243" s="9" t="s">
        <v>1186</v>
      </c>
      <c r="CQ243" s="9" t="s">
        <v>66</v>
      </c>
      <c r="CY243" s="361"/>
      <c r="CZ243" s="361"/>
      <c r="DA243" s="361"/>
      <c r="DB243" s="448"/>
      <c r="DC243" s="448"/>
      <c r="DD243" s="448"/>
      <c r="DE243" s="448"/>
      <c r="DF243" s="361"/>
    </row>
    <row r="244" spans="1:110" ht="25.5">
      <c r="CI244" s="12"/>
      <c r="CL244" s="9" t="s">
        <v>3144</v>
      </c>
      <c r="CM244" s="8">
        <v>43480</v>
      </c>
      <c r="CN244" s="8">
        <v>43484</v>
      </c>
      <c r="CP244" s="9" t="s">
        <v>2654</v>
      </c>
      <c r="CQ244" s="9" t="s">
        <v>293</v>
      </c>
      <c r="CY244" s="361"/>
      <c r="CZ244" s="361"/>
      <c r="DA244" s="361"/>
      <c r="DB244" s="448"/>
      <c r="DC244" s="448"/>
      <c r="DD244" s="448"/>
      <c r="DE244" s="448"/>
      <c r="DF244" s="361"/>
    </row>
    <row r="245" spans="1:110" ht="25.5">
      <c r="CL245" s="9" t="s">
        <v>3142</v>
      </c>
      <c r="CM245" s="8">
        <v>43483</v>
      </c>
      <c r="CN245" s="8">
        <v>43486</v>
      </c>
      <c r="CO245" s="9" t="s">
        <v>3143</v>
      </c>
      <c r="CP245" s="9" t="s">
        <v>69</v>
      </c>
      <c r="CQ245" s="9" t="s">
        <v>1217</v>
      </c>
      <c r="CY245" s="361"/>
      <c r="CZ245" s="361"/>
      <c r="DA245" s="361"/>
      <c r="DB245" s="448"/>
      <c r="DC245" s="448"/>
      <c r="DD245" s="448"/>
      <c r="DE245" s="448"/>
      <c r="DF245" s="361"/>
    </row>
    <row r="246" spans="1:110" ht="25.5">
      <c r="CL246" s="9" t="s">
        <v>3136</v>
      </c>
      <c r="CM246" s="8">
        <v>43486</v>
      </c>
      <c r="CN246" s="8">
        <v>43489</v>
      </c>
      <c r="CO246" s="82" t="s">
        <v>3137</v>
      </c>
      <c r="CP246" s="9" t="s">
        <v>1311</v>
      </c>
      <c r="CY246" s="361"/>
      <c r="CZ246" s="361"/>
      <c r="DA246" s="361"/>
      <c r="DB246" s="448"/>
      <c r="DC246" s="448"/>
      <c r="DD246" s="448"/>
      <c r="DE246" s="448"/>
      <c r="DF246" s="361"/>
    </row>
    <row r="247" spans="1:110">
      <c r="CL247" s="9" t="s">
        <v>3151</v>
      </c>
      <c r="CM247" s="8">
        <v>43476</v>
      </c>
      <c r="CN247" s="8">
        <v>43520</v>
      </c>
      <c r="CO247" s="82"/>
      <c r="CQ247" s="9" t="s">
        <v>3152</v>
      </c>
      <c r="CY247" s="361"/>
      <c r="CZ247" s="361"/>
      <c r="DA247" s="361"/>
      <c r="DB247" s="448"/>
      <c r="DC247" s="448"/>
      <c r="DD247" s="448"/>
      <c r="DE247" s="448"/>
      <c r="DF247" s="361"/>
    </row>
    <row r="248" spans="1:110" ht="25.5">
      <c r="CL248" s="9" t="s">
        <v>3140</v>
      </c>
      <c r="CM248" s="8">
        <v>43484</v>
      </c>
      <c r="CN248" s="353">
        <v>43490</v>
      </c>
      <c r="CO248" s="252" t="s">
        <v>3141</v>
      </c>
      <c r="CP248" s="9" t="s">
        <v>293</v>
      </c>
      <c r="CQ248" s="9" t="s">
        <v>1198</v>
      </c>
      <c r="CY248" s="361"/>
      <c r="CZ248" s="361"/>
      <c r="DA248" s="361"/>
      <c r="DB248" s="448"/>
      <c r="DC248" s="448"/>
      <c r="DD248" s="448"/>
      <c r="DE248" s="448"/>
      <c r="DF248" s="361"/>
    </row>
    <row r="249" spans="1:110" ht="25.5">
      <c r="CL249" s="9" t="s">
        <v>2600</v>
      </c>
      <c r="CM249" s="8">
        <v>43485</v>
      </c>
      <c r="CN249" s="353">
        <v>43490</v>
      </c>
      <c r="CO249" s="82" t="s">
        <v>3138</v>
      </c>
      <c r="CP249" s="9" t="s">
        <v>3139</v>
      </c>
      <c r="CY249" s="361"/>
      <c r="CZ249" s="361"/>
      <c r="DA249" s="361"/>
      <c r="DB249" s="448"/>
      <c r="DC249" s="448"/>
      <c r="DD249" s="448"/>
      <c r="DE249" s="448"/>
      <c r="DF249" s="361"/>
    </row>
    <row r="250" spans="1:110" ht="25.5">
      <c r="CL250" s="9" t="s">
        <v>3134</v>
      </c>
      <c r="CM250" s="8">
        <v>43537</v>
      </c>
      <c r="CN250" s="353">
        <v>43540</v>
      </c>
      <c r="CO250" s="9" t="s">
        <v>3135</v>
      </c>
      <c r="CP250" s="9" t="s">
        <v>1880</v>
      </c>
      <c r="CY250" s="361"/>
      <c r="CZ250" s="361"/>
      <c r="DA250" s="361"/>
      <c r="DB250" s="448"/>
      <c r="DC250" s="448"/>
      <c r="DD250" s="448"/>
      <c r="DE250" s="448"/>
      <c r="DF250" s="361"/>
    </row>
    <row r="251" spans="1:110" ht="25.5">
      <c r="CL251" s="9" t="s">
        <v>2623</v>
      </c>
      <c r="CM251" s="8">
        <v>43542</v>
      </c>
      <c r="CN251" s="8">
        <v>43544</v>
      </c>
      <c r="CO251" s="8" t="s">
        <v>3132</v>
      </c>
      <c r="CP251" s="9" t="s">
        <v>69</v>
      </c>
      <c r="CY251" s="361"/>
      <c r="CZ251" s="361"/>
      <c r="DA251" s="361"/>
      <c r="DB251" s="448"/>
      <c r="DC251" s="448"/>
      <c r="DD251" s="448"/>
      <c r="DE251" s="448"/>
      <c r="DF251" s="361"/>
    </row>
    <row r="252" spans="1:110">
      <c r="CL252" s="9" t="s">
        <v>3133</v>
      </c>
      <c r="CM252" s="8">
        <v>43541</v>
      </c>
      <c r="CN252" s="8">
        <v>43545</v>
      </c>
      <c r="CQ252" s="9" t="s">
        <v>1198</v>
      </c>
      <c r="CY252" s="361"/>
      <c r="CZ252" s="361"/>
      <c r="DA252" s="361"/>
      <c r="DB252" s="448"/>
      <c r="DC252" s="448"/>
      <c r="DD252" s="448"/>
      <c r="DE252" s="448"/>
      <c r="DF252" s="361"/>
    </row>
    <row r="253" spans="1:110" ht="25.5">
      <c r="CL253" s="9" t="s">
        <v>3130</v>
      </c>
      <c r="CM253" s="8">
        <v>43549</v>
      </c>
      <c r="CN253" s="8">
        <v>43551</v>
      </c>
      <c r="CO253" s="9" t="s">
        <v>3131</v>
      </c>
      <c r="CP253" s="9" t="s">
        <v>69</v>
      </c>
      <c r="CQ253" s="9" t="s">
        <v>1217</v>
      </c>
      <c r="CY253" s="361"/>
      <c r="CZ253" s="361"/>
      <c r="DA253" s="361"/>
      <c r="DB253" s="448"/>
      <c r="DC253" s="448"/>
      <c r="DD253" s="448"/>
      <c r="DE253" s="448"/>
      <c r="DF253" s="361"/>
    </row>
    <row r="254" spans="1:110">
      <c r="CL254" s="9" t="s">
        <v>3128</v>
      </c>
      <c r="CM254" s="8">
        <v>43552</v>
      </c>
      <c r="CN254" s="8">
        <v>43553</v>
      </c>
      <c r="CP254" s="9" t="s">
        <v>69</v>
      </c>
      <c r="CQ254" s="9" t="s">
        <v>1217</v>
      </c>
      <c r="CY254" s="361"/>
      <c r="CZ254" s="361"/>
      <c r="DA254" s="361"/>
      <c r="DB254" s="448"/>
      <c r="DC254" s="448"/>
      <c r="DD254" s="448"/>
      <c r="DE254" s="448"/>
      <c r="DF254" s="361"/>
    </row>
    <row r="255" spans="1:110">
      <c r="CL255" s="9" t="s">
        <v>3129</v>
      </c>
      <c r="CM255" s="8">
        <v>43552</v>
      </c>
      <c r="CN255" s="8">
        <v>43559</v>
      </c>
      <c r="CP255" s="9" t="s">
        <v>69</v>
      </c>
      <c r="CY255" s="361"/>
      <c r="CZ255" s="361"/>
      <c r="DA255" s="361"/>
      <c r="DB255" s="448"/>
      <c r="DC255" s="448"/>
      <c r="DD255" s="448"/>
      <c r="DE255" s="448"/>
      <c r="DF255" s="361"/>
    </row>
    <row r="256" spans="1:110">
      <c r="CL256" s="9" t="s">
        <v>3127</v>
      </c>
      <c r="CM256" s="8">
        <v>43559</v>
      </c>
      <c r="CN256" s="8">
        <v>43562</v>
      </c>
      <c r="CY256" s="361"/>
      <c r="CZ256" s="361"/>
      <c r="DA256" s="361"/>
      <c r="DB256" s="448"/>
      <c r="DC256" s="448"/>
      <c r="DD256" s="448"/>
      <c r="DE256" s="448"/>
      <c r="DF256" s="361"/>
    </row>
    <row r="257" spans="90:110">
      <c r="CL257" s="9" t="s">
        <v>3122</v>
      </c>
      <c r="CM257" s="8">
        <v>43564</v>
      </c>
      <c r="CN257" s="8">
        <v>43566</v>
      </c>
      <c r="CP257" s="9" t="s">
        <v>3123</v>
      </c>
      <c r="CQ257" s="9" t="s">
        <v>1186</v>
      </c>
      <c r="CY257" s="361"/>
      <c r="CZ257" s="361"/>
      <c r="DA257" s="361"/>
      <c r="DB257" s="448"/>
      <c r="DC257" s="448"/>
      <c r="DD257" s="448"/>
      <c r="DE257" s="448"/>
      <c r="DF257" s="361"/>
    </row>
    <row r="258" spans="90:110">
      <c r="CL258" s="9" t="s">
        <v>3121</v>
      </c>
      <c r="CM258" s="8">
        <v>43566</v>
      </c>
      <c r="CN258" s="8">
        <v>43567</v>
      </c>
      <c r="CP258" s="9" t="s">
        <v>69</v>
      </c>
      <c r="CY258" s="361"/>
      <c r="CZ258" s="361"/>
      <c r="DA258" s="361"/>
      <c r="DB258" s="448"/>
      <c r="DC258" s="448"/>
      <c r="DD258" s="448"/>
      <c r="DE258" s="448"/>
      <c r="DF258" s="361"/>
    </row>
    <row r="259" spans="90:110">
      <c r="CL259" s="9" t="s">
        <v>3124</v>
      </c>
      <c r="CM259" s="8">
        <v>43561</v>
      </c>
      <c r="CN259" s="9" t="s">
        <v>28</v>
      </c>
      <c r="CO259" s="539">
        <v>43570</v>
      </c>
      <c r="CP259" s="9" t="s">
        <v>3125</v>
      </c>
      <c r="CQ259" s="9" t="s">
        <v>1186</v>
      </c>
      <c r="CY259" s="361"/>
      <c r="CZ259" s="361"/>
      <c r="DA259" s="361"/>
      <c r="DB259" s="448"/>
      <c r="DC259" s="448"/>
      <c r="DD259" s="448"/>
      <c r="DE259" s="448"/>
      <c r="DF259" s="361"/>
    </row>
    <row r="260" spans="90:110">
      <c r="CL260" s="9" t="s">
        <v>3118</v>
      </c>
      <c r="CM260" s="8">
        <v>43569</v>
      </c>
      <c r="CN260" s="8">
        <v>43572</v>
      </c>
      <c r="CP260" s="9" t="s">
        <v>69</v>
      </c>
      <c r="CY260" s="361"/>
      <c r="CZ260" s="361"/>
      <c r="DA260" s="361"/>
      <c r="DB260" s="448"/>
      <c r="DC260" s="448"/>
      <c r="DD260" s="448"/>
      <c r="DE260" s="448"/>
      <c r="DF260" s="361"/>
    </row>
    <row r="261" spans="90:110">
      <c r="CL261" s="9" t="s">
        <v>3117</v>
      </c>
      <c r="CM261" s="8">
        <v>43570</v>
      </c>
      <c r="CN261" s="8">
        <v>43572</v>
      </c>
      <c r="CP261" s="9" t="s">
        <v>69</v>
      </c>
      <c r="CY261" s="361"/>
      <c r="CZ261" s="361"/>
      <c r="DA261" s="361"/>
      <c r="DB261" s="448"/>
      <c r="DC261" s="448"/>
      <c r="DD261" s="448"/>
      <c r="DE261" s="448"/>
      <c r="DF261" s="361"/>
    </row>
    <row r="262" spans="90:110" ht="25.5">
      <c r="CL262" s="9" t="s">
        <v>3120</v>
      </c>
      <c r="CM262" s="8">
        <v>43567</v>
      </c>
      <c r="CN262" s="8">
        <v>43573</v>
      </c>
      <c r="CY262" s="361"/>
      <c r="CZ262" s="361"/>
      <c r="DA262" s="361"/>
      <c r="DB262" s="448"/>
      <c r="DC262" s="448"/>
      <c r="DD262" s="448"/>
      <c r="DE262" s="448"/>
      <c r="DF262" s="361"/>
    </row>
    <row r="263" spans="90:110">
      <c r="CL263" s="9" t="s">
        <v>3126</v>
      </c>
      <c r="CM263" s="8">
        <v>43560</v>
      </c>
      <c r="CN263" s="8">
        <v>43577</v>
      </c>
      <c r="CP263" s="9" t="s">
        <v>69</v>
      </c>
      <c r="CY263" s="361"/>
      <c r="CZ263" s="361"/>
      <c r="DA263" s="361"/>
      <c r="DB263" s="448"/>
      <c r="DC263" s="448"/>
      <c r="DD263" s="448"/>
      <c r="DE263" s="448"/>
      <c r="DF263" s="361"/>
    </row>
    <row r="264" spans="90:110" ht="25.5">
      <c r="CL264" s="9" t="s">
        <v>3116</v>
      </c>
      <c r="CM264" s="8">
        <v>43571</v>
      </c>
      <c r="CN264" s="8">
        <v>43577</v>
      </c>
      <c r="CY264" s="361"/>
      <c r="CZ264" s="361"/>
      <c r="DA264" s="361"/>
      <c r="DB264" s="448"/>
      <c r="DC264" s="448"/>
      <c r="DD264" s="448"/>
      <c r="DE264" s="448"/>
      <c r="DF264" s="361"/>
    </row>
    <row r="265" spans="90:110" ht="25.5">
      <c r="CL265" s="9" t="s">
        <v>3115</v>
      </c>
      <c r="CM265" s="8">
        <v>43573</v>
      </c>
      <c r="CN265" s="8">
        <v>43577</v>
      </c>
      <c r="CY265" s="361"/>
      <c r="CZ265" s="361"/>
      <c r="DA265" s="361"/>
      <c r="DB265" s="448"/>
      <c r="DC265" s="448"/>
      <c r="DD265" s="448"/>
      <c r="DE265" s="448"/>
      <c r="DF265" s="361"/>
    </row>
    <row r="266" spans="90:110" ht="25.5">
      <c r="CL266" s="9" t="s">
        <v>3111</v>
      </c>
      <c r="CM266" s="8">
        <v>43579</v>
      </c>
      <c r="CN266" s="8">
        <v>43582</v>
      </c>
      <c r="CY266" s="361"/>
      <c r="CZ266" s="361"/>
      <c r="DA266" s="361"/>
      <c r="DB266" s="448"/>
      <c r="DC266" s="448"/>
      <c r="DD266" s="448"/>
      <c r="DE266" s="448"/>
      <c r="DF266" s="361"/>
    </row>
    <row r="267" spans="90:110">
      <c r="CL267" s="9" t="s">
        <v>3109</v>
      </c>
      <c r="CM267" s="8">
        <v>43587</v>
      </c>
      <c r="CN267" s="8">
        <v>43588</v>
      </c>
      <c r="CY267" s="361"/>
      <c r="CZ267" s="361"/>
      <c r="DA267" s="361"/>
      <c r="DB267" s="448"/>
      <c r="DC267" s="448"/>
      <c r="DD267" s="448"/>
      <c r="DE267" s="448"/>
      <c r="DF267" s="361"/>
    </row>
    <row r="268" spans="90:110" ht="38.25">
      <c r="CL268" s="9" t="s">
        <v>3113</v>
      </c>
      <c r="CM268" s="8">
        <v>43578</v>
      </c>
      <c r="CN268" s="8">
        <v>43588</v>
      </c>
      <c r="CO268" s="9" t="s">
        <v>3114</v>
      </c>
      <c r="CP268" s="9" t="s">
        <v>69</v>
      </c>
      <c r="CQ268" s="9" t="s">
        <v>1343</v>
      </c>
      <c r="CY268" s="361"/>
      <c r="CZ268" s="361"/>
      <c r="DA268" s="361"/>
      <c r="DB268" s="448"/>
      <c r="DC268" s="448"/>
      <c r="DD268" s="448"/>
      <c r="DE268" s="448"/>
      <c r="DF268" s="361"/>
    </row>
    <row r="269" spans="90:110" ht="25.5">
      <c r="CL269" s="9" t="s">
        <v>3119</v>
      </c>
      <c r="CM269" s="8">
        <v>43568</v>
      </c>
      <c r="CP269" s="9" t="s">
        <v>69</v>
      </c>
      <c r="CY269" s="361"/>
      <c r="CZ269" s="361"/>
      <c r="DA269" s="361"/>
      <c r="DB269" s="448"/>
      <c r="DC269" s="448"/>
      <c r="DD269" s="448"/>
      <c r="DE269" s="448"/>
      <c r="DF269" s="361"/>
    </row>
    <row r="270" spans="90:110">
      <c r="CL270" s="9" t="s">
        <v>3110</v>
      </c>
      <c r="CM270" s="8">
        <v>43586</v>
      </c>
      <c r="CY270" s="361"/>
      <c r="CZ270" s="361"/>
      <c r="DA270" s="361"/>
      <c r="DB270" s="448"/>
      <c r="DC270" s="448"/>
      <c r="DD270" s="448"/>
      <c r="DE270" s="448"/>
      <c r="DF270" s="361"/>
    </row>
    <row r="271" spans="90:110" ht="25.5">
      <c r="CL271" s="9" t="s">
        <v>3112</v>
      </c>
      <c r="CM271" s="8">
        <v>43579</v>
      </c>
      <c r="CN271" s="8"/>
      <c r="CY271" s="361"/>
      <c r="CZ271" s="361"/>
      <c r="DA271" s="361"/>
      <c r="DB271" s="448"/>
      <c r="DC271" s="448"/>
      <c r="DD271" s="448"/>
      <c r="DE271" s="448"/>
      <c r="DF271" s="361"/>
    </row>
    <row r="272" spans="90:110" ht="25.5">
      <c r="CL272" s="9" t="s">
        <v>3108</v>
      </c>
      <c r="CM272" s="8">
        <v>43627</v>
      </c>
      <c r="CN272" s="8">
        <v>43628</v>
      </c>
      <c r="CY272" s="361"/>
      <c r="CZ272" s="361"/>
      <c r="DA272" s="361"/>
      <c r="DB272" s="448"/>
      <c r="DC272" s="448"/>
      <c r="DD272" s="448"/>
      <c r="DE272" s="448"/>
      <c r="DF272" s="361"/>
    </row>
    <row r="273" spans="90:110">
      <c r="CL273" s="9" t="s">
        <v>3107</v>
      </c>
      <c r="CM273" s="8">
        <v>43632</v>
      </c>
      <c r="CN273" s="8">
        <v>43635</v>
      </c>
      <c r="CY273" s="361"/>
      <c r="CZ273" s="361"/>
      <c r="DA273" s="361"/>
      <c r="DB273" s="448"/>
      <c r="DC273" s="448"/>
      <c r="DD273" s="448"/>
      <c r="DE273" s="448"/>
      <c r="DF273" s="361"/>
    </row>
    <row r="274" spans="90:110">
      <c r="CL274" s="9" t="s">
        <v>1623</v>
      </c>
      <c r="CM274" s="8">
        <v>43635</v>
      </c>
      <c r="CY274" s="361"/>
      <c r="CZ274" s="361"/>
      <c r="DA274" s="361"/>
      <c r="DB274" s="448"/>
      <c r="DC274" s="448"/>
      <c r="DD274" s="448"/>
      <c r="DE274" s="448"/>
      <c r="DF274" s="361"/>
    </row>
    <row r="275" spans="90:110">
      <c r="CL275" s="9" t="s">
        <v>3105</v>
      </c>
      <c r="CM275" s="8">
        <v>43635</v>
      </c>
      <c r="CY275" s="361"/>
      <c r="CZ275" s="361"/>
      <c r="DA275" s="361"/>
      <c r="DB275" s="448"/>
      <c r="DC275" s="448"/>
      <c r="DD275" s="448"/>
      <c r="DE275" s="448"/>
      <c r="DF275" s="361"/>
    </row>
    <row r="276" spans="90:110">
      <c r="CL276" s="9" t="s">
        <v>3104</v>
      </c>
      <c r="CM276" s="8">
        <v>43641</v>
      </c>
      <c r="CN276" s="8">
        <v>43643</v>
      </c>
      <c r="CP276" s="9" t="s">
        <v>66</v>
      </c>
      <c r="CY276" s="361"/>
      <c r="CZ276" s="361"/>
      <c r="DA276" s="361"/>
      <c r="DB276" s="448"/>
      <c r="DC276" s="448"/>
      <c r="DD276" s="448"/>
      <c r="DE276" s="448"/>
      <c r="DF276" s="361"/>
    </row>
    <row r="277" spans="90:110">
      <c r="CL277" s="9" t="s">
        <v>3101</v>
      </c>
      <c r="CM277" s="8">
        <v>43646</v>
      </c>
      <c r="CN277" s="8">
        <v>43648</v>
      </c>
      <c r="CY277" s="361"/>
      <c r="CZ277" s="361"/>
      <c r="DA277" s="361"/>
      <c r="DB277" s="448"/>
      <c r="DC277" s="448"/>
      <c r="DD277" s="448"/>
      <c r="DE277" s="448"/>
      <c r="DF277" s="361"/>
    </row>
    <row r="278" spans="90:110" ht="25.5">
      <c r="CL278" s="9" t="s">
        <v>3103</v>
      </c>
      <c r="CM278" s="8">
        <v>43645</v>
      </c>
      <c r="CN278" s="8">
        <v>43648</v>
      </c>
      <c r="CP278" s="9" t="s">
        <v>1311</v>
      </c>
      <c r="CY278" s="361"/>
      <c r="CZ278" s="361"/>
      <c r="DA278" s="361"/>
      <c r="DB278" s="448"/>
      <c r="DC278" s="448"/>
      <c r="DD278" s="448"/>
      <c r="DE278" s="448"/>
      <c r="DF278" s="361"/>
    </row>
    <row r="279" spans="90:110">
      <c r="CL279" s="9" t="s">
        <v>3102</v>
      </c>
      <c r="CM279" s="8">
        <v>43646</v>
      </c>
      <c r="CN279" s="8">
        <v>43649</v>
      </c>
      <c r="CY279" s="361"/>
      <c r="CZ279" s="361"/>
      <c r="DA279" s="361"/>
      <c r="DB279" s="448"/>
      <c r="DC279" s="448"/>
      <c r="DD279" s="448"/>
      <c r="DE279" s="448"/>
      <c r="DF279" s="361"/>
    </row>
    <row r="280" spans="90:110">
      <c r="CL280" s="9" t="s">
        <v>3100</v>
      </c>
      <c r="CM280" s="8">
        <v>43647</v>
      </c>
      <c r="CN280" s="8">
        <v>43649</v>
      </c>
      <c r="CY280" s="361"/>
      <c r="CZ280" s="361"/>
      <c r="DA280" s="361"/>
      <c r="DB280" s="448"/>
      <c r="DC280" s="448"/>
      <c r="DD280" s="448"/>
      <c r="DE280" s="448"/>
      <c r="DF280" s="361"/>
    </row>
    <row r="281" spans="90:110" ht="25.5">
      <c r="CL281" s="9" t="s">
        <v>3098</v>
      </c>
      <c r="CM281" s="8">
        <v>43649</v>
      </c>
      <c r="CN281" s="8">
        <v>43654</v>
      </c>
      <c r="CP281" s="9" t="s">
        <v>1311</v>
      </c>
      <c r="CY281" s="361"/>
      <c r="CZ281" s="361"/>
      <c r="DA281" s="361"/>
      <c r="DB281" s="448"/>
      <c r="DC281" s="448"/>
      <c r="DD281" s="448"/>
      <c r="DE281" s="448"/>
      <c r="DF281" s="361"/>
    </row>
    <row r="282" spans="90:110">
      <c r="CL282" s="9" t="s">
        <v>3099</v>
      </c>
      <c r="CM282" s="8">
        <v>43649</v>
      </c>
      <c r="CY282" s="361"/>
      <c r="CZ282" s="361"/>
      <c r="DA282" s="361"/>
      <c r="DB282" s="448"/>
      <c r="DC282" s="448"/>
      <c r="DD282" s="448"/>
      <c r="DE282" s="448"/>
      <c r="DF282" s="361"/>
    </row>
    <row r="283" spans="90:110">
      <c r="CL283" s="9" t="s">
        <v>3093</v>
      </c>
      <c r="CM283" s="8">
        <v>43653</v>
      </c>
      <c r="CN283" s="8">
        <v>43656</v>
      </c>
      <c r="CP283" s="9" t="s">
        <v>69</v>
      </c>
      <c r="CY283" s="361"/>
      <c r="CZ283" s="361"/>
      <c r="DA283" s="361"/>
      <c r="DB283" s="448"/>
      <c r="DC283" s="448"/>
      <c r="DD283" s="448"/>
      <c r="DE283" s="448"/>
      <c r="DF283" s="361"/>
    </row>
    <row r="284" spans="90:110">
      <c r="CL284" s="9" t="s">
        <v>3087</v>
      </c>
      <c r="CM284" s="8">
        <v>43656</v>
      </c>
      <c r="CN284" s="8">
        <v>43658</v>
      </c>
      <c r="CP284" s="9" t="s">
        <v>1311</v>
      </c>
      <c r="CY284" s="361"/>
      <c r="CZ284" s="361"/>
      <c r="DA284" s="361"/>
      <c r="DB284" s="448"/>
      <c r="DC284" s="448"/>
      <c r="DD284" s="448"/>
      <c r="DE284" s="448"/>
      <c r="DF284" s="361"/>
    </row>
    <row r="285" spans="90:110">
      <c r="CL285" s="9" t="s">
        <v>3094</v>
      </c>
      <c r="CM285" s="8">
        <v>43653</v>
      </c>
      <c r="CN285" s="8">
        <v>43657</v>
      </c>
      <c r="CY285" s="361"/>
      <c r="CZ285" s="361"/>
      <c r="DA285" s="361"/>
      <c r="DB285" s="448"/>
      <c r="DC285" s="448"/>
      <c r="DD285" s="448"/>
      <c r="DE285" s="448"/>
      <c r="DF285" s="361"/>
    </row>
    <row r="286" spans="90:110" ht="25.5">
      <c r="CL286" s="9" t="s">
        <v>3086</v>
      </c>
      <c r="CM286" s="8">
        <v>43659</v>
      </c>
      <c r="CN286" s="8">
        <v>43664</v>
      </c>
      <c r="CP286" s="9" t="s">
        <v>69</v>
      </c>
      <c r="CY286" s="361"/>
      <c r="CZ286" s="361"/>
      <c r="DA286" s="361"/>
      <c r="DB286" s="448"/>
      <c r="DC286" s="448"/>
      <c r="DD286" s="448"/>
      <c r="DE286" s="448"/>
      <c r="DF286" s="361"/>
    </row>
    <row r="287" spans="90:110" ht="25.5">
      <c r="CL287" s="9" t="s">
        <v>3088</v>
      </c>
      <c r="CM287" s="8">
        <v>43656</v>
      </c>
      <c r="CP287" s="9" t="s">
        <v>3089</v>
      </c>
      <c r="CY287" s="361"/>
      <c r="CZ287" s="361"/>
      <c r="DA287" s="361"/>
      <c r="DB287" s="448"/>
      <c r="DC287" s="448"/>
      <c r="DD287" s="448"/>
      <c r="DE287" s="448"/>
      <c r="DF287" s="361"/>
    </row>
    <row r="288" spans="90:110" ht="25.5">
      <c r="CL288" s="9" t="s">
        <v>3095</v>
      </c>
      <c r="CM288" s="8">
        <v>43651</v>
      </c>
      <c r="CN288" s="9" t="s">
        <v>3096</v>
      </c>
      <c r="CP288" s="9" t="s">
        <v>3097</v>
      </c>
      <c r="CY288" s="361"/>
      <c r="CZ288" s="361"/>
      <c r="DA288" s="361"/>
      <c r="DB288" s="448"/>
      <c r="DC288" s="448"/>
      <c r="DD288" s="448"/>
      <c r="DE288" s="448"/>
      <c r="DF288" s="361"/>
    </row>
    <row r="289" spans="90:110" ht="25.5">
      <c r="CL289" s="9" t="s">
        <v>3090</v>
      </c>
      <c r="CM289" s="8">
        <v>43654</v>
      </c>
      <c r="CO289" s="9" t="s">
        <v>3091</v>
      </c>
      <c r="CP289" s="9" t="s">
        <v>3092</v>
      </c>
      <c r="CY289" s="361"/>
      <c r="CZ289" s="361"/>
      <c r="DA289" s="361"/>
      <c r="DB289" s="448"/>
      <c r="DC289" s="448"/>
      <c r="DD289" s="448"/>
      <c r="DE289" s="448"/>
      <c r="DF289" s="361"/>
    </row>
    <row r="290" spans="90:110" ht="25.5">
      <c r="CL290" s="9" t="s">
        <v>3084</v>
      </c>
      <c r="CM290" s="8">
        <v>43665</v>
      </c>
      <c r="CN290" s="9" t="s">
        <v>3085</v>
      </c>
      <c r="CY290" s="361"/>
      <c r="CZ290" s="361"/>
      <c r="DA290" s="361"/>
      <c r="DB290" s="448"/>
      <c r="DC290" s="448"/>
      <c r="DD290" s="448"/>
      <c r="DE290" s="448"/>
      <c r="DF290" s="361"/>
    </row>
    <row r="291" spans="90:110" ht="25.5">
      <c r="CL291" s="9" t="s">
        <v>3081</v>
      </c>
      <c r="CM291" s="8">
        <v>43725</v>
      </c>
      <c r="CN291" s="8">
        <v>43733</v>
      </c>
      <c r="CP291" s="9" t="s">
        <v>391</v>
      </c>
      <c r="CY291" s="361"/>
      <c r="CZ291" s="361"/>
      <c r="DA291" s="361"/>
      <c r="DB291" s="448"/>
      <c r="DC291" s="448"/>
      <c r="DD291" s="448"/>
      <c r="DE291" s="448"/>
      <c r="DF291" s="361"/>
    </row>
    <row r="292" spans="90:110">
      <c r="CL292" s="9" t="s">
        <v>3076</v>
      </c>
      <c r="CM292" s="8">
        <v>43733</v>
      </c>
      <c r="CN292" s="8">
        <v>43735</v>
      </c>
      <c r="CP292" s="9" t="s">
        <v>1880</v>
      </c>
      <c r="CY292" s="361"/>
      <c r="CZ292" s="361"/>
      <c r="DA292" s="361"/>
      <c r="DB292" s="448"/>
      <c r="DC292" s="448"/>
      <c r="DD292" s="448"/>
      <c r="DE292" s="448"/>
      <c r="DF292" s="361"/>
    </row>
    <row r="293" spans="90:110" ht="25.5">
      <c r="CL293" s="9" t="s">
        <v>3077</v>
      </c>
      <c r="CM293" s="8">
        <v>43733</v>
      </c>
      <c r="CN293" s="8">
        <v>43735</v>
      </c>
      <c r="CP293" s="9" t="s">
        <v>1880</v>
      </c>
      <c r="CY293" s="361"/>
      <c r="CZ293" s="361"/>
      <c r="DA293" s="361"/>
      <c r="DB293" s="448"/>
      <c r="DC293" s="448"/>
      <c r="DD293" s="448"/>
      <c r="DE293" s="448"/>
      <c r="DF293" s="361"/>
    </row>
    <row r="294" spans="90:110" ht="25.5">
      <c r="CL294" s="9" t="s">
        <v>3080</v>
      </c>
      <c r="CM294" s="8">
        <v>43726</v>
      </c>
      <c r="CN294" s="8">
        <v>43735</v>
      </c>
      <c r="CY294" s="361"/>
      <c r="CZ294" s="361"/>
      <c r="DA294" s="361"/>
      <c r="DB294" s="448"/>
      <c r="DC294" s="448"/>
      <c r="DD294" s="448"/>
      <c r="DE294" s="448"/>
      <c r="DF294" s="361"/>
    </row>
    <row r="295" spans="90:110" ht="25.5">
      <c r="CL295" s="9" t="s">
        <v>3078</v>
      </c>
      <c r="CM295" s="8">
        <v>43732</v>
      </c>
      <c r="CN295" s="9" t="s">
        <v>3079</v>
      </c>
      <c r="CP295" s="9" t="s">
        <v>1724</v>
      </c>
      <c r="CY295" s="361"/>
      <c r="CZ295" s="361"/>
      <c r="DA295" s="361"/>
      <c r="DB295" s="448"/>
      <c r="DC295" s="448"/>
      <c r="DD295" s="448"/>
      <c r="DE295" s="448"/>
      <c r="DF295" s="361"/>
    </row>
    <row r="296" spans="90:110" ht="25.5">
      <c r="CL296" s="9" t="s">
        <v>3074</v>
      </c>
      <c r="CM296" s="8">
        <v>43739</v>
      </c>
      <c r="CN296" s="8">
        <v>43741</v>
      </c>
      <c r="CP296" s="9" t="s">
        <v>3075</v>
      </c>
      <c r="CY296" s="361"/>
      <c r="CZ296" s="361"/>
      <c r="DA296" s="361"/>
      <c r="DB296" s="448"/>
      <c r="DC296" s="448"/>
      <c r="DD296" s="448"/>
      <c r="DE296" s="448"/>
      <c r="DF296" s="361"/>
    </row>
    <row r="297" spans="90:110" ht="25.5">
      <c r="CL297" s="9" t="s">
        <v>226</v>
      </c>
      <c r="CM297" s="8">
        <v>43732</v>
      </c>
      <c r="CN297" s="8">
        <v>43713</v>
      </c>
      <c r="CP297" s="9" t="s">
        <v>2904</v>
      </c>
      <c r="CY297" s="361"/>
      <c r="CZ297" s="361"/>
      <c r="DA297" s="361"/>
      <c r="DB297" s="448"/>
      <c r="DC297" s="448"/>
      <c r="DD297" s="448"/>
      <c r="DE297" s="448"/>
      <c r="DF297" s="361"/>
    </row>
    <row r="298" spans="90:110" ht="25.5">
      <c r="CL298" s="9" t="s">
        <v>3082</v>
      </c>
      <c r="CM298" s="8">
        <v>43715</v>
      </c>
      <c r="CN298" s="8">
        <v>43717</v>
      </c>
      <c r="CO298" s="9" t="s">
        <v>3083</v>
      </c>
      <c r="CP298" s="9" t="s">
        <v>1311</v>
      </c>
      <c r="CY298" s="361"/>
      <c r="CZ298" s="361"/>
      <c r="DA298" s="361"/>
      <c r="DB298" s="448"/>
      <c r="DC298" s="448"/>
      <c r="DD298" s="448"/>
      <c r="DE298" s="448"/>
      <c r="DF298" s="361"/>
    </row>
    <row r="299" spans="90:110">
      <c r="CL299" s="9" t="s">
        <v>3072</v>
      </c>
      <c r="CM299" s="8">
        <v>43746</v>
      </c>
      <c r="CN299" s="8">
        <v>43748</v>
      </c>
      <c r="CP299" s="9" t="s">
        <v>1880</v>
      </c>
      <c r="CY299" s="361"/>
      <c r="CZ299" s="361"/>
      <c r="DA299" s="361"/>
      <c r="DB299" s="448"/>
      <c r="DC299" s="448"/>
      <c r="DD299" s="448"/>
      <c r="DE299" s="448"/>
      <c r="DF299" s="361"/>
    </row>
    <row r="300" spans="90:110">
      <c r="CL300" s="9" t="s">
        <v>3073</v>
      </c>
      <c r="CM300" s="8">
        <v>43744</v>
      </c>
      <c r="CN300" s="8">
        <v>43752</v>
      </c>
      <c r="CP300" s="9" t="s">
        <v>293</v>
      </c>
      <c r="CY300" s="361"/>
      <c r="CZ300" s="361"/>
      <c r="DA300" s="361"/>
      <c r="DB300" s="448"/>
      <c r="DC300" s="448"/>
      <c r="DD300" s="448"/>
      <c r="DE300" s="448"/>
      <c r="DF300" s="361"/>
    </row>
    <row r="301" spans="90:110">
      <c r="CL301" s="9" t="s">
        <v>3069</v>
      </c>
      <c r="CM301" s="8">
        <v>43747</v>
      </c>
      <c r="CN301" s="8">
        <v>43752</v>
      </c>
      <c r="CP301" s="9" t="s">
        <v>1724</v>
      </c>
      <c r="CY301" s="361"/>
      <c r="CZ301" s="361"/>
      <c r="DA301" s="361"/>
      <c r="DB301" s="448"/>
      <c r="DC301" s="448"/>
      <c r="DD301" s="448"/>
      <c r="DE301" s="448"/>
      <c r="DF301" s="361"/>
    </row>
    <row r="302" spans="90:110">
      <c r="CL302" s="9" t="s">
        <v>1808</v>
      </c>
      <c r="CM302" s="8">
        <v>43748</v>
      </c>
      <c r="CY302" s="361"/>
      <c r="CZ302" s="361"/>
      <c r="DA302" s="361"/>
      <c r="DB302" s="448"/>
      <c r="DC302" s="448"/>
      <c r="DD302" s="448"/>
      <c r="DE302" s="448"/>
      <c r="DF302" s="361"/>
    </row>
    <row r="303" spans="90:110">
      <c r="CL303" s="9" t="s">
        <v>3066</v>
      </c>
      <c r="CM303" s="8">
        <v>43754</v>
      </c>
      <c r="CN303" s="8">
        <v>43756</v>
      </c>
      <c r="CP303" s="9" t="s">
        <v>1880</v>
      </c>
      <c r="CY303" s="361"/>
      <c r="CZ303" s="361"/>
      <c r="DA303" s="361"/>
      <c r="DB303" s="448"/>
      <c r="DC303" s="448"/>
      <c r="DD303" s="448"/>
      <c r="DE303" s="448"/>
      <c r="DF303" s="361"/>
    </row>
    <row r="304" spans="90:110" ht="25.5">
      <c r="CL304" s="9" t="s">
        <v>3063</v>
      </c>
      <c r="CM304" s="8">
        <v>43758</v>
      </c>
      <c r="CN304" s="8">
        <v>43761</v>
      </c>
      <c r="CP304" s="9" t="s">
        <v>1880</v>
      </c>
      <c r="CY304" s="361"/>
      <c r="CZ304" s="361"/>
      <c r="DA304" s="361"/>
      <c r="DB304" s="448"/>
      <c r="DC304" s="448"/>
      <c r="DD304" s="448"/>
      <c r="DE304" s="448"/>
      <c r="DF304" s="361"/>
    </row>
    <row r="305" spans="90:110">
      <c r="CL305" s="9" t="s">
        <v>3064</v>
      </c>
      <c r="CM305" s="8">
        <v>43758</v>
      </c>
      <c r="CP305" s="9" t="s">
        <v>1343</v>
      </c>
      <c r="CY305" s="361"/>
      <c r="CZ305" s="361"/>
      <c r="DA305" s="361"/>
      <c r="DB305" s="448"/>
      <c r="DC305" s="448"/>
      <c r="DD305" s="448"/>
      <c r="DE305" s="448"/>
      <c r="DF305" s="361"/>
    </row>
    <row r="306" spans="90:110">
      <c r="CL306" s="9" t="s">
        <v>3065</v>
      </c>
      <c r="CM306" s="8">
        <v>43758</v>
      </c>
      <c r="CP306" s="9" t="s">
        <v>1343</v>
      </c>
      <c r="CY306" s="361"/>
      <c r="CZ306" s="361"/>
      <c r="DA306" s="361"/>
      <c r="DB306" s="448"/>
      <c r="DC306" s="448"/>
      <c r="DD306" s="448"/>
      <c r="DE306" s="448"/>
      <c r="DF306" s="361"/>
    </row>
    <row r="307" spans="90:110">
      <c r="CL307" s="9" t="s">
        <v>3067</v>
      </c>
      <c r="CM307" s="8">
        <v>43751</v>
      </c>
      <c r="CN307" s="8">
        <v>43764</v>
      </c>
      <c r="CP307" s="9" t="s">
        <v>3068</v>
      </c>
      <c r="CY307" s="361"/>
      <c r="CZ307" s="361"/>
      <c r="DA307" s="361"/>
      <c r="DB307" s="448"/>
      <c r="DC307" s="448"/>
      <c r="DD307" s="448"/>
      <c r="DE307" s="448"/>
      <c r="DF307" s="361"/>
    </row>
    <row r="308" spans="90:110" ht="72">
      <c r="CL308" s="9" t="s">
        <v>3059</v>
      </c>
      <c r="CM308" s="8">
        <v>43759</v>
      </c>
      <c r="CO308" s="540" t="s">
        <v>3060</v>
      </c>
      <c r="CQ308" s="9" t="s">
        <v>1343</v>
      </c>
      <c r="CY308" s="361"/>
      <c r="CZ308" s="361"/>
      <c r="DA308" s="361"/>
      <c r="DB308" s="448"/>
      <c r="DC308" s="448"/>
      <c r="DD308" s="448"/>
      <c r="DE308" s="448"/>
      <c r="DF308" s="361"/>
    </row>
    <row r="309" spans="90:110" ht="25.5">
      <c r="CL309" s="9" t="s">
        <v>3070</v>
      </c>
      <c r="CM309" s="8">
        <v>43747</v>
      </c>
      <c r="CN309" s="8">
        <v>43768</v>
      </c>
      <c r="CP309" s="9" t="s">
        <v>3071</v>
      </c>
      <c r="CY309" s="361"/>
      <c r="CZ309" s="361"/>
      <c r="DA309" s="361"/>
      <c r="DB309" s="448"/>
      <c r="DC309" s="448"/>
      <c r="DD309" s="448"/>
      <c r="DE309" s="448"/>
      <c r="DF309" s="361"/>
    </row>
    <row r="310" spans="90:110" ht="25.5">
      <c r="CL310" s="9" t="s">
        <v>3061</v>
      </c>
      <c r="CM310" s="8">
        <v>43759</v>
      </c>
      <c r="CN310" s="8">
        <v>43775</v>
      </c>
      <c r="CO310" s="410">
        <v>119034660674</v>
      </c>
      <c r="CP310" s="9" t="s">
        <v>3062</v>
      </c>
      <c r="CQ310" s="9" t="s">
        <v>3043</v>
      </c>
      <c r="CY310" s="361"/>
      <c r="CZ310" s="361"/>
      <c r="DA310" s="361"/>
      <c r="DB310" s="448"/>
      <c r="DC310" s="448"/>
      <c r="DD310" s="448"/>
      <c r="DE310" s="448"/>
      <c r="DF310" s="361"/>
    </row>
    <row r="311" spans="90:110">
      <c r="CL311" s="9" t="s">
        <v>3058</v>
      </c>
      <c r="CM311" s="8">
        <v>43771</v>
      </c>
      <c r="CN311" s="8">
        <v>43774</v>
      </c>
      <c r="CP311" s="9" t="s">
        <v>1311</v>
      </c>
      <c r="CY311" s="361"/>
      <c r="CZ311" s="361"/>
      <c r="DA311" s="361"/>
      <c r="DB311" s="448"/>
      <c r="DC311" s="448"/>
      <c r="DD311" s="448"/>
      <c r="DE311" s="448"/>
      <c r="DF311" s="361"/>
    </row>
    <row r="312" spans="90:110">
      <c r="CL312" s="9" t="s">
        <v>2221</v>
      </c>
      <c r="CM312" s="8">
        <v>43772</v>
      </c>
      <c r="CY312" s="361"/>
      <c r="CZ312" s="361"/>
      <c r="DA312" s="361"/>
      <c r="DB312" s="448"/>
      <c r="DC312" s="448"/>
      <c r="DD312" s="448"/>
      <c r="DE312" s="448"/>
      <c r="DF312" s="361"/>
    </row>
    <row r="313" spans="90:110">
      <c r="CL313" s="9" t="s">
        <v>3064</v>
      </c>
      <c r="CM313" s="8">
        <v>43758</v>
      </c>
      <c r="CP313" s="9" t="s">
        <v>1198</v>
      </c>
      <c r="CY313" s="361"/>
      <c r="CZ313" s="361"/>
      <c r="DA313" s="361"/>
      <c r="DB313" s="448"/>
      <c r="DC313" s="448"/>
      <c r="DD313" s="448"/>
      <c r="DE313" s="448"/>
      <c r="DF313" s="361"/>
    </row>
    <row r="314" spans="90:110" ht="25.5">
      <c r="CL314" s="9" t="s">
        <v>3055</v>
      </c>
      <c r="CM314" s="8">
        <v>43775</v>
      </c>
      <c r="CN314" s="8">
        <v>43781</v>
      </c>
      <c r="CO314" s="432" t="s">
        <v>3056</v>
      </c>
      <c r="CP314" s="9" t="s">
        <v>3533</v>
      </c>
      <c r="CQ314" s="9" t="s">
        <v>1186</v>
      </c>
      <c r="CY314" s="361"/>
      <c r="CZ314" s="361"/>
      <c r="DA314" s="361"/>
      <c r="DB314" s="448"/>
      <c r="DC314" s="448"/>
      <c r="DD314" s="448"/>
      <c r="DE314" s="448"/>
      <c r="DF314" s="361"/>
    </row>
    <row r="315" spans="90:110">
      <c r="CL315" s="9" t="s">
        <v>3052</v>
      </c>
      <c r="CM315" s="8">
        <v>43782</v>
      </c>
      <c r="CN315" s="8">
        <v>43784</v>
      </c>
      <c r="CP315" s="9" t="s">
        <v>69</v>
      </c>
      <c r="CY315" s="361"/>
      <c r="CZ315" s="361"/>
      <c r="DA315" s="361"/>
      <c r="DB315" s="448"/>
      <c r="DC315" s="448"/>
      <c r="DD315" s="448"/>
      <c r="DE315" s="448"/>
      <c r="DF315" s="361"/>
    </row>
    <row r="316" spans="90:110" ht="25.5">
      <c r="CL316" s="9" t="s">
        <v>3053</v>
      </c>
      <c r="CM316" s="8">
        <v>43782</v>
      </c>
      <c r="CN316" s="8">
        <v>43785</v>
      </c>
      <c r="CP316" s="9" t="s">
        <v>69</v>
      </c>
      <c r="CY316" s="361"/>
      <c r="CZ316" s="361"/>
      <c r="DA316" s="361"/>
      <c r="DB316" s="448"/>
      <c r="DC316" s="448"/>
      <c r="DD316" s="448"/>
      <c r="DE316" s="448"/>
      <c r="DF316" s="361"/>
    </row>
    <row r="317" spans="90:110" ht="25.5">
      <c r="CL317" s="9" t="s">
        <v>3044</v>
      </c>
      <c r="CM317" s="8">
        <v>43783</v>
      </c>
      <c r="CN317" s="8">
        <v>43787</v>
      </c>
      <c r="CO317" s="9">
        <v>4176</v>
      </c>
      <c r="CP317" s="9" t="s">
        <v>1311</v>
      </c>
      <c r="CQ317" s="9" t="s">
        <v>1186</v>
      </c>
      <c r="CY317" s="361"/>
      <c r="CZ317" s="361"/>
      <c r="DA317" s="361"/>
      <c r="DB317" s="448"/>
      <c r="DC317" s="448"/>
      <c r="DD317" s="448"/>
      <c r="DE317" s="448"/>
      <c r="DF317" s="361"/>
    </row>
    <row r="318" spans="90:110" ht="24">
      <c r="CL318" s="9" t="s">
        <v>3045</v>
      </c>
      <c r="CM318" s="8">
        <v>43783</v>
      </c>
      <c r="CN318" s="8">
        <v>43789</v>
      </c>
      <c r="CO318" s="541" t="s">
        <v>3046</v>
      </c>
      <c r="CP318" s="82" t="s">
        <v>3047</v>
      </c>
      <c r="CQ318" s="82" t="s">
        <v>1198</v>
      </c>
      <c r="CR318" s="9" t="s">
        <v>3048</v>
      </c>
      <c r="CY318" s="361"/>
      <c r="CZ318" s="361"/>
      <c r="DA318" s="361"/>
      <c r="DB318" s="448"/>
      <c r="DC318" s="448"/>
      <c r="DD318" s="448"/>
      <c r="DE318" s="448"/>
      <c r="DF318" s="361"/>
    </row>
    <row r="319" spans="90:110" ht="25.5">
      <c r="CL319" s="9" t="s">
        <v>3038</v>
      </c>
      <c r="CM319" s="8">
        <v>43785</v>
      </c>
      <c r="CN319" s="8">
        <v>43789</v>
      </c>
      <c r="CO319" s="82"/>
      <c r="CP319" s="82" t="s">
        <v>3039</v>
      </c>
      <c r="CY319" s="361"/>
      <c r="CZ319" s="361"/>
      <c r="DA319" s="361"/>
      <c r="DB319" s="448"/>
      <c r="DC319" s="448"/>
      <c r="DD319" s="448"/>
      <c r="DE319" s="448"/>
      <c r="DF319" s="361"/>
    </row>
    <row r="320" spans="90:110" ht="25.5">
      <c r="CL320" s="9" t="s">
        <v>3040</v>
      </c>
      <c r="CM320" s="8">
        <v>43785</v>
      </c>
      <c r="CN320" s="8">
        <v>43789</v>
      </c>
      <c r="CO320" s="542" t="s">
        <v>3041</v>
      </c>
      <c r="CP320" s="82" t="s">
        <v>293</v>
      </c>
      <c r="CY320" s="361"/>
      <c r="CZ320" s="361"/>
      <c r="DA320" s="361"/>
      <c r="DB320" s="448"/>
      <c r="DC320" s="448"/>
      <c r="DD320" s="448"/>
      <c r="DE320" s="448"/>
      <c r="DF320" s="361"/>
    </row>
    <row r="321" spans="90:110" ht="25.5">
      <c r="CL321" s="9" t="s">
        <v>3049</v>
      </c>
      <c r="CM321" s="8">
        <v>43783</v>
      </c>
      <c r="CN321" s="8">
        <v>43794</v>
      </c>
      <c r="CO321" s="82"/>
      <c r="CP321" s="82" t="s">
        <v>66</v>
      </c>
      <c r="CQ321" s="82"/>
      <c r="CY321" s="361"/>
      <c r="CZ321" s="361"/>
      <c r="DA321" s="361"/>
      <c r="DB321" s="448"/>
      <c r="DC321" s="448"/>
      <c r="DD321" s="448"/>
      <c r="DE321" s="448"/>
      <c r="DF321" s="361"/>
    </row>
    <row r="322" spans="90:110" ht="25.5">
      <c r="CL322" s="9" t="s">
        <v>3042</v>
      </c>
      <c r="CM322" s="8">
        <v>43784</v>
      </c>
      <c r="CN322" s="8">
        <v>43790</v>
      </c>
      <c r="CO322" s="20">
        <v>778100584841</v>
      </c>
      <c r="CP322" s="82"/>
      <c r="CQ322" s="82" t="s">
        <v>3043</v>
      </c>
      <c r="CY322" s="361"/>
      <c r="CZ322" s="361"/>
      <c r="DA322" s="361"/>
      <c r="DB322" s="448"/>
      <c r="DC322" s="448"/>
      <c r="DD322" s="448"/>
      <c r="DE322" s="448"/>
      <c r="DF322" s="361"/>
    </row>
    <row r="323" spans="90:110" ht="25.5">
      <c r="CL323" s="9" t="s">
        <v>3050</v>
      </c>
      <c r="CM323" s="8">
        <v>43783</v>
      </c>
      <c r="CN323" s="8">
        <v>43794</v>
      </c>
      <c r="CO323" s="82" t="s">
        <v>3051</v>
      </c>
      <c r="CP323" s="82" t="s">
        <v>66</v>
      </c>
      <c r="CQ323" s="82" t="s">
        <v>1198</v>
      </c>
      <c r="CY323" s="361"/>
      <c r="CZ323" s="361"/>
      <c r="DA323" s="361"/>
      <c r="DB323" s="448"/>
      <c r="DC323" s="448"/>
      <c r="DD323" s="448"/>
      <c r="DE323" s="448"/>
      <c r="DF323" s="361"/>
    </row>
    <row r="324" spans="90:110">
      <c r="CL324" s="9" t="s">
        <v>3032</v>
      </c>
      <c r="CM324" s="8">
        <v>43793</v>
      </c>
      <c r="CN324" s="8">
        <v>43795</v>
      </c>
      <c r="CP324" s="9" t="s">
        <v>1311</v>
      </c>
      <c r="CY324" s="361"/>
      <c r="CZ324" s="361"/>
      <c r="DA324" s="361"/>
      <c r="DB324" s="448"/>
      <c r="DC324" s="448"/>
      <c r="DD324" s="448"/>
      <c r="DE324" s="448"/>
      <c r="DF324" s="361"/>
    </row>
    <row r="325" spans="90:110" ht="25.5">
      <c r="CL325" s="9" t="s">
        <v>3037</v>
      </c>
      <c r="CM325" s="8">
        <v>43786</v>
      </c>
      <c r="CN325" s="8">
        <v>43794</v>
      </c>
      <c r="CO325" s="82"/>
      <c r="CP325" s="82" t="s">
        <v>2463</v>
      </c>
      <c r="CY325" s="361"/>
      <c r="CZ325" s="361"/>
      <c r="DA325" s="361"/>
      <c r="DB325" s="448"/>
      <c r="DC325" s="448"/>
      <c r="DD325" s="448"/>
      <c r="DE325" s="448"/>
      <c r="DF325" s="361"/>
    </row>
    <row r="326" spans="90:110" ht="14.25">
      <c r="CL326" s="9" t="s">
        <v>3023</v>
      </c>
      <c r="CM326" s="8">
        <v>43797</v>
      </c>
      <c r="CN326" s="8">
        <v>43801</v>
      </c>
      <c r="CO326" s="543">
        <v>9832</v>
      </c>
      <c r="CP326" s="9" t="s">
        <v>69</v>
      </c>
      <c r="CY326" s="361"/>
      <c r="CZ326" s="361"/>
      <c r="DA326" s="361"/>
      <c r="DB326" s="448"/>
      <c r="DC326" s="448"/>
      <c r="DD326" s="448"/>
      <c r="DE326" s="448"/>
      <c r="DF326" s="361"/>
    </row>
    <row r="327" spans="90:110" ht="14.25">
      <c r="CL327" s="9" t="s">
        <v>3024</v>
      </c>
      <c r="CM327" s="8">
        <v>43797</v>
      </c>
      <c r="CN327" s="8">
        <v>43801</v>
      </c>
      <c r="CO327" s="543">
        <v>9832</v>
      </c>
      <c r="CP327" s="9" t="s">
        <v>69</v>
      </c>
      <c r="CY327" s="361"/>
      <c r="CZ327" s="361"/>
      <c r="DA327" s="361"/>
      <c r="DB327" s="448"/>
      <c r="DC327" s="448"/>
      <c r="DD327" s="448"/>
      <c r="DE327" s="448"/>
      <c r="DF327" s="361"/>
    </row>
    <row r="328" spans="90:110">
      <c r="CL328" s="9" t="s">
        <v>3025</v>
      </c>
      <c r="CM328" s="8">
        <v>43797</v>
      </c>
      <c r="CN328" s="8">
        <v>43801</v>
      </c>
      <c r="CO328" s="9">
        <v>3039</v>
      </c>
      <c r="CP328" s="9" t="s">
        <v>293</v>
      </c>
      <c r="CY328" s="361"/>
      <c r="CZ328" s="361"/>
      <c r="DA328" s="361"/>
      <c r="DB328" s="448"/>
      <c r="DC328" s="448"/>
      <c r="DD328" s="448"/>
      <c r="DE328" s="448"/>
      <c r="DF328" s="361"/>
    </row>
    <row r="329" spans="90:110">
      <c r="CL329" s="9" t="s">
        <v>3031</v>
      </c>
      <c r="CM329" s="8">
        <v>43796</v>
      </c>
      <c r="CN329" s="8">
        <v>43802</v>
      </c>
      <c r="CP329" s="9" t="s">
        <v>69</v>
      </c>
      <c r="CY329" s="361"/>
      <c r="CZ329" s="361"/>
      <c r="DA329" s="361"/>
      <c r="DB329" s="448"/>
      <c r="DC329" s="448"/>
      <c r="DD329" s="448"/>
      <c r="DE329" s="448"/>
      <c r="DF329" s="361"/>
    </row>
    <row r="330" spans="90:110">
      <c r="CL330" s="9" t="s">
        <v>3026</v>
      </c>
      <c r="CM330" s="8">
        <v>43797</v>
      </c>
      <c r="CN330" s="8">
        <v>43801</v>
      </c>
      <c r="CP330" s="9" t="s">
        <v>69</v>
      </c>
      <c r="CQ330" s="9" t="s">
        <v>3027</v>
      </c>
      <c r="CY330" s="361"/>
      <c r="CZ330" s="361"/>
      <c r="DA330" s="361"/>
      <c r="DB330" s="448"/>
      <c r="DC330" s="448"/>
      <c r="DD330" s="448"/>
      <c r="DE330" s="448"/>
      <c r="DF330" s="361"/>
    </row>
    <row r="331" spans="90:110" ht="25.5">
      <c r="CL331" s="9" t="s">
        <v>3028</v>
      </c>
      <c r="CM331" s="8">
        <v>43797</v>
      </c>
      <c r="CN331" s="8">
        <v>43802</v>
      </c>
      <c r="CO331" s="252" t="s">
        <v>3029</v>
      </c>
      <c r="CP331" s="253" t="s">
        <v>3030</v>
      </c>
      <c r="CY331" s="361"/>
      <c r="CZ331" s="361"/>
      <c r="DA331" s="361"/>
      <c r="DB331" s="448"/>
      <c r="DC331" s="448"/>
      <c r="DD331" s="448"/>
      <c r="DE331" s="448"/>
      <c r="DF331" s="361"/>
    </row>
    <row r="332" spans="90:110" ht="25.5">
      <c r="CL332" s="9" t="s">
        <v>3054</v>
      </c>
      <c r="CM332" s="8">
        <v>43778</v>
      </c>
      <c r="CN332" s="8">
        <v>43803</v>
      </c>
      <c r="CO332" s="82">
        <v>1788</v>
      </c>
      <c r="CP332" s="82" t="s">
        <v>2926</v>
      </c>
      <c r="CQ332" s="82"/>
      <c r="CY332" s="361"/>
      <c r="CZ332" s="361"/>
      <c r="DA332" s="361"/>
      <c r="DB332" s="448"/>
      <c r="DC332" s="448"/>
      <c r="DD332" s="448"/>
      <c r="DE332" s="448"/>
      <c r="DF332" s="361"/>
    </row>
    <row r="333" spans="90:110" ht="25.5">
      <c r="CL333" s="9" t="s">
        <v>3018</v>
      </c>
      <c r="CM333" s="8">
        <v>43804</v>
      </c>
      <c r="CN333" s="8">
        <v>43808</v>
      </c>
      <c r="CO333" s="82" t="s">
        <v>3019</v>
      </c>
      <c r="CP333" s="9" t="s">
        <v>1880</v>
      </c>
      <c r="CY333" s="361"/>
      <c r="CZ333" s="361"/>
      <c r="DA333" s="361"/>
      <c r="DB333" s="448"/>
      <c r="DC333" s="448"/>
      <c r="DD333" s="448"/>
      <c r="DE333" s="448"/>
      <c r="DF333" s="361"/>
    </row>
    <row r="334" spans="90:110">
      <c r="CL334" s="9" t="s">
        <v>3015</v>
      </c>
      <c r="CM334" s="8">
        <v>43806</v>
      </c>
      <c r="CN334" s="8">
        <v>43808</v>
      </c>
      <c r="CP334" s="9" t="s">
        <v>1880</v>
      </c>
      <c r="CY334" s="361"/>
      <c r="CZ334" s="361"/>
      <c r="DA334" s="361"/>
      <c r="DB334" s="448"/>
      <c r="DC334" s="448"/>
      <c r="DD334" s="448"/>
      <c r="DE334" s="448"/>
      <c r="DF334" s="361"/>
    </row>
    <row r="335" spans="90:110" ht="25.5">
      <c r="CL335" s="9" t="s">
        <v>3033</v>
      </c>
      <c r="CM335" s="8">
        <v>43793</v>
      </c>
      <c r="CN335" s="8">
        <v>43808</v>
      </c>
      <c r="CO335" s="82" t="s">
        <v>3034</v>
      </c>
      <c r="CP335" s="9" t="s">
        <v>3035</v>
      </c>
      <c r="CQ335" s="9" t="s">
        <v>1343</v>
      </c>
      <c r="CR335" s="9" t="s">
        <v>3036</v>
      </c>
      <c r="CY335" s="361"/>
      <c r="CZ335" s="361"/>
      <c r="DA335" s="361"/>
      <c r="DB335" s="448"/>
      <c r="DC335" s="448"/>
      <c r="DD335" s="448"/>
      <c r="DE335" s="448"/>
      <c r="DF335" s="361"/>
    </row>
    <row r="336" spans="90:110">
      <c r="CL336" s="9" t="s">
        <v>3022</v>
      </c>
      <c r="CM336" s="8">
        <v>43801</v>
      </c>
      <c r="CN336" s="8">
        <v>43809</v>
      </c>
      <c r="CP336" s="9" t="s">
        <v>66</v>
      </c>
      <c r="CQ336" s="9" t="s">
        <v>1186</v>
      </c>
      <c r="CY336" s="361"/>
      <c r="CZ336" s="361"/>
      <c r="DA336" s="361"/>
      <c r="DB336" s="448"/>
      <c r="DC336" s="448"/>
      <c r="DD336" s="448"/>
      <c r="DE336" s="448"/>
      <c r="DF336" s="361"/>
    </row>
    <row r="337" spans="90:110">
      <c r="CL337" s="9" t="s">
        <v>3020</v>
      </c>
      <c r="CM337" s="8">
        <v>43804</v>
      </c>
      <c r="CN337" s="8">
        <v>43809</v>
      </c>
      <c r="CP337" s="9" t="s">
        <v>293</v>
      </c>
      <c r="CY337" s="361"/>
      <c r="CZ337" s="361"/>
      <c r="DA337" s="361"/>
      <c r="DB337" s="448"/>
      <c r="DC337" s="448"/>
      <c r="DD337" s="448"/>
      <c r="DE337" s="448"/>
      <c r="DF337" s="361"/>
    </row>
    <row r="338" spans="90:110" ht="42.75">
      <c r="CL338" s="9" t="s">
        <v>3016</v>
      </c>
      <c r="CM338" s="8">
        <v>43806</v>
      </c>
      <c r="CN338" s="8">
        <v>43810</v>
      </c>
      <c r="CO338" s="429" t="s">
        <v>3017</v>
      </c>
      <c r="CP338" s="9" t="s">
        <v>1880</v>
      </c>
      <c r="CQ338" s="9" t="s">
        <v>1186</v>
      </c>
      <c r="CY338" s="361"/>
      <c r="CZ338" s="361"/>
      <c r="DA338" s="361"/>
      <c r="DB338" s="448"/>
      <c r="DC338" s="448"/>
      <c r="DD338" s="448"/>
      <c r="DE338" s="448"/>
      <c r="DF338" s="361"/>
    </row>
    <row r="339" spans="90:110" ht="42.75">
      <c r="CL339" s="9" t="s">
        <v>1316</v>
      </c>
      <c r="CM339" s="8">
        <v>43807</v>
      </c>
      <c r="CN339" s="8">
        <v>43811</v>
      </c>
      <c r="CO339" s="544" t="s">
        <v>3014</v>
      </c>
      <c r="CQ339" s="9" t="s">
        <v>1186</v>
      </c>
      <c r="CY339" s="361"/>
      <c r="CZ339" s="361"/>
      <c r="DA339" s="361"/>
      <c r="DB339" s="448"/>
      <c r="DC339" s="448"/>
      <c r="DD339" s="448"/>
      <c r="DE339" s="448"/>
      <c r="DF339" s="361"/>
    </row>
    <row r="340" spans="90:110" ht="42.75">
      <c r="CL340" s="9" t="s">
        <v>3008</v>
      </c>
      <c r="CM340" s="8">
        <v>43813</v>
      </c>
      <c r="CN340" s="8">
        <v>43816</v>
      </c>
      <c r="CO340" s="9" t="s">
        <v>3009</v>
      </c>
      <c r="CP340" s="9" t="s">
        <v>1902</v>
      </c>
      <c r="CR340" s="429" t="s">
        <v>3010</v>
      </c>
      <c r="CY340" s="361"/>
      <c r="CZ340" s="361"/>
      <c r="DA340" s="361"/>
      <c r="DB340" s="448"/>
      <c r="DC340" s="448"/>
      <c r="DD340" s="448"/>
      <c r="DE340" s="448"/>
      <c r="DF340" s="361"/>
    </row>
    <row r="341" spans="90:110" ht="42.75">
      <c r="CL341" s="9" t="s">
        <v>3011</v>
      </c>
      <c r="CM341" s="8">
        <v>43813</v>
      </c>
      <c r="CN341" s="8">
        <v>43816</v>
      </c>
      <c r="CO341" s="9" t="s">
        <v>3009</v>
      </c>
      <c r="CP341" s="9" t="s">
        <v>1902</v>
      </c>
      <c r="CR341" s="429" t="s">
        <v>3010</v>
      </c>
      <c r="CY341" s="361"/>
      <c r="CZ341" s="361"/>
      <c r="DA341" s="361"/>
      <c r="DB341" s="448"/>
      <c r="DC341" s="448"/>
      <c r="DD341" s="448"/>
      <c r="DE341" s="448"/>
      <c r="DF341" s="361"/>
    </row>
    <row r="342" spans="90:110" ht="28.5">
      <c r="CL342" s="9" t="s">
        <v>3006</v>
      </c>
      <c r="CM342" s="8">
        <v>43814</v>
      </c>
      <c r="CN342" s="8">
        <v>43818</v>
      </c>
      <c r="CO342" s="545" t="s">
        <v>3007</v>
      </c>
      <c r="CP342" s="9" t="s">
        <v>1902</v>
      </c>
      <c r="CQ342" s="9" t="s">
        <v>1217</v>
      </c>
      <c r="CY342" s="361"/>
      <c r="CZ342" s="361"/>
      <c r="DA342" s="361"/>
      <c r="DB342" s="448"/>
      <c r="DC342" s="448"/>
      <c r="DD342" s="448"/>
      <c r="DE342" s="448"/>
      <c r="DF342" s="361"/>
    </row>
    <row r="343" spans="90:110" ht="28.5">
      <c r="CL343" s="9" t="s">
        <v>3012</v>
      </c>
      <c r="CM343" s="8">
        <v>43811</v>
      </c>
      <c r="CN343" s="8">
        <v>43815</v>
      </c>
      <c r="CO343" s="429" t="s">
        <v>3013</v>
      </c>
      <c r="CP343" s="9" t="s">
        <v>1880</v>
      </c>
      <c r="CQ343" s="9" t="s">
        <v>1217</v>
      </c>
      <c r="CY343" s="361"/>
      <c r="CZ343" s="361"/>
      <c r="DA343" s="361"/>
      <c r="DB343" s="448"/>
      <c r="DC343" s="448"/>
      <c r="DD343" s="448"/>
      <c r="DE343" s="448"/>
      <c r="DF343" s="361"/>
    </row>
    <row r="344" spans="90:110" ht="42.75">
      <c r="CL344" s="9" t="s">
        <v>1623</v>
      </c>
      <c r="CM344" s="8">
        <v>43815</v>
      </c>
      <c r="CN344" s="8">
        <v>43819</v>
      </c>
      <c r="CO344" s="545" t="s">
        <v>3005</v>
      </c>
      <c r="CP344" s="9" t="s">
        <v>1764</v>
      </c>
      <c r="CQ344" s="9" t="s">
        <v>1198</v>
      </c>
      <c r="CY344" s="361"/>
      <c r="CZ344" s="361"/>
      <c r="DA344" s="361"/>
      <c r="DB344" s="448"/>
      <c r="DC344" s="448"/>
      <c r="DD344" s="448"/>
      <c r="DE344" s="448"/>
      <c r="DF344" s="361"/>
    </row>
    <row r="345" spans="90:110" ht="28.5">
      <c r="CL345" s="9" t="s">
        <v>3001</v>
      </c>
      <c r="CM345" s="8">
        <v>43820</v>
      </c>
      <c r="CN345" s="8">
        <v>43826</v>
      </c>
      <c r="CO345" s="429" t="s">
        <v>3002</v>
      </c>
      <c r="CP345" s="9" t="s">
        <v>1902</v>
      </c>
      <c r="CQ345" s="9" t="s">
        <v>1217</v>
      </c>
      <c r="CY345" s="361"/>
      <c r="CZ345" s="361"/>
      <c r="DA345" s="361"/>
      <c r="DB345" s="448"/>
      <c r="DC345" s="448"/>
      <c r="DD345" s="448"/>
      <c r="DE345" s="448"/>
      <c r="DF345" s="361"/>
    </row>
    <row r="346" spans="90:110" ht="28.5">
      <c r="CL346" s="9" t="s">
        <v>3003</v>
      </c>
      <c r="CM346" s="8">
        <v>43818</v>
      </c>
      <c r="CN346" s="8">
        <v>43826</v>
      </c>
      <c r="CO346" s="429" t="s">
        <v>3004</v>
      </c>
      <c r="CP346" s="9" t="s">
        <v>1902</v>
      </c>
      <c r="CQ346" s="9" t="s">
        <v>1217</v>
      </c>
      <c r="CY346" s="361"/>
      <c r="CZ346" s="361"/>
      <c r="DA346" s="361"/>
      <c r="DB346" s="448"/>
      <c r="DC346" s="448"/>
      <c r="DD346" s="448"/>
      <c r="DE346" s="448"/>
      <c r="DF346" s="361"/>
    </row>
    <row r="347" spans="90:110" ht="25.5">
      <c r="CL347" s="9" t="s">
        <v>2993</v>
      </c>
      <c r="CM347" s="8">
        <v>43822</v>
      </c>
      <c r="CN347" s="8">
        <v>43829</v>
      </c>
      <c r="CP347" s="9" t="s">
        <v>1902</v>
      </c>
      <c r="CQ347" s="9" t="s">
        <v>2998</v>
      </c>
      <c r="CY347" s="361"/>
      <c r="CZ347" s="361"/>
      <c r="DA347" s="361"/>
      <c r="DB347" s="448"/>
      <c r="DC347" s="448"/>
      <c r="DD347" s="448"/>
      <c r="DE347" s="448"/>
      <c r="DF347" s="361"/>
    </row>
    <row r="348" spans="90:110" ht="25.5">
      <c r="CL348" s="9" t="s">
        <v>2993</v>
      </c>
      <c r="CM348" s="8">
        <v>43822</v>
      </c>
      <c r="CN348" s="8">
        <v>43829</v>
      </c>
      <c r="CP348" s="9" t="s">
        <v>1902</v>
      </c>
      <c r="CQ348" s="9" t="s">
        <v>2999</v>
      </c>
      <c r="CY348" s="361"/>
      <c r="CZ348" s="361"/>
      <c r="DA348" s="361"/>
      <c r="DB348" s="448"/>
      <c r="DC348" s="448"/>
      <c r="DD348" s="448"/>
      <c r="DE348" s="448"/>
      <c r="DF348" s="361"/>
    </row>
    <row r="349" spans="90:110">
      <c r="CL349" s="9" t="s">
        <v>3000</v>
      </c>
      <c r="CM349" s="8">
        <v>43821</v>
      </c>
      <c r="CN349" s="8">
        <v>43826</v>
      </c>
      <c r="CP349" s="9" t="s">
        <v>1902</v>
      </c>
      <c r="CY349" s="361"/>
      <c r="CZ349" s="361"/>
      <c r="DA349" s="361"/>
      <c r="DB349" s="448"/>
      <c r="DC349" s="448"/>
      <c r="DD349" s="448"/>
      <c r="DE349" s="448"/>
      <c r="DF349" s="361"/>
    </row>
  </sheetData>
  <mergeCells count="80">
    <mergeCell ref="A195:BK195"/>
    <mergeCell ref="A196:BK196"/>
    <mergeCell ref="A197:BK197"/>
    <mergeCell ref="A198:BK198"/>
    <mergeCell ref="A190:BK190"/>
    <mergeCell ref="A191:BK191"/>
    <mergeCell ref="A192:BK192"/>
    <mergeCell ref="A193:BK193"/>
    <mergeCell ref="A194:BK194"/>
    <mergeCell ref="BA182:BB182"/>
    <mergeCell ref="BA183:BB183"/>
    <mergeCell ref="A187:BK187"/>
    <mergeCell ref="A188:BK188"/>
    <mergeCell ref="A189:BK189"/>
    <mergeCell ref="BA177:BB177"/>
    <mergeCell ref="BA178:BB178"/>
    <mergeCell ref="BA179:BB179"/>
    <mergeCell ref="BA180:BB180"/>
    <mergeCell ref="BA181:BB181"/>
    <mergeCell ref="BA172:BB172"/>
    <mergeCell ref="BA173:BB173"/>
    <mergeCell ref="BA174:BB174"/>
    <mergeCell ref="BA175:BB175"/>
    <mergeCell ref="BA176:BB176"/>
    <mergeCell ref="BA167:BB167"/>
    <mergeCell ref="BA168:BB168"/>
    <mergeCell ref="BA169:BB169"/>
    <mergeCell ref="BA170:BB170"/>
    <mergeCell ref="BA171:BB171"/>
    <mergeCell ref="BA162:BB162"/>
    <mergeCell ref="BA163:BB163"/>
    <mergeCell ref="BA164:BB164"/>
    <mergeCell ref="BA165:BB165"/>
    <mergeCell ref="BA166:BB166"/>
    <mergeCell ref="BS149:BT149"/>
    <mergeCell ref="BM154:CB154"/>
    <mergeCell ref="BM155:CB155"/>
    <mergeCell ref="BM156:CB156"/>
    <mergeCell ref="BA161:BB161"/>
    <mergeCell ref="CM32:CO32"/>
    <mergeCell ref="CK55:CO55"/>
    <mergeCell ref="BV96:BW96"/>
    <mergeCell ref="BX111:BY111"/>
    <mergeCell ref="BX145:BY145"/>
    <mergeCell ref="CM1:CN1"/>
    <mergeCell ref="CV1:CW1"/>
    <mergeCell ref="CM19:CN19"/>
    <mergeCell ref="CM20:CN20"/>
    <mergeCell ref="CM21:CN21"/>
    <mergeCell ref="A220:BK220"/>
    <mergeCell ref="A228:BK228"/>
    <mergeCell ref="A239:AG239"/>
    <mergeCell ref="AI239:AQ239"/>
    <mergeCell ref="A221:BK221"/>
    <mergeCell ref="A222:BK222"/>
    <mergeCell ref="A223:BK223"/>
    <mergeCell ref="A224:BK224"/>
    <mergeCell ref="A225:BK225"/>
    <mergeCell ref="A226:BK226"/>
    <mergeCell ref="A227:BK227"/>
    <mergeCell ref="A215:BK215"/>
    <mergeCell ref="A216:BK216"/>
    <mergeCell ref="A217:BK217"/>
    <mergeCell ref="A218:BK218"/>
    <mergeCell ref="A219:BK219"/>
    <mergeCell ref="A210:BK210"/>
    <mergeCell ref="A211:BK211"/>
    <mergeCell ref="A212:BK212"/>
    <mergeCell ref="A213:BK213"/>
    <mergeCell ref="A214:BK214"/>
    <mergeCell ref="A204:BK204"/>
    <mergeCell ref="A205:BK205"/>
    <mergeCell ref="A206:BK206"/>
    <mergeCell ref="A209:BK209"/>
    <mergeCell ref="CO209:CQ209"/>
    <mergeCell ref="A199:BK199"/>
    <mergeCell ref="A200:BK200"/>
    <mergeCell ref="A201:BK201"/>
    <mergeCell ref="A202:BK202"/>
    <mergeCell ref="A203:BK203"/>
  </mergeCells>
  <phoneticPr fontId="443" type="noConversion"/>
  <hyperlinks>
    <hyperlink ref="CO185" r:id="rId1" xr:uid="{00000000-0004-0000-0700-000000000000}"/>
    <hyperlink ref="CP230" r:id="rId2" xr:uid="{00000000-0004-0000-0700-000001000000}"/>
    <hyperlink ref="CO236" r:id="rId3" xr:uid="{00000000-0004-0000-0700-000002000000}"/>
    <hyperlink ref="CO248" r:id="rId4" xr:uid="{00000000-0004-0000-0700-000003000000}"/>
    <hyperlink ref="CO314" r:id="rId5" xr:uid="{00000000-0004-0000-0700-000004000000}"/>
    <hyperlink ref="CO320" r:id="rId6" xr:uid="{00000000-0004-0000-0700-000005000000}"/>
    <hyperlink ref="CO326" r:id="rId7" display="https://www.amazon.com/progress-tracker/package/ref=pe_2640190_232586610_scr_pt_asin?_encoding=UTF8&amp;from=gp&amp;itemId=&amp;orderId=114-9221944-6174655&amp;packageIndex=0&amp;shipmentId=24859202472301" xr:uid="{00000000-0004-0000-0700-000006000000}"/>
    <hyperlink ref="CO327" r:id="rId8" display="https://www.amazon.com/progress-tracker/package/ref=pe_2640190_232586610_scr_pt_asin?_encoding=UTF8&amp;from=gp&amp;itemId=&amp;orderId=114-9221944-6174655&amp;packageIndex=0&amp;shipmentId=24859202472301" xr:uid="{00000000-0004-0000-0700-000007000000}"/>
    <hyperlink ref="CO331" r:id="rId9" xr:uid="{00000000-0004-0000-0700-000008000000}"/>
    <hyperlink ref="CP331" r:id="rId10" xr:uid="{00000000-0004-0000-0700-000009000000}"/>
    <hyperlink ref="CO338" r:id="rId11" xr:uid="{00000000-0004-0000-0700-00000A000000}"/>
    <hyperlink ref="CR340" r:id="rId12" xr:uid="{00000000-0004-0000-0700-00000B000000}"/>
    <hyperlink ref="CR341" r:id="rId13" xr:uid="{00000000-0004-0000-0700-00000C000000}"/>
    <hyperlink ref="CO343" r:id="rId14" xr:uid="{00000000-0004-0000-0700-00000D000000}"/>
    <hyperlink ref="CO345" r:id="rId15" xr:uid="{00000000-0004-0000-0700-00000E000000}"/>
    <hyperlink ref="CO346" r:id="rId16" xr:uid="{00000000-0004-0000-0700-00000F000000}"/>
  </hyperlinks>
  <printOptions horizontalCentered="1" gridLines="1"/>
  <pageMargins left="0.7" right="0.7" top="0.75" bottom="0.75" header="0" footer="0"/>
  <pageSetup fitToHeight="0" pageOrder="overThenDown" orientation="landscape" cellComments="atEnd"/>
  <legacyDrawing r:id="rId17"/>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outlinePr summaryBelow="0" summaryRight="0"/>
  </sheetPr>
  <dimension ref="A1:O50"/>
  <sheetViews>
    <sheetView workbookViewId="0"/>
  </sheetViews>
  <sheetFormatPr defaultColWidth="12.7109375" defaultRowHeight="12.75" customHeight="1"/>
  <cols>
    <col min="1" max="1" width="15.140625" customWidth="1"/>
    <col min="2" max="2" width="10.140625" customWidth="1"/>
    <col min="3" max="3" width="10.42578125" customWidth="1"/>
    <col min="4" max="4" width="10.7109375" customWidth="1"/>
    <col min="5" max="5" width="12" customWidth="1"/>
    <col min="6" max="6" width="13.28515625" customWidth="1"/>
    <col min="7" max="7" width="7.42578125" customWidth="1"/>
    <col min="8" max="8" width="6.7109375" customWidth="1"/>
    <col min="9" max="9" width="12.28515625" customWidth="1"/>
    <col min="10" max="10" width="2.7109375" customWidth="1"/>
    <col min="11" max="11" width="17" customWidth="1"/>
    <col min="12" max="12" width="8" customWidth="1"/>
    <col min="13" max="13" width="7.85546875" customWidth="1"/>
    <col min="14" max="14" width="7.28515625" customWidth="1"/>
    <col min="15" max="23" width="15.140625" customWidth="1"/>
  </cols>
  <sheetData>
    <row r="1" spans="1:15">
      <c r="A1" s="59" t="s">
        <v>7260</v>
      </c>
      <c r="B1" s="481">
        <v>2014</v>
      </c>
      <c r="C1" s="9" t="s">
        <v>7994</v>
      </c>
      <c r="K1" s="578" t="s">
        <v>4794</v>
      </c>
      <c r="L1" s="578">
        <v>2014</v>
      </c>
      <c r="M1" s="578">
        <v>2013</v>
      </c>
      <c r="N1" s="578">
        <v>2012</v>
      </c>
    </row>
    <row r="2" spans="1:15">
      <c r="A2" s="578" t="s">
        <v>7261</v>
      </c>
      <c r="B2" s="9" t="s">
        <v>7963</v>
      </c>
      <c r="C2" s="82" t="s">
        <v>7869</v>
      </c>
      <c r="D2" s="82" t="s">
        <v>7869</v>
      </c>
      <c r="E2" s="82" t="s">
        <v>7870</v>
      </c>
      <c r="F2" s="82" t="s">
        <v>7871</v>
      </c>
      <c r="I2" s="9" t="s">
        <v>7874</v>
      </c>
      <c r="K2" s="9" t="s">
        <v>7263</v>
      </c>
      <c r="L2" s="16">
        <v>2306</v>
      </c>
      <c r="M2" s="16">
        <v>2360</v>
      </c>
      <c r="N2" s="16"/>
    </row>
    <row r="3" spans="1:15">
      <c r="B3" s="9" t="s">
        <v>7966</v>
      </c>
      <c r="I3" s="9" t="s">
        <v>7264</v>
      </c>
      <c r="K3" s="9" t="s">
        <v>7265</v>
      </c>
      <c r="L3" s="16">
        <v>6360</v>
      </c>
      <c r="M3" s="16">
        <v>11752</v>
      </c>
      <c r="N3" s="16">
        <v>12443.32</v>
      </c>
    </row>
    <row r="4" spans="1:15">
      <c r="B4" s="888" t="s">
        <v>6381</v>
      </c>
      <c r="C4" s="888" t="s">
        <v>7268</v>
      </c>
      <c r="D4" s="888" t="s">
        <v>5752</v>
      </c>
      <c r="E4" s="888" t="s">
        <v>5747</v>
      </c>
      <c r="F4" s="888" t="s">
        <v>7269</v>
      </c>
      <c r="G4" s="82" t="s">
        <v>7968</v>
      </c>
      <c r="I4" s="888" t="s">
        <v>5755</v>
      </c>
      <c r="K4" s="9" t="s">
        <v>7273</v>
      </c>
      <c r="L4" s="16">
        <v>27</v>
      </c>
    </row>
    <row r="5" spans="1:15">
      <c r="A5" s="9" t="s">
        <v>7274</v>
      </c>
      <c r="B5" s="16">
        <v>48760</v>
      </c>
      <c r="C5" s="16">
        <v>7477</v>
      </c>
      <c r="D5" s="16">
        <v>8450</v>
      </c>
      <c r="E5" s="16">
        <f>575*12</f>
        <v>6900</v>
      </c>
      <c r="F5" s="16">
        <v>31331</v>
      </c>
      <c r="G5" s="16">
        <v>136658</v>
      </c>
      <c r="I5" s="16">
        <v>12335</v>
      </c>
      <c r="K5" s="9" t="s">
        <v>7275</v>
      </c>
      <c r="L5" s="16">
        <v>0</v>
      </c>
      <c r="M5" s="16"/>
    </row>
    <row r="6" spans="1:15">
      <c r="A6" s="9" t="s">
        <v>7875</v>
      </c>
      <c r="B6" s="16">
        <v>0</v>
      </c>
      <c r="C6" s="16"/>
      <c r="D6" s="16"/>
      <c r="E6" s="16"/>
      <c r="F6" s="16">
        <v>0</v>
      </c>
      <c r="G6" s="16">
        <v>0</v>
      </c>
      <c r="I6" s="16">
        <v>0</v>
      </c>
      <c r="K6" s="9" t="s">
        <v>7277</v>
      </c>
      <c r="L6" s="16">
        <v>1099</v>
      </c>
      <c r="M6" s="16" t="s">
        <v>2654</v>
      </c>
      <c r="N6" s="16"/>
    </row>
    <row r="7" spans="1:15">
      <c r="A7" s="9" t="s">
        <v>6847</v>
      </c>
      <c r="B7" s="711">
        <f t="shared" ref="B7:G7" si="0">B5+B6</f>
        <v>48760</v>
      </c>
      <c r="C7" s="711">
        <f t="shared" si="0"/>
        <v>7477</v>
      </c>
      <c r="D7" s="711">
        <f t="shared" si="0"/>
        <v>8450</v>
      </c>
      <c r="E7" s="711">
        <f t="shared" si="0"/>
        <v>6900</v>
      </c>
      <c r="F7" s="711">
        <f t="shared" si="0"/>
        <v>31331</v>
      </c>
      <c r="G7" s="711">
        <f t="shared" si="0"/>
        <v>136658</v>
      </c>
      <c r="I7" s="711">
        <f>I5+I6</f>
        <v>12335</v>
      </c>
      <c r="K7" s="9" t="s">
        <v>7278</v>
      </c>
      <c r="L7" s="16">
        <v>1099</v>
      </c>
      <c r="M7" s="16" t="s">
        <v>7876</v>
      </c>
      <c r="N7" s="16">
        <v>0</v>
      </c>
    </row>
    <row r="8" spans="1:15">
      <c r="A8" s="578" t="s">
        <v>270</v>
      </c>
      <c r="B8" s="16"/>
      <c r="C8" s="16"/>
      <c r="D8" s="16"/>
      <c r="E8" s="16"/>
      <c r="F8" s="16"/>
      <c r="G8" s="16" t="s">
        <v>135</v>
      </c>
      <c r="I8" s="16"/>
      <c r="K8" s="9" t="s">
        <v>7354</v>
      </c>
      <c r="L8" s="16">
        <v>6900</v>
      </c>
      <c r="M8" s="16" t="s">
        <v>2654</v>
      </c>
      <c r="N8" s="16"/>
    </row>
    <row r="9" spans="1:15">
      <c r="A9" s="9" t="s">
        <v>7877</v>
      </c>
      <c r="B9" s="16">
        <v>0</v>
      </c>
      <c r="C9" s="14">
        <v>1063</v>
      </c>
      <c r="D9" s="16">
        <v>0</v>
      </c>
      <c r="E9" s="16">
        <v>0</v>
      </c>
      <c r="F9" s="14">
        <v>4771</v>
      </c>
      <c r="G9" s="16">
        <v>1085.05</v>
      </c>
      <c r="H9" s="9" t="s">
        <v>99</v>
      </c>
      <c r="I9" s="16">
        <v>2300</v>
      </c>
      <c r="K9" s="9" t="s">
        <v>3314</v>
      </c>
      <c r="L9" s="16">
        <v>13</v>
      </c>
      <c r="M9" s="16">
        <v>50</v>
      </c>
      <c r="N9" s="16"/>
    </row>
    <row r="10" spans="1:15">
      <c r="A10" s="9" t="s">
        <v>7878</v>
      </c>
      <c r="B10" s="16">
        <v>6707</v>
      </c>
      <c r="C10" s="16">
        <f>419*2</f>
        <v>838</v>
      </c>
      <c r="D10" s="16">
        <v>1306.22</v>
      </c>
      <c r="E10" s="16">
        <v>491</v>
      </c>
      <c r="F10" s="16">
        <f>1361*2</f>
        <v>2722</v>
      </c>
      <c r="G10" s="16">
        <v>14783.81</v>
      </c>
      <c r="I10" s="16"/>
      <c r="K10" s="9" t="s">
        <v>7885</v>
      </c>
      <c r="L10" s="16">
        <v>10625</v>
      </c>
    </row>
    <row r="11" spans="1:15">
      <c r="A11" s="9" t="s">
        <v>7882</v>
      </c>
      <c r="B11" s="16">
        <v>131</v>
      </c>
      <c r="C11" s="1419"/>
      <c r="D11" s="16"/>
      <c r="E11" s="16" t="s">
        <v>135</v>
      </c>
      <c r="F11" s="16"/>
      <c r="G11" s="16">
        <v>0</v>
      </c>
      <c r="I11" s="16">
        <v>74</v>
      </c>
      <c r="K11" s="133"/>
      <c r="L11" s="133"/>
      <c r="M11" s="133"/>
      <c r="N11" s="133"/>
    </row>
    <row r="12" spans="1:15">
      <c r="A12" s="9" t="s">
        <v>4822</v>
      </c>
      <c r="B12" s="16">
        <f>9909/2</f>
        <v>4954.5</v>
      </c>
      <c r="C12" s="16">
        <v>430</v>
      </c>
      <c r="D12" s="16">
        <v>632</v>
      </c>
      <c r="E12" s="16">
        <v>501</v>
      </c>
      <c r="F12" s="16">
        <v>1394</v>
      </c>
      <c r="G12" s="16">
        <v>11624.01</v>
      </c>
      <c r="I12" s="16">
        <v>957</v>
      </c>
      <c r="J12" s="44"/>
      <c r="K12" s="1420" t="s">
        <v>7297</v>
      </c>
      <c r="L12" s="38"/>
      <c r="M12" s="38"/>
      <c r="N12" s="39"/>
      <c r="O12" s="41"/>
    </row>
    <row r="13" spans="1:15">
      <c r="A13" s="9" t="s">
        <v>7887</v>
      </c>
      <c r="B13" s="16">
        <f>7165+2167+347</f>
        <v>9679</v>
      </c>
      <c r="C13" s="16">
        <f>968.06+362</f>
        <v>1330.06</v>
      </c>
      <c r="D13" s="16">
        <v>4818</v>
      </c>
      <c r="E13" s="16">
        <v>0</v>
      </c>
      <c r="F13" s="16">
        <f>7797+494</f>
        <v>8291</v>
      </c>
      <c r="G13" s="16">
        <v>25200.15</v>
      </c>
      <c r="I13" s="16">
        <f>2365+446+1286</f>
        <v>4097</v>
      </c>
      <c r="J13" s="44"/>
      <c r="K13" s="41" t="s">
        <v>7299</v>
      </c>
      <c r="L13" s="16">
        <v>120</v>
      </c>
      <c r="M13" s="16">
        <v>45</v>
      </c>
      <c r="N13" s="42">
        <v>40</v>
      </c>
      <c r="O13" s="41"/>
    </row>
    <row r="14" spans="1:15">
      <c r="A14" s="9" t="s">
        <v>7889</v>
      </c>
      <c r="B14" s="16">
        <v>12570</v>
      </c>
      <c r="C14" s="16">
        <v>1619</v>
      </c>
      <c r="D14" s="16">
        <v>389</v>
      </c>
      <c r="E14" s="16">
        <v>1100</v>
      </c>
      <c r="F14" s="16">
        <v>3331</v>
      </c>
      <c r="G14" s="16">
        <v>29942.49</v>
      </c>
      <c r="I14" s="16">
        <v>2224</v>
      </c>
      <c r="J14" s="44"/>
      <c r="K14" s="41" t="s">
        <v>7300</v>
      </c>
      <c r="L14" s="16">
        <v>200</v>
      </c>
      <c r="M14" s="16"/>
      <c r="N14" s="42"/>
      <c r="O14" s="41"/>
    </row>
    <row r="15" spans="1:15">
      <c r="A15" s="9" t="s">
        <v>7890</v>
      </c>
      <c r="B15" s="16"/>
      <c r="C15" s="16"/>
      <c r="D15" s="16"/>
      <c r="E15" s="16">
        <v>0</v>
      </c>
      <c r="F15" s="16">
        <v>0</v>
      </c>
      <c r="G15" s="16"/>
      <c r="I15" s="14">
        <v>17658</v>
      </c>
      <c r="J15" s="44"/>
      <c r="K15" s="41" t="s">
        <v>7973</v>
      </c>
      <c r="L15" s="16">
        <v>200</v>
      </c>
      <c r="M15" s="16">
        <v>315</v>
      </c>
      <c r="N15" s="42">
        <v>300</v>
      </c>
      <c r="O15" s="41"/>
    </row>
    <row r="16" spans="1:15">
      <c r="A16" s="9" t="s">
        <v>7891</v>
      </c>
      <c r="B16" s="16">
        <v>7951</v>
      </c>
      <c r="C16" s="16">
        <v>947</v>
      </c>
      <c r="D16" s="16">
        <v>991</v>
      </c>
      <c r="E16" s="16">
        <v>0</v>
      </c>
      <c r="F16" s="16">
        <v>2525</v>
      </c>
      <c r="G16" s="16">
        <v>8111.9</v>
      </c>
      <c r="H16" s="9" t="s">
        <v>7995</v>
      </c>
      <c r="I16" s="16">
        <v>250</v>
      </c>
      <c r="J16" s="44"/>
      <c r="K16" s="41" t="s">
        <v>7305</v>
      </c>
      <c r="L16" s="16">
        <v>8460</v>
      </c>
      <c r="M16" s="16">
        <v>8460</v>
      </c>
      <c r="N16" s="42">
        <v>8412</v>
      </c>
      <c r="O16" s="41"/>
    </row>
    <row r="17" spans="1:15">
      <c r="A17" s="9" t="s">
        <v>7294</v>
      </c>
      <c r="B17" s="16">
        <v>715</v>
      </c>
      <c r="C17" s="16">
        <v>0</v>
      </c>
      <c r="D17" s="16">
        <v>0</v>
      </c>
      <c r="E17" s="16">
        <v>0</v>
      </c>
      <c r="F17" s="16">
        <v>0</v>
      </c>
      <c r="G17" s="16">
        <v>3248.95</v>
      </c>
      <c r="H17" s="9" t="s">
        <v>7996</v>
      </c>
      <c r="I17" s="16">
        <v>175</v>
      </c>
      <c r="J17" s="44"/>
      <c r="K17" s="41" t="s">
        <v>7308</v>
      </c>
      <c r="L17" s="16">
        <v>589</v>
      </c>
      <c r="M17" s="16">
        <v>854</v>
      </c>
      <c r="N17" s="42"/>
      <c r="O17" s="41"/>
    </row>
    <row r="18" spans="1:15">
      <c r="A18" s="9" t="s">
        <v>3313</v>
      </c>
      <c r="B18" s="16">
        <v>254</v>
      </c>
      <c r="C18" s="16"/>
      <c r="D18" s="16">
        <v>0</v>
      </c>
      <c r="E18" s="16">
        <v>0</v>
      </c>
      <c r="F18" s="16">
        <v>50</v>
      </c>
      <c r="G18" s="16"/>
      <c r="I18" s="16">
        <v>0</v>
      </c>
      <c r="J18" s="44"/>
      <c r="K18" s="41" t="s">
        <v>7311</v>
      </c>
      <c r="N18" s="44"/>
      <c r="O18" s="41"/>
    </row>
    <row r="19" spans="1:15">
      <c r="A19" s="9" t="s">
        <v>7033</v>
      </c>
      <c r="B19" s="16">
        <v>0</v>
      </c>
      <c r="C19" s="16"/>
      <c r="D19" s="16"/>
      <c r="E19" s="16"/>
      <c r="F19" s="16">
        <v>0</v>
      </c>
      <c r="G19" s="16"/>
      <c r="I19" s="16">
        <v>0</v>
      </c>
      <c r="J19" s="44"/>
      <c r="K19" s="41" t="s">
        <v>7997</v>
      </c>
      <c r="L19" s="16"/>
      <c r="M19" s="16">
        <v>1215</v>
      </c>
      <c r="N19" s="42"/>
      <c r="O19" s="41"/>
    </row>
    <row r="20" spans="1:15">
      <c r="A20" s="9" t="s">
        <v>7893</v>
      </c>
      <c r="B20" s="16">
        <v>100</v>
      </c>
      <c r="C20" s="16">
        <v>100</v>
      </c>
      <c r="D20" s="16">
        <v>100</v>
      </c>
      <c r="E20" s="16">
        <v>100</v>
      </c>
      <c r="F20" s="16">
        <v>100</v>
      </c>
      <c r="G20" s="16">
        <v>436</v>
      </c>
      <c r="I20" s="16">
        <v>100</v>
      </c>
      <c r="J20" s="44"/>
      <c r="K20" s="77" t="s">
        <v>7897</v>
      </c>
      <c r="L20" s="134">
        <v>825</v>
      </c>
      <c r="M20" s="133"/>
      <c r="N20" s="884"/>
      <c r="O20" s="41"/>
    </row>
    <row r="21" spans="1:15">
      <c r="A21" s="578" t="s">
        <v>1126</v>
      </c>
      <c r="B21" s="711">
        <f t="shared" ref="B21:G21" si="1">SUM(B9:B20)</f>
        <v>43061.5</v>
      </c>
      <c r="C21" s="711">
        <f t="shared" si="1"/>
        <v>6327.0599999999995</v>
      </c>
      <c r="D21" s="711">
        <f t="shared" si="1"/>
        <v>8236.2200000000012</v>
      </c>
      <c r="E21" s="711">
        <f t="shared" si="1"/>
        <v>2192</v>
      </c>
      <c r="F21" s="711">
        <f t="shared" si="1"/>
        <v>23184</v>
      </c>
      <c r="G21" s="711">
        <f t="shared" si="1"/>
        <v>94432.36</v>
      </c>
      <c r="I21" s="711">
        <f>SUM(I9:I20)</f>
        <v>27835</v>
      </c>
      <c r="K21" s="1305"/>
      <c r="L21" s="1305"/>
      <c r="M21" s="1305"/>
      <c r="N21" s="1305"/>
    </row>
    <row r="22" spans="1:15">
      <c r="A22" s="578" t="s">
        <v>7894</v>
      </c>
      <c r="B22" s="711">
        <f t="shared" ref="B22:G22" si="2">B7-B21</f>
        <v>5698.5</v>
      </c>
      <c r="C22" s="711">
        <f t="shared" si="2"/>
        <v>1149.9400000000005</v>
      </c>
      <c r="D22" s="711">
        <f t="shared" si="2"/>
        <v>213.77999999999884</v>
      </c>
      <c r="E22" s="711">
        <f t="shared" si="2"/>
        <v>4708</v>
      </c>
      <c r="F22" s="711">
        <f t="shared" si="2"/>
        <v>8147</v>
      </c>
      <c r="G22" s="711">
        <f t="shared" si="2"/>
        <v>42225.64</v>
      </c>
      <c r="I22" s="711">
        <f>I7-I21</f>
        <v>-15500</v>
      </c>
      <c r="J22" s="44"/>
      <c r="K22" s="1420" t="s">
        <v>7975</v>
      </c>
      <c r="L22" s="1421"/>
      <c r="M22" s="1421"/>
      <c r="N22" s="1422"/>
      <c r="O22" s="41"/>
    </row>
    <row r="23" spans="1:15">
      <c r="I23" s="16"/>
      <c r="J23" s="44"/>
      <c r="K23" s="41" t="s">
        <v>7976</v>
      </c>
      <c r="L23" s="16">
        <v>0</v>
      </c>
      <c r="M23" s="16"/>
      <c r="N23" s="42">
        <v>200</v>
      </c>
      <c r="O23" s="41"/>
    </row>
    <row r="24" spans="1:15">
      <c r="A24" s="9" t="s">
        <v>7303</v>
      </c>
      <c r="B24" s="16"/>
      <c r="C24" s="16" t="s">
        <v>135</v>
      </c>
      <c r="D24" s="16" t="s">
        <v>135</v>
      </c>
      <c r="E24" s="16">
        <v>306.99</v>
      </c>
      <c r="F24" s="16">
        <v>6173.36</v>
      </c>
      <c r="I24" s="16"/>
      <c r="J24" s="44"/>
      <c r="K24" s="41" t="s">
        <v>7335</v>
      </c>
      <c r="L24" s="16">
        <v>200</v>
      </c>
      <c r="M24" s="16">
        <v>45</v>
      </c>
      <c r="N24" s="42">
        <v>100</v>
      </c>
      <c r="O24" s="41"/>
    </row>
    <row r="25" spans="1:15">
      <c r="A25" s="9" t="s">
        <v>7898</v>
      </c>
      <c r="B25" s="16">
        <f>1400*3</f>
        <v>4200</v>
      </c>
      <c r="C25" s="16">
        <v>565</v>
      </c>
      <c r="D25" s="16">
        <v>280</v>
      </c>
      <c r="E25" s="16">
        <v>480</v>
      </c>
      <c r="F25" s="16">
        <v>420</v>
      </c>
      <c r="I25" s="16">
        <v>1350</v>
      </c>
      <c r="J25" s="44"/>
      <c r="K25" s="41" t="s">
        <v>7336</v>
      </c>
      <c r="L25" s="16">
        <v>1200</v>
      </c>
      <c r="M25" s="16"/>
      <c r="N25" s="42"/>
      <c r="O25" s="41"/>
    </row>
    <row r="26" spans="1:15">
      <c r="A26" s="9" t="s">
        <v>7306</v>
      </c>
      <c r="B26" s="16">
        <v>967500</v>
      </c>
      <c r="C26" s="16">
        <v>45000</v>
      </c>
      <c r="D26" s="16">
        <v>45000</v>
      </c>
      <c r="E26" s="16">
        <v>33000</v>
      </c>
      <c r="F26" s="16">
        <v>122000</v>
      </c>
      <c r="I26" s="16">
        <v>20000</v>
      </c>
      <c r="J26" s="44"/>
      <c r="K26" s="41" t="s">
        <v>7338</v>
      </c>
      <c r="L26" s="16">
        <v>500</v>
      </c>
      <c r="M26" s="16"/>
      <c r="N26" s="42"/>
      <c r="O26" s="41"/>
    </row>
    <row r="27" spans="1:15">
      <c r="A27" s="578" t="s">
        <v>7309</v>
      </c>
      <c r="B27" s="82"/>
      <c r="C27" s="25">
        <v>15000</v>
      </c>
      <c r="D27" s="25">
        <v>15000</v>
      </c>
      <c r="E27" s="25">
        <v>15000</v>
      </c>
      <c r="F27" s="25">
        <v>40000</v>
      </c>
      <c r="I27" s="9">
        <v>0</v>
      </c>
      <c r="J27" s="44"/>
      <c r="K27" s="41" t="s">
        <v>7339</v>
      </c>
      <c r="L27" s="16">
        <v>150</v>
      </c>
      <c r="M27" s="16">
        <v>225</v>
      </c>
      <c r="N27" s="42"/>
      <c r="O27" s="41"/>
    </row>
    <row r="28" spans="1:15">
      <c r="J28" s="44"/>
      <c r="K28" s="41" t="s">
        <v>7343</v>
      </c>
      <c r="L28" s="16"/>
      <c r="M28" s="16">
        <v>275</v>
      </c>
      <c r="N28" s="42"/>
      <c r="O28" s="41"/>
    </row>
    <row r="29" spans="1:15">
      <c r="A29" s="133"/>
      <c r="B29" s="133"/>
      <c r="D29" s="133"/>
      <c r="E29" s="133"/>
      <c r="F29" s="133"/>
      <c r="J29" s="44"/>
      <c r="K29" s="41" t="s">
        <v>7998</v>
      </c>
      <c r="L29" s="16">
        <v>180</v>
      </c>
      <c r="M29" s="16">
        <v>2572</v>
      </c>
      <c r="N29" s="42"/>
      <c r="O29" s="41"/>
    </row>
    <row r="30" spans="1:15">
      <c r="A30" s="1420" t="s">
        <v>7999</v>
      </c>
      <c r="B30" s="39"/>
      <c r="C30" s="449"/>
      <c r="D30" s="1420" t="s">
        <v>7350</v>
      </c>
      <c r="E30" s="969">
        <v>2014</v>
      </c>
      <c r="F30" s="1423">
        <v>2013</v>
      </c>
      <c r="G30" s="41"/>
      <c r="J30" s="44"/>
      <c r="K30" s="1271" t="s">
        <v>67</v>
      </c>
      <c r="L30" s="711">
        <f>SUM(L23:L29)</f>
        <v>2230</v>
      </c>
      <c r="M30" s="711">
        <f>SUM(M23:M29)</f>
        <v>3117</v>
      </c>
      <c r="N30" s="1424">
        <f>SUM(N23:N29)</f>
        <v>300</v>
      </c>
      <c r="O30" s="41"/>
    </row>
    <row r="31" spans="1:15">
      <c r="A31" s="41" t="s">
        <v>3534</v>
      </c>
      <c r="B31" s="1425" t="s">
        <v>7863</v>
      </c>
      <c r="C31" s="449"/>
      <c r="D31" s="41" t="s">
        <v>66</v>
      </c>
      <c r="E31" s="9">
        <v>115</v>
      </c>
      <c r="F31" s="44"/>
      <c r="G31" s="41"/>
      <c r="J31" s="44"/>
      <c r="K31" s="41" t="s">
        <v>8000</v>
      </c>
      <c r="L31" s="16">
        <v>600</v>
      </c>
      <c r="N31" s="44"/>
      <c r="O31" s="41"/>
    </row>
    <row r="32" spans="1:15">
      <c r="A32" s="41" t="s">
        <v>38</v>
      </c>
      <c r="B32" s="42">
        <v>2272</v>
      </c>
      <c r="C32" s="449"/>
      <c r="D32" s="41" t="s">
        <v>725</v>
      </c>
      <c r="E32" s="25">
        <v>57</v>
      </c>
      <c r="F32" s="1309">
        <v>124.74</v>
      </c>
      <c r="G32" s="41"/>
      <c r="J32" s="44"/>
      <c r="K32" s="77" t="s">
        <v>7347</v>
      </c>
      <c r="L32" s="134">
        <v>165</v>
      </c>
      <c r="M32" s="133"/>
      <c r="N32" s="884"/>
      <c r="O32" s="41"/>
    </row>
    <row r="33" spans="1:14">
      <c r="A33" s="41"/>
      <c r="B33" s="42"/>
      <c r="C33" s="449"/>
      <c r="D33" s="41" t="s">
        <v>725</v>
      </c>
      <c r="E33" s="25">
        <v>20</v>
      </c>
      <c r="F33" s="1309">
        <v>93.59</v>
      </c>
      <c r="G33" s="41"/>
      <c r="K33" s="1305"/>
      <c r="L33" s="1305"/>
      <c r="M33" s="38"/>
      <c r="N33" s="38"/>
    </row>
    <row r="34" spans="1:14">
      <c r="A34" s="1271" t="s">
        <v>270</v>
      </c>
      <c r="B34" s="42"/>
      <c r="C34" s="449"/>
      <c r="D34" s="41" t="s">
        <v>725</v>
      </c>
      <c r="E34" s="25">
        <v>145</v>
      </c>
      <c r="F34" s="44"/>
      <c r="G34" s="41"/>
      <c r="J34" s="44"/>
      <c r="K34" s="1420" t="s">
        <v>7348</v>
      </c>
      <c r="L34" s="1423" t="s">
        <v>3258</v>
      </c>
      <c r="M34" s="41"/>
    </row>
    <row r="35" spans="1:14">
      <c r="A35" s="41" t="s">
        <v>7287</v>
      </c>
      <c r="B35" s="42">
        <v>978</v>
      </c>
      <c r="C35" s="449"/>
      <c r="D35" s="41" t="s">
        <v>7355</v>
      </c>
      <c r="E35" s="25">
        <v>501</v>
      </c>
      <c r="F35" s="1309">
        <v>325.12</v>
      </c>
      <c r="G35" s="41"/>
      <c r="J35" s="44"/>
      <c r="K35" s="41" t="s">
        <v>7349</v>
      </c>
      <c r="L35" s="44" t="s">
        <v>5703</v>
      </c>
      <c r="M35" s="41"/>
    </row>
    <row r="36" spans="1:14">
      <c r="A36" s="41" t="s">
        <v>7991</v>
      </c>
      <c r="B36" s="42">
        <v>6800</v>
      </c>
      <c r="C36" s="449"/>
      <c r="D36" s="1280" t="s">
        <v>67</v>
      </c>
      <c r="E36" s="1426">
        <f>SUM(E32:E35)</f>
        <v>723</v>
      </c>
      <c r="F36" s="1310">
        <v>543.45000000000005</v>
      </c>
      <c r="G36" s="41"/>
      <c r="J36" s="44"/>
      <c r="K36" s="41" t="s">
        <v>7278</v>
      </c>
      <c r="L36" s="44" t="s">
        <v>5703</v>
      </c>
      <c r="M36" s="41"/>
    </row>
    <row r="37" spans="1:14">
      <c r="A37" s="41" t="s">
        <v>7992</v>
      </c>
      <c r="B37" s="42">
        <v>40</v>
      </c>
      <c r="C37" s="41"/>
      <c r="D37" s="1305"/>
      <c r="E37" s="1305"/>
      <c r="F37" s="1305"/>
      <c r="G37" s="133"/>
      <c r="J37" s="44"/>
      <c r="K37" s="41" t="s">
        <v>7354</v>
      </c>
      <c r="L37" s="44" t="s">
        <v>5703</v>
      </c>
      <c r="M37" s="41"/>
    </row>
    <row r="38" spans="1:14">
      <c r="A38" s="77" t="s">
        <v>7865</v>
      </c>
      <c r="B38" s="135">
        <v>221</v>
      </c>
      <c r="C38" s="449"/>
      <c r="D38" s="1420" t="s">
        <v>7351</v>
      </c>
      <c r="E38" s="1427" t="s">
        <v>8001</v>
      </c>
      <c r="F38" s="1427" t="s">
        <v>3281</v>
      </c>
      <c r="G38" s="39"/>
      <c r="H38" s="41"/>
      <c r="J38" s="44"/>
      <c r="K38" s="41" t="s">
        <v>7866</v>
      </c>
      <c r="L38" s="44"/>
      <c r="M38" s="41"/>
    </row>
    <row r="39" spans="1:14">
      <c r="A39" s="38"/>
      <c r="B39" s="38"/>
      <c r="C39" s="44"/>
      <c r="D39" s="41" t="s">
        <v>8002</v>
      </c>
      <c r="E39" s="16">
        <v>10800</v>
      </c>
      <c r="F39" s="443">
        <v>41915</v>
      </c>
      <c r="G39" s="44" t="s">
        <v>7361</v>
      </c>
      <c r="H39" s="41"/>
      <c r="J39" s="44"/>
      <c r="K39" s="41" t="s">
        <v>8003</v>
      </c>
      <c r="L39" s="44" t="s">
        <v>5703</v>
      </c>
      <c r="M39" s="41"/>
    </row>
    <row r="40" spans="1:14">
      <c r="C40" s="44"/>
      <c r="D40" s="41" t="s">
        <v>8004</v>
      </c>
      <c r="E40" s="16">
        <v>307</v>
      </c>
      <c r="F40" s="443">
        <v>41919</v>
      </c>
      <c r="G40" s="44" t="s">
        <v>7361</v>
      </c>
      <c r="H40" s="41"/>
      <c r="J40" s="44"/>
      <c r="K40" s="41" t="s">
        <v>7868</v>
      </c>
      <c r="L40" s="44" t="s">
        <v>5703</v>
      </c>
      <c r="M40" s="41"/>
    </row>
    <row r="41" spans="1:14">
      <c r="C41" s="44"/>
      <c r="D41" s="41" t="s">
        <v>8005</v>
      </c>
      <c r="E41" s="16">
        <v>2450</v>
      </c>
      <c r="F41" s="443">
        <v>41919</v>
      </c>
      <c r="G41" s="44" t="s">
        <v>7905</v>
      </c>
      <c r="H41" s="41"/>
      <c r="J41" s="44"/>
      <c r="K41" s="41" t="s">
        <v>8006</v>
      </c>
      <c r="L41" s="44" t="s">
        <v>5703</v>
      </c>
      <c r="M41" s="41"/>
    </row>
    <row r="42" spans="1:14">
      <c r="C42" s="44"/>
      <c r="D42" s="41" t="s">
        <v>8007</v>
      </c>
      <c r="E42" s="16">
        <v>3050</v>
      </c>
      <c r="F42" s="443">
        <v>41977</v>
      </c>
      <c r="G42" s="44" t="s">
        <v>7905</v>
      </c>
      <c r="H42" s="41"/>
      <c r="J42" s="44"/>
      <c r="K42" s="41" t="s">
        <v>7978</v>
      </c>
      <c r="L42" s="44" t="s">
        <v>5703</v>
      </c>
      <c r="M42" s="41"/>
    </row>
    <row r="43" spans="1:14">
      <c r="C43" s="44"/>
      <c r="D43" s="41" t="s">
        <v>8008</v>
      </c>
      <c r="E43" s="16">
        <v>1051</v>
      </c>
      <c r="F43" s="443">
        <v>41967</v>
      </c>
      <c r="G43" s="44" t="s">
        <v>7361</v>
      </c>
      <c r="H43" s="41"/>
      <c r="J43" s="44"/>
      <c r="K43" s="77" t="s">
        <v>69</v>
      </c>
      <c r="L43" s="1312">
        <v>4</v>
      </c>
      <c r="M43" s="41"/>
    </row>
    <row r="44" spans="1:14">
      <c r="C44" s="44"/>
      <c r="D44" s="77" t="s">
        <v>67</v>
      </c>
      <c r="E44" s="1311">
        <f>SUM(E39:E43)</f>
        <v>17658</v>
      </c>
      <c r="F44" s="133"/>
      <c r="G44" s="884"/>
      <c r="H44" s="41"/>
      <c r="K44" s="38"/>
      <c r="L44" s="39"/>
      <c r="M44" s="41"/>
    </row>
    <row r="45" spans="1:14">
      <c r="D45" s="1305"/>
      <c r="E45" s="1305"/>
      <c r="F45" s="38"/>
      <c r="G45" s="38"/>
    </row>
    <row r="46" spans="1:14">
      <c r="C46" s="44"/>
      <c r="D46" s="1420" t="s">
        <v>8009</v>
      </c>
      <c r="E46" s="1428" t="s">
        <v>8010</v>
      </c>
      <c r="F46" s="41"/>
    </row>
    <row r="47" spans="1:14">
      <c r="C47" s="44"/>
      <c r="D47" s="41" t="s">
        <v>8011</v>
      </c>
      <c r="E47" s="42">
        <v>1400</v>
      </c>
      <c r="F47" s="41"/>
    </row>
    <row r="48" spans="1:14">
      <c r="C48" s="44"/>
      <c r="D48" s="1429" t="s">
        <v>8012</v>
      </c>
      <c r="E48" s="42">
        <v>400</v>
      </c>
      <c r="F48" s="41"/>
    </row>
    <row r="49" spans="3:6">
      <c r="C49" s="44"/>
      <c r="D49" s="1280" t="s">
        <v>67</v>
      </c>
      <c r="E49" s="1430">
        <f>E47+E48</f>
        <v>1800</v>
      </c>
      <c r="F49" s="41"/>
    </row>
    <row r="50" spans="3:6">
      <c r="D50" s="38"/>
      <c r="E50" s="38"/>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outlinePr summaryBelow="0" summaryRight="0"/>
  </sheetPr>
  <dimension ref="A1:V248"/>
  <sheetViews>
    <sheetView workbookViewId="0"/>
  </sheetViews>
  <sheetFormatPr defaultColWidth="12.7109375" defaultRowHeight="12.75" customHeight="1"/>
  <cols>
    <col min="1" max="1" width="1.85546875" customWidth="1"/>
    <col min="2" max="2" width="18.42578125" customWidth="1"/>
    <col min="3" max="14" width="8.28515625" customWidth="1"/>
    <col min="15" max="15" width="9" customWidth="1"/>
    <col min="16" max="16" width="2.140625" customWidth="1"/>
    <col min="17" max="17" width="7.42578125" customWidth="1"/>
    <col min="18" max="18" width="17" customWidth="1"/>
    <col min="19" max="19" width="10.28515625" customWidth="1"/>
    <col min="20" max="20" width="5.28515625" customWidth="1"/>
    <col min="21" max="22" width="15.140625" customWidth="1"/>
  </cols>
  <sheetData>
    <row r="1" spans="1:18">
      <c r="B1" s="660"/>
      <c r="C1" s="660"/>
      <c r="D1" s="660"/>
      <c r="E1" s="660"/>
      <c r="F1" s="660"/>
      <c r="G1" s="660"/>
      <c r="H1" s="660"/>
      <c r="I1" s="660"/>
      <c r="J1" s="660"/>
      <c r="K1" s="660"/>
      <c r="L1" s="660"/>
      <c r="M1" s="660"/>
      <c r="N1" s="660"/>
      <c r="O1" s="660"/>
      <c r="P1" s="660"/>
    </row>
    <row r="2" spans="1:18">
      <c r="A2" s="714"/>
      <c r="B2" s="2126" t="s">
        <v>6845</v>
      </c>
      <c r="C2" s="2127"/>
      <c r="D2" s="2127"/>
      <c r="E2" s="2127"/>
      <c r="F2" s="2127"/>
      <c r="G2" s="2127"/>
      <c r="H2" s="2127"/>
      <c r="I2" s="2127"/>
      <c r="J2" s="2127"/>
      <c r="K2" s="2127"/>
      <c r="L2" s="2127"/>
      <c r="M2" s="2127"/>
      <c r="N2" s="2127"/>
      <c r="O2" s="2128"/>
      <c r="P2" s="661"/>
      <c r="Q2" s="1406"/>
    </row>
    <row r="3" spans="1:18">
      <c r="A3" s="714"/>
      <c r="B3" s="662" t="s">
        <v>8013</v>
      </c>
      <c r="C3" s="663" t="s">
        <v>143</v>
      </c>
      <c r="D3" s="663" t="s">
        <v>26</v>
      </c>
      <c r="E3" s="663" t="s">
        <v>25</v>
      </c>
      <c r="F3" s="663" t="s">
        <v>24</v>
      </c>
      <c r="G3" s="663" t="s">
        <v>23</v>
      </c>
      <c r="H3" s="663" t="s">
        <v>22</v>
      </c>
      <c r="I3" s="663" t="s">
        <v>21</v>
      </c>
      <c r="J3" s="663" t="s">
        <v>20</v>
      </c>
      <c r="K3" s="663" t="s">
        <v>256</v>
      </c>
      <c r="L3" s="663" t="s">
        <v>18</v>
      </c>
      <c r="M3" s="663" t="s">
        <v>17</v>
      </c>
      <c r="N3" s="663" t="s">
        <v>86</v>
      </c>
      <c r="O3" s="664" t="s">
        <v>67</v>
      </c>
      <c r="P3" s="665"/>
      <c r="Q3" s="1406"/>
    </row>
    <row r="4" spans="1:18">
      <c r="A4" s="714"/>
      <c r="B4" s="666" t="s">
        <v>8014</v>
      </c>
      <c r="C4" s="578"/>
      <c r="D4" s="578"/>
      <c r="E4" s="578"/>
      <c r="F4" s="578"/>
      <c r="G4" s="578"/>
      <c r="H4" s="578"/>
      <c r="I4" s="578"/>
      <c r="J4" s="578"/>
      <c r="K4" s="667">
        <v>712</v>
      </c>
      <c r="L4" s="667">
        <v>589</v>
      </c>
      <c r="M4" s="667">
        <v>1011</v>
      </c>
      <c r="N4" s="667">
        <v>1234.5</v>
      </c>
      <c r="O4" s="668">
        <f t="shared" ref="O4:O10" si="0">SUM(C4:N4)</f>
        <v>3546.5</v>
      </c>
      <c r="P4" s="994"/>
      <c r="Q4" s="1406"/>
    </row>
    <row r="5" spans="1:18">
      <c r="A5" s="714"/>
      <c r="B5" s="666" t="s">
        <v>8015</v>
      </c>
      <c r="C5" s="578"/>
      <c r="D5" s="578"/>
      <c r="E5" s="578"/>
      <c r="F5" s="578"/>
      <c r="G5" s="578"/>
      <c r="H5" s="578"/>
      <c r="I5" s="578"/>
      <c r="J5" s="578"/>
      <c r="K5" s="578">
        <v>0</v>
      </c>
      <c r="L5" s="578">
        <v>387</v>
      </c>
      <c r="M5" s="578">
        <v>1254.25</v>
      </c>
      <c r="N5" s="578">
        <v>1531.75</v>
      </c>
      <c r="O5" s="668">
        <f t="shared" si="0"/>
        <v>3173</v>
      </c>
      <c r="P5" s="994"/>
      <c r="Q5" s="1406"/>
    </row>
    <row r="6" spans="1:18">
      <c r="A6" s="714"/>
      <c r="B6" s="666" t="s">
        <v>7908</v>
      </c>
      <c r="C6" s="578"/>
      <c r="D6" s="578"/>
      <c r="E6" s="578"/>
      <c r="F6" s="578"/>
      <c r="G6" s="578"/>
      <c r="H6" s="578"/>
      <c r="I6" s="578"/>
      <c r="J6" s="578"/>
      <c r="K6" s="578">
        <v>212</v>
      </c>
      <c r="L6" s="578">
        <v>172.75</v>
      </c>
      <c r="M6" s="578">
        <v>479.75</v>
      </c>
      <c r="N6" s="578">
        <v>343.25</v>
      </c>
      <c r="O6" s="668">
        <f t="shared" si="0"/>
        <v>1207.75</v>
      </c>
      <c r="P6" s="994"/>
      <c r="Q6" s="1406"/>
    </row>
    <row r="7" spans="1:18">
      <c r="A7" s="714"/>
      <c r="B7" s="666" t="s">
        <v>8016</v>
      </c>
      <c r="C7" s="578"/>
      <c r="D7" s="578"/>
      <c r="E7" s="578"/>
      <c r="F7" s="578"/>
      <c r="G7" s="578"/>
      <c r="H7" s="578"/>
      <c r="I7" s="578"/>
      <c r="J7" s="578"/>
      <c r="K7" s="578">
        <v>23.5</v>
      </c>
      <c r="L7" s="578">
        <v>54</v>
      </c>
      <c r="M7" s="578">
        <v>374.75</v>
      </c>
      <c r="N7" s="578">
        <v>488.25</v>
      </c>
      <c r="O7" s="668">
        <f t="shared" si="0"/>
        <v>940.5</v>
      </c>
      <c r="P7" s="994"/>
      <c r="Q7" s="1406"/>
    </row>
    <row r="8" spans="1:18">
      <c r="A8" s="714"/>
      <c r="B8" s="666" t="s">
        <v>8017</v>
      </c>
      <c r="C8" s="578"/>
      <c r="D8" s="578"/>
      <c r="E8" s="578"/>
      <c r="F8" s="578"/>
      <c r="G8" s="578"/>
      <c r="H8" s="578"/>
      <c r="I8" s="578"/>
      <c r="J8" s="578"/>
      <c r="K8" s="578">
        <v>385</v>
      </c>
      <c r="L8" s="578">
        <v>416.75</v>
      </c>
      <c r="M8" s="578">
        <v>471.25</v>
      </c>
      <c r="N8" s="578">
        <v>697.75</v>
      </c>
      <c r="O8" s="668">
        <f t="shared" si="0"/>
        <v>1970.75</v>
      </c>
      <c r="P8" s="994"/>
      <c r="Q8" s="1406"/>
    </row>
    <row r="9" spans="1:18">
      <c r="A9" s="714"/>
      <c r="B9" s="666" t="s">
        <v>7996</v>
      </c>
      <c r="C9" s="578"/>
      <c r="D9" s="578"/>
      <c r="E9" s="578"/>
      <c r="F9" s="578"/>
      <c r="G9" s="578"/>
      <c r="H9" s="578"/>
      <c r="I9" s="578"/>
      <c r="J9" s="578"/>
      <c r="K9" s="578"/>
      <c r="L9" s="578"/>
      <c r="M9" s="578">
        <v>1527.75</v>
      </c>
      <c r="N9" s="578">
        <v>1756</v>
      </c>
      <c r="O9" s="668">
        <f t="shared" si="0"/>
        <v>3283.75</v>
      </c>
      <c r="P9" s="994"/>
      <c r="Q9" s="1406"/>
    </row>
    <row r="10" spans="1:18">
      <c r="A10" s="714"/>
      <c r="B10" s="666"/>
      <c r="C10" s="578"/>
      <c r="D10" s="578"/>
      <c r="E10" s="578"/>
      <c r="F10" s="578"/>
      <c r="G10" s="578"/>
      <c r="H10" s="578"/>
      <c r="I10" s="578"/>
      <c r="J10" s="578"/>
      <c r="K10" s="578"/>
      <c r="L10" s="578"/>
      <c r="M10" s="578">
        <v>85</v>
      </c>
      <c r="N10" s="578">
        <v>98</v>
      </c>
      <c r="O10" s="668">
        <f t="shared" si="0"/>
        <v>183</v>
      </c>
      <c r="P10" s="994"/>
      <c r="Q10" s="1406"/>
      <c r="R10" s="82" t="s">
        <v>8018</v>
      </c>
    </row>
    <row r="11" spans="1:18">
      <c r="A11" s="714"/>
      <c r="B11" s="666" t="s">
        <v>6847</v>
      </c>
      <c r="C11" s="667">
        <f t="shared" ref="C11:N11" si="1">SUM(C4:C10)</f>
        <v>0</v>
      </c>
      <c r="D11" s="667">
        <f t="shared" si="1"/>
        <v>0</v>
      </c>
      <c r="E11" s="667">
        <f t="shared" si="1"/>
        <v>0</v>
      </c>
      <c r="F11" s="667">
        <f t="shared" si="1"/>
        <v>0</v>
      </c>
      <c r="G11" s="667">
        <f t="shared" si="1"/>
        <v>0</v>
      </c>
      <c r="H11" s="667">
        <f t="shared" si="1"/>
        <v>0</v>
      </c>
      <c r="I11" s="667">
        <f t="shared" si="1"/>
        <v>0</v>
      </c>
      <c r="J11" s="667">
        <f t="shared" si="1"/>
        <v>0</v>
      </c>
      <c r="K11" s="667">
        <f t="shared" si="1"/>
        <v>1332.5</v>
      </c>
      <c r="L11" s="667">
        <f t="shared" si="1"/>
        <v>1619.5</v>
      </c>
      <c r="M11" s="667">
        <f t="shared" si="1"/>
        <v>5203.75</v>
      </c>
      <c r="N11" s="667">
        <f t="shared" si="1"/>
        <v>6149.5</v>
      </c>
      <c r="O11" s="668">
        <f>SUM(C11:N11)</f>
        <v>14305.25</v>
      </c>
      <c r="P11" s="669"/>
      <c r="Q11" s="1406"/>
      <c r="R11" s="16">
        <f>14305-1970</f>
        <v>12335</v>
      </c>
    </row>
    <row r="12" spans="1:18">
      <c r="A12" s="714"/>
      <c r="B12" s="1342" t="s">
        <v>6389</v>
      </c>
      <c r="C12" s="1343" t="s">
        <v>135</v>
      </c>
      <c r="D12" s="1343" t="s">
        <v>135</v>
      </c>
      <c r="E12" s="1343" t="s">
        <v>135</v>
      </c>
      <c r="F12" s="1343" t="s">
        <v>135</v>
      </c>
      <c r="G12" s="1343" t="s">
        <v>135</v>
      </c>
      <c r="H12" s="1343" t="s">
        <v>135</v>
      </c>
      <c r="I12" s="1343" t="s">
        <v>135</v>
      </c>
      <c r="J12" s="1343" t="s">
        <v>135</v>
      </c>
      <c r="K12" s="1343"/>
      <c r="L12" s="1343"/>
      <c r="M12" s="1343"/>
      <c r="N12" s="1343"/>
      <c r="O12" s="1344">
        <f>SUM(C12:N12)</f>
        <v>0</v>
      </c>
      <c r="P12" s="672"/>
      <c r="Q12" s="1406"/>
    </row>
    <row r="13" spans="1:18">
      <c r="A13" s="714"/>
      <c r="B13" s="666" t="s">
        <v>4397</v>
      </c>
      <c r="C13" s="671"/>
      <c r="D13" s="671"/>
      <c r="E13" s="671"/>
      <c r="F13" s="671"/>
      <c r="G13" s="671"/>
      <c r="H13" s="671"/>
      <c r="I13" s="671"/>
      <c r="J13" s="671"/>
      <c r="K13" s="671"/>
      <c r="L13" s="671"/>
      <c r="M13" s="671"/>
      <c r="N13" s="671"/>
      <c r="O13" s="668"/>
      <c r="P13" s="672"/>
      <c r="Q13" s="1406"/>
    </row>
    <row r="14" spans="1:18">
      <c r="A14" s="714"/>
      <c r="B14" s="674" t="s">
        <v>1121</v>
      </c>
      <c r="C14" s="675"/>
      <c r="D14" s="675"/>
      <c r="E14" s="675"/>
      <c r="F14" s="675"/>
      <c r="G14" s="675"/>
      <c r="H14" s="675"/>
      <c r="I14" s="675"/>
      <c r="J14" s="675"/>
      <c r="K14" s="675">
        <f>700/30*10</f>
        <v>233.33333333333331</v>
      </c>
      <c r="L14" s="675">
        <v>700</v>
      </c>
      <c r="M14" s="675">
        <v>700</v>
      </c>
      <c r="N14" s="675">
        <v>700</v>
      </c>
      <c r="O14" s="677">
        <f t="shared" ref="O14:O24" si="2">SUM(C14:N14)</f>
        <v>2333.333333333333</v>
      </c>
      <c r="P14" s="672"/>
      <c r="Q14" s="1406"/>
    </row>
    <row r="15" spans="1:18">
      <c r="A15" s="714"/>
      <c r="B15" s="674" t="s">
        <v>6853</v>
      </c>
      <c r="C15" s="675"/>
      <c r="D15" s="675"/>
      <c r="E15" s="675"/>
      <c r="F15" s="675"/>
      <c r="G15" s="675"/>
      <c r="H15" s="675"/>
      <c r="I15" s="675"/>
      <c r="J15" s="675"/>
      <c r="K15" s="675"/>
      <c r="L15" s="675"/>
      <c r="M15" s="676"/>
      <c r="N15" s="675"/>
      <c r="O15" s="677">
        <f t="shared" si="2"/>
        <v>0</v>
      </c>
      <c r="P15" s="672"/>
      <c r="Q15" s="1406"/>
      <c r="R15" s="9" t="s">
        <v>135</v>
      </c>
    </row>
    <row r="16" spans="1:18">
      <c r="A16" s="714"/>
      <c r="B16" s="674" t="s">
        <v>6849</v>
      </c>
      <c r="C16" s="675"/>
      <c r="D16" s="675"/>
      <c r="E16" s="675"/>
      <c r="F16" s="675"/>
      <c r="G16" s="675"/>
      <c r="H16" s="675"/>
      <c r="I16" s="675"/>
      <c r="J16" s="675"/>
      <c r="K16" s="675">
        <v>240.89</v>
      </c>
      <c r="L16" s="675">
        <v>858.46</v>
      </c>
      <c r="M16" s="675">
        <v>677.51</v>
      </c>
      <c r="N16" s="675">
        <v>588.30999999999995</v>
      </c>
      <c r="O16" s="677">
        <f t="shared" si="2"/>
        <v>2365.17</v>
      </c>
      <c r="P16" s="681"/>
      <c r="R16" s="9" t="s">
        <v>135</v>
      </c>
    </row>
    <row r="17" spans="1:22">
      <c r="A17" s="714"/>
      <c r="B17" s="674" t="s">
        <v>6850</v>
      </c>
      <c r="C17" s="675"/>
      <c r="D17" s="675"/>
      <c r="E17" s="675"/>
      <c r="F17" s="675"/>
      <c r="G17" s="675"/>
      <c r="H17" s="675"/>
      <c r="I17" s="675"/>
      <c r="J17" s="675"/>
      <c r="K17" s="675">
        <v>41.34</v>
      </c>
      <c r="L17" s="675">
        <v>130.83000000000001</v>
      </c>
      <c r="M17" s="675">
        <v>123.96</v>
      </c>
      <c r="N17" s="675">
        <v>149.71</v>
      </c>
      <c r="O17" s="677">
        <f t="shared" si="2"/>
        <v>445.84000000000003</v>
      </c>
      <c r="P17" s="672"/>
      <c r="Q17" s="1406"/>
    </row>
    <row r="18" spans="1:22">
      <c r="A18" s="714"/>
      <c r="B18" s="1431" t="s">
        <v>6851</v>
      </c>
      <c r="C18" s="940"/>
      <c r="D18" s="940"/>
      <c r="E18" s="940"/>
      <c r="F18" s="940"/>
      <c r="G18" s="940"/>
      <c r="H18" s="940"/>
      <c r="I18" s="940"/>
      <c r="J18" s="940"/>
      <c r="K18" s="940"/>
      <c r="L18" s="940">
        <v>333.04</v>
      </c>
      <c r="M18" s="133">
        <v>371.19</v>
      </c>
      <c r="N18" s="940">
        <v>582</v>
      </c>
      <c r="O18" s="941">
        <f t="shared" si="2"/>
        <v>1286.23</v>
      </c>
      <c r="P18" s="672"/>
      <c r="Q18" s="1406"/>
    </row>
    <row r="19" spans="1:22">
      <c r="A19" s="714"/>
      <c r="B19" s="942" t="s">
        <v>6852</v>
      </c>
      <c r="C19" s="680"/>
      <c r="D19" s="680"/>
      <c r="E19" s="680"/>
      <c r="F19" s="680"/>
      <c r="G19" s="680"/>
      <c r="H19" s="680"/>
      <c r="I19" s="680"/>
      <c r="J19" s="680"/>
      <c r="K19" s="680">
        <v>74</v>
      </c>
      <c r="L19" s="680"/>
      <c r="M19" s="680"/>
      <c r="N19" s="680"/>
      <c r="O19" s="943">
        <f t="shared" si="2"/>
        <v>74</v>
      </c>
      <c r="P19" s="672"/>
      <c r="Q19" s="1406"/>
    </row>
    <row r="20" spans="1:22">
      <c r="A20" s="714"/>
      <c r="B20" s="674" t="s">
        <v>6855</v>
      </c>
      <c r="C20" s="675"/>
      <c r="D20" s="675"/>
      <c r="E20" s="675"/>
      <c r="F20" s="675"/>
      <c r="G20" s="675"/>
      <c r="H20" s="675"/>
      <c r="I20" s="675"/>
      <c r="J20" s="675"/>
      <c r="K20" s="675"/>
      <c r="L20" s="675"/>
      <c r="M20" s="675">
        <f>19.95+39.9</f>
        <v>59.849999999999994</v>
      </c>
      <c r="N20" s="675">
        <v>25</v>
      </c>
      <c r="O20" s="677">
        <f t="shared" si="2"/>
        <v>84.85</v>
      </c>
      <c r="P20" s="672"/>
      <c r="Q20" s="1406"/>
    </row>
    <row r="21" spans="1:22">
      <c r="A21" s="714"/>
      <c r="B21" s="674" t="s">
        <v>6856</v>
      </c>
      <c r="C21" s="675"/>
      <c r="D21" s="675"/>
      <c r="E21" s="675"/>
      <c r="F21" s="675"/>
      <c r="G21" s="675"/>
      <c r="H21" s="675"/>
      <c r="I21" s="675"/>
      <c r="J21" s="675"/>
      <c r="K21" s="675">
        <v>50</v>
      </c>
      <c r="L21" s="675">
        <f>50+50</f>
        <v>100</v>
      </c>
      <c r="M21" s="675">
        <v>200</v>
      </c>
      <c r="N21" s="675">
        <v>200</v>
      </c>
      <c r="O21" s="677">
        <f t="shared" si="2"/>
        <v>550</v>
      </c>
      <c r="P21" s="672"/>
      <c r="Q21" s="1406"/>
    </row>
    <row r="22" spans="1:22">
      <c r="A22" s="714"/>
      <c r="B22" s="674" t="s">
        <v>7952</v>
      </c>
      <c r="C22" s="687"/>
      <c r="D22" s="687"/>
      <c r="E22" s="687"/>
      <c r="F22" s="687"/>
      <c r="G22" s="687"/>
      <c r="H22" s="687"/>
      <c r="I22" s="687"/>
      <c r="J22" s="687"/>
      <c r="K22" s="944">
        <v>957</v>
      </c>
      <c r="L22" s="687"/>
      <c r="M22" s="687"/>
      <c r="N22" s="687"/>
      <c r="O22" s="677">
        <f t="shared" si="2"/>
        <v>957</v>
      </c>
      <c r="P22" s="672"/>
      <c r="Q22" s="1406"/>
    </row>
    <row r="23" spans="1:22">
      <c r="A23" s="714"/>
      <c r="B23" s="674" t="s">
        <v>6859</v>
      </c>
      <c r="C23" s="945"/>
      <c r="D23" s="945"/>
      <c r="E23" s="945"/>
      <c r="F23" s="945"/>
      <c r="G23" s="945"/>
      <c r="H23" s="945"/>
      <c r="I23" s="945"/>
      <c r="J23" s="945"/>
      <c r="K23" s="945">
        <f>60+71.05+69.51+215.46</f>
        <v>416.02</v>
      </c>
      <c r="L23" s="945">
        <f>597.83-75</f>
        <v>522.83000000000004</v>
      </c>
      <c r="M23" s="945">
        <f>172.68-19.95-39.9</f>
        <v>112.83000000000001</v>
      </c>
      <c r="N23" s="945">
        <v>100</v>
      </c>
      <c r="O23" s="668">
        <f t="shared" si="2"/>
        <v>1151.68</v>
      </c>
      <c r="P23" s="672"/>
      <c r="Q23" s="1406"/>
    </row>
    <row r="24" spans="1:22">
      <c r="A24" s="714"/>
      <c r="B24" s="666" t="s">
        <v>6323</v>
      </c>
      <c r="C24" s="677">
        <f t="shared" ref="C24:N24" si="3">SUM(C23)</f>
        <v>0</v>
      </c>
      <c r="D24" s="677">
        <f t="shared" si="3"/>
        <v>0</v>
      </c>
      <c r="E24" s="677">
        <f t="shared" si="3"/>
        <v>0</v>
      </c>
      <c r="F24" s="677">
        <f t="shared" si="3"/>
        <v>0</v>
      </c>
      <c r="G24" s="677">
        <f t="shared" si="3"/>
        <v>0</v>
      </c>
      <c r="H24" s="677">
        <f t="shared" si="3"/>
        <v>0</v>
      </c>
      <c r="I24" s="677">
        <f t="shared" si="3"/>
        <v>0</v>
      </c>
      <c r="J24" s="677">
        <f t="shared" si="3"/>
        <v>0</v>
      </c>
      <c r="K24" s="677">
        <f t="shared" si="3"/>
        <v>416.02</v>
      </c>
      <c r="L24" s="677">
        <f t="shared" si="3"/>
        <v>522.83000000000004</v>
      </c>
      <c r="M24" s="677">
        <f t="shared" si="3"/>
        <v>112.83000000000001</v>
      </c>
      <c r="N24" s="677">
        <f t="shared" si="3"/>
        <v>100</v>
      </c>
      <c r="O24" s="668">
        <f t="shared" si="2"/>
        <v>1151.68</v>
      </c>
      <c r="P24" s="669"/>
      <c r="Q24" s="1406"/>
    </row>
    <row r="25" spans="1:22">
      <c r="A25" s="714"/>
      <c r="B25" s="689" t="s">
        <v>1126</v>
      </c>
      <c r="C25" s="690">
        <f t="shared" ref="C25:O25" si="4">SUM(C14:C23)</f>
        <v>0</v>
      </c>
      <c r="D25" s="690">
        <f t="shared" si="4"/>
        <v>0</v>
      </c>
      <c r="E25" s="690">
        <f t="shared" si="4"/>
        <v>0</v>
      </c>
      <c r="F25" s="690">
        <f t="shared" si="4"/>
        <v>0</v>
      </c>
      <c r="G25" s="690">
        <f t="shared" si="4"/>
        <v>0</v>
      </c>
      <c r="H25" s="690">
        <f t="shared" si="4"/>
        <v>0</v>
      </c>
      <c r="I25" s="690">
        <f t="shared" si="4"/>
        <v>0</v>
      </c>
      <c r="J25" s="690">
        <f t="shared" si="4"/>
        <v>0</v>
      </c>
      <c r="K25" s="690">
        <f t="shared" si="4"/>
        <v>2012.5833333333333</v>
      </c>
      <c r="L25" s="690">
        <f t="shared" si="4"/>
        <v>2645.16</v>
      </c>
      <c r="M25" s="690">
        <f t="shared" si="4"/>
        <v>2245.34</v>
      </c>
      <c r="N25" s="690">
        <f t="shared" si="4"/>
        <v>2345.02</v>
      </c>
      <c r="O25" s="690">
        <f t="shared" si="4"/>
        <v>9248.1033333333344</v>
      </c>
      <c r="P25" s="691"/>
      <c r="Q25" s="1406"/>
    </row>
    <row r="26" spans="1:22">
      <c r="A26" s="715"/>
      <c r="B26" s="692" t="s">
        <v>791</v>
      </c>
      <c r="C26" s="946">
        <f t="shared" ref="C26:O26" si="5">C11-C25</f>
        <v>0</v>
      </c>
      <c r="D26" s="946">
        <f t="shared" si="5"/>
        <v>0</v>
      </c>
      <c r="E26" s="946">
        <f t="shared" si="5"/>
        <v>0</v>
      </c>
      <c r="F26" s="946">
        <f t="shared" si="5"/>
        <v>0</v>
      </c>
      <c r="G26" s="946">
        <f t="shared" si="5"/>
        <v>0</v>
      </c>
      <c r="H26" s="946">
        <f t="shared" si="5"/>
        <v>0</v>
      </c>
      <c r="I26" s="946">
        <f t="shared" si="5"/>
        <v>0</v>
      </c>
      <c r="J26" s="946">
        <f t="shared" si="5"/>
        <v>0</v>
      </c>
      <c r="K26" s="946">
        <f t="shared" si="5"/>
        <v>-680.08333333333326</v>
      </c>
      <c r="L26" s="693">
        <f t="shared" si="5"/>
        <v>-1025.6599999999999</v>
      </c>
      <c r="M26" s="693">
        <f t="shared" si="5"/>
        <v>2958.41</v>
      </c>
      <c r="N26" s="693">
        <f t="shared" si="5"/>
        <v>3804.48</v>
      </c>
      <c r="O26" s="693">
        <f t="shared" si="5"/>
        <v>5057.1466666666656</v>
      </c>
      <c r="P26" s="694"/>
    </row>
    <row r="27" spans="1:22">
      <c r="A27" s="947"/>
      <c r="B27" s="674" t="s">
        <v>6860</v>
      </c>
      <c r="C27" s="948"/>
      <c r="D27" s="948"/>
      <c r="E27" s="948"/>
      <c r="F27" s="948"/>
      <c r="G27" s="948"/>
      <c r="H27" s="948"/>
      <c r="I27" s="948"/>
      <c r="J27" s="948"/>
      <c r="K27" s="948">
        <f>20000+800+500+800</f>
        <v>22100</v>
      </c>
      <c r="L27" s="949">
        <v>0</v>
      </c>
      <c r="M27" s="950">
        <v>3300</v>
      </c>
      <c r="N27" s="951">
        <v>4000</v>
      </c>
      <c r="O27" s="952">
        <f>SUM(C27:N27)</f>
        <v>29400</v>
      </c>
      <c r="P27" s="953"/>
    </row>
    <row r="28" spans="1:22">
      <c r="A28" s="692"/>
      <c r="B28" s="709" t="s">
        <v>6861</v>
      </c>
      <c r="C28" s="954">
        <f t="shared" ref="C28:O28" si="6">C26-C27</f>
        <v>0</v>
      </c>
      <c r="D28" s="954">
        <f t="shared" si="6"/>
        <v>0</v>
      </c>
      <c r="E28" s="954">
        <f t="shared" si="6"/>
        <v>0</v>
      </c>
      <c r="F28" s="955">
        <f t="shared" si="6"/>
        <v>0</v>
      </c>
      <c r="G28" s="954">
        <f t="shared" si="6"/>
        <v>0</v>
      </c>
      <c r="H28" s="955">
        <f t="shared" si="6"/>
        <v>0</v>
      </c>
      <c r="I28" s="955">
        <f t="shared" si="6"/>
        <v>0</v>
      </c>
      <c r="J28" s="955">
        <f t="shared" si="6"/>
        <v>0</v>
      </c>
      <c r="K28" s="955">
        <f t="shared" si="6"/>
        <v>-22780.083333333332</v>
      </c>
      <c r="L28" s="956">
        <f t="shared" si="6"/>
        <v>-1025.6599999999999</v>
      </c>
      <c r="M28" s="956">
        <f t="shared" si="6"/>
        <v>-341.59000000000015</v>
      </c>
      <c r="N28" s="956">
        <f t="shared" si="6"/>
        <v>-195.51999999999998</v>
      </c>
      <c r="O28" s="956">
        <f t="shared" si="6"/>
        <v>-24342.853333333333</v>
      </c>
      <c r="P28" s="709"/>
    </row>
    <row r="29" spans="1:22">
      <c r="A29" s="660"/>
      <c r="B29" s="660"/>
      <c r="C29" s="660"/>
      <c r="D29" s="660"/>
      <c r="E29" s="660"/>
      <c r="F29" s="660"/>
      <c r="G29" s="660"/>
      <c r="H29" s="660"/>
      <c r="I29" s="660"/>
      <c r="J29" s="660"/>
      <c r="K29" s="660"/>
      <c r="L29" s="660"/>
      <c r="M29" s="660"/>
      <c r="N29" s="660"/>
      <c r="O29" s="660"/>
      <c r="P29" s="660"/>
    </row>
    <row r="30" spans="1:22">
      <c r="A30" s="712"/>
      <c r="B30" s="1345"/>
      <c r="C30" s="1345"/>
      <c r="D30" s="1345"/>
      <c r="E30" s="1345"/>
      <c r="F30" s="1345"/>
      <c r="G30" s="1345"/>
      <c r="H30" s="1345"/>
      <c r="I30" s="1345"/>
      <c r="J30" s="1345"/>
      <c r="K30" s="1345"/>
      <c r="L30" s="1345"/>
      <c r="M30" s="1345"/>
      <c r="N30" s="1345"/>
      <c r="O30" s="1345"/>
      <c r="P30" s="1345"/>
    </row>
    <row r="31" spans="1:22">
      <c r="A31" s="714"/>
      <c r="B31" s="2126" t="s">
        <v>7386</v>
      </c>
      <c r="C31" s="2127"/>
      <c r="D31" s="2127"/>
      <c r="E31" s="2127"/>
      <c r="F31" s="2127"/>
      <c r="G31" s="2127"/>
      <c r="H31" s="2127"/>
      <c r="I31" s="2127"/>
      <c r="J31" s="2127"/>
      <c r="K31" s="2127"/>
      <c r="L31" s="2127"/>
      <c r="M31" s="2127"/>
      <c r="N31" s="2127"/>
      <c r="O31" s="2128"/>
      <c r="P31" s="661"/>
      <c r="Q31" s="1408"/>
    </row>
    <row r="32" spans="1:22">
      <c r="A32" s="714"/>
      <c r="B32" s="662" t="s">
        <v>8013</v>
      </c>
      <c r="C32" s="663" t="s">
        <v>143</v>
      </c>
      <c r="D32" s="663" t="s">
        <v>26</v>
      </c>
      <c r="E32" s="663" t="s">
        <v>25</v>
      </c>
      <c r="F32" s="663" t="s">
        <v>24</v>
      </c>
      <c r="G32" s="663" t="s">
        <v>23</v>
      </c>
      <c r="H32" s="663" t="s">
        <v>22</v>
      </c>
      <c r="I32" s="663" t="s">
        <v>21</v>
      </c>
      <c r="J32" s="663" t="s">
        <v>20</v>
      </c>
      <c r="K32" s="663" t="s">
        <v>256</v>
      </c>
      <c r="L32" s="663" t="s">
        <v>18</v>
      </c>
      <c r="M32" s="663" t="s">
        <v>17</v>
      </c>
      <c r="N32" s="663" t="s">
        <v>86</v>
      </c>
      <c r="O32" s="664" t="s">
        <v>67</v>
      </c>
      <c r="P32" s="665"/>
      <c r="Q32" s="1409"/>
      <c r="R32" s="578"/>
      <c r="S32" s="578"/>
      <c r="T32" s="578"/>
      <c r="U32" s="578"/>
      <c r="V32" s="578"/>
    </row>
    <row r="33" spans="1:22">
      <c r="A33" s="714"/>
      <c r="B33" s="666" t="s">
        <v>4395</v>
      </c>
      <c r="C33" s="667">
        <v>780</v>
      </c>
      <c r="D33" s="667">
        <v>780</v>
      </c>
      <c r="E33" s="667">
        <v>780</v>
      </c>
      <c r="F33" s="667">
        <v>780</v>
      </c>
      <c r="G33" s="667">
        <v>0</v>
      </c>
      <c r="H33" s="667">
        <v>0</v>
      </c>
      <c r="I33" s="667">
        <v>0</v>
      </c>
      <c r="J33" s="667">
        <v>800</v>
      </c>
      <c r="K33" s="667">
        <v>800</v>
      </c>
      <c r="L33" s="667">
        <v>800</v>
      </c>
      <c r="M33" s="667">
        <v>800</v>
      </c>
      <c r="N33" s="667">
        <v>800</v>
      </c>
      <c r="O33" s="668">
        <f>SUM(C33:N33)</f>
        <v>7120</v>
      </c>
      <c r="P33" s="669"/>
      <c r="Q33" s="1410"/>
      <c r="R33" s="578"/>
      <c r="S33" s="578"/>
      <c r="T33" s="578"/>
      <c r="U33" s="578"/>
      <c r="V33" s="578"/>
    </row>
    <row r="34" spans="1:22">
      <c r="A34" s="714"/>
      <c r="B34" s="1342" t="s">
        <v>6389</v>
      </c>
      <c r="C34" s="1343" t="s">
        <v>135</v>
      </c>
      <c r="D34" s="1343" t="s">
        <v>135</v>
      </c>
      <c r="E34" s="1343" t="s">
        <v>135</v>
      </c>
      <c r="F34" s="1343" t="s">
        <v>135</v>
      </c>
      <c r="G34" s="1343" t="s">
        <v>135</v>
      </c>
      <c r="H34" s="1343" t="s">
        <v>135</v>
      </c>
      <c r="I34" s="1343" t="s">
        <v>135</v>
      </c>
      <c r="J34" s="1343" t="s">
        <v>135</v>
      </c>
      <c r="K34" s="1343"/>
      <c r="L34" s="1343"/>
      <c r="M34" s="1343"/>
      <c r="N34" s="1343"/>
      <c r="O34" s="1344">
        <f>SUM(C34:N34)</f>
        <v>0</v>
      </c>
      <c r="P34" s="672"/>
      <c r="Q34" s="1408"/>
    </row>
    <row r="35" spans="1:22">
      <c r="A35" s="714"/>
      <c r="B35" s="666" t="s">
        <v>4397</v>
      </c>
      <c r="C35" s="671"/>
      <c r="D35" s="671"/>
      <c r="E35" s="671"/>
      <c r="F35" s="671"/>
      <c r="G35" s="671"/>
      <c r="H35" s="671"/>
      <c r="I35" s="671"/>
      <c r="J35" s="671"/>
      <c r="K35" s="671"/>
      <c r="L35" s="671"/>
      <c r="M35" s="671"/>
      <c r="N35" s="671"/>
      <c r="O35" s="668"/>
      <c r="P35" s="672"/>
      <c r="Q35" s="1408"/>
    </row>
    <row r="36" spans="1:22">
      <c r="A36" s="714"/>
      <c r="B36" s="674" t="s">
        <v>5024</v>
      </c>
      <c r="C36" s="675">
        <v>146.88</v>
      </c>
      <c r="D36" s="675">
        <v>146.88</v>
      </c>
      <c r="E36" s="675">
        <v>146.88</v>
      </c>
      <c r="F36" s="675">
        <v>146.88</v>
      </c>
      <c r="G36" s="675">
        <v>146.88</v>
      </c>
      <c r="H36" s="675">
        <v>146.88</v>
      </c>
      <c r="I36" s="675">
        <v>146.88</v>
      </c>
      <c r="J36" s="675">
        <v>146.88</v>
      </c>
      <c r="K36" s="675">
        <v>146.88</v>
      </c>
      <c r="L36" s="675">
        <v>146.88</v>
      </c>
      <c r="M36" s="675">
        <v>146.88</v>
      </c>
      <c r="N36" s="675">
        <v>146.88</v>
      </c>
      <c r="O36" s="668">
        <f t="shared" ref="O36:O45" si="7">SUM(C36:N36)</f>
        <v>1762.5600000000004</v>
      </c>
      <c r="P36" s="672"/>
      <c r="Q36" s="1408"/>
    </row>
    <row r="37" spans="1:22">
      <c r="A37" s="714"/>
      <c r="B37" s="674" t="s">
        <v>4399</v>
      </c>
      <c r="C37" s="675" t="s">
        <v>135</v>
      </c>
      <c r="D37" s="675"/>
      <c r="E37" s="675" t="s">
        <v>135</v>
      </c>
      <c r="F37" s="675">
        <v>418.91</v>
      </c>
      <c r="G37" s="675" t="s">
        <v>135</v>
      </c>
      <c r="H37" s="675"/>
      <c r="I37" s="675"/>
      <c r="J37" s="675"/>
      <c r="K37" s="675"/>
      <c r="L37" s="675"/>
      <c r="M37" s="676">
        <v>418.91</v>
      </c>
      <c r="N37" s="675" t="s">
        <v>135</v>
      </c>
      <c r="O37" s="677">
        <f t="shared" si="7"/>
        <v>837.82</v>
      </c>
      <c r="P37" s="672"/>
      <c r="Q37" s="1408"/>
    </row>
    <row r="38" spans="1:22">
      <c r="A38" s="714"/>
      <c r="B38" s="674" t="s">
        <v>7031</v>
      </c>
      <c r="C38" s="675" t="s">
        <v>135</v>
      </c>
      <c r="D38" s="675"/>
      <c r="E38" s="675" t="s">
        <v>135</v>
      </c>
      <c r="F38" s="675"/>
      <c r="G38" s="675" t="s">
        <v>135</v>
      </c>
      <c r="H38" s="675" t="s">
        <v>135</v>
      </c>
      <c r="I38" s="675">
        <v>598.74</v>
      </c>
      <c r="J38" s="675">
        <f>289.9+39.71</f>
        <v>329.60999999999996</v>
      </c>
      <c r="K38" s="675">
        <v>39.71</v>
      </c>
      <c r="L38" s="675" t="s">
        <v>135</v>
      </c>
      <c r="M38" s="675"/>
      <c r="N38" s="675"/>
      <c r="O38" s="677">
        <f t="shared" si="7"/>
        <v>968.06</v>
      </c>
      <c r="P38" s="681"/>
      <c r="Q38" s="16"/>
    </row>
    <row r="39" spans="1:22">
      <c r="A39" s="714"/>
      <c r="B39" s="674" t="s">
        <v>7042</v>
      </c>
      <c r="C39" s="675" t="s">
        <v>135</v>
      </c>
      <c r="D39" s="675" t="s">
        <v>135</v>
      </c>
      <c r="E39" s="675" t="s">
        <v>135</v>
      </c>
      <c r="F39" s="675" t="s">
        <v>135</v>
      </c>
      <c r="G39" s="675" t="s">
        <v>135</v>
      </c>
      <c r="H39" s="675" t="s">
        <v>135</v>
      </c>
      <c r="I39" s="675" t="s">
        <v>135</v>
      </c>
      <c r="J39" s="675">
        <v>29.18</v>
      </c>
      <c r="K39" s="675">
        <v>333</v>
      </c>
      <c r="L39" s="675" t="s">
        <v>135</v>
      </c>
      <c r="M39" s="675" t="s">
        <v>135</v>
      </c>
      <c r="N39" s="675"/>
      <c r="O39" s="677">
        <f t="shared" si="7"/>
        <v>362.18</v>
      </c>
      <c r="P39" s="672"/>
      <c r="Q39" s="1408"/>
    </row>
    <row r="40" spans="1:22">
      <c r="A40" s="714"/>
      <c r="B40" s="674" t="s">
        <v>7019</v>
      </c>
      <c r="C40" s="675"/>
      <c r="D40" s="675"/>
      <c r="E40" s="675" t="s">
        <v>135</v>
      </c>
      <c r="F40" s="675"/>
      <c r="G40" s="675" t="s">
        <v>135</v>
      </c>
      <c r="H40" s="675"/>
      <c r="I40" s="675">
        <v>939</v>
      </c>
      <c r="J40" s="675">
        <v>9.9600000000000009</v>
      </c>
      <c r="K40" s="675"/>
      <c r="L40" s="675"/>
      <c r="M40" s="675"/>
      <c r="N40" s="675"/>
      <c r="O40" s="677">
        <f t="shared" si="7"/>
        <v>948.96</v>
      </c>
      <c r="P40" s="672"/>
      <c r="Q40" s="1408"/>
    </row>
    <row r="41" spans="1:22">
      <c r="A41" s="714"/>
      <c r="B41" s="674" t="s">
        <v>7033</v>
      </c>
      <c r="C41" s="675" t="s">
        <v>135</v>
      </c>
      <c r="D41" s="675" t="s">
        <v>135</v>
      </c>
      <c r="E41" s="675" t="s">
        <v>135</v>
      </c>
      <c r="F41" s="675" t="s">
        <v>135</v>
      </c>
      <c r="G41" s="675" t="s">
        <v>135</v>
      </c>
      <c r="H41" s="675" t="s">
        <v>135</v>
      </c>
      <c r="I41" s="675"/>
      <c r="J41" s="675"/>
      <c r="K41" s="675"/>
      <c r="L41" s="675"/>
      <c r="M41" s="675"/>
      <c r="N41" s="675"/>
      <c r="O41" s="677">
        <f t="shared" si="7"/>
        <v>0</v>
      </c>
      <c r="P41" s="672"/>
      <c r="Q41" s="1408"/>
    </row>
    <row r="42" spans="1:22">
      <c r="A42" s="714"/>
      <c r="B42" s="674" t="s">
        <v>7387</v>
      </c>
      <c r="C42" s="687" t="s">
        <v>135</v>
      </c>
      <c r="D42" s="687"/>
      <c r="E42" s="687" t="s">
        <v>135</v>
      </c>
      <c r="F42" s="687"/>
      <c r="G42" s="687"/>
      <c r="H42" s="687"/>
      <c r="I42" s="687"/>
      <c r="J42" s="687"/>
      <c r="K42" s="675" t="s">
        <v>135</v>
      </c>
      <c r="L42" s="687" t="s">
        <v>135</v>
      </c>
      <c r="M42" s="688">
        <v>430</v>
      </c>
      <c r="N42" s="687"/>
      <c r="O42" s="677">
        <f t="shared" si="7"/>
        <v>430</v>
      </c>
      <c r="P42" s="672"/>
      <c r="Q42" s="1408"/>
    </row>
    <row r="43" spans="1:22">
      <c r="A43" s="714"/>
      <c r="B43" s="674" t="s">
        <v>6860</v>
      </c>
      <c r="C43" s="945" t="s">
        <v>135</v>
      </c>
      <c r="D43" s="945" t="s">
        <v>135</v>
      </c>
      <c r="E43" s="945" t="s">
        <v>135</v>
      </c>
      <c r="F43" s="945" t="s">
        <v>135</v>
      </c>
      <c r="G43" s="945" t="s">
        <v>135</v>
      </c>
      <c r="H43" s="945" t="s">
        <v>135</v>
      </c>
      <c r="I43" s="945" t="s">
        <v>135</v>
      </c>
      <c r="J43" s="945" t="s">
        <v>135</v>
      </c>
      <c r="K43" s="675" t="s">
        <v>135</v>
      </c>
      <c r="L43" s="945" t="s">
        <v>135</v>
      </c>
      <c r="M43" s="945" t="s">
        <v>135</v>
      </c>
      <c r="N43" s="945" t="s">
        <v>135</v>
      </c>
      <c r="O43" s="668">
        <f t="shared" si="7"/>
        <v>0</v>
      </c>
      <c r="P43" s="672"/>
      <c r="Q43" s="1408"/>
    </row>
    <row r="44" spans="1:22">
      <c r="A44" s="714"/>
      <c r="B44" s="674" t="s">
        <v>7035</v>
      </c>
      <c r="C44" s="675"/>
      <c r="D44" s="675"/>
      <c r="E44" s="675" t="s">
        <v>135</v>
      </c>
      <c r="F44" s="675"/>
      <c r="G44" s="675" t="s">
        <v>135</v>
      </c>
      <c r="H44" s="675">
        <f>12+25</f>
        <v>37</v>
      </c>
      <c r="I44" s="675">
        <f>4+9.65+89.99+110+18.91</f>
        <v>232.54999999999998</v>
      </c>
      <c r="J44" s="675">
        <v>350</v>
      </c>
      <c r="K44" s="675"/>
      <c r="L44" s="675"/>
      <c r="M44" s="675"/>
      <c r="N44" s="675"/>
      <c r="O44" s="668">
        <f t="shared" si="7"/>
        <v>619.54999999999995</v>
      </c>
      <c r="P44" s="672"/>
      <c r="Q44" s="1408"/>
    </row>
    <row r="45" spans="1:22">
      <c r="A45" s="714"/>
      <c r="B45" s="666" t="s">
        <v>6323</v>
      </c>
      <c r="C45" s="677">
        <f t="shared" ref="C45:N45" si="8">SUM(C43:C44)</f>
        <v>0</v>
      </c>
      <c r="D45" s="677">
        <f t="shared" si="8"/>
        <v>0</v>
      </c>
      <c r="E45" s="677">
        <f t="shared" si="8"/>
        <v>0</v>
      </c>
      <c r="F45" s="677">
        <f t="shared" si="8"/>
        <v>0</v>
      </c>
      <c r="G45" s="677">
        <f t="shared" si="8"/>
        <v>0</v>
      </c>
      <c r="H45" s="677">
        <f t="shared" si="8"/>
        <v>37</v>
      </c>
      <c r="I45" s="677">
        <f t="shared" si="8"/>
        <v>232.54999999999998</v>
      </c>
      <c r="J45" s="677">
        <f t="shared" si="8"/>
        <v>350</v>
      </c>
      <c r="K45" s="677">
        <f t="shared" si="8"/>
        <v>0</v>
      </c>
      <c r="L45" s="677">
        <f t="shared" si="8"/>
        <v>0</v>
      </c>
      <c r="M45" s="677">
        <f t="shared" si="8"/>
        <v>0</v>
      </c>
      <c r="N45" s="677">
        <f t="shared" si="8"/>
        <v>0</v>
      </c>
      <c r="O45" s="668">
        <f t="shared" si="7"/>
        <v>619.54999999999995</v>
      </c>
      <c r="P45" s="669"/>
      <c r="Q45" s="1410"/>
      <c r="R45" s="578"/>
      <c r="S45" s="578"/>
      <c r="T45" s="578"/>
      <c r="U45" s="578"/>
      <c r="V45" s="578"/>
    </row>
    <row r="46" spans="1:22">
      <c r="A46" s="714"/>
      <c r="B46" s="689" t="s">
        <v>1126</v>
      </c>
      <c r="C46" s="690">
        <f t="shared" ref="C46:O46" si="9">SUM(C36:C44)</f>
        <v>146.88</v>
      </c>
      <c r="D46" s="690">
        <f t="shared" si="9"/>
        <v>146.88</v>
      </c>
      <c r="E46" s="690">
        <f t="shared" si="9"/>
        <v>146.88</v>
      </c>
      <c r="F46" s="690">
        <f t="shared" si="9"/>
        <v>565.79</v>
      </c>
      <c r="G46" s="690">
        <f t="shared" si="9"/>
        <v>146.88</v>
      </c>
      <c r="H46" s="690">
        <f t="shared" si="9"/>
        <v>183.88</v>
      </c>
      <c r="I46" s="690">
        <f t="shared" si="9"/>
        <v>1917.1699999999998</v>
      </c>
      <c r="J46" s="690">
        <f t="shared" si="9"/>
        <v>865.63</v>
      </c>
      <c r="K46" s="690">
        <f t="shared" si="9"/>
        <v>519.59</v>
      </c>
      <c r="L46" s="690">
        <f t="shared" si="9"/>
        <v>146.88</v>
      </c>
      <c r="M46" s="690">
        <f t="shared" si="9"/>
        <v>995.79</v>
      </c>
      <c r="N46" s="690">
        <f t="shared" si="9"/>
        <v>146.88</v>
      </c>
      <c r="O46" s="690">
        <f t="shared" si="9"/>
        <v>5929.13</v>
      </c>
      <c r="P46" s="691"/>
      <c r="Q46" s="1411"/>
      <c r="R46" s="1412"/>
      <c r="S46" s="1412"/>
      <c r="T46" s="1412"/>
      <c r="U46" s="1412"/>
      <c r="V46" s="1412"/>
    </row>
    <row r="47" spans="1:22">
      <c r="A47" s="715"/>
      <c r="B47" s="692" t="s">
        <v>791</v>
      </c>
      <c r="C47" s="693">
        <f t="shared" ref="C47:O47" si="10">C33-C46</f>
        <v>633.12</v>
      </c>
      <c r="D47" s="693">
        <f t="shared" si="10"/>
        <v>633.12</v>
      </c>
      <c r="E47" s="693">
        <f t="shared" si="10"/>
        <v>633.12</v>
      </c>
      <c r="F47" s="693">
        <f t="shared" si="10"/>
        <v>214.21000000000004</v>
      </c>
      <c r="G47" s="693">
        <f t="shared" si="10"/>
        <v>-146.88</v>
      </c>
      <c r="H47" s="693">
        <f t="shared" si="10"/>
        <v>-183.88</v>
      </c>
      <c r="I47" s="693">
        <f t="shared" si="10"/>
        <v>-1917.1699999999998</v>
      </c>
      <c r="J47" s="693">
        <f t="shared" si="10"/>
        <v>-65.63</v>
      </c>
      <c r="K47" s="693">
        <f t="shared" si="10"/>
        <v>280.40999999999997</v>
      </c>
      <c r="L47" s="693">
        <f t="shared" si="10"/>
        <v>653.12</v>
      </c>
      <c r="M47" s="693">
        <f t="shared" si="10"/>
        <v>-195.78999999999996</v>
      </c>
      <c r="N47" s="693">
        <f t="shared" si="10"/>
        <v>653.12</v>
      </c>
      <c r="O47" s="693">
        <f t="shared" si="10"/>
        <v>1190.8699999999999</v>
      </c>
      <c r="P47" s="694"/>
      <c r="Q47" s="16">
        <f>O47/12</f>
        <v>99.239166666666662</v>
      </c>
      <c r="R47" s="9" t="s">
        <v>6477</v>
      </c>
    </row>
    <row r="48" spans="1:22">
      <c r="A48" s="947"/>
      <c r="B48" s="950" t="s">
        <v>7036</v>
      </c>
      <c r="C48" s="950">
        <v>0</v>
      </c>
      <c r="D48" s="950">
        <v>0</v>
      </c>
      <c r="E48" s="950">
        <v>0</v>
      </c>
      <c r="F48" s="950">
        <v>0</v>
      </c>
      <c r="G48" s="950">
        <v>0</v>
      </c>
      <c r="H48" s="950">
        <v>0</v>
      </c>
      <c r="I48" s="950">
        <v>0</v>
      </c>
      <c r="J48" s="950">
        <v>0</v>
      </c>
      <c r="K48" s="950">
        <v>0</v>
      </c>
      <c r="L48" s="950">
        <v>0</v>
      </c>
      <c r="M48" s="950">
        <v>0</v>
      </c>
      <c r="N48" s="951">
        <v>0</v>
      </c>
      <c r="O48" s="952">
        <f>SUM(C48:N48)</f>
        <v>0</v>
      </c>
      <c r="P48" s="953"/>
      <c r="Q48" s="16"/>
    </row>
    <row r="49" spans="1:22">
      <c r="A49" s="692"/>
      <c r="B49" s="692" t="s">
        <v>6861</v>
      </c>
      <c r="C49" s="996">
        <f t="shared" ref="C49:O49" si="11">C47-C48</f>
        <v>633.12</v>
      </c>
      <c r="D49" s="996">
        <f t="shared" si="11"/>
        <v>633.12</v>
      </c>
      <c r="E49" s="996">
        <f t="shared" si="11"/>
        <v>633.12</v>
      </c>
      <c r="F49" s="956">
        <f t="shared" si="11"/>
        <v>214.21000000000004</v>
      </c>
      <c r="G49" s="996">
        <f t="shared" si="11"/>
        <v>-146.88</v>
      </c>
      <c r="H49" s="956">
        <f t="shared" si="11"/>
        <v>-183.88</v>
      </c>
      <c r="I49" s="956">
        <f t="shared" si="11"/>
        <v>-1917.1699999999998</v>
      </c>
      <c r="J49" s="956">
        <f t="shared" si="11"/>
        <v>-65.63</v>
      </c>
      <c r="K49" s="956">
        <f t="shared" si="11"/>
        <v>280.40999999999997</v>
      </c>
      <c r="L49" s="956">
        <f t="shared" si="11"/>
        <v>653.12</v>
      </c>
      <c r="M49" s="956">
        <f t="shared" si="11"/>
        <v>-195.78999999999996</v>
      </c>
      <c r="N49" s="956">
        <f t="shared" si="11"/>
        <v>653.12</v>
      </c>
      <c r="O49" s="956">
        <f t="shared" si="11"/>
        <v>1190.8699999999999</v>
      </c>
      <c r="P49" s="709"/>
      <c r="Q49" s="16"/>
    </row>
    <row r="50" spans="1:22">
      <c r="B50" s="2130" t="s">
        <v>8019</v>
      </c>
      <c r="C50" s="2087"/>
      <c r="D50" s="2087"/>
      <c r="E50" s="2087"/>
      <c r="F50" s="2087"/>
      <c r="G50" s="2087"/>
      <c r="H50" s="2087"/>
      <c r="I50" s="2087"/>
      <c r="J50" s="2087"/>
      <c r="K50" s="2087"/>
      <c r="L50" s="2087"/>
      <c r="M50" s="2087"/>
      <c r="N50" s="2087"/>
      <c r="O50" s="2087"/>
      <c r="Q50" s="16"/>
    </row>
    <row r="51" spans="1:22">
      <c r="B51" s="660"/>
      <c r="C51" s="660"/>
      <c r="D51" s="660"/>
      <c r="E51" s="660"/>
      <c r="F51" s="660"/>
      <c r="G51" s="660"/>
      <c r="H51" s="660"/>
      <c r="I51" s="660"/>
      <c r="J51" s="660"/>
      <c r="K51" s="660"/>
      <c r="L51" s="660"/>
      <c r="M51" s="660"/>
      <c r="N51" s="660"/>
      <c r="O51" s="660"/>
      <c r="P51" s="660"/>
      <c r="Q51" s="16"/>
    </row>
    <row r="52" spans="1:22">
      <c r="A52" s="714"/>
      <c r="B52" s="2126" t="s">
        <v>7026</v>
      </c>
      <c r="C52" s="2127"/>
      <c r="D52" s="2127"/>
      <c r="E52" s="2127"/>
      <c r="F52" s="2127"/>
      <c r="G52" s="2127"/>
      <c r="H52" s="2127"/>
      <c r="I52" s="2127"/>
      <c r="J52" s="2127"/>
      <c r="K52" s="2127"/>
      <c r="L52" s="2127"/>
      <c r="M52" s="2127"/>
      <c r="N52" s="2127"/>
      <c r="O52" s="2128"/>
      <c r="P52" s="661"/>
      <c r="Q52" s="1408"/>
    </row>
    <row r="53" spans="1:22">
      <c r="A53" s="714"/>
      <c r="B53" s="662" t="s">
        <v>8013</v>
      </c>
      <c r="C53" s="663" t="s">
        <v>143</v>
      </c>
      <c r="D53" s="663" t="s">
        <v>26</v>
      </c>
      <c r="E53" s="663" t="s">
        <v>25</v>
      </c>
      <c r="F53" s="663" t="s">
        <v>24</v>
      </c>
      <c r="G53" s="663" t="s">
        <v>23</v>
      </c>
      <c r="H53" s="663" t="s">
        <v>22</v>
      </c>
      <c r="I53" s="663" t="s">
        <v>21</v>
      </c>
      <c r="J53" s="663" t="s">
        <v>20</v>
      </c>
      <c r="K53" s="663" t="s">
        <v>256</v>
      </c>
      <c r="L53" s="663" t="s">
        <v>18</v>
      </c>
      <c r="M53" s="663" t="s">
        <v>17</v>
      </c>
      <c r="N53" s="663" t="s">
        <v>86</v>
      </c>
      <c r="O53" s="664" t="s">
        <v>67</v>
      </c>
      <c r="P53" s="665"/>
      <c r="Q53" s="1409"/>
      <c r="R53" s="578"/>
      <c r="S53" s="578"/>
      <c r="T53" s="578"/>
      <c r="U53" s="578"/>
      <c r="V53" s="578"/>
    </row>
    <row r="54" spans="1:22">
      <c r="A54" s="994"/>
      <c r="B54" s="666" t="s">
        <v>7027</v>
      </c>
      <c r="C54" s="12">
        <v>675</v>
      </c>
      <c r="D54" s="12">
        <v>675</v>
      </c>
      <c r="E54" s="12">
        <v>675</v>
      </c>
      <c r="F54" s="12">
        <v>675</v>
      </c>
      <c r="G54" s="12">
        <v>675</v>
      </c>
      <c r="H54" s="12">
        <v>675</v>
      </c>
      <c r="I54" s="12">
        <f>675-285</f>
        <v>390</v>
      </c>
      <c r="J54" s="12">
        <v>0</v>
      </c>
      <c r="K54" s="12">
        <v>350</v>
      </c>
      <c r="L54" s="12">
        <v>500</v>
      </c>
      <c r="M54" s="12">
        <v>500</v>
      </c>
      <c r="N54" s="12">
        <v>500</v>
      </c>
      <c r="O54" s="668">
        <f>SUM(C54:N54)</f>
        <v>6290</v>
      </c>
      <c r="P54" s="669"/>
      <c r="Q54" s="1410"/>
      <c r="R54" s="578"/>
      <c r="S54" s="578"/>
      <c r="T54" s="578"/>
      <c r="U54" s="578"/>
      <c r="V54" s="578"/>
    </row>
    <row r="55" spans="1:22">
      <c r="A55" s="714"/>
      <c r="B55" s="666" t="s">
        <v>7028</v>
      </c>
      <c r="C55" s="12">
        <v>170</v>
      </c>
      <c r="D55" s="12">
        <v>170</v>
      </c>
      <c r="E55" s="12">
        <v>170</v>
      </c>
      <c r="F55" s="12">
        <v>170</v>
      </c>
      <c r="G55" s="12">
        <v>170</v>
      </c>
      <c r="H55" s="12">
        <v>170</v>
      </c>
      <c r="I55" s="12">
        <v>170</v>
      </c>
      <c r="J55" s="12">
        <v>0</v>
      </c>
      <c r="K55" s="12">
        <v>100</v>
      </c>
      <c r="L55" s="12">
        <v>150</v>
      </c>
      <c r="M55" s="12">
        <v>150</v>
      </c>
      <c r="N55" s="12">
        <v>150</v>
      </c>
      <c r="O55" s="668">
        <f>SUM(C55:N55)</f>
        <v>1740</v>
      </c>
      <c r="P55" s="672"/>
      <c r="Q55" s="1408"/>
    </row>
    <row r="56" spans="1:22">
      <c r="A56" s="714"/>
      <c r="B56" s="666" t="s">
        <v>7029</v>
      </c>
      <c r="C56" s="12">
        <v>475</v>
      </c>
      <c r="D56" s="12">
        <v>475</v>
      </c>
      <c r="E56" s="12">
        <v>475</v>
      </c>
      <c r="F56" s="12">
        <v>475</v>
      </c>
      <c r="G56" s="12">
        <v>475</v>
      </c>
      <c r="H56" s="12">
        <v>400</v>
      </c>
      <c r="I56" s="12">
        <v>500</v>
      </c>
      <c r="J56" s="12">
        <v>500</v>
      </c>
      <c r="K56" s="12">
        <v>250</v>
      </c>
      <c r="L56" s="12">
        <v>700</v>
      </c>
      <c r="M56" s="12">
        <v>700</v>
      </c>
      <c r="N56" s="12">
        <v>700</v>
      </c>
      <c r="O56" s="668">
        <f>SUM(C56:N56)</f>
        <v>6125</v>
      </c>
      <c r="P56" s="672"/>
      <c r="Q56" s="1408"/>
    </row>
    <row r="57" spans="1:22">
      <c r="A57" s="714"/>
      <c r="B57" s="666" t="s">
        <v>7030</v>
      </c>
      <c r="C57" s="12">
        <v>100</v>
      </c>
      <c r="D57" s="12">
        <v>100</v>
      </c>
      <c r="E57" s="12">
        <v>100</v>
      </c>
      <c r="F57" s="12">
        <v>100</v>
      </c>
      <c r="G57" s="12">
        <v>100</v>
      </c>
      <c r="H57" s="12">
        <v>100</v>
      </c>
      <c r="I57" s="12">
        <v>150</v>
      </c>
      <c r="J57" s="12">
        <v>150</v>
      </c>
      <c r="K57" s="12">
        <v>150</v>
      </c>
      <c r="L57" s="12">
        <v>200</v>
      </c>
      <c r="M57" s="12">
        <v>200</v>
      </c>
      <c r="N57" s="12">
        <v>200</v>
      </c>
      <c r="O57" s="668">
        <f>SUM(C57:N57)</f>
        <v>1650</v>
      </c>
      <c r="P57" s="672"/>
      <c r="Q57" s="1408"/>
    </row>
    <row r="58" spans="1:22">
      <c r="A58" s="714"/>
      <c r="B58" s="666" t="s">
        <v>6847</v>
      </c>
      <c r="C58" s="667">
        <f t="shared" ref="C58:O58" si="12">SUM(C54:C57)</f>
        <v>1420</v>
      </c>
      <c r="D58" s="667">
        <f t="shared" si="12"/>
        <v>1420</v>
      </c>
      <c r="E58" s="667">
        <f t="shared" si="12"/>
        <v>1420</v>
      </c>
      <c r="F58" s="667">
        <f t="shared" si="12"/>
        <v>1420</v>
      </c>
      <c r="G58" s="667">
        <f t="shared" si="12"/>
        <v>1420</v>
      </c>
      <c r="H58" s="667">
        <f t="shared" si="12"/>
        <v>1345</v>
      </c>
      <c r="I58" s="667">
        <f t="shared" si="12"/>
        <v>1210</v>
      </c>
      <c r="J58" s="667">
        <f t="shared" si="12"/>
        <v>650</v>
      </c>
      <c r="K58" s="667">
        <f t="shared" si="12"/>
        <v>850</v>
      </c>
      <c r="L58" s="667">
        <f t="shared" si="12"/>
        <v>1550</v>
      </c>
      <c r="M58" s="667">
        <f t="shared" si="12"/>
        <v>1550</v>
      </c>
      <c r="N58" s="667">
        <f t="shared" si="12"/>
        <v>1550</v>
      </c>
      <c r="O58" s="667">
        <f t="shared" si="12"/>
        <v>15805</v>
      </c>
      <c r="P58" s="672"/>
      <c r="Q58" s="1408"/>
    </row>
    <row r="59" spans="1:22">
      <c r="A59" s="714"/>
      <c r="B59" s="1342" t="s">
        <v>6389</v>
      </c>
      <c r="C59" s="1343" t="s">
        <v>135</v>
      </c>
      <c r="D59" s="1343">
        <v>0</v>
      </c>
      <c r="E59" s="1343">
        <v>0</v>
      </c>
      <c r="F59" s="1343">
        <v>0</v>
      </c>
      <c r="G59" s="1343" t="s">
        <v>135</v>
      </c>
      <c r="H59" s="1343" t="s">
        <v>135</v>
      </c>
      <c r="I59" s="1343" t="s">
        <v>135</v>
      </c>
      <c r="J59" s="1343" t="s">
        <v>135</v>
      </c>
      <c r="K59" s="1343"/>
      <c r="L59" s="1343"/>
      <c r="M59" s="1343"/>
      <c r="N59" s="1343"/>
      <c r="O59" s="1344">
        <f>SUM(C59:N59)</f>
        <v>0</v>
      </c>
      <c r="P59" s="672"/>
      <c r="Q59" s="1408"/>
    </row>
    <row r="60" spans="1:22">
      <c r="A60" s="714"/>
      <c r="B60" s="666" t="s">
        <v>4397</v>
      </c>
      <c r="C60" s="671"/>
      <c r="D60" s="671"/>
      <c r="E60" s="671"/>
      <c r="F60" s="671"/>
      <c r="G60" s="671"/>
      <c r="H60" s="671"/>
      <c r="I60" s="671"/>
      <c r="J60" s="671"/>
      <c r="K60" s="671"/>
      <c r="L60" s="671"/>
      <c r="M60" s="671"/>
      <c r="N60" s="671"/>
      <c r="O60" s="668"/>
      <c r="P60" s="672"/>
      <c r="Q60" s="1408"/>
    </row>
    <row r="61" spans="1:22">
      <c r="A61" s="714"/>
      <c r="B61" s="674" t="s">
        <v>5024</v>
      </c>
      <c r="C61" s="675">
        <v>262</v>
      </c>
      <c r="D61" s="675">
        <v>262</v>
      </c>
      <c r="E61" s="675">
        <v>262</v>
      </c>
      <c r="F61" s="675">
        <v>262</v>
      </c>
      <c r="G61" s="675">
        <v>262</v>
      </c>
      <c r="H61" s="675">
        <v>262</v>
      </c>
      <c r="I61" s="1413">
        <v>0</v>
      </c>
      <c r="J61" s="1413">
        <v>0</v>
      </c>
      <c r="K61" s="1413">
        <v>0</v>
      </c>
      <c r="L61" s="1413">
        <v>0</v>
      </c>
      <c r="M61" s="1413">
        <v>0</v>
      </c>
      <c r="N61" s="1413">
        <v>0</v>
      </c>
      <c r="O61" s="668">
        <f t="shared" ref="O61:O70" si="13">SUM(C61:N61)</f>
        <v>1572</v>
      </c>
      <c r="P61" s="672"/>
      <c r="Q61" s="1408"/>
    </row>
    <row r="62" spans="1:22">
      <c r="A62" s="714"/>
      <c r="B62" s="674" t="s">
        <v>4399</v>
      </c>
      <c r="C62" s="675" t="s">
        <v>135</v>
      </c>
      <c r="D62" s="675"/>
      <c r="E62" s="675"/>
      <c r="F62" s="675">
        <v>653.11</v>
      </c>
      <c r="G62" s="675"/>
      <c r="H62" s="675"/>
      <c r="I62" s="675"/>
      <c r="J62" s="675"/>
      <c r="K62" s="675"/>
      <c r="L62" s="675"/>
      <c r="M62" s="676">
        <v>653.11</v>
      </c>
      <c r="N62" s="675"/>
      <c r="O62" s="677">
        <f t="shared" si="13"/>
        <v>1306.22</v>
      </c>
      <c r="P62" s="672"/>
      <c r="Q62" s="1408" t="s">
        <v>135</v>
      </c>
    </row>
    <row r="63" spans="1:22">
      <c r="A63" s="714"/>
      <c r="B63" s="674" t="s">
        <v>7031</v>
      </c>
      <c r="C63" s="675">
        <v>118.02</v>
      </c>
      <c r="D63" s="675">
        <v>115.9</v>
      </c>
      <c r="E63" s="675">
        <v>128.18</v>
      </c>
      <c r="F63" s="675">
        <v>97.68</v>
      </c>
      <c r="G63" s="675">
        <v>188.6</v>
      </c>
      <c r="H63" s="675">
        <v>148.44999999999999</v>
      </c>
      <c r="I63" s="675">
        <v>157.16</v>
      </c>
      <c r="J63" s="675">
        <v>207.54</v>
      </c>
      <c r="K63" s="675">
        <v>287.10000000000002</v>
      </c>
      <c r="L63" s="675">
        <v>166.15</v>
      </c>
      <c r="M63" s="675">
        <v>180.6</v>
      </c>
      <c r="N63" s="675">
        <v>184.39</v>
      </c>
      <c r="O63" s="677">
        <f t="shared" si="13"/>
        <v>1979.77</v>
      </c>
      <c r="P63" s="672"/>
      <c r="Q63" s="1408">
        <f>AVERAGE(C63:J63)</f>
        <v>145.19125</v>
      </c>
      <c r="R63" s="9" t="s">
        <v>659</v>
      </c>
    </row>
    <row r="64" spans="1:22">
      <c r="A64" s="714"/>
      <c r="B64" s="674" t="s">
        <v>6850</v>
      </c>
      <c r="C64" s="675">
        <v>303.63</v>
      </c>
      <c r="D64" s="675">
        <v>211.35</v>
      </c>
      <c r="E64" s="675">
        <v>290.60000000000002</v>
      </c>
      <c r="F64" s="675">
        <v>184.39</v>
      </c>
      <c r="G64" s="675">
        <v>182.21</v>
      </c>
      <c r="H64" s="675">
        <v>164.41</v>
      </c>
      <c r="I64" s="675">
        <v>129.81</v>
      </c>
      <c r="J64" s="675">
        <v>230.13</v>
      </c>
      <c r="K64" s="675">
        <v>342.67</v>
      </c>
      <c r="L64" s="675">
        <v>166.46</v>
      </c>
      <c r="M64" s="675">
        <v>435.03</v>
      </c>
      <c r="N64" s="675">
        <v>197.67</v>
      </c>
      <c r="O64" s="677">
        <f t="shared" si="13"/>
        <v>2838.3600000000006</v>
      </c>
      <c r="P64" s="672"/>
      <c r="Q64" s="1408">
        <f>AVERAGE(C64:J64)</f>
        <v>212.06625000000003</v>
      </c>
      <c r="R64" s="9" t="s">
        <v>659</v>
      </c>
    </row>
    <row r="65" spans="1:22">
      <c r="A65" s="714"/>
      <c r="B65" s="674" t="s">
        <v>7032</v>
      </c>
      <c r="C65" s="675"/>
      <c r="D65" s="675"/>
      <c r="E65" s="675"/>
      <c r="F65" s="675"/>
      <c r="G65" s="675"/>
      <c r="H65" s="675"/>
      <c r="I65" s="675"/>
      <c r="J65" s="675">
        <v>191</v>
      </c>
      <c r="K65" s="675">
        <v>800</v>
      </c>
      <c r="L65" s="675"/>
      <c r="M65" s="675"/>
      <c r="N65" s="675"/>
      <c r="O65" s="677">
        <f t="shared" si="13"/>
        <v>991</v>
      </c>
      <c r="P65" s="672"/>
      <c r="Q65" s="1408">
        <f>Q63+Q64</f>
        <v>357.25750000000005</v>
      </c>
    </row>
    <row r="66" spans="1:22">
      <c r="A66" s="714"/>
      <c r="B66" s="674" t="s">
        <v>7033</v>
      </c>
      <c r="C66" s="675"/>
      <c r="D66" s="675"/>
      <c r="E66" s="675"/>
      <c r="F66" s="675"/>
      <c r="G66" s="675"/>
      <c r="H66" s="675"/>
      <c r="I66" s="675"/>
      <c r="J66" s="675"/>
      <c r="K66" s="675"/>
      <c r="L66" s="675"/>
      <c r="M66" s="675"/>
      <c r="N66" s="675"/>
      <c r="O66" s="677">
        <f t="shared" si="13"/>
        <v>0</v>
      </c>
      <c r="P66" s="672"/>
      <c r="Q66" s="1408"/>
    </row>
    <row r="67" spans="1:22">
      <c r="A67" s="714"/>
      <c r="B67" s="674" t="s">
        <v>7034</v>
      </c>
      <c r="C67" s="675"/>
      <c r="D67" s="675"/>
      <c r="E67" s="675"/>
      <c r="F67" s="675"/>
      <c r="G67" s="675"/>
      <c r="H67" s="675"/>
      <c r="I67" s="675"/>
      <c r="J67" s="675"/>
      <c r="K67" s="676">
        <v>632</v>
      </c>
      <c r="L67" s="675"/>
      <c r="M67" s="675"/>
      <c r="N67" s="675"/>
      <c r="O67" s="677">
        <f t="shared" si="13"/>
        <v>632</v>
      </c>
      <c r="P67" s="672"/>
      <c r="Q67" s="1408"/>
    </row>
    <row r="68" spans="1:22">
      <c r="A68" s="714"/>
      <c r="B68" s="674" t="s">
        <v>6860</v>
      </c>
      <c r="C68" s="675"/>
      <c r="D68" s="675"/>
      <c r="E68" s="675"/>
      <c r="F68" s="675"/>
      <c r="G68" s="675"/>
      <c r="H68" s="675"/>
      <c r="I68" s="675"/>
      <c r="J68" s="675"/>
      <c r="K68" s="675">
        <v>300</v>
      </c>
      <c r="L68" s="675"/>
      <c r="M68" s="675"/>
      <c r="N68" s="675"/>
      <c r="O68" s="668">
        <f t="shared" si="13"/>
        <v>300</v>
      </c>
      <c r="P68" s="672"/>
      <c r="Q68" s="1408"/>
    </row>
    <row r="69" spans="1:22">
      <c r="A69" s="714"/>
      <c r="B69" s="674" t="s">
        <v>7035</v>
      </c>
      <c r="C69" s="675"/>
      <c r="D69" s="675"/>
      <c r="E69" s="675"/>
      <c r="F69" s="675"/>
      <c r="G69" s="675"/>
      <c r="H69" s="675"/>
      <c r="I69" s="675"/>
      <c r="J69" s="675"/>
      <c r="K69" s="675">
        <v>200</v>
      </c>
      <c r="L69" s="675"/>
      <c r="M69" s="675">
        <v>200</v>
      </c>
      <c r="N69" s="675"/>
      <c r="O69" s="668">
        <f t="shared" si="13"/>
        <v>400</v>
      </c>
      <c r="P69" s="672"/>
      <c r="Q69" s="1408"/>
    </row>
    <row r="70" spans="1:22">
      <c r="A70" s="714"/>
      <c r="B70" s="666" t="s">
        <v>6323</v>
      </c>
      <c r="C70" s="677">
        <f t="shared" ref="C70:N70" si="14">SUM(C68:C69)</f>
        <v>0</v>
      </c>
      <c r="D70" s="677">
        <f t="shared" si="14"/>
        <v>0</v>
      </c>
      <c r="E70" s="677">
        <f t="shared" si="14"/>
        <v>0</v>
      </c>
      <c r="F70" s="677">
        <f t="shared" si="14"/>
        <v>0</v>
      </c>
      <c r="G70" s="677">
        <f t="shared" si="14"/>
        <v>0</v>
      </c>
      <c r="H70" s="677">
        <f t="shared" si="14"/>
        <v>0</v>
      </c>
      <c r="I70" s="677">
        <f t="shared" si="14"/>
        <v>0</v>
      </c>
      <c r="J70" s="677">
        <f t="shared" si="14"/>
        <v>0</v>
      </c>
      <c r="K70" s="677">
        <f t="shared" si="14"/>
        <v>500</v>
      </c>
      <c r="L70" s="677">
        <f t="shared" si="14"/>
        <v>0</v>
      </c>
      <c r="M70" s="677">
        <f t="shared" si="14"/>
        <v>200</v>
      </c>
      <c r="N70" s="677">
        <f t="shared" si="14"/>
        <v>0</v>
      </c>
      <c r="O70" s="668">
        <f t="shared" si="13"/>
        <v>700</v>
      </c>
      <c r="P70" s="669"/>
      <c r="Q70" s="1410"/>
      <c r="R70" s="578"/>
      <c r="S70" s="578"/>
      <c r="T70" s="578"/>
      <c r="U70" s="578"/>
      <c r="V70" s="578"/>
    </row>
    <row r="71" spans="1:22">
      <c r="A71" s="714"/>
      <c r="B71" s="689" t="s">
        <v>1126</v>
      </c>
      <c r="C71" s="690">
        <f t="shared" ref="C71:O71" si="15">SUM(C62:C69)</f>
        <v>421.65</v>
      </c>
      <c r="D71" s="690">
        <f t="shared" si="15"/>
        <v>327.25</v>
      </c>
      <c r="E71" s="690">
        <f t="shared" si="15"/>
        <v>418.78000000000003</v>
      </c>
      <c r="F71" s="690">
        <f t="shared" si="15"/>
        <v>935.18</v>
      </c>
      <c r="G71" s="690">
        <f t="shared" si="15"/>
        <v>370.81</v>
      </c>
      <c r="H71" s="690">
        <f t="shared" si="15"/>
        <v>312.86</v>
      </c>
      <c r="I71" s="690">
        <f t="shared" si="15"/>
        <v>286.97000000000003</v>
      </c>
      <c r="J71" s="690">
        <f t="shared" si="15"/>
        <v>628.66999999999996</v>
      </c>
      <c r="K71" s="690">
        <f t="shared" si="15"/>
        <v>2561.77</v>
      </c>
      <c r="L71" s="690">
        <f t="shared" si="15"/>
        <v>332.61</v>
      </c>
      <c r="M71" s="690">
        <f t="shared" si="15"/>
        <v>1468.74</v>
      </c>
      <c r="N71" s="690">
        <f t="shared" si="15"/>
        <v>382.05999999999995</v>
      </c>
      <c r="O71" s="995">
        <f t="shared" si="15"/>
        <v>8447.35</v>
      </c>
      <c r="P71" s="691"/>
      <c r="Q71" s="1411"/>
      <c r="R71" s="1412"/>
      <c r="S71" s="1412"/>
      <c r="T71" s="1412"/>
      <c r="U71" s="1412"/>
      <c r="V71" s="1412"/>
    </row>
    <row r="72" spans="1:22">
      <c r="A72" s="715"/>
      <c r="B72" s="692" t="s">
        <v>791</v>
      </c>
      <c r="C72" s="693">
        <f t="shared" ref="C72:O72" si="16">C58-C71</f>
        <v>998.35</v>
      </c>
      <c r="D72" s="693">
        <f t="shared" si="16"/>
        <v>1092.75</v>
      </c>
      <c r="E72" s="693">
        <f t="shared" si="16"/>
        <v>1001.22</v>
      </c>
      <c r="F72" s="693">
        <f t="shared" si="16"/>
        <v>484.82000000000005</v>
      </c>
      <c r="G72" s="693">
        <f t="shared" si="16"/>
        <v>1049.19</v>
      </c>
      <c r="H72" s="693">
        <f t="shared" si="16"/>
        <v>1032.1399999999999</v>
      </c>
      <c r="I72" s="693">
        <f t="shared" si="16"/>
        <v>923.03</v>
      </c>
      <c r="J72" s="693">
        <f t="shared" si="16"/>
        <v>21.330000000000041</v>
      </c>
      <c r="K72" s="693">
        <f t="shared" si="16"/>
        <v>-1711.77</v>
      </c>
      <c r="L72" s="693">
        <f t="shared" si="16"/>
        <v>1217.3899999999999</v>
      </c>
      <c r="M72" s="693">
        <f t="shared" si="16"/>
        <v>81.259999999999991</v>
      </c>
      <c r="N72" s="693">
        <f t="shared" si="16"/>
        <v>1167.94</v>
      </c>
      <c r="O72" s="693">
        <f t="shared" si="16"/>
        <v>7357.65</v>
      </c>
      <c r="P72" s="694"/>
      <c r="Q72" s="16">
        <f>O72/12</f>
        <v>613.13749999999993</v>
      </c>
      <c r="R72" s="9" t="s">
        <v>7953</v>
      </c>
    </row>
    <row r="73" spans="1:22">
      <c r="A73" s="947"/>
      <c r="B73" s="950" t="s">
        <v>7036</v>
      </c>
      <c r="C73" s="950">
        <v>0</v>
      </c>
      <c r="D73" s="950">
        <v>0</v>
      </c>
      <c r="E73" s="950">
        <v>0</v>
      </c>
      <c r="F73" s="950">
        <v>0</v>
      </c>
      <c r="G73" s="950">
        <v>0</v>
      </c>
      <c r="H73" s="950">
        <v>0</v>
      </c>
      <c r="I73" s="950">
        <v>0</v>
      </c>
      <c r="J73" s="950">
        <v>0</v>
      </c>
      <c r="K73" s="950">
        <v>0</v>
      </c>
      <c r="L73" s="950">
        <v>0</v>
      </c>
      <c r="M73" s="950">
        <v>0</v>
      </c>
      <c r="N73" s="951">
        <v>0</v>
      </c>
      <c r="O73" s="952">
        <f>SUM(C73:N73)</f>
        <v>0</v>
      </c>
      <c r="P73" s="953"/>
      <c r="Q73" s="16"/>
    </row>
    <row r="74" spans="1:22">
      <c r="A74" s="692"/>
      <c r="B74" s="692" t="s">
        <v>6861</v>
      </c>
      <c r="C74" s="996">
        <f t="shared" ref="C74:O74" si="17">C72-C73</f>
        <v>998.35</v>
      </c>
      <c r="D74" s="996">
        <f t="shared" si="17"/>
        <v>1092.75</v>
      </c>
      <c r="E74" s="996">
        <f t="shared" si="17"/>
        <v>1001.22</v>
      </c>
      <c r="F74" s="996">
        <f t="shared" si="17"/>
        <v>484.82000000000005</v>
      </c>
      <c r="G74" s="996">
        <f t="shared" si="17"/>
        <v>1049.19</v>
      </c>
      <c r="H74" s="996">
        <f t="shared" si="17"/>
        <v>1032.1399999999999</v>
      </c>
      <c r="I74" s="996">
        <f t="shared" si="17"/>
        <v>923.03</v>
      </c>
      <c r="J74" s="996">
        <f t="shared" si="17"/>
        <v>21.330000000000041</v>
      </c>
      <c r="K74" s="996">
        <f t="shared" si="17"/>
        <v>-1711.77</v>
      </c>
      <c r="L74" s="996">
        <f t="shared" si="17"/>
        <v>1217.3899999999999</v>
      </c>
      <c r="M74" s="996">
        <f t="shared" si="17"/>
        <v>81.259999999999991</v>
      </c>
      <c r="N74" s="996">
        <f t="shared" si="17"/>
        <v>1167.94</v>
      </c>
      <c r="O74" s="956">
        <f t="shared" si="17"/>
        <v>7357.65</v>
      </c>
      <c r="P74" s="709"/>
      <c r="Q74" s="16"/>
    </row>
    <row r="75" spans="1:22">
      <c r="B75" s="2130" t="s">
        <v>7954</v>
      </c>
      <c r="C75" s="2087"/>
      <c r="D75" s="2087"/>
      <c r="E75" s="2087"/>
      <c r="F75" s="2087"/>
      <c r="G75" s="2087"/>
      <c r="H75" s="2087"/>
      <c r="I75" s="2087"/>
      <c r="J75" s="2087"/>
      <c r="K75" s="2087"/>
      <c r="L75" s="2087"/>
      <c r="M75" s="2087"/>
      <c r="N75" s="2087"/>
      <c r="O75" s="2087"/>
      <c r="Q75" s="16"/>
    </row>
    <row r="76" spans="1:22">
      <c r="B76" s="9" t="s">
        <v>7038</v>
      </c>
      <c r="C76" s="9">
        <f t="shared" ref="C76:O76" si="18">C63</f>
        <v>118.02</v>
      </c>
      <c r="D76" s="9">
        <f t="shared" si="18"/>
        <v>115.9</v>
      </c>
      <c r="E76" s="9">
        <f t="shared" si="18"/>
        <v>128.18</v>
      </c>
      <c r="F76" s="9">
        <f t="shared" si="18"/>
        <v>97.68</v>
      </c>
      <c r="G76" s="9">
        <f t="shared" si="18"/>
        <v>188.6</v>
      </c>
      <c r="H76" s="9">
        <f t="shared" si="18"/>
        <v>148.44999999999999</v>
      </c>
      <c r="I76" s="9">
        <f t="shared" si="18"/>
        <v>157.16</v>
      </c>
      <c r="J76" s="9">
        <f t="shared" si="18"/>
        <v>207.54</v>
      </c>
      <c r="K76" s="9">
        <f t="shared" si="18"/>
        <v>287.10000000000002</v>
      </c>
      <c r="L76" s="9">
        <f t="shared" si="18"/>
        <v>166.15</v>
      </c>
      <c r="M76" s="9">
        <f t="shared" si="18"/>
        <v>180.6</v>
      </c>
      <c r="N76" s="9">
        <f t="shared" si="18"/>
        <v>184.39</v>
      </c>
      <c r="O76" s="9">
        <f t="shared" si="18"/>
        <v>1979.77</v>
      </c>
      <c r="Q76" s="16">
        <f>AVERAGE(C76:H76)</f>
        <v>132.80499999999998</v>
      </c>
      <c r="R76" s="9" t="s">
        <v>659</v>
      </c>
    </row>
    <row r="77" spans="1:22">
      <c r="B77" s="9" t="s">
        <v>7039</v>
      </c>
      <c r="C77" s="9">
        <f t="shared" ref="C77:H77" si="19">C64</f>
        <v>303.63</v>
      </c>
      <c r="D77" s="9">
        <f t="shared" si="19"/>
        <v>211.35</v>
      </c>
      <c r="E77" s="9">
        <f t="shared" si="19"/>
        <v>290.60000000000002</v>
      </c>
      <c r="F77" s="9">
        <f t="shared" si="19"/>
        <v>184.39</v>
      </c>
      <c r="G77" s="9">
        <f t="shared" si="19"/>
        <v>182.21</v>
      </c>
      <c r="H77" s="9">
        <f t="shared" si="19"/>
        <v>164.41</v>
      </c>
      <c r="I77" s="9">
        <v>129.81</v>
      </c>
      <c r="J77" s="9">
        <f t="shared" ref="J77:O77" si="20">J64</f>
        <v>230.13</v>
      </c>
      <c r="K77" s="9">
        <f t="shared" si="20"/>
        <v>342.67</v>
      </c>
      <c r="L77" s="9">
        <f t="shared" si="20"/>
        <v>166.46</v>
      </c>
      <c r="M77" s="9">
        <f t="shared" si="20"/>
        <v>435.03</v>
      </c>
      <c r="N77" s="9">
        <f t="shared" si="20"/>
        <v>197.67</v>
      </c>
      <c r="O77" s="9">
        <f t="shared" si="20"/>
        <v>2838.3600000000006</v>
      </c>
      <c r="Q77" s="16">
        <f>AVERAGE(C77:H77)</f>
        <v>222.76500000000001</v>
      </c>
      <c r="R77" s="9" t="s">
        <v>659</v>
      </c>
    </row>
    <row r="78" spans="1:22">
      <c r="B78" s="9" t="s">
        <v>7040</v>
      </c>
      <c r="C78" s="9">
        <f>C55+C57</f>
        <v>270</v>
      </c>
      <c r="D78" s="9">
        <f>D55+D57</f>
        <v>270</v>
      </c>
      <c r="E78" s="9">
        <f>E55+E57</f>
        <v>270</v>
      </c>
      <c r="F78" s="9">
        <f>F55+F57</f>
        <v>270</v>
      </c>
      <c r="G78" s="9">
        <v>270</v>
      </c>
      <c r="H78" s="9">
        <v>270</v>
      </c>
      <c r="I78" s="9">
        <f t="shared" ref="I78:O78" si="21">I55+I57</f>
        <v>320</v>
      </c>
      <c r="J78" s="9">
        <f t="shared" si="21"/>
        <v>150</v>
      </c>
      <c r="K78" s="9">
        <f t="shared" si="21"/>
        <v>250</v>
      </c>
      <c r="L78" s="9">
        <f t="shared" si="21"/>
        <v>350</v>
      </c>
      <c r="M78" s="9">
        <f t="shared" si="21"/>
        <v>350</v>
      </c>
      <c r="N78" s="9">
        <f t="shared" si="21"/>
        <v>350</v>
      </c>
      <c r="O78" s="9">
        <f t="shared" si="21"/>
        <v>3390</v>
      </c>
      <c r="Q78" s="16">
        <f>AVERAGE(C78:H78)</f>
        <v>270</v>
      </c>
      <c r="R78" s="9" t="s">
        <v>659</v>
      </c>
    </row>
    <row r="79" spans="1:22">
      <c r="A79" s="578"/>
      <c r="B79" s="997" t="s">
        <v>59</v>
      </c>
      <c r="C79" s="997">
        <f t="shared" ref="C79:O79" si="22">C78-C77-C76</f>
        <v>-151.64999999999998</v>
      </c>
      <c r="D79" s="997">
        <f t="shared" si="22"/>
        <v>-57.25</v>
      </c>
      <c r="E79" s="997">
        <f t="shared" si="22"/>
        <v>-148.78000000000003</v>
      </c>
      <c r="F79" s="997">
        <f t="shared" si="22"/>
        <v>-12.069999999999993</v>
      </c>
      <c r="G79" s="998">
        <f t="shared" si="22"/>
        <v>-100.81</v>
      </c>
      <c r="H79" s="997">
        <f t="shared" si="22"/>
        <v>-42.859999999999985</v>
      </c>
      <c r="I79" s="997">
        <f t="shared" si="22"/>
        <v>33.03</v>
      </c>
      <c r="J79" s="997">
        <f t="shared" si="22"/>
        <v>-287.66999999999996</v>
      </c>
      <c r="K79" s="997">
        <f t="shared" si="22"/>
        <v>-379.77000000000004</v>
      </c>
      <c r="L79" s="997">
        <f t="shared" si="22"/>
        <v>17.389999999999986</v>
      </c>
      <c r="M79" s="997">
        <f t="shared" si="22"/>
        <v>-265.63</v>
      </c>
      <c r="N79" s="997">
        <f t="shared" si="22"/>
        <v>-32.059999999999974</v>
      </c>
      <c r="O79" s="997">
        <f t="shared" si="22"/>
        <v>-1428.1300000000006</v>
      </c>
      <c r="P79" s="997"/>
      <c r="Q79" s="16">
        <f>AVERAGE(C79:H79)</f>
        <v>-85.57</v>
      </c>
      <c r="R79" s="578" t="s">
        <v>659</v>
      </c>
      <c r="S79" s="578"/>
      <c r="T79" s="578"/>
      <c r="U79" s="578"/>
      <c r="V79" s="578"/>
    </row>
    <row r="80" spans="1:22">
      <c r="A80" s="714"/>
      <c r="B80" s="2126" t="s">
        <v>7041</v>
      </c>
      <c r="C80" s="2127"/>
      <c r="D80" s="2127"/>
      <c r="E80" s="2127"/>
      <c r="F80" s="2127"/>
      <c r="G80" s="2127"/>
      <c r="H80" s="2127"/>
      <c r="I80" s="2127"/>
      <c r="J80" s="2127"/>
      <c r="K80" s="2127"/>
      <c r="L80" s="2127"/>
      <c r="M80" s="2127"/>
      <c r="N80" s="2127"/>
      <c r="O80" s="2128"/>
      <c r="P80" s="661"/>
      <c r="Q80" s="1408"/>
    </row>
    <row r="81" spans="1:18">
      <c r="A81" s="714"/>
      <c r="B81" s="662" t="s">
        <v>8013</v>
      </c>
      <c r="C81" s="663" t="s">
        <v>143</v>
      </c>
      <c r="D81" s="663" t="s">
        <v>26</v>
      </c>
      <c r="E81" s="663" t="s">
        <v>25</v>
      </c>
      <c r="F81" s="663" t="s">
        <v>24</v>
      </c>
      <c r="G81" s="663" t="s">
        <v>23</v>
      </c>
      <c r="H81" s="663" t="s">
        <v>22</v>
      </c>
      <c r="I81" s="663" t="s">
        <v>21</v>
      </c>
      <c r="J81" s="663" t="s">
        <v>20</v>
      </c>
      <c r="K81" s="663" t="s">
        <v>256</v>
      </c>
      <c r="L81" s="663" t="s">
        <v>18</v>
      </c>
      <c r="M81" s="663" t="s">
        <v>17</v>
      </c>
      <c r="N81" s="663" t="s">
        <v>86</v>
      </c>
      <c r="O81" s="664" t="s">
        <v>67</v>
      </c>
      <c r="P81" s="665"/>
      <c r="Q81" s="1408"/>
    </row>
    <row r="82" spans="1:18">
      <c r="A82" s="714"/>
      <c r="B82" s="666" t="s">
        <v>4395</v>
      </c>
      <c r="C82" s="667">
        <v>615</v>
      </c>
      <c r="D82" s="667">
        <v>615</v>
      </c>
      <c r="E82" s="667">
        <v>615</v>
      </c>
      <c r="F82" s="667">
        <v>615</v>
      </c>
      <c r="G82" s="667">
        <v>615</v>
      </c>
      <c r="H82" s="667">
        <v>615</v>
      </c>
      <c r="I82" s="667">
        <v>615</v>
      </c>
      <c r="J82" s="667">
        <v>615</v>
      </c>
      <c r="K82" s="667">
        <v>615</v>
      </c>
      <c r="L82" s="667">
        <v>615</v>
      </c>
      <c r="M82" s="667">
        <v>615</v>
      </c>
      <c r="N82" s="667">
        <v>615</v>
      </c>
      <c r="O82" s="668">
        <f>SUM(C82:N82)</f>
        <v>7380</v>
      </c>
      <c r="P82" s="669"/>
      <c r="Q82" s="1408"/>
    </row>
    <row r="83" spans="1:18">
      <c r="A83" s="714"/>
      <c r="B83" s="1342" t="s">
        <v>6389</v>
      </c>
      <c r="C83" s="1343" t="s">
        <v>135</v>
      </c>
      <c r="D83" s="1343" t="s">
        <v>135</v>
      </c>
      <c r="E83" s="1343" t="s">
        <v>135</v>
      </c>
      <c r="F83" s="1343" t="s">
        <v>135</v>
      </c>
      <c r="G83" s="1343" t="s">
        <v>135</v>
      </c>
      <c r="H83" s="1343" t="s">
        <v>135</v>
      </c>
      <c r="I83" s="1343" t="s">
        <v>135</v>
      </c>
      <c r="J83" s="1343" t="s">
        <v>135</v>
      </c>
      <c r="K83" s="1343"/>
      <c r="L83" s="1343"/>
      <c r="M83" s="1343"/>
      <c r="N83" s="1343"/>
      <c r="O83" s="1344">
        <f>SUM(C83:N83)</f>
        <v>0</v>
      </c>
      <c r="P83" s="672"/>
      <c r="Q83" s="1408"/>
    </row>
    <row r="84" spans="1:18">
      <c r="A84" s="714"/>
      <c r="B84" s="666" t="s">
        <v>4397</v>
      </c>
      <c r="C84" s="671"/>
      <c r="D84" s="671"/>
      <c r="E84" s="671"/>
      <c r="F84" s="671"/>
      <c r="G84" s="671"/>
      <c r="H84" s="671"/>
      <c r="I84" s="671"/>
      <c r="J84" s="671"/>
      <c r="K84" s="671"/>
      <c r="L84" s="671"/>
      <c r="M84" s="671"/>
      <c r="N84" s="671"/>
      <c r="O84" s="668"/>
      <c r="P84" s="672"/>
      <c r="Q84" s="1408"/>
    </row>
    <row r="85" spans="1:18">
      <c r="A85" s="714"/>
      <c r="B85" s="674" t="s">
        <v>5024</v>
      </c>
      <c r="C85" s="675">
        <v>200</v>
      </c>
      <c r="D85" s="675">
        <v>200</v>
      </c>
      <c r="E85" s="675">
        <v>200</v>
      </c>
      <c r="F85" s="675">
        <v>200</v>
      </c>
      <c r="G85" s="675">
        <v>200</v>
      </c>
      <c r="H85" s="675">
        <v>200</v>
      </c>
      <c r="I85" s="1000">
        <v>0</v>
      </c>
      <c r="J85" s="1000">
        <v>0</v>
      </c>
      <c r="K85" s="1000">
        <v>0</v>
      </c>
      <c r="L85" s="1000">
        <v>0</v>
      </c>
      <c r="M85" s="1000">
        <v>0</v>
      </c>
      <c r="N85" s="1000">
        <v>0</v>
      </c>
      <c r="O85" s="668">
        <f>SUM(C85:N85)</f>
        <v>1200</v>
      </c>
      <c r="P85" s="672"/>
      <c r="Q85" s="1408"/>
    </row>
    <row r="86" spans="1:18">
      <c r="A86" s="714"/>
      <c r="B86" s="674" t="s">
        <v>4399</v>
      </c>
      <c r="C86" s="675"/>
      <c r="D86" s="675"/>
      <c r="E86" s="675"/>
      <c r="F86" s="675">
        <v>245.25</v>
      </c>
      <c r="G86" s="675"/>
      <c r="H86" s="675"/>
      <c r="I86" s="675"/>
      <c r="J86" s="675"/>
      <c r="K86" s="675"/>
      <c r="L86" s="675"/>
      <c r="M86" s="676">
        <v>245.25</v>
      </c>
      <c r="N86" s="675"/>
      <c r="O86" s="677">
        <f>SUM(C86:N86)</f>
        <v>490.5</v>
      </c>
      <c r="P86" s="672"/>
      <c r="Q86" s="1408"/>
    </row>
    <row r="87" spans="1:18">
      <c r="A87" s="714"/>
      <c r="B87" s="674" t="s">
        <v>7031</v>
      </c>
      <c r="C87" s="675"/>
      <c r="D87" s="675"/>
      <c r="E87" s="675"/>
      <c r="F87" s="675"/>
      <c r="G87" s="675"/>
      <c r="H87" s="675"/>
      <c r="I87" s="675"/>
      <c r="J87" s="675"/>
      <c r="K87" s="675"/>
      <c r="L87" s="675"/>
      <c r="M87" s="675"/>
      <c r="N87" s="675"/>
      <c r="O87" s="677">
        <f>SUM(C87:N87)</f>
        <v>0</v>
      </c>
      <c r="P87" s="681"/>
      <c r="Q87" s="16"/>
    </row>
    <row r="88" spans="1:18">
      <c r="A88" s="714"/>
      <c r="B88" s="674" t="s">
        <v>7042</v>
      </c>
      <c r="C88" s="675"/>
      <c r="D88" s="675"/>
      <c r="E88" s="675"/>
      <c r="F88" s="675"/>
      <c r="G88" s="675"/>
      <c r="H88" s="675"/>
      <c r="I88" s="675"/>
      <c r="J88" s="675"/>
      <c r="K88" s="675"/>
      <c r="L88" s="675"/>
      <c r="M88" s="675"/>
      <c r="N88" s="675"/>
      <c r="O88" s="677">
        <f>SUM(C88:N88)</f>
        <v>0</v>
      </c>
      <c r="P88" s="672"/>
      <c r="Q88" s="1408"/>
    </row>
    <row r="89" spans="1:18">
      <c r="A89" s="714"/>
      <c r="B89" s="674" t="s">
        <v>7019</v>
      </c>
      <c r="C89" s="675"/>
      <c r="D89" s="675"/>
      <c r="E89" s="675"/>
      <c r="F89" s="675"/>
      <c r="G89" s="675"/>
      <c r="H89" s="675"/>
      <c r="I89" s="675"/>
      <c r="J89" s="675"/>
      <c r="K89" s="675"/>
      <c r="L89" s="675"/>
      <c r="M89" s="675"/>
      <c r="N89" s="675"/>
      <c r="O89" s="677"/>
      <c r="P89" s="672"/>
      <c r="Q89" s="1408"/>
    </row>
    <row r="90" spans="1:18">
      <c r="A90" s="714"/>
      <c r="B90" s="674" t="s">
        <v>7033</v>
      </c>
      <c r="C90" s="675"/>
      <c r="D90" s="675"/>
      <c r="E90" s="675"/>
      <c r="F90" s="675"/>
      <c r="G90" s="675"/>
      <c r="H90" s="675"/>
      <c r="I90" s="675"/>
      <c r="J90" s="675"/>
      <c r="K90" s="675"/>
      <c r="L90" s="675"/>
      <c r="M90" s="675"/>
      <c r="N90" s="675"/>
      <c r="O90" s="677"/>
      <c r="P90" s="672"/>
      <c r="Q90" s="1408"/>
    </row>
    <row r="91" spans="1:18">
      <c r="A91" s="714"/>
      <c r="B91" s="674" t="s">
        <v>7043</v>
      </c>
      <c r="C91" s="687"/>
      <c r="D91" s="687"/>
      <c r="E91" s="687"/>
      <c r="F91" s="687"/>
      <c r="G91" s="687"/>
      <c r="H91" s="687"/>
      <c r="I91" s="688">
        <v>500.86</v>
      </c>
      <c r="J91" s="687"/>
      <c r="K91" s="687"/>
      <c r="L91" s="687"/>
      <c r="M91" s="687"/>
      <c r="N91" s="687"/>
      <c r="O91" s="677">
        <f>SUM(C91:N91)</f>
        <v>500.86</v>
      </c>
      <c r="P91" s="672"/>
      <c r="Q91" s="1408"/>
    </row>
    <row r="92" spans="1:18">
      <c r="A92" s="714"/>
      <c r="B92" s="674" t="s">
        <v>6860</v>
      </c>
      <c r="C92" s="945" t="s">
        <v>135</v>
      </c>
      <c r="D92" s="945" t="s">
        <v>135</v>
      </c>
      <c r="E92" s="945" t="s">
        <v>135</v>
      </c>
      <c r="F92" s="945" t="s">
        <v>135</v>
      </c>
      <c r="G92" s="945" t="s">
        <v>135</v>
      </c>
      <c r="H92" s="945" t="s">
        <v>135</v>
      </c>
      <c r="I92" s="945"/>
      <c r="J92" s="945"/>
      <c r="K92" s="945"/>
      <c r="L92" s="945"/>
      <c r="M92" s="945"/>
      <c r="N92" s="945"/>
      <c r="O92" s="668">
        <f>SUM(C92:N92)</f>
        <v>0</v>
      </c>
      <c r="P92" s="672"/>
      <c r="Q92" s="1408"/>
    </row>
    <row r="93" spans="1:18">
      <c r="A93" s="714"/>
      <c r="B93" s="674" t="s">
        <v>7035</v>
      </c>
      <c r="C93" s="675"/>
      <c r="D93" s="675"/>
      <c r="E93" s="675" t="s">
        <v>135</v>
      </c>
      <c r="F93" s="675"/>
      <c r="G93" s="675" t="s">
        <v>135</v>
      </c>
      <c r="H93" s="675" t="s">
        <v>135</v>
      </c>
      <c r="I93" s="675" t="s">
        <v>135</v>
      </c>
      <c r="J93" s="675"/>
      <c r="K93" s="675"/>
      <c r="L93" s="675"/>
      <c r="M93" s="675"/>
      <c r="N93" s="675">
        <v>800</v>
      </c>
      <c r="O93" s="668">
        <f>SUM(C93:N93)</f>
        <v>800</v>
      </c>
      <c r="P93" s="672"/>
      <c r="Q93" s="1408"/>
    </row>
    <row r="94" spans="1:18">
      <c r="A94" s="714"/>
      <c r="B94" s="666" t="s">
        <v>6323</v>
      </c>
      <c r="C94" s="677">
        <f t="shared" ref="C94:N94" si="23">SUM(C92:C93)</f>
        <v>0</v>
      </c>
      <c r="D94" s="677">
        <f t="shared" si="23"/>
        <v>0</v>
      </c>
      <c r="E94" s="677">
        <f t="shared" si="23"/>
        <v>0</v>
      </c>
      <c r="F94" s="677">
        <f t="shared" si="23"/>
        <v>0</v>
      </c>
      <c r="G94" s="677">
        <f t="shared" si="23"/>
        <v>0</v>
      </c>
      <c r="H94" s="677">
        <f t="shared" si="23"/>
        <v>0</v>
      </c>
      <c r="I94" s="677">
        <f t="shared" si="23"/>
        <v>0</v>
      </c>
      <c r="J94" s="677">
        <f t="shared" si="23"/>
        <v>0</v>
      </c>
      <c r="K94" s="677">
        <f t="shared" si="23"/>
        <v>0</v>
      </c>
      <c r="L94" s="677">
        <f t="shared" si="23"/>
        <v>0</v>
      </c>
      <c r="M94" s="677">
        <f t="shared" si="23"/>
        <v>0</v>
      </c>
      <c r="N94" s="677">
        <f t="shared" si="23"/>
        <v>800</v>
      </c>
      <c r="O94" s="668">
        <f>SUM(C94:N94)</f>
        <v>800</v>
      </c>
      <c r="P94" s="669"/>
      <c r="Q94" s="1408"/>
    </row>
    <row r="95" spans="1:18">
      <c r="A95" s="714"/>
      <c r="B95" s="689" t="s">
        <v>1126</v>
      </c>
      <c r="C95" s="690">
        <f t="shared" ref="C95:N95" si="24">SUM(C85:C93)</f>
        <v>200</v>
      </c>
      <c r="D95" s="690">
        <f t="shared" si="24"/>
        <v>200</v>
      </c>
      <c r="E95" s="690">
        <f t="shared" si="24"/>
        <v>200</v>
      </c>
      <c r="F95" s="690">
        <f t="shared" si="24"/>
        <v>445.25</v>
      </c>
      <c r="G95" s="690">
        <f t="shared" si="24"/>
        <v>200</v>
      </c>
      <c r="H95" s="690">
        <f t="shared" si="24"/>
        <v>200</v>
      </c>
      <c r="I95" s="690">
        <f t="shared" si="24"/>
        <v>500.86</v>
      </c>
      <c r="J95" s="690">
        <f t="shared" si="24"/>
        <v>0</v>
      </c>
      <c r="K95" s="690">
        <f t="shared" si="24"/>
        <v>0</v>
      </c>
      <c r="L95" s="690">
        <f t="shared" si="24"/>
        <v>0</v>
      </c>
      <c r="M95" s="690">
        <f t="shared" si="24"/>
        <v>245.25</v>
      </c>
      <c r="N95" s="690">
        <f t="shared" si="24"/>
        <v>800</v>
      </c>
      <c r="O95" s="995">
        <f>SUM(O86:O93)</f>
        <v>1791.3600000000001</v>
      </c>
      <c r="P95" s="691"/>
      <c r="Q95" s="1408"/>
    </row>
    <row r="96" spans="1:18">
      <c r="A96" s="715"/>
      <c r="B96" s="692" t="s">
        <v>791</v>
      </c>
      <c r="C96" s="693">
        <f t="shared" ref="C96:O96" si="25">C82-C95</f>
        <v>415</v>
      </c>
      <c r="D96" s="693">
        <f t="shared" si="25"/>
        <v>415</v>
      </c>
      <c r="E96" s="693">
        <f t="shared" si="25"/>
        <v>415</v>
      </c>
      <c r="F96" s="693">
        <f t="shared" si="25"/>
        <v>169.75</v>
      </c>
      <c r="G96" s="693">
        <f t="shared" si="25"/>
        <v>415</v>
      </c>
      <c r="H96" s="693">
        <f t="shared" si="25"/>
        <v>415</v>
      </c>
      <c r="I96" s="693">
        <f t="shared" si="25"/>
        <v>114.13999999999999</v>
      </c>
      <c r="J96" s="693">
        <f t="shared" si="25"/>
        <v>615</v>
      </c>
      <c r="K96" s="693">
        <f t="shared" si="25"/>
        <v>615</v>
      </c>
      <c r="L96" s="693">
        <f t="shared" si="25"/>
        <v>615</v>
      </c>
      <c r="M96" s="693">
        <f t="shared" si="25"/>
        <v>369.75</v>
      </c>
      <c r="N96" s="693">
        <f t="shared" si="25"/>
        <v>-185</v>
      </c>
      <c r="O96" s="693">
        <f t="shared" si="25"/>
        <v>5588.6399999999994</v>
      </c>
      <c r="P96" s="694"/>
      <c r="Q96" s="16">
        <f>O96/12</f>
        <v>465.71999999999997</v>
      </c>
      <c r="R96" s="9" t="s">
        <v>7953</v>
      </c>
    </row>
    <row r="97" spans="1:19">
      <c r="A97" s="947"/>
      <c r="B97" s="950" t="s">
        <v>7036</v>
      </c>
      <c r="C97" s="950">
        <v>0</v>
      </c>
      <c r="D97" s="950">
        <v>0</v>
      </c>
      <c r="E97" s="950">
        <v>0</v>
      </c>
      <c r="F97" s="950">
        <v>0</v>
      </c>
      <c r="G97" s="950">
        <v>0</v>
      </c>
      <c r="H97" s="950">
        <v>0</v>
      </c>
      <c r="I97" s="950">
        <v>0</v>
      </c>
      <c r="J97" s="950">
        <v>0</v>
      </c>
      <c r="K97" s="950">
        <v>0</v>
      </c>
      <c r="L97" s="950">
        <v>0</v>
      </c>
      <c r="M97" s="950">
        <v>0</v>
      </c>
      <c r="N97" s="951">
        <v>0</v>
      </c>
      <c r="O97" s="952">
        <f>SUM(C97:N97)</f>
        <v>0</v>
      </c>
      <c r="P97" s="953"/>
      <c r="Q97" s="16"/>
    </row>
    <row r="98" spans="1:19">
      <c r="A98" s="692"/>
      <c r="B98" s="692" t="s">
        <v>6861</v>
      </c>
      <c r="C98" s="996">
        <f t="shared" ref="C98:O98" si="26">C96-C97</f>
        <v>415</v>
      </c>
      <c r="D98" s="996">
        <f t="shared" si="26"/>
        <v>415</v>
      </c>
      <c r="E98" s="996">
        <f t="shared" si="26"/>
        <v>415</v>
      </c>
      <c r="F98" s="956">
        <f t="shared" si="26"/>
        <v>169.75</v>
      </c>
      <c r="G98" s="996">
        <f t="shared" si="26"/>
        <v>415</v>
      </c>
      <c r="H98" s="956">
        <f t="shared" si="26"/>
        <v>415</v>
      </c>
      <c r="I98" s="956">
        <f t="shared" si="26"/>
        <v>114.13999999999999</v>
      </c>
      <c r="J98" s="956">
        <f t="shared" si="26"/>
        <v>615</v>
      </c>
      <c r="K98" s="956">
        <f t="shared" si="26"/>
        <v>615</v>
      </c>
      <c r="L98" s="956">
        <f t="shared" si="26"/>
        <v>615</v>
      </c>
      <c r="M98" s="956">
        <f t="shared" si="26"/>
        <v>369.75</v>
      </c>
      <c r="N98" s="956">
        <f t="shared" si="26"/>
        <v>-185</v>
      </c>
      <c r="O98" s="956">
        <f t="shared" si="26"/>
        <v>5588.6399999999994</v>
      </c>
      <c r="P98" s="709"/>
      <c r="Q98" s="16"/>
      <c r="S98" s="9">
        <v>271</v>
      </c>
    </row>
    <row r="99" spans="1:19">
      <c r="B99" s="2161" t="s">
        <v>7044</v>
      </c>
      <c r="C99" s="2087"/>
      <c r="D99" s="2087"/>
      <c r="E99" s="2087"/>
      <c r="F99" s="2087"/>
      <c r="G99" s="2087"/>
      <c r="H99" s="2087"/>
      <c r="I99" s="2087"/>
      <c r="J99" s="2087"/>
      <c r="K99" s="2087"/>
      <c r="L99" s="2087"/>
      <c r="M99" s="2087"/>
      <c r="N99" s="2087"/>
      <c r="O99" s="2087"/>
      <c r="Q99" s="16"/>
      <c r="S99" s="9">
        <v>744</v>
      </c>
    </row>
    <row r="100" spans="1:19">
      <c r="B100" s="997"/>
      <c r="C100" s="997"/>
      <c r="D100" s="997"/>
      <c r="E100" s="997"/>
      <c r="F100" s="997"/>
      <c r="G100" s="997"/>
      <c r="H100" s="997"/>
      <c r="I100" s="997"/>
      <c r="J100" s="997"/>
      <c r="K100" s="997"/>
      <c r="L100" s="997"/>
      <c r="M100" s="997"/>
      <c r="N100" s="997"/>
      <c r="O100" s="997"/>
      <c r="P100" s="660"/>
      <c r="Q100" s="16"/>
      <c r="S100" s="9">
        <v>484</v>
      </c>
    </row>
    <row r="101" spans="1:19">
      <c r="A101" s="714"/>
      <c r="B101" s="2126" t="s">
        <v>8020</v>
      </c>
      <c r="C101" s="2127"/>
      <c r="D101" s="2127"/>
      <c r="E101" s="2127"/>
      <c r="F101" s="2127"/>
      <c r="G101" s="2127"/>
      <c r="H101" s="2127"/>
      <c r="I101" s="2127"/>
      <c r="J101" s="2127"/>
      <c r="K101" s="2127"/>
      <c r="L101" s="2127"/>
      <c r="M101" s="2127"/>
      <c r="N101" s="2127"/>
      <c r="O101" s="2128"/>
      <c r="P101" s="661"/>
      <c r="Q101" s="1408"/>
      <c r="S101" s="9">
        <v>1415</v>
      </c>
    </row>
    <row r="102" spans="1:19">
      <c r="A102" s="714"/>
      <c r="B102" s="662" t="s">
        <v>8013</v>
      </c>
      <c r="C102" s="663" t="s">
        <v>143</v>
      </c>
      <c r="D102" s="663" t="s">
        <v>26</v>
      </c>
      <c r="E102" s="663" t="s">
        <v>25</v>
      </c>
      <c r="F102" s="663" t="s">
        <v>24</v>
      </c>
      <c r="G102" s="663" t="s">
        <v>23</v>
      </c>
      <c r="H102" s="663" t="s">
        <v>22</v>
      </c>
      <c r="I102" s="663" t="s">
        <v>21</v>
      </c>
      <c r="J102" s="663" t="s">
        <v>20</v>
      </c>
      <c r="K102" s="663" t="s">
        <v>256</v>
      </c>
      <c r="L102" s="663" t="s">
        <v>18</v>
      </c>
      <c r="M102" s="663" t="s">
        <v>17</v>
      </c>
      <c r="N102" s="663" t="s">
        <v>86</v>
      </c>
      <c r="O102" s="664" t="s">
        <v>67</v>
      </c>
      <c r="P102" s="665"/>
      <c r="Q102" s="1408"/>
      <c r="S102" s="9">
        <f>SUM(S98:S101)</f>
        <v>2914</v>
      </c>
    </row>
    <row r="103" spans="1:19">
      <c r="A103" s="714"/>
      <c r="B103" s="666" t="s">
        <v>6847</v>
      </c>
      <c r="C103" s="667">
        <v>1600</v>
      </c>
      <c r="D103" s="667">
        <v>1600</v>
      </c>
      <c r="E103" s="667">
        <v>1600</v>
      </c>
      <c r="F103" s="667">
        <v>2400</v>
      </c>
      <c r="G103" s="667">
        <v>2400</v>
      </c>
      <c r="H103" s="667">
        <v>2400</v>
      </c>
      <c r="I103" s="667">
        <v>2400</v>
      </c>
      <c r="J103" s="667">
        <v>2400</v>
      </c>
      <c r="K103" s="667">
        <v>3200</v>
      </c>
      <c r="L103" s="667">
        <v>3200</v>
      </c>
      <c r="M103" s="667">
        <v>3200</v>
      </c>
      <c r="N103" s="667">
        <v>3200</v>
      </c>
      <c r="O103" s="668">
        <f>SUM(C103:N103)</f>
        <v>29600</v>
      </c>
      <c r="P103" s="669"/>
      <c r="Q103" s="1408"/>
    </row>
    <row r="104" spans="1:19">
      <c r="A104" s="714"/>
      <c r="B104" s="1342" t="s">
        <v>6389</v>
      </c>
      <c r="C104" s="1343" t="s">
        <v>135</v>
      </c>
      <c r="D104" s="1343" t="s">
        <v>135</v>
      </c>
      <c r="E104" s="1343" t="s">
        <v>135</v>
      </c>
      <c r="F104" s="1343" t="s">
        <v>135</v>
      </c>
      <c r="G104" s="1343" t="s">
        <v>135</v>
      </c>
      <c r="H104" s="1343" t="s">
        <v>135</v>
      </c>
      <c r="I104" s="1343" t="s">
        <v>135</v>
      </c>
      <c r="J104" s="1343" t="s">
        <v>135</v>
      </c>
      <c r="K104" s="1343"/>
      <c r="L104" s="1343"/>
      <c r="M104" s="1343"/>
      <c r="N104" s="1343"/>
      <c r="O104" s="1344">
        <f>SUM(C104:N104)</f>
        <v>0</v>
      </c>
      <c r="P104" s="672"/>
      <c r="Q104" s="1408"/>
    </row>
    <row r="105" spans="1:19">
      <c r="A105" s="714"/>
      <c r="B105" s="666" t="s">
        <v>4397</v>
      </c>
      <c r="C105" s="671"/>
      <c r="D105" s="671"/>
      <c r="E105" s="671"/>
      <c r="F105" s="671"/>
      <c r="G105" s="671"/>
      <c r="H105" s="671"/>
      <c r="I105" s="671"/>
      <c r="J105" s="671"/>
      <c r="K105" s="671"/>
      <c r="L105" s="671"/>
      <c r="M105" s="671"/>
      <c r="N105" s="671"/>
      <c r="O105" s="668"/>
      <c r="P105" s="672"/>
      <c r="Q105" s="1408"/>
    </row>
    <row r="106" spans="1:19">
      <c r="A106" s="714"/>
      <c r="B106" s="674" t="s">
        <v>5024</v>
      </c>
      <c r="C106" s="675">
        <v>505.27</v>
      </c>
      <c r="D106" s="675">
        <v>505.27</v>
      </c>
      <c r="E106" s="675">
        <v>505.27</v>
      </c>
      <c r="F106" s="675">
        <v>505.27</v>
      </c>
      <c r="G106" s="675">
        <v>505.27</v>
      </c>
      <c r="H106" s="675">
        <v>505.27</v>
      </c>
      <c r="I106" s="675">
        <v>505.27</v>
      </c>
      <c r="J106" s="675">
        <v>505.27</v>
      </c>
      <c r="K106" s="675">
        <v>505.27</v>
      </c>
      <c r="L106" s="675">
        <v>505.27</v>
      </c>
      <c r="M106" s="675">
        <v>505.27</v>
      </c>
      <c r="N106" s="675">
        <v>505.27</v>
      </c>
      <c r="O106" s="668">
        <f t="shared" ref="O106:O116" si="27">SUM(C106:N106)</f>
        <v>6063.2400000000016</v>
      </c>
      <c r="P106" s="672"/>
      <c r="Q106" s="1408"/>
    </row>
    <row r="107" spans="1:19">
      <c r="A107" s="714"/>
      <c r="B107" s="674" t="s">
        <v>4399</v>
      </c>
      <c r="C107" s="675"/>
      <c r="D107" s="675"/>
      <c r="E107" s="675">
        <v>1360.55</v>
      </c>
      <c r="F107" s="675"/>
      <c r="G107" s="675"/>
      <c r="H107" s="675"/>
      <c r="I107" s="675"/>
      <c r="J107" s="675"/>
      <c r="K107" s="675"/>
      <c r="L107" s="675"/>
      <c r="M107" s="676"/>
      <c r="N107" s="675"/>
      <c r="O107" s="677">
        <f t="shared" si="27"/>
        <v>1360.55</v>
      </c>
      <c r="P107" s="672"/>
      <c r="Q107" s="1408"/>
    </row>
    <row r="108" spans="1:19">
      <c r="A108" s="714"/>
      <c r="B108" s="674" t="s">
        <v>7031</v>
      </c>
      <c r="C108" s="675">
        <v>421.22</v>
      </c>
      <c r="D108" s="675">
        <v>592.55999999999995</v>
      </c>
      <c r="E108" s="675">
        <v>557.4</v>
      </c>
      <c r="F108" s="675">
        <v>778.56</v>
      </c>
      <c r="G108" s="675">
        <v>821.4</v>
      </c>
      <c r="H108" s="675">
        <v>787.84</v>
      </c>
      <c r="I108" s="675">
        <v>720.74</v>
      </c>
      <c r="J108" s="675">
        <v>578.15</v>
      </c>
      <c r="K108" s="675">
        <v>754.3</v>
      </c>
      <c r="L108" s="675">
        <v>678.81</v>
      </c>
      <c r="M108" s="675">
        <v>527.83000000000004</v>
      </c>
      <c r="N108" s="675">
        <v>578.15</v>
      </c>
      <c r="O108" s="677">
        <f t="shared" si="27"/>
        <v>7796.9599999999991</v>
      </c>
      <c r="P108" s="681"/>
      <c r="Q108" s="16">
        <f>AVERAGE(C108:J108)/4</f>
        <v>164.3084375</v>
      </c>
      <c r="R108" s="9" t="s">
        <v>7955</v>
      </c>
    </row>
    <row r="109" spans="1:19">
      <c r="A109" s="714"/>
      <c r="B109" s="674" t="s">
        <v>6850</v>
      </c>
      <c r="C109" s="675">
        <f>64.92+38.29+82.59</f>
        <v>185.8</v>
      </c>
      <c r="D109" s="675">
        <f>49.44+57.7</f>
        <v>107.14</v>
      </c>
      <c r="E109" s="675">
        <f>78.2+64.96</f>
        <v>143.16</v>
      </c>
      <c r="F109" s="675">
        <f>16.08+18.61</f>
        <v>34.69</v>
      </c>
      <c r="G109" s="675">
        <f>23.53</f>
        <v>23.53</v>
      </c>
      <c r="H109" s="675"/>
      <c r="I109" s="675"/>
      <c r="J109" s="675"/>
      <c r="K109" s="675"/>
      <c r="L109" s="675"/>
      <c r="M109" s="675"/>
      <c r="N109" s="675"/>
      <c r="O109" s="677">
        <f t="shared" si="27"/>
        <v>494.32000000000005</v>
      </c>
      <c r="P109" s="672"/>
      <c r="Q109" s="1408"/>
    </row>
    <row r="110" spans="1:19">
      <c r="A110" s="714"/>
      <c r="B110" s="674" t="s">
        <v>7019</v>
      </c>
      <c r="C110" s="675"/>
      <c r="D110" s="675"/>
      <c r="E110" s="675"/>
      <c r="F110" s="675">
        <v>25</v>
      </c>
      <c r="G110" s="675">
        <v>100</v>
      </c>
      <c r="H110" s="675">
        <v>900</v>
      </c>
      <c r="I110" s="675"/>
      <c r="J110" s="675"/>
      <c r="K110" s="675">
        <v>1500</v>
      </c>
      <c r="L110" s="675"/>
      <c r="M110" s="675"/>
      <c r="N110" s="675"/>
      <c r="O110" s="677">
        <f t="shared" si="27"/>
        <v>2525</v>
      </c>
      <c r="P110" s="672"/>
      <c r="Q110" s="1408"/>
    </row>
    <row r="111" spans="1:19">
      <c r="A111" s="714"/>
      <c r="B111" s="674" t="s">
        <v>7392</v>
      </c>
      <c r="C111" s="675"/>
      <c r="D111" s="675"/>
      <c r="E111" s="675">
        <v>50</v>
      </c>
      <c r="F111" s="675"/>
      <c r="G111" s="675"/>
      <c r="H111" s="675"/>
      <c r="I111" s="675"/>
      <c r="J111" s="675"/>
      <c r="K111" s="675"/>
      <c r="L111" s="675"/>
      <c r="M111" s="675"/>
      <c r="N111" s="675"/>
      <c r="O111" s="677">
        <f t="shared" si="27"/>
        <v>50</v>
      </c>
      <c r="P111" s="672"/>
      <c r="Q111" s="1408"/>
    </row>
    <row r="112" spans="1:19">
      <c r="A112" s="714"/>
      <c r="B112" s="674" t="s">
        <v>7033</v>
      </c>
      <c r="C112" s="675"/>
      <c r="D112" s="675"/>
      <c r="E112" s="675"/>
      <c r="F112" s="675"/>
      <c r="G112" s="675"/>
      <c r="H112" s="675"/>
      <c r="I112" s="675"/>
      <c r="J112" s="675"/>
      <c r="K112" s="675"/>
      <c r="L112" s="675"/>
      <c r="M112" s="675"/>
      <c r="N112" s="675"/>
      <c r="O112" s="677">
        <f t="shared" si="27"/>
        <v>0</v>
      </c>
      <c r="P112" s="672"/>
      <c r="Q112" s="1408"/>
    </row>
    <row r="113" spans="1:18">
      <c r="A113" s="714"/>
      <c r="B113" s="674" t="s">
        <v>7043</v>
      </c>
      <c r="C113" s="687"/>
      <c r="D113" s="687"/>
      <c r="E113" s="687"/>
      <c r="F113" s="687"/>
      <c r="G113" s="687"/>
      <c r="H113" s="687"/>
      <c r="I113" s="687"/>
      <c r="J113" s="687"/>
      <c r="K113" s="687"/>
      <c r="L113" s="687"/>
      <c r="M113" s="688">
        <v>1393.53</v>
      </c>
      <c r="N113" s="687"/>
      <c r="O113" s="677">
        <f t="shared" si="27"/>
        <v>1393.53</v>
      </c>
      <c r="P113" s="672"/>
      <c r="Q113" s="1408"/>
    </row>
    <row r="114" spans="1:18">
      <c r="A114" s="714"/>
      <c r="B114" s="674" t="s">
        <v>6860</v>
      </c>
      <c r="C114" s="945">
        <v>146.35</v>
      </c>
      <c r="D114" s="945">
        <v>115.21</v>
      </c>
      <c r="E114" s="945" t="s">
        <v>135</v>
      </c>
      <c r="F114" s="945" t="s">
        <v>135</v>
      </c>
      <c r="G114" s="945" t="s">
        <v>135</v>
      </c>
      <c r="H114" s="945" t="s">
        <v>135</v>
      </c>
      <c r="I114" s="945"/>
      <c r="J114" s="945"/>
      <c r="K114" s="945"/>
      <c r="L114" s="945"/>
      <c r="M114" s="945"/>
      <c r="N114" s="945"/>
      <c r="O114" s="668">
        <f t="shared" si="27"/>
        <v>261.56</v>
      </c>
      <c r="P114" s="672"/>
      <c r="Q114" s="1408"/>
    </row>
    <row r="115" spans="1:18">
      <c r="A115" s="714"/>
      <c r="B115" s="674" t="s">
        <v>7035</v>
      </c>
      <c r="C115" s="675"/>
      <c r="D115" s="675"/>
      <c r="E115" s="675" t="s">
        <v>135</v>
      </c>
      <c r="F115" s="675">
        <v>10.69</v>
      </c>
      <c r="G115" s="675" t="s">
        <v>135</v>
      </c>
      <c r="H115" s="675" t="s">
        <v>135</v>
      </c>
      <c r="I115" s="675"/>
      <c r="J115" s="675"/>
      <c r="K115" s="675">
        <v>200</v>
      </c>
      <c r="L115" s="675"/>
      <c r="M115" s="675"/>
      <c r="N115" s="675"/>
      <c r="O115" s="668">
        <f t="shared" si="27"/>
        <v>210.69</v>
      </c>
      <c r="P115" s="672"/>
      <c r="Q115" s="1408"/>
    </row>
    <row r="116" spans="1:18">
      <c r="A116" s="714"/>
      <c r="B116" s="666" t="s">
        <v>6323</v>
      </c>
      <c r="C116" s="677">
        <f t="shared" ref="C116:N116" si="28">SUM(C114:C115)</f>
        <v>146.35</v>
      </c>
      <c r="D116" s="677">
        <f t="shared" si="28"/>
        <v>115.21</v>
      </c>
      <c r="E116" s="677">
        <f t="shared" si="28"/>
        <v>0</v>
      </c>
      <c r="F116" s="677">
        <f t="shared" si="28"/>
        <v>10.69</v>
      </c>
      <c r="G116" s="677">
        <f t="shared" si="28"/>
        <v>0</v>
      </c>
      <c r="H116" s="677">
        <f t="shared" si="28"/>
        <v>0</v>
      </c>
      <c r="I116" s="677">
        <f t="shared" si="28"/>
        <v>0</v>
      </c>
      <c r="J116" s="677">
        <f t="shared" si="28"/>
        <v>0</v>
      </c>
      <c r="K116" s="677">
        <f t="shared" si="28"/>
        <v>200</v>
      </c>
      <c r="L116" s="677">
        <f t="shared" si="28"/>
        <v>0</v>
      </c>
      <c r="M116" s="677">
        <f t="shared" si="28"/>
        <v>0</v>
      </c>
      <c r="N116" s="677">
        <f t="shared" si="28"/>
        <v>0</v>
      </c>
      <c r="O116" s="668">
        <f t="shared" si="27"/>
        <v>472.25</v>
      </c>
      <c r="P116" s="669"/>
      <c r="Q116" s="1408"/>
    </row>
    <row r="117" spans="1:18">
      <c r="A117" s="714"/>
      <c r="B117" s="689" t="s">
        <v>1126</v>
      </c>
      <c r="C117" s="690">
        <f t="shared" ref="C117:N117" si="29">SUM(C106:C115)</f>
        <v>1258.6399999999999</v>
      </c>
      <c r="D117" s="690">
        <f t="shared" si="29"/>
        <v>1320.18</v>
      </c>
      <c r="E117" s="690">
        <f t="shared" si="29"/>
        <v>2616.3799999999997</v>
      </c>
      <c r="F117" s="690">
        <f t="shared" si="29"/>
        <v>1354.21</v>
      </c>
      <c r="G117" s="690">
        <f t="shared" si="29"/>
        <v>1450.2</v>
      </c>
      <c r="H117" s="690">
        <f t="shared" si="29"/>
        <v>2193.11</v>
      </c>
      <c r="I117" s="690">
        <f t="shared" si="29"/>
        <v>1226.01</v>
      </c>
      <c r="J117" s="690">
        <f t="shared" si="29"/>
        <v>1083.42</v>
      </c>
      <c r="K117" s="690">
        <f t="shared" si="29"/>
        <v>2959.5699999999997</v>
      </c>
      <c r="L117" s="690">
        <f t="shared" si="29"/>
        <v>1184.08</v>
      </c>
      <c r="M117" s="690">
        <f t="shared" si="29"/>
        <v>2426.63</v>
      </c>
      <c r="N117" s="690">
        <f t="shared" si="29"/>
        <v>1083.42</v>
      </c>
      <c r="O117" s="995">
        <f>SUM(O107:O115)</f>
        <v>14092.609999999999</v>
      </c>
      <c r="P117" s="691"/>
      <c r="Q117" s="1408"/>
    </row>
    <row r="118" spans="1:18">
      <c r="A118" s="715"/>
      <c r="B118" s="692" t="s">
        <v>791</v>
      </c>
      <c r="C118" s="693">
        <f t="shared" ref="C118:O118" si="30">C103-C117</f>
        <v>341.36000000000013</v>
      </c>
      <c r="D118" s="693">
        <f t="shared" si="30"/>
        <v>279.81999999999994</v>
      </c>
      <c r="E118" s="693">
        <f t="shared" si="30"/>
        <v>-1016.3799999999997</v>
      </c>
      <c r="F118" s="693">
        <f t="shared" si="30"/>
        <v>1045.79</v>
      </c>
      <c r="G118" s="693">
        <f t="shared" si="30"/>
        <v>949.8</v>
      </c>
      <c r="H118" s="693">
        <f t="shared" si="30"/>
        <v>206.88999999999987</v>
      </c>
      <c r="I118" s="693">
        <f t="shared" si="30"/>
        <v>1173.99</v>
      </c>
      <c r="J118" s="693">
        <f t="shared" si="30"/>
        <v>1316.58</v>
      </c>
      <c r="K118" s="693">
        <f t="shared" si="30"/>
        <v>240.43000000000029</v>
      </c>
      <c r="L118" s="693">
        <f t="shared" si="30"/>
        <v>2015.92</v>
      </c>
      <c r="M118" s="693">
        <f t="shared" si="30"/>
        <v>773.36999999999989</v>
      </c>
      <c r="N118" s="693">
        <f t="shared" si="30"/>
        <v>2116.58</v>
      </c>
      <c r="O118" s="693">
        <f t="shared" si="30"/>
        <v>15507.390000000001</v>
      </c>
      <c r="P118" s="694"/>
      <c r="Q118" s="16">
        <f>O118/12</f>
        <v>1292.2825</v>
      </c>
      <c r="R118" s="9" t="s">
        <v>7953</v>
      </c>
    </row>
    <row r="119" spans="1:18">
      <c r="A119" s="947"/>
      <c r="B119" s="950" t="s">
        <v>7036</v>
      </c>
      <c r="C119" s="950">
        <v>0</v>
      </c>
      <c r="D119" s="950">
        <v>0</v>
      </c>
      <c r="E119" s="950">
        <v>0</v>
      </c>
      <c r="F119" s="950">
        <v>0</v>
      </c>
      <c r="G119" s="950">
        <v>0</v>
      </c>
      <c r="H119" s="950">
        <v>0</v>
      </c>
      <c r="I119" s="950">
        <v>0</v>
      </c>
      <c r="J119" s="950">
        <v>0</v>
      </c>
      <c r="K119" s="950">
        <v>0</v>
      </c>
      <c r="L119" s="950">
        <v>0</v>
      </c>
      <c r="M119" s="950">
        <v>0</v>
      </c>
      <c r="N119" s="951">
        <v>0</v>
      </c>
      <c r="O119" s="952">
        <f>SUM(C119:N119)</f>
        <v>0</v>
      </c>
      <c r="P119" s="953"/>
      <c r="Q119" s="16"/>
    </row>
    <row r="120" spans="1:18">
      <c r="A120" s="692"/>
      <c r="B120" s="692" t="s">
        <v>6861</v>
      </c>
      <c r="C120" s="996">
        <f t="shared" ref="C120:O120" si="31">C118-C119</f>
        <v>341.36000000000013</v>
      </c>
      <c r="D120" s="996">
        <f t="shared" si="31"/>
        <v>279.81999999999994</v>
      </c>
      <c r="E120" s="996">
        <f t="shared" si="31"/>
        <v>-1016.3799999999997</v>
      </c>
      <c r="F120" s="956">
        <f t="shared" si="31"/>
        <v>1045.79</v>
      </c>
      <c r="G120" s="996">
        <f t="shared" si="31"/>
        <v>949.8</v>
      </c>
      <c r="H120" s="956">
        <f t="shared" si="31"/>
        <v>206.88999999999987</v>
      </c>
      <c r="I120" s="956">
        <f t="shared" si="31"/>
        <v>1173.99</v>
      </c>
      <c r="J120" s="956">
        <f t="shared" si="31"/>
        <v>1316.58</v>
      </c>
      <c r="K120" s="956">
        <f t="shared" si="31"/>
        <v>240.43000000000029</v>
      </c>
      <c r="L120" s="956">
        <f t="shared" si="31"/>
        <v>2015.92</v>
      </c>
      <c r="M120" s="956">
        <f t="shared" si="31"/>
        <v>773.36999999999989</v>
      </c>
      <c r="N120" s="956">
        <f t="shared" si="31"/>
        <v>2116.58</v>
      </c>
      <c r="O120" s="1432">
        <f t="shared" si="31"/>
        <v>15507.390000000001</v>
      </c>
      <c r="P120" s="709"/>
      <c r="Q120" s="16"/>
    </row>
    <row r="121" spans="1:18">
      <c r="B121" s="2161" t="s">
        <v>7956</v>
      </c>
      <c r="C121" s="2087"/>
      <c r="D121" s="2087"/>
      <c r="E121" s="2087"/>
      <c r="F121" s="2087"/>
      <c r="G121" s="2087"/>
      <c r="H121" s="2087"/>
      <c r="I121" s="2087"/>
      <c r="J121" s="2087"/>
      <c r="K121" s="2087"/>
      <c r="L121" s="2087"/>
      <c r="M121" s="2087"/>
      <c r="N121" s="2087"/>
      <c r="O121" s="2087"/>
      <c r="Q121" s="16" t="s">
        <v>7957</v>
      </c>
      <c r="R121" s="9" t="s">
        <v>3616</v>
      </c>
    </row>
    <row r="122" spans="1:18">
      <c r="B122" s="997"/>
      <c r="C122" s="997"/>
      <c r="D122" s="997"/>
      <c r="E122" s="997"/>
      <c r="F122" s="997"/>
      <c r="G122" s="997"/>
      <c r="H122" s="997"/>
      <c r="I122" s="997"/>
      <c r="J122" s="997"/>
      <c r="K122" s="997"/>
      <c r="L122" s="997"/>
      <c r="M122" s="997"/>
      <c r="N122" s="997"/>
      <c r="O122" s="997"/>
      <c r="P122" s="660"/>
      <c r="Q122" s="16"/>
    </row>
    <row r="123" spans="1:18">
      <c r="A123" s="714"/>
      <c r="B123" s="2126" t="s">
        <v>4423</v>
      </c>
      <c r="C123" s="2127"/>
      <c r="D123" s="2127"/>
      <c r="E123" s="2127"/>
      <c r="F123" s="2127"/>
      <c r="G123" s="2127"/>
      <c r="H123" s="2127"/>
      <c r="I123" s="2127"/>
      <c r="J123" s="2127"/>
      <c r="K123" s="2127"/>
      <c r="L123" s="2127"/>
      <c r="M123" s="2127"/>
      <c r="N123" s="2127"/>
      <c r="O123" s="2128"/>
      <c r="P123" s="661"/>
      <c r="Q123" s="1408" t="s">
        <v>576</v>
      </c>
    </row>
    <row r="124" spans="1:18">
      <c r="A124" s="714"/>
      <c r="B124" s="662">
        <v>2014</v>
      </c>
      <c r="C124" s="663" t="s">
        <v>143</v>
      </c>
      <c r="D124" s="663" t="s">
        <v>26</v>
      </c>
      <c r="E124" s="663" t="s">
        <v>25</v>
      </c>
      <c r="F124" s="663" t="s">
        <v>24</v>
      </c>
      <c r="G124" s="663" t="s">
        <v>23</v>
      </c>
      <c r="H124" s="663" t="s">
        <v>22</v>
      </c>
      <c r="I124" s="663" t="s">
        <v>21</v>
      </c>
      <c r="J124" s="663" t="s">
        <v>20</v>
      </c>
      <c r="K124" s="663" t="s">
        <v>256</v>
      </c>
      <c r="L124" s="663" t="s">
        <v>18</v>
      </c>
      <c r="M124" s="663" t="s">
        <v>17</v>
      </c>
      <c r="N124" s="663" t="s">
        <v>86</v>
      </c>
      <c r="O124" s="664" t="s">
        <v>67</v>
      </c>
      <c r="P124" s="665"/>
      <c r="Q124" s="1408" t="s">
        <v>7958</v>
      </c>
    </row>
    <row r="125" spans="1:18">
      <c r="A125" s="714"/>
      <c r="B125" s="666" t="s">
        <v>4424</v>
      </c>
      <c r="C125" s="671"/>
      <c r="D125" s="671"/>
      <c r="E125" s="671"/>
      <c r="F125" s="671"/>
      <c r="G125" s="671"/>
      <c r="H125" s="671"/>
      <c r="I125" s="671"/>
      <c r="J125" s="671"/>
      <c r="K125" s="671"/>
      <c r="L125" s="671"/>
      <c r="M125" s="671"/>
      <c r="N125" s="671"/>
      <c r="O125" s="668"/>
      <c r="P125" s="672"/>
      <c r="Q125" s="1408"/>
    </row>
    <row r="126" spans="1:18">
      <c r="A126" s="714"/>
      <c r="B126" s="674" t="s">
        <v>5056</v>
      </c>
      <c r="C126" s="675"/>
      <c r="D126" s="675"/>
      <c r="E126" s="675"/>
      <c r="F126" s="675"/>
      <c r="G126" s="675"/>
      <c r="H126" s="675"/>
      <c r="I126" s="675"/>
      <c r="J126" s="675"/>
      <c r="K126" s="675"/>
      <c r="L126" s="675"/>
      <c r="M126" s="685"/>
      <c r="N126" s="675"/>
      <c r="O126" s="668">
        <f t="shared" ref="O126:O136" si="32">SUM(C126:N126)</f>
        <v>0</v>
      </c>
      <c r="P126" s="672"/>
      <c r="Q126" s="1408">
        <v>100</v>
      </c>
    </row>
    <row r="127" spans="1:18">
      <c r="A127" s="714"/>
      <c r="B127" s="674" t="s">
        <v>7401</v>
      </c>
      <c r="C127" s="675">
        <v>15</v>
      </c>
      <c r="D127" s="675">
        <v>15</v>
      </c>
      <c r="E127" s="675">
        <v>15</v>
      </c>
      <c r="F127" s="675">
        <v>15</v>
      </c>
      <c r="G127" s="675">
        <v>15</v>
      </c>
      <c r="H127" s="675">
        <v>15</v>
      </c>
      <c r="I127" s="675">
        <v>15</v>
      </c>
      <c r="J127" s="675">
        <v>15</v>
      </c>
      <c r="K127" s="675">
        <v>15</v>
      </c>
      <c r="L127" s="675">
        <v>16.5</v>
      </c>
      <c r="M127" s="675">
        <v>16.5</v>
      </c>
      <c r="N127" s="675">
        <v>16.5</v>
      </c>
      <c r="O127" s="668">
        <f t="shared" si="32"/>
        <v>184.5</v>
      </c>
      <c r="P127" s="672"/>
      <c r="Q127" s="1408">
        <f>15*12</f>
        <v>180</v>
      </c>
    </row>
    <row r="128" spans="1:18">
      <c r="A128" s="714"/>
      <c r="B128" s="674" t="s">
        <v>4426</v>
      </c>
      <c r="C128" s="685"/>
      <c r="D128" s="675"/>
      <c r="E128" s="675"/>
      <c r="F128" s="675"/>
      <c r="G128" s="675"/>
      <c r="H128" s="675"/>
      <c r="I128" s="675"/>
      <c r="J128" s="675"/>
      <c r="K128" s="675"/>
      <c r="L128" s="675"/>
      <c r="M128" s="675"/>
      <c r="N128" s="675"/>
      <c r="O128" s="668">
        <f t="shared" si="32"/>
        <v>0</v>
      </c>
      <c r="P128" s="672"/>
      <c r="Q128" s="1408">
        <v>60</v>
      </c>
    </row>
    <row r="129" spans="1:18">
      <c r="A129" s="714"/>
      <c r="B129" s="674" t="s">
        <v>2329</v>
      </c>
      <c r="C129" s="675"/>
      <c r="D129" s="675"/>
      <c r="E129" s="675"/>
      <c r="F129" s="675"/>
      <c r="G129" s="675"/>
      <c r="H129" s="675"/>
      <c r="I129" s="675"/>
      <c r="J129" s="675"/>
      <c r="K129" s="675"/>
      <c r="L129" s="675"/>
      <c r="M129" s="685"/>
      <c r="N129" s="675"/>
      <c r="O129" s="668">
        <f t="shared" si="32"/>
        <v>0</v>
      </c>
      <c r="P129" s="672"/>
      <c r="Q129" s="1408">
        <v>100</v>
      </c>
    </row>
    <row r="130" spans="1:18">
      <c r="A130" s="714"/>
      <c r="B130" s="674" t="s">
        <v>7047</v>
      </c>
      <c r="C130" s="675"/>
      <c r="D130" s="675"/>
      <c r="E130" s="675">
        <v>100</v>
      </c>
      <c r="F130" s="675"/>
      <c r="G130" s="675" t="s">
        <v>135</v>
      </c>
      <c r="H130" s="675"/>
      <c r="I130" s="675"/>
      <c r="J130" s="675"/>
      <c r="K130" s="675"/>
      <c r="L130" s="675"/>
      <c r="M130" s="675"/>
      <c r="N130" s="675"/>
      <c r="O130" s="668">
        <f t="shared" si="32"/>
        <v>100</v>
      </c>
      <c r="P130" s="672"/>
      <c r="Q130" s="1408">
        <v>100</v>
      </c>
    </row>
    <row r="131" spans="1:18">
      <c r="A131" s="714"/>
      <c r="B131" s="674" t="s">
        <v>6865</v>
      </c>
      <c r="C131" s="675"/>
      <c r="D131" s="675"/>
      <c r="E131" s="675"/>
      <c r="F131" s="675"/>
      <c r="G131" s="675">
        <v>150</v>
      </c>
      <c r="H131" s="675"/>
      <c r="I131" s="675"/>
      <c r="J131" s="675"/>
      <c r="K131" s="675"/>
      <c r="L131" s="675"/>
      <c r="M131" s="675"/>
      <c r="N131" s="675"/>
      <c r="O131" s="668">
        <f t="shared" si="32"/>
        <v>150</v>
      </c>
      <c r="P131" s="672"/>
      <c r="Q131" s="1408">
        <v>150</v>
      </c>
    </row>
    <row r="132" spans="1:18">
      <c r="A132" s="714"/>
      <c r="B132" s="674" t="s">
        <v>7959</v>
      </c>
      <c r="C132" s="675"/>
      <c r="D132" s="675"/>
      <c r="E132" s="675"/>
      <c r="F132" s="675"/>
      <c r="G132" s="675">
        <v>100</v>
      </c>
      <c r="H132" s="675"/>
      <c r="I132" s="675"/>
      <c r="J132" s="675"/>
      <c r="K132" s="675"/>
      <c r="L132" s="675"/>
      <c r="M132" s="675"/>
      <c r="N132" s="675"/>
      <c r="O132" s="668">
        <f t="shared" si="32"/>
        <v>100</v>
      </c>
      <c r="P132" s="672"/>
      <c r="Q132" s="1408">
        <v>160</v>
      </c>
    </row>
    <row r="133" spans="1:18">
      <c r="A133" s="714"/>
      <c r="B133" s="674" t="s">
        <v>4310</v>
      </c>
      <c r="C133" s="675"/>
      <c r="D133" s="675"/>
      <c r="E133" s="675" t="s">
        <v>135</v>
      </c>
      <c r="F133" s="675"/>
      <c r="G133" s="675">
        <v>100</v>
      </c>
      <c r="H133" s="675"/>
      <c r="I133" s="675"/>
      <c r="J133" s="675"/>
      <c r="K133" s="675"/>
      <c r="L133" s="675"/>
      <c r="M133" s="675"/>
      <c r="N133" s="675"/>
      <c r="O133" s="668">
        <f t="shared" si="32"/>
        <v>100</v>
      </c>
      <c r="P133" s="672"/>
      <c r="Q133" s="1408">
        <v>100</v>
      </c>
    </row>
    <row r="134" spans="1:18">
      <c r="A134" s="714"/>
      <c r="B134" s="674" t="s">
        <v>7418</v>
      </c>
      <c r="C134" s="675"/>
      <c r="D134" s="675"/>
      <c r="E134" s="675"/>
      <c r="F134" s="675"/>
      <c r="G134" s="675"/>
      <c r="H134" s="675"/>
      <c r="I134" s="675"/>
      <c r="J134" s="675"/>
      <c r="K134" s="675"/>
      <c r="L134" s="675"/>
      <c r="M134" s="675"/>
      <c r="N134" s="675"/>
      <c r="O134" s="668">
        <f t="shared" si="32"/>
        <v>0</v>
      </c>
      <c r="P134" s="672"/>
      <c r="Q134" s="1408">
        <v>100</v>
      </c>
    </row>
    <row r="135" spans="1:18">
      <c r="A135" s="714"/>
      <c r="B135" s="674" t="s">
        <v>135</v>
      </c>
      <c r="C135" s="675"/>
      <c r="D135" s="675"/>
      <c r="E135" s="675"/>
      <c r="F135" s="675"/>
      <c r="G135" s="675"/>
      <c r="H135" s="675"/>
      <c r="I135" s="675"/>
      <c r="J135" s="675"/>
      <c r="K135" s="675"/>
      <c r="L135" s="675"/>
      <c r="M135" s="675"/>
      <c r="N135" s="675"/>
      <c r="O135" s="668">
        <f t="shared" si="32"/>
        <v>0</v>
      </c>
      <c r="P135" s="672"/>
      <c r="Q135" s="1408"/>
    </row>
    <row r="136" spans="1:18">
      <c r="A136" s="714"/>
      <c r="B136" s="674" t="s">
        <v>4434</v>
      </c>
      <c r="C136" s="675">
        <v>-20</v>
      </c>
      <c r="D136" s="675">
        <v>-20</v>
      </c>
      <c r="E136" s="675">
        <v>-20</v>
      </c>
      <c r="F136" s="675">
        <v>-20</v>
      </c>
      <c r="G136" s="675">
        <v>-20</v>
      </c>
      <c r="H136" s="675">
        <v>-20</v>
      </c>
      <c r="I136" s="675">
        <v>-20</v>
      </c>
      <c r="J136" s="675">
        <v>-20</v>
      </c>
      <c r="K136" s="675">
        <v>-20</v>
      </c>
      <c r="L136" s="675">
        <v>-20</v>
      </c>
      <c r="M136" s="675">
        <v>-20</v>
      </c>
      <c r="N136" s="675">
        <v>-20</v>
      </c>
      <c r="O136" s="668">
        <f t="shared" si="32"/>
        <v>-240</v>
      </c>
      <c r="P136" s="672"/>
      <c r="Q136" s="1408">
        <v>-240</v>
      </c>
    </row>
    <row r="137" spans="1:18">
      <c r="A137" s="715"/>
      <c r="B137" s="677" t="s">
        <v>4435</v>
      </c>
      <c r="C137" s="677">
        <f t="shared" ref="C137:O137" si="33">SUM(C126:C136)</f>
        <v>-5</v>
      </c>
      <c r="D137" s="677">
        <f t="shared" si="33"/>
        <v>-5</v>
      </c>
      <c r="E137" s="677">
        <f t="shared" si="33"/>
        <v>95</v>
      </c>
      <c r="F137" s="677">
        <f t="shared" si="33"/>
        <v>-5</v>
      </c>
      <c r="G137" s="677">
        <f t="shared" si="33"/>
        <v>345</v>
      </c>
      <c r="H137" s="677">
        <f t="shared" si="33"/>
        <v>-5</v>
      </c>
      <c r="I137" s="677">
        <f t="shared" si="33"/>
        <v>-5</v>
      </c>
      <c r="J137" s="677">
        <f t="shared" si="33"/>
        <v>-5</v>
      </c>
      <c r="K137" s="677">
        <f t="shared" si="33"/>
        <v>-5</v>
      </c>
      <c r="L137" s="677">
        <f t="shared" si="33"/>
        <v>-3.5</v>
      </c>
      <c r="M137" s="677">
        <f t="shared" si="33"/>
        <v>-3.5</v>
      </c>
      <c r="N137" s="677">
        <f t="shared" si="33"/>
        <v>-3.5</v>
      </c>
      <c r="O137" s="677">
        <f t="shared" si="33"/>
        <v>394.5</v>
      </c>
      <c r="P137" s="691"/>
      <c r="Q137" s="1408">
        <f>SUM(Q126:Q136)</f>
        <v>810</v>
      </c>
    </row>
    <row r="138" spans="1:18">
      <c r="A138" s="715" t="s">
        <v>135</v>
      </c>
      <c r="B138" s="709" t="s">
        <v>135</v>
      </c>
      <c r="C138" s="709"/>
      <c r="D138" s="709"/>
      <c r="E138" s="709"/>
      <c r="F138" s="709"/>
      <c r="G138" s="709"/>
      <c r="H138" s="709"/>
      <c r="I138" s="709"/>
      <c r="J138" s="709"/>
      <c r="K138" s="709"/>
      <c r="L138" s="709"/>
      <c r="M138" s="709"/>
      <c r="N138" s="709"/>
      <c r="O138" s="709"/>
      <c r="P138" s="710"/>
      <c r="Q138" s="16"/>
    </row>
    <row r="139" spans="1:18">
      <c r="B139" s="578"/>
      <c r="C139" s="578"/>
      <c r="D139" s="578"/>
      <c r="E139" s="578"/>
      <c r="F139" s="578"/>
      <c r="G139" s="578"/>
      <c r="H139" s="578"/>
      <c r="I139" s="578"/>
      <c r="J139" s="578"/>
      <c r="K139" s="578"/>
      <c r="L139" s="578"/>
      <c r="M139" s="2129" t="s">
        <v>4436</v>
      </c>
      <c r="N139" s="2087"/>
      <c r="O139" s="578">
        <f>O137/12</f>
        <v>32.875</v>
      </c>
      <c r="P139" s="712"/>
      <c r="Q139" s="16">
        <f>Q137/12</f>
        <v>67.5</v>
      </c>
    </row>
    <row r="140" spans="1:18">
      <c r="B140" s="578"/>
      <c r="C140" s="578"/>
      <c r="D140" s="578"/>
      <c r="E140" s="578"/>
      <c r="F140" s="578"/>
      <c r="G140" s="578"/>
      <c r="H140" s="578"/>
      <c r="I140" s="578"/>
      <c r="J140" s="578"/>
      <c r="K140" s="578"/>
      <c r="L140" s="578"/>
      <c r="M140" s="578"/>
      <c r="N140" s="578"/>
      <c r="O140" s="578"/>
      <c r="Q140" s="16"/>
    </row>
    <row r="141" spans="1:18">
      <c r="B141" s="578"/>
      <c r="C141" s="578"/>
      <c r="D141" s="578"/>
      <c r="E141" s="578"/>
      <c r="F141" s="578"/>
      <c r="G141" s="578"/>
      <c r="H141" s="578"/>
      <c r="I141" s="578"/>
      <c r="J141" s="578"/>
      <c r="K141" s="578"/>
      <c r="L141" s="578"/>
      <c r="M141" s="578"/>
      <c r="N141" s="578"/>
      <c r="O141" s="578"/>
      <c r="Q141" s="16"/>
    </row>
    <row r="142" spans="1:18">
      <c r="B142" s="578"/>
      <c r="C142" s="578"/>
      <c r="D142" s="578"/>
      <c r="E142" s="578"/>
      <c r="F142" s="578"/>
      <c r="G142" s="578"/>
      <c r="H142" s="578"/>
      <c r="I142" s="578"/>
      <c r="J142" s="578"/>
      <c r="K142" s="578"/>
      <c r="L142" s="578"/>
      <c r="M142" s="578"/>
      <c r="N142" s="578"/>
      <c r="O142" s="578"/>
      <c r="Q142" s="16">
        <f>Q47</f>
        <v>99.239166666666662</v>
      </c>
      <c r="R142" s="9">
        <v>344</v>
      </c>
    </row>
    <row r="143" spans="1:18">
      <c r="B143" s="997"/>
      <c r="C143" s="997"/>
      <c r="D143" s="997"/>
      <c r="E143" s="997"/>
      <c r="F143" s="997"/>
      <c r="G143" s="997"/>
      <c r="H143" s="997"/>
      <c r="I143" s="997"/>
      <c r="J143" s="997"/>
      <c r="K143" s="997"/>
      <c r="L143" s="997"/>
      <c r="M143" s="997"/>
      <c r="N143" s="997"/>
      <c r="O143" s="997"/>
      <c r="P143" s="660"/>
      <c r="Q143" s="16"/>
    </row>
    <row r="144" spans="1:18">
      <c r="A144" s="714"/>
      <c r="B144" s="2126" t="s">
        <v>7051</v>
      </c>
      <c r="C144" s="2127"/>
      <c r="D144" s="2127"/>
      <c r="E144" s="2127"/>
      <c r="F144" s="2127"/>
      <c r="G144" s="2127"/>
      <c r="H144" s="2127"/>
      <c r="I144" s="2127"/>
      <c r="J144" s="2127"/>
      <c r="K144" s="2127"/>
      <c r="L144" s="2127"/>
      <c r="M144" s="2127"/>
      <c r="N144" s="2127"/>
      <c r="O144" s="2128"/>
      <c r="P144" s="661"/>
      <c r="Q144" s="1408"/>
    </row>
    <row r="145" spans="1:22">
      <c r="A145" s="714"/>
      <c r="B145" s="662">
        <v>2014</v>
      </c>
      <c r="C145" s="663" t="s">
        <v>143</v>
      </c>
      <c r="D145" s="663" t="s">
        <v>26</v>
      </c>
      <c r="E145" s="663" t="s">
        <v>25</v>
      </c>
      <c r="F145" s="663" t="s">
        <v>24</v>
      </c>
      <c r="G145" s="663" t="s">
        <v>23</v>
      </c>
      <c r="H145" s="663" t="s">
        <v>22</v>
      </c>
      <c r="I145" s="663" t="s">
        <v>21</v>
      </c>
      <c r="J145" s="663" t="s">
        <v>20</v>
      </c>
      <c r="K145" s="663" t="s">
        <v>256</v>
      </c>
      <c r="L145" s="663" t="s">
        <v>18</v>
      </c>
      <c r="M145" s="663" t="s">
        <v>17</v>
      </c>
      <c r="N145" s="663" t="s">
        <v>86</v>
      </c>
      <c r="O145" s="664" t="s">
        <v>67</v>
      </c>
      <c r="P145" s="665"/>
      <c r="Q145" s="1408"/>
      <c r="R145" s="578"/>
      <c r="S145" s="578"/>
      <c r="T145" s="578"/>
      <c r="U145" s="578"/>
      <c r="V145" s="578"/>
    </row>
    <row r="146" spans="1:22">
      <c r="A146" s="714"/>
      <c r="B146" s="666" t="s">
        <v>4397</v>
      </c>
      <c r="C146" s="671"/>
      <c r="D146" s="671"/>
      <c r="E146" s="671"/>
      <c r="F146" s="671"/>
      <c r="G146" s="671"/>
      <c r="H146" s="671"/>
      <c r="I146" s="671"/>
      <c r="J146" s="671"/>
      <c r="K146" s="671"/>
      <c r="L146" s="671"/>
      <c r="M146" s="671"/>
      <c r="N146" s="671"/>
      <c r="O146" s="668"/>
      <c r="P146" s="672"/>
      <c r="Q146" s="1408"/>
    </row>
    <row r="147" spans="1:22">
      <c r="A147" s="714"/>
      <c r="B147" s="674" t="s">
        <v>4399</v>
      </c>
      <c r="C147" s="675"/>
      <c r="D147" s="675"/>
      <c r="E147" s="675"/>
      <c r="F147" s="675"/>
      <c r="G147" s="675"/>
      <c r="H147" s="675"/>
      <c r="I147" s="675"/>
      <c r="J147" s="675"/>
      <c r="K147" s="675"/>
      <c r="L147" s="675"/>
      <c r="M147" s="675"/>
      <c r="N147" s="675"/>
      <c r="O147" s="668">
        <f>SUM(C147:N147)</f>
        <v>0</v>
      </c>
      <c r="P147" s="672"/>
      <c r="Q147" s="1408"/>
    </row>
    <row r="148" spans="1:22">
      <c r="A148" s="714"/>
      <c r="B148" s="674" t="s">
        <v>6850</v>
      </c>
      <c r="C148" s="675"/>
      <c r="D148" s="675"/>
      <c r="E148" s="675"/>
      <c r="F148" s="675"/>
      <c r="G148" s="675"/>
      <c r="H148" s="675"/>
      <c r="I148" s="675"/>
      <c r="J148" s="675"/>
      <c r="K148" s="675"/>
      <c r="L148" s="675"/>
      <c r="M148" s="675"/>
      <c r="N148" s="675"/>
      <c r="O148" s="668">
        <f>SUM(C148:N148)</f>
        <v>0</v>
      </c>
      <c r="P148" s="672"/>
      <c r="Q148" s="1408"/>
    </row>
    <row r="149" spans="1:22">
      <c r="A149" s="714"/>
      <c r="B149" s="674" t="s">
        <v>5684</v>
      </c>
      <c r="C149" s="675"/>
      <c r="D149" s="675"/>
      <c r="E149" s="675"/>
      <c r="F149" s="675"/>
      <c r="G149" s="675"/>
      <c r="H149" s="675"/>
      <c r="I149" s="675"/>
      <c r="J149" s="675"/>
      <c r="K149" s="675"/>
      <c r="L149" s="675"/>
      <c r="M149" s="675"/>
      <c r="N149" s="675"/>
      <c r="O149" s="668">
        <f>SUM(C149:N149)</f>
        <v>0</v>
      </c>
      <c r="P149" s="672"/>
      <c r="Q149" s="1408"/>
    </row>
    <row r="150" spans="1:22">
      <c r="A150" s="714"/>
      <c r="B150" s="674" t="s">
        <v>7052</v>
      </c>
      <c r="C150" s="675"/>
      <c r="D150" s="675"/>
      <c r="E150" s="675"/>
      <c r="F150" s="675"/>
      <c r="G150" s="675"/>
      <c r="H150" s="675"/>
      <c r="I150" s="675"/>
      <c r="J150" s="675"/>
      <c r="K150" s="675"/>
      <c r="L150" s="675"/>
      <c r="M150" s="675"/>
      <c r="N150" s="675"/>
      <c r="O150" s="668"/>
      <c r="P150" s="672"/>
      <c r="Q150" s="1408"/>
    </row>
    <row r="151" spans="1:22">
      <c r="A151" s="714"/>
      <c r="B151" s="674" t="s">
        <v>7053</v>
      </c>
      <c r="C151" s="675"/>
      <c r="D151" s="675"/>
      <c r="E151" s="675"/>
      <c r="F151" s="675"/>
      <c r="G151" s="675"/>
      <c r="H151" s="675"/>
      <c r="I151" s="675"/>
      <c r="J151" s="675"/>
      <c r="K151" s="675"/>
      <c r="L151" s="675"/>
      <c r="M151" s="675"/>
      <c r="N151" s="675"/>
      <c r="O151" s="668"/>
      <c r="P151" s="672"/>
      <c r="Q151" s="1408"/>
    </row>
    <row r="152" spans="1:22">
      <c r="A152" s="714"/>
      <c r="B152" s="674" t="s">
        <v>7054</v>
      </c>
      <c r="C152" s="675"/>
      <c r="D152" s="675"/>
      <c r="E152" s="675"/>
      <c r="F152" s="675"/>
      <c r="G152" s="675"/>
      <c r="H152" s="675"/>
      <c r="I152" s="675"/>
      <c r="J152" s="675"/>
      <c r="K152" s="675"/>
      <c r="L152" s="675"/>
      <c r="M152" s="675"/>
      <c r="N152" s="675"/>
      <c r="O152" s="668"/>
      <c r="P152" s="672"/>
      <c r="Q152" s="1408"/>
    </row>
    <row r="153" spans="1:22">
      <c r="A153" s="714"/>
      <c r="B153" s="674" t="s">
        <v>7055</v>
      </c>
      <c r="C153" s="675"/>
      <c r="D153" s="675"/>
      <c r="E153" s="675"/>
      <c r="F153" s="675"/>
      <c r="G153" s="675"/>
      <c r="H153" s="675"/>
      <c r="I153" s="675"/>
      <c r="J153" s="675"/>
      <c r="K153" s="675"/>
      <c r="L153" s="675"/>
      <c r="M153" s="675"/>
      <c r="N153" s="675"/>
      <c r="O153" s="668"/>
      <c r="P153" s="672"/>
      <c r="Q153" s="1408"/>
    </row>
    <row r="154" spans="1:22">
      <c r="A154" s="714"/>
      <c r="B154" s="674" t="s">
        <v>7056</v>
      </c>
      <c r="C154" s="675"/>
      <c r="D154" s="675"/>
      <c r="E154" s="675"/>
      <c r="F154" s="675"/>
      <c r="G154" s="675"/>
      <c r="H154" s="675"/>
      <c r="I154" s="675"/>
      <c r="J154" s="675"/>
      <c r="K154" s="675"/>
      <c r="L154" s="675"/>
      <c r="M154" s="675"/>
      <c r="N154" s="675"/>
      <c r="O154" s="668"/>
      <c r="P154" s="672"/>
      <c r="Q154" s="1408"/>
    </row>
    <row r="155" spans="1:22">
      <c r="A155" s="714"/>
      <c r="B155" s="674" t="s">
        <v>5024</v>
      </c>
      <c r="C155" s="675"/>
      <c r="D155" s="675"/>
      <c r="E155" s="675"/>
      <c r="F155" s="675"/>
      <c r="G155" s="675"/>
      <c r="H155" s="675"/>
      <c r="I155" s="675"/>
      <c r="J155" s="675"/>
      <c r="K155" s="675"/>
      <c r="L155" s="675"/>
      <c r="M155" s="675"/>
      <c r="N155" s="675"/>
      <c r="O155" s="668"/>
      <c r="P155" s="672"/>
      <c r="Q155" s="1408"/>
    </row>
    <row r="156" spans="1:22">
      <c r="A156" s="714"/>
      <c r="B156" s="674" t="s">
        <v>1125</v>
      </c>
      <c r="C156" s="675"/>
      <c r="D156" s="675"/>
      <c r="E156" s="675"/>
      <c r="F156" s="675"/>
      <c r="G156" s="675"/>
      <c r="H156" s="675"/>
      <c r="I156" s="675"/>
      <c r="J156" s="675"/>
      <c r="K156" s="675"/>
      <c r="L156" s="675"/>
      <c r="M156" s="675"/>
      <c r="N156" s="675"/>
      <c r="O156" s="668">
        <f>SUM(C156:N156)</f>
        <v>0</v>
      </c>
      <c r="P156" s="672"/>
      <c r="Q156" s="1408"/>
    </row>
    <row r="157" spans="1:22">
      <c r="A157" s="714"/>
      <c r="B157" s="674" t="s">
        <v>7057</v>
      </c>
      <c r="C157" s="675"/>
      <c r="D157" s="675" t="s">
        <v>135</v>
      </c>
      <c r="E157" s="675"/>
      <c r="F157" s="675" t="s">
        <v>135</v>
      </c>
      <c r="G157" s="675"/>
      <c r="H157" s="675"/>
      <c r="I157" s="675"/>
      <c r="J157" s="675"/>
      <c r="K157" s="675"/>
      <c r="L157" s="675"/>
      <c r="M157" s="675"/>
      <c r="N157" s="675"/>
      <c r="O157" s="668">
        <f>SUM(C157:N157)</f>
        <v>0</v>
      </c>
      <c r="P157" s="672"/>
      <c r="Q157" s="1408"/>
    </row>
    <row r="158" spans="1:22">
      <c r="A158" s="714"/>
      <c r="B158" s="689" t="s">
        <v>1126</v>
      </c>
      <c r="C158" s="690">
        <f t="shared" ref="C158:O158" si="34">SUM(C147:C157)</f>
        <v>0</v>
      </c>
      <c r="D158" s="690">
        <f t="shared" si="34"/>
        <v>0</v>
      </c>
      <c r="E158" s="690">
        <f t="shared" si="34"/>
        <v>0</v>
      </c>
      <c r="F158" s="690">
        <f t="shared" si="34"/>
        <v>0</v>
      </c>
      <c r="G158" s="690">
        <f t="shared" si="34"/>
        <v>0</v>
      </c>
      <c r="H158" s="690">
        <f t="shared" si="34"/>
        <v>0</v>
      </c>
      <c r="I158" s="690">
        <f t="shared" si="34"/>
        <v>0</v>
      </c>
      <c r="J158" s="690">
        <f t="shared" si="34"/>
        <v>0</v>
      </c>
      <c r="K158" s="690">
        <f t="shared" si="34"/>
        <v>0</v>
      </c>
      <c r="L158" s="690">
        <f t="shared" si="34"/>
        <v>0</v>
      </c>
      <c r="M158" s="690">
        <f t="shared" si="34"/>
        <v>0</v>
      </c>
      <c r="N158" s="690">
        <f t="shared" si="34"/>
        <v>0</v>
      </c>
      <c r="O158" s="995">
        <f t="shared" si="34"/>
        <v>0</v>
      </c>
      <c r="P158" s="691"/>
      <c r="Q158" s="1411"/>
      <c r="R158" s="1412"/>
      <c r="S158" s="1412"/>
      <c r="T158" s="1412"/>
      <c r="U158" s="1412"/>
      <c r="V158" s="1412"/>
    </row>
    <row r="159" spans="1:22">
      <c r="A159" s="715"/>
      <c r="B159" s="692" t="s">
        <v>791</v>
      </c>
      <c r="C159" s="693" t="e">
        <f t="shared" ref="C159:O159" si="35">""-C158</f>
        <v>#VALUE!</v>
      </c>
      <c r="D159" s="693" t="e">
        <f t="shared" si="35"/>
        <v>#VALUE!</v>
      </c>
      <c r="E159" s="693" t="e">
        <f t="shared" si="35"/>
        <v>#VALUE!</v>
      </c>
      <c r="F159" s="693" t="e">
        <f t="shared" si="35"/>
        <v>#VALUE!</v>
      </c>
      <c r="G159" s="693" t="e">
        <f t="shared" si="35"/>
        <v>#VALUE!</v>
      </c>
      <c r="H159" s="693" t="e">
        <f t="shared" si="35"/>
        <v>#VALUE!</v>
      </c>
      <c r="I159" s="693" t="e">
        <f t="shared" si="35"/>
        <v>#VALUE!</v>
      </c>
      <c r="J159" s="693" t="e">
        <f t="shared" si="35"/>
        <v>#VALUE!</v>
      </c>
      <c r="K159" s="693" t="e">
        <f t="shared" si="35"/>
        <v>#VALUE!</v>
      </c>
      <c r="L159" s="693" t="e">
        <f t="shared" si="35"/>
        <v>#VALUE!</v>
      </c>
      <c r="M159" s="693" t="e">
        <f t="shared" si="35"/>
        <v>#VALUE!</v>
      </c>
      <c r="N159" s="693" t="e">
        <f t="shared" si="35"/>
        <v>#VALUE!</v>
      </c>
      <c r="O159" s="693" t="e">
        <f t="shared" si="35"/>
        <v>#VALUE!</v>
      </c>
      <c r="P159" s="694"/>
      <c r="Q159" s="16"/>
    </row>
    <row r="160" spans="1:22">
      <c r="B160" s="2130" t="s">
        <v>5766</v>
      </c>
      <c r="C160" s="2087"/>
      <c r="D160" s="2087"/>
      <c r="E160" s="2087"/>
      <c r="F160" s="2087"/>
      <c r="G160" s="2087"/>
      <c r="H160" s="2087"/>
      <c r="I160" s="2087"/>
      <c r="J160" s="2087"/>
      <c r="K160" s="2087"/>
      <c r="L160" s="2087"/>
      <c r="M160" s="2087"/>
      <c r="N160" s="2087"/>
      <c r="P160" s="712"/>
      <c r="Q160" s="16"/>
    </row>
    <row r="161" spans="1:22">
      <c r="Q161" s="16"/>
    </row>
    <row r="162" spans="1:22">
      <c r="Q162" s="16"/>
    </row>
    <row r="163" spans="1:22">
      <c r="Q163" s="16"/>
    </row>
    <row r="164" spans="1:22">
      <c r="Q164" s="16"/>
    </row>
    <row r="165" spans="1:22">
      <c r="Q165" s="16"/>
    </row>
    <row r="166" spans="1:22">
      <c r="Q166" s="16"/>
    </row>
    <row r="167" spans="1:22">
      <c r="Q167" s="16"/>
    </row>
    <row r="168" spans="1:22">
      <c r="Q168" s="16"/>
    </row>
    <row r="169" spans="1:22">
      <c r="A169" s="660"/>
      <c r="B169" s="660"/>
      <c r="C169" s="660"/>
      <c r="D169" s="660"/>
      <c r="E169" s="660"/>
      <c r="F169" s="660"/>
      <c r="G169" s="660"/>
      <c r="H169" s="1415"/>
      <c r="I169" s="1415"/>
      <c r="J169" s="1415"/>
      <c r="K169" s="1415"/>
      <c r="L169" s="1415"/>
      <c r="M169" s="1415"/>
      <c r="N169" s="1416"/>
      <c r="O169" s="1416"/>
      <c r="P169" s="1416"/>
      <c r="Q169" s="912"/>
      <c r="R169" s="581"/>
      <c r="S169" s="581"/>
      <c r="T169" s="581"/>
      <c r="U169" s="581"/>
      <c r="V169" s="581"/>
    </row>
    <row r="170" spans="1:22">
      <c r="A170" s="1433"/>
      <c r="B170" s="2283" t="s">
        <v>8021</v>
      </c>
      <c r="C170" s="2284"/>
      <c r="D170" s="2284"/>
      <c r="E170" s="2284"/>
      <c r="F170" s="2284"/>
      <c r="G170" s="2284"/>
      <c r="H170" s="2284"/>
      <c r="I170" s="2284"/>
      <c r="J170" s="2284"/>
      <c r="K170" s="2284"/>
      <c r="L170" s="2284"/>
      <c r="M170" s="2284"/>
      <c r="N170" s="2284"/>
      <c r="O170" s="2285"/>
      <c r="P170" s="1433"/>
      <c r="Q170" s="1434"/>
      <c r="R170" s="581"/>
      <c r="S170" s="581"/>
      <c r="T170" s="581"/>
      <c r="U170" s="581"/>
      <c r="V170" s="581"/>
    </row>
    <row r="171" spans="1:22">
      <c r="A171" s="1433"/>
      <c r="B171" s="1435" t="s">
        <v>8013</v>
      </c>
      <c r="C171" s="1436" t="s">
        <v>143</v>
      </c>
      <c r="D171" s="1436" t="s">
        <v>26</v>
      </c>
      <c r="E171" s="1436" t="s">
        <v>25</v>
      </c>
      <c r="F171" s="1436" t="s">
        <v>24</v>
      </c>
      <c r="G171" s="1436" t="s">
        <v>23</v>
      </c>
      <c r="H171" s="1436" t="s">
        <v>22</v>
      </c>
      <c r="I171" s="1436" t="s">
        <v>21</v>
      </c>
      <c r="J171" s="1436" t="s">
        <v>20</v>
      </c>
      <c r="K171" s="1436" t="s">
        <v>256</v>
      </c>
      <c r="L171" s="1436" t="s">
        <v>18</v>
      </c>
      <c r="M171" s="1436" t="s">
        <v>17</v>
      </c>
      <c r="N171" s="1436" t="s">
        <v>86</v>
      </c>
      <c r="O171" s="1437" t="s">
        <v>8022</v>
      </c>
      <c r="P171" s="1438"/>
      <c r="Q171" s="1434"/>
      <c r="R171" s="976" t="s">
        <v>8023</v>
      </c>
      <c r="S171" s="976" t="str">
        <f t="shared" ref="S171:S188" si="36">O171</f>
        <v xml:space="preserve">T o t a l s </v>
      </c>
      <c r="T171" s="581"/>
      <c r="U171" s="581"/>
      <c r="V171" s="581"/>
    </row>
    <row r="172" spans="1:22">
      <c r="A172" s="1433"/>
      <c r="B172" s="674" t="s">
        <v>8024</v>
      </c>
      <c r="C172" s="12">
        <v>12003</v>
      </c>
      <c r="D172" s="12">
        <v>11121</v>
      </c>
      <c r="E172" s="12">
        <v>10992</v>
      </c>
      <c r="F172" s="12">
        <v>12651</v>
      </c>
      <c r="G172" s="12">
        <v>0</v>
      </c>
      <c r="H172" s="12">
        <f t="shared" ref="H172:N172" si="37">H175-H173-H174</f>
        <v>11570.83</v>
      </c>
      <c r="I172" s="12">
        <f t="shared" si="37"/>
        <v>2000.46</v>
      </c>
      <c r="J172" s="12">
        <f t="shared" si="37"/>
        <v>427.5</v>
      </c>
      <c r="K172" s="12">
        <f t="shared" si="37"/>
        <v>0</v>
      </c>
      <c r="L172" s="12">
        <f t="shared" si="37"/>
        <v>0</v>
      </c>
      <c r="M172" s="12">
        <f t="shared" si="37"/>
        <v>0</v>
      </c>
      <c r="N172" s="12">
        <f t="shared" si="37"/>
        <v>0</v>
      </c>
      <c r="O172" s="1439">
        <f>SUM(C172:N172)</f>
        <v>60765.79</v>
      </c>
      <c r="P172" s="1433"/>
      <c r="Q172" s="1434"/>
      <c r="R172" s="581" t="str">
        <f t="shared" ref="R172:R188" si="38">B172</f>
        <v>Rental Income</v>
      </c>
      <c r="S172" s="912">
        <f t="shared" si="36"/>
        <v>60765.79</v>
      </c>
      <c r="T172" s="581"/>
      <c r="U172" s="581"/>
      <c r="V172" s="581"/>
    </row>
    <row r="173" spans="1:22">
      <c r="A173" s="1433"/>
      <c r="B173" s="1440" t="s">
        <v>8025</v>
      </c>
      <c r="C173" s="1441">
        <v>2101</v>
      </c>
      <c r="D173" s="1441">
        <v>2101</v>
      </c>
      <c r="E173" s="1441">
        <v>1976</v>
      </c>
      <c r="F173" s="1441">
        <v>1976</v>
      </c>
      <c r="G173" s="1441">
        <v>0</v>
      </c>
      <c r="H173" s="1441">
        <v>0</v>
      </c>
      <c r="I173" s="1441">
        <v>0</v>
      </c>
      <c r="J173" s="1441">
        <v>0</v>
      </c>
      <c r="K173" s="1441">
        <v>0</v>
      </c>
      <c r="L173" s="1441">
        <v>0</v>
      </c>
      <c r="M173" s="1441">
        <v>0</v>
      </c>
      <c r="N173" s="1441"/>
      <c r="O173" s="1442">
        <f>SUM(C173:N173)</f>
        <v>8154</v>
      </c>
      <c r="P173" s="1433"/>
      <c r="Q173" s="1434"/>
      <c r="R173" s="581" t="str">
        <f t="shared" si="38"/>
        <v>Loan Income</v>
      </c>
      <c r="S173" s="912">
        <f t="shared" si="36"/>
        <v>8154</v>
      </c>
      <c r="T173" s="581"/>
      <c r="U173" s="581"/>
      <c r="V173" s="581"/>
    </row>
    <row r="174" spans="1:22">
      <c r="A174" s="1433"/>
      <c r="B174" s="666" t="s">
        <v>8026</v>
      </c>
      <c r="C174" s="12">
        <v>1727</v>
      </c>
      <c r="D174" s="12"/>
      <c r="E174" s="12">
        <v>1484</v>
      </c>
      <c r="F174" s="12"/>
      <c r="G174" s="12"/>
      <c r="H174" s="12"/>
      <c r="I174" s="12"/>
      <c r="J174" s="12"/>
      <c r="K174" s="12"/>
      <c r="L174" s="12"/>
      <c r="M174" s="12"/>
      <c r="N174" s="12"/>
      <c r="O174" s="1443">
        <f>SUM(C174:N174)</f>
        <v>3211</v>
      </c>
      <c r="P174" s="1433"/>
      <c r="Q174" s="1434"/>
      <c r="R174" s="581" t="str">
        <f t="shared" si="38"/>
        <v>Water Income</v>
      </c>
      <c r="S174" s="912">
        <f t="shared" si="36"/>
        <v>3211</v>
      </c>
      <c r="T174" s="581"/>
      <c r="U174" s="581"/>
      <c r="V174" s="581"/>
    </row>
    <row r="175" spans="1:22">
      <c r="A175" s="1433"/>
      <c r="B175" s="666" t="s">
        <v>6847</v>
      </c>
      <c r="C175" s="667">
        <f>C172+C173+C174</f>
        <v>15831</v>
      </c>
      <c r="D175" s="667">
        <f>D172+D173+D174</f>
        <v>13222</v>
      </c>
      <c r="E175" s="667">
        <f>E172+E173+E174</f>
        <v>14452</v>
      </c>
      <c r="F175" s="667">
        <f>F172+F173+F174</f>
        <v>14627</v>
      </c>
      <c r="G175" s="667">
        <f>1040+2407+1996+6451.72+1907</f>
        <v>13801.720000000001</v>
      </c>
      <c r="H175" s="667">
        <f>2020+6939.23+2611.6</f>
        <v>11570.83</v>
      </c>
      <c r="I175" s="667">
        <f>321.91+481+1997.55-800</f>
        <v>2000.46</v>
      </c>
      <c r="J175" s="667">
        <f>515-87.5</f>
        <v>427.5</v>
      </c>
      <c r="K175" s="667">
        <v>0</v>
      </c>
      <c r="L175" s="667">
        <v>0</v>
      </c>
      <c r="M175" s="667">
        <v>0</v>
      </c>
      <c r="N175" s="667">
        <v>0</v>
      </c>
      <c r="O175" s="1439">
        <f>SUM(C175:N175)</f>
        <v>85932.510000000009</v>
      </c>
      <c r="P175" s="1444"/>
      <c r="Q175" s="1434"/>
      <c r="R175" s="976" t="str">
        <f t="shared" si="38"/>
        <v>Gross Income</v>
      </c>
      <c r="S175" s="1445">
        <f t="shared" si="36"/>
        <v>85932.510000000009</v>
      </c>
      <c r="T175" s="581"/>
      <c r="U175" s="581"/>
      <c r="V175" s="581"/>
    </row>
    <row r="176" spans="1:22">
      <c r="A176" s="1433"/>
      <c r="B176" s="666" t="s">
        <v>4397</v>
      </c>
      <c r="C176" s="1446"/>
      <c r="D176" s="1446"/>
      <c r="E176" s="1446"/>
      <c r="F176" s="1446"/>
      <c r="G176" s="1446"/>
      <c r="H176" s="1446"/>
      <c r="I176" s="1446"/>
      <c r="J176" s="1446"/>
      <c r="K176" s="1446"/>
      <c r="L176" s="1446"/>
      <c r="M176" s="1446"/>
      <c r="N176" s="1446"/>
      <c r="O176" s="1447">
        <f>O175-O188</f>
        <v>48056.040000000008</v>
      </c>
      <c r="P176" s="1448"/>
      <c r="Q176" s="1434"/>
      <c r="R176" s="581" t="str">
        <f t="shared" si="38"/>
        <v>EXPENSES</v>
      </c>
      <c r="S176" s="912">
        <f t="shared" si="36"/>
        <v>48056.040000000008</v>
      </c>
      <c r="T176" s="581"/>
      <c r="U176" s="581"/>
      <c r="V176" s="581"/>
    </row>
    <row r="177" spans="1:22">
      <c r="A177" s="1433"/>
      <c r="B177" s="674" t="s">
        <v>4399</v>
      </c>
      <c r="C177" s="675"/>
      <c r="D177" s="675"/>
      <c r="E177" s="675">
        <v>6042.47</v>
      </c>
      <c r="F177" s="675">
        <v>665</v>
      </c>
      <c r="G177" s="675"/>
      <c r="H177" s="675"/>
      <c r="I177" s="675"/>
      <c r="J177" s="675"/>
      <c r="K177" s="675"/>
      <c r="L177" s="675"/>
      <c r="M177" s="676"/>
      <c r="N177" s="675"/>
      <c r="O177" s="1449">
        <f t="shared" ref="O177:O186" si="39">SUM(C177:N177)</f>
        <v>6707.47</v>
      </c>
      <c r="P177" s="1448"/>
      <c r="Q177" s="1434"/>
      <c r="R177" s="581" t="str">
        <f t="shared" si="38"/>
        <v>Property Tax</v>
      </c>
      <c r="S177" s="912">
        <f t="shared" si="36"/>
        <v>6707.47</v>
      </c>
      <c r="T177" s="581"/>
      <c r="U177" s="581"/>
      <c r="V177" s="581"/>
    </row>
    <row r="178" spans="1:22">
      <c r="A178" s="1433"/>
      <c r="B178" s="674" t="s">
        <v>8027</v>
      </c>
      <c r="C178" s="675"/>
      <c r="D178" s="675">
        <v>2147.2199999999998</v>
      </c>
      <c r="E178" s="675"/>
      <c r="F178" s="675">
        <v>2166.1799999999998</v>
      </c>
      <c r="G178" s="675"/>
      <c r="H178" s="675"/>
      <c r="I178" s="675">
        <f>2268.02</f>
        <v>2268.02</v>
      </c>
      <c r="J178" s="675">
        <v>583.19000000000005</v>
      </c>
      <c r="K178" s="675"/>
      <c r="L178" s="675"/>
      <c r="M178" s="675"/>
      <c r="N178" s="1450"/>
      <c r="O178" s="1451">
        <f t="shared" si="39"/>
        <v>7164.6100000000006</v>
      </c>
      <c r="P178" s="1448"/>
      <c r="Q178" s="1434"/>
      <c r="R178" s="581" t="str">
        <f t="shared" si="38"/>
        <v>Special Dist. Water</v>
      </c>
      <c r="S178" s="912">
        <f t="shared" si="36"/>
        <v>7164.6100000000006</v>
      </c>
      <c r="T178" s="581"/>
      <c r="U178" s="581"/>
      <c r="V178" s="581"/>
    </row>
    <row r="179" spans="1:22">
      <c r="A179" s="1433"/>
      <c r="B179" s="674" t="s">
        <v>8028</v>
      </c>
      <c r="C179" s="675">
        <f>404.73</f>
        <v>404.73</v>
      </c>
      <c r="D179" s="675">
        <v>378</v>
      </c>
      <c r="E179" s="675">
        <f>64.96+149.78+22.87+55.76</f>
        <v>293.37</v>
      </c>
      <c r="F179" s="675">
        <f>116.03+36.82+39.15</f>
        <v>192</v>
      </c>
      <c r="G179" s="675">
        <f>8.61+189.78+57.35+57.63</f>
        <v>313.37</v>
      </c>
      <c r="H179" s="675">
        <f>8.61+189.78+57.35+57.63</f>
        <v>313.37</v>
      </c>
      <c r="I179" s="675">
        <f>5.81+163.96+41.92+60.54</f>
        <v>272.23</v>
      </c>
      <c r="J179" s="675"/>
      <c r="K179" s="675"/>
      <c r="L179" s="675"/>
      <c r="M179" s="675"/>
      <c r="N179" s="1450"/>
      <c r="O179" s="1452">
        <f t="shared" si="39"/>
        <v>2167.0699999999997</v>
      </c>
      <c r="P179" s="1448"/>
      <c r="Q179" s="1434"/>
      <c r="R179" s="581" t="str">
        <f t="shared" si="38"/>
        <v>PG&amp;E electric</v>
      </c>
      <c r="S179" s="912">
        <f t="shared" si="36"/>
        <v>2167.0699999999997</v>
      </c>
      <c r="T179" s="581"/>
      <c r="U179" s="581"/>
      <c r="V179" s="581"/>
    </row>
    <row r="180" spans="1:22">
      <c r="A180" s="1433"/>
      <c r="B180" s="674" t="s">
        <v>8029</v>
      </c>
      <c r="C180" s="675"/>
      <c r="D180" s="675" t="s">
        <v>135</v>
      </c>
      <c r="E180" s="675"/>
      <c r="F180" s="675"/>
      <c r="G180" s="675"/>
      <c r="H180" s="675"/>
      <c r="I180" s="675"/>
      <c r="J180" s="675"/>
      <c r="K180" s="675"/>
      <c r="L180" s="675"/>
      <c r="M180" s="675"/>
      <c r="N180" s="1450"/>
      <c r="O180" s="1452">
        <f t="shared" si="39"/>
        <v>0</v>
      </c>
      <c r="P180" s="1448"/>
      <c r="Q180" s="1434"/>
      <c r="R180" s="581" t="str">
        <f t="shared" si="38"/>
        <v>Gas [propane]</v>
      </c>
      <c r="S180" s="912">
        <f t="shared" si="36"/>
        <v>0</v>
      </c>
      <c r="T180" s="581"/>
      <c r="U180" s="581"/>
      <c r="V180" s="581"/>
    </row>
    <row r="181" spans="1:22">
      <c r="A181" s="1433"/>
      <c r="B181" s="674" t="s">
        <v>7057</v>
      </c>
      <c r="C181" s="675">
        <v>86.86</v>
      </c>
      <c r="D181" s="675"/>
      <c r="E181" s="675">
        <v>86.86</v>
      </c>
      <c r="F181" s="675"/>
      <c r="G181" s="675">
        <v>86.86</v>
      </c>
      <c r="H181" s="675"/>
      <c r="I181" s="675">
        <v>86.86</v>
      </c>
      <c r="J181" s="675"/>
      <c r="K181" s="675"/>
      <c r="L181" s="675"/>
      <c r="M181" s="675"/>
      <c r="N181" s="1450"/>
      <c r="O181" s="1453">
        <f t="shared" si="39"/>
        <v>347.44</v>
      </c>
      <c r="P181" s="1448"/>
      <c r="Q181" s="1434"/>
      <c r="R181" s="581" t="str">
        <f t="shared" si="38"/>
        <v>Garbage</v>
      </c>
      <c r="S181" s="912">
        <f t="shared" si="36"/>
        <v>347.44</v>
      </c>
      <c r="T181" s="581"/>
      <c r="U181" s="581"/>
      <c r="V181" s="581"/>
    </row>
    <row r="182" spans="1:22">
      <c r="A182" s="1433"/>
      <c r="B182" s="674" t="s">
        <v>7294</v>
      </c>
      <c r="C182" s="675">
        <v>100</v>
      </c>
      <c r="D182" s="675">
        <v>100</v>
      </c>
      <c r="E182" s="675">
        <v>100</v>
      </c>
      <c r="F182" s="675">
        <v>100</v>
      </c>
      <c r="G182" s="675">
        <v>100</v>
      </c>
      <c r="H182" s="675">
        <v>100</v>
      </c>
      <c r="I182" s="675">
        <v>100</v>
      </c>
      <c r="J182" s="675">
        <v>15</v>
      </c>
      <c r="K182" s="675"/>
      <c r="L182" s="675"/>
      <c r="M182" s="675"/>
      <c r="N182" s="675"/>
      <c r="O182" s="1454">
        <f t="shared" si="39"/>
        <v>715</v>
      </c>
      <c r="P182" s="1448"/>
      <c r="Q182" s="1434"/>
      <c r="R182" s="581" t="str">
        <f t="shared" si="38"/>
        <v>Management</v>
      </c>
      <c r="S182" s="912">
        <f t="shared" si="36"/>
        <v>715</v>
      </c>
      <c r="T182" s="581"/>
      <c r="U182" s="581"/>
      <c r="V182" s="581"/>
    </row>
    <row r="183" spans="1:22">
      <c r="A183" s="1433"/>
      <c r="B183" s="674" t="s">
        <v>3313</v>
      </c>
      <c r="C183" s="675">
        <v>115.04</v>
      </c>
      <c r="D183" s="675">
        <f>24.75+24.75</f>
        <v>49.5</v>
      </c>
      <c r="E183" s="675"/>
      <c r="F183" s="675">
        <f>25.38+49.5</f>
        <v>74.88</v>
      </c>
      <c r="G183" s="675"/>
      <c r="H183" s="675"/>
      <c r="I183" s="675">
        <v>15</v>
      </c>
      <c r="J183" s="675"/>
      <c r="K183" s="675"/>
      <c r="L183" s="675"/>
      <c r="M183" s="675"/>
      <c r="N183" s="675"/>
      <c r="O183" s="1443">
        <f t="shared" si="39"/>
        <v>254.42000000000002</v>
      </c>
      <c r="P183" s="1448"/>
      <c r="Q183" s="1434"/>
      <c r="R183" s="581" t="str">
        <f t="shared" si="38"/>
        <v>Advertising</v>
      </c>
      <c r="S183" s="912">
        <f t="shared" si="36"/>
        <v>254.42000000000002</v>
      </c>
      <c r="T183" s="581"/>
      <c r="U183" s="581"/>
      <c r="V183" s="581"/>
    </row>
    <row r="184" spans="1:22">
      <c r="A184" s="1433"/>
      <c r="B184" s="674" t="s">
        <v>7019</v>
      </c>
      <c r="C184" s="675"/>
      <c r="D184" s="675">
        <v>2000</v>
      </c>
      <c r="E184" s="675"/>
      <c r="F184" s="675">
        <v>2000</v>
      </c>
      <c r="G184" s="675"/>
      <c r="H184" s="675"/>
      <c r="I184" s="675">
        <v>3950.82</v>
      </c>
      <c r="J184" s="1000"/>
      <c r="K184" s="675"/>
      <c r="L184" s="675"/>
      <c r="M184" s="675"/>
      <c r="N184" s="675"/>
      <c r="O184" s="1449">
        <f t="shared" si="39"/>
        <v>7950.82</v>
      </c>
      <c r="P184" s="1448"/>
      <c r="Q184" s="1434"/>
      <c r="R184" s="581" t="str">
        <f t="shared" si="38"/>
        <v>Legal</v>
      </c>
      <c r="S184" s="912">
        <f t="shared" si="36"/>
        <v>7950.82</v>
      </c>
      <c r="T184" s="581"/>
      <c r="U184" s="581"/>
      <c r="V184" s="581"/>
    </row>
    <row r="185" spans="1:22">
      <c r="A185" s="1433"/>
      <c r="B185" s="674" t="s">
        <v>8030</v>
      </c>
      <c r="C185" s="675">
        <v>171.56</v>
      </c>
      <c r="D185" s="675">
        <v>445.12</v>
      </c>
      <c r="E185" s="675">
        <v>721.87</v>
      </c>
      <c r="F185" s="675">
        <v>501.42</v>
      </c>
      <c r="G185" s="675">
        <v>964.17</v>
      </c>
      <c r="H185" s="675">
        <v>1146.23</v>
      </c>
      <c r="I185" s="675"/>
      <c r="J185" s="675">
        <v>157.35</v>
      </c>
      <c r="K185" s="675"/>
      <c r="L185" s="675"/>
      <c r="M185" s="675"/>
      <c r="N185" s="1450"/>
      <c r="O185" s="1451">
        <f t="shared" si="39"/>
        <v>4107.72</v>
      </c>
      <c r="P185" s="1448"/>
      <c r="Q185" s="1434"/>
      <c r="R185" s="581" t="str">
        <f t="shared" si="38"/>
        <v>---Kelseyville Lumber</v>
      </c>
      <c r="S185" s="912">
        <f t="shared" si="36"/>
        <v>4107.72</v>
      </c>
      <c r="T185" s="581"/>
      <c r="U185" s="581"/>
      <c r="V185" s="581"/>
    </row>
    <row r="186" spans="1:22">
      <c r="A186" s="1433"/>
      <c r="B186" s="674" t="s">
        <v>8031</v>
      </c>
      <c r="C186" s="675">
        <v>106.97</v>
      </c>
      <c r="D186" s="675">
        <f>100</f>
        <v>100</v>
      </c>
      <c r="E186" s="675">
        <v>103.41</v>
      </c>
      <c r="F186" s="675">
        <v>501.26</v>
      </c>
      <c r="G186" s="675">
        <f>2813.72+400</f>
        <v>3213.72</v>
      </c>
      <c r="H186" s="675">
        <f>1039.58+40+1435</f>
        <v>2514.58</v>
      </c>
      <c r="I186" s="675">
        <f>1049+200</f>
        <v>1249</v>
      </c>
      <c r="J186" s="675">
        <v>672.98</v>
      </c>
      <c r="K186" s="675"/>
      <c r="L186" s="675"/>
      <c r="M186" s="675"/>
      <c r="N186" s="1450"/>
      <c r="O186" s="1453">
        <f t="shared" si="39"/>
        <v>8461.92</v>
      </c>
      <c r="P186" s="1448"/>
      <c r="Q186" s="1434"/>
      <c r="R186" s="581" t="str">
        <f t="shared" si="38"/>
        <v>---Maintenance</v>
      </c>
      <c r="S186" s="912">
        <f t="shared" si="36"/>
        <v>8461.92</v>
      </c>
      <c r="T186" s="581"/>
      <c r="U186" s="581"/>
      <c r="V186" s="581"/>
    </row>
    <row r="187" spans="1:22">
      <c r="A187" s="1433"/>
      <c r="B187" s="666" t="s">
        <v>6323</v>
      </c>
      <c r="C187" s="677">
        <f t="shared" ref="C187:O187" si="40">SUM(C185:C186)</f>
        <v>278.52999999999997</v>
      </c>
      <c r="D187" s="677">
        <f t="shared" si="40"/>
        <v>545.12</v>
      </c>
      <c r="E187" s="677">
        <f t="shared" si="40"/>
        <v>825.28</v>
      </c>
      <c r="F187" s="677">
        <f t="shared" si="40"/>
        <v>1002.6800000000001</v>
      </c>
      <c r="G187" s="677">
        <f t="shared" si="40"/>
        <v>4177.8899999999994</v>
      </c>
      <c r="H187" s="677">
        <f t="shared" si="40"/>
        <v>3660.81</v>
      </c>
      <c r="I187" s="677">
        <f t="shared" si="40"/>
        <v>1249</v>
      </c>
      <c r="J187" s="677">
        <f t="shared" si="40"/>
        <v>830.33</v>
      </c>
      <c r="K187" s="677">
        <f t="shared" si="40"/>
        <v>0</v>
      </c>
      <c r="L187" s="677">
        <f t="shared" si="40"/>
        <v>0</v>
      </c>
      <c r="M187" s="677">
        <f t="shared" si="40"/>
        <v>0</v>
      </c>
      <c r="N187" s="677">
        <f t="shared" si="40"/>
        <v>0</v>
      </c>
      <c r="O187" s="1454">
        <f t="shared" si="40"/>
        <v>12569.64</v>
      </c>
      <c r="P187" s="1444"/>
      <c r="Q187" s="1434"/>
      <c r="R187" s="581" t="str">
        <f t="shared" si="38"/>
        <v>Total Repairs</v>
      </c>
      <c r="S187" s="912">
        <f t="shared" si="36"/>
        <v>12569.64</v>
      </c>
      <c r="T187" s="581"/>
      <c r="U187" s="581"/>
      <c r="V187" s="581"/>
    </row>
    <row r="188" spans="1:22">
      <c r="A188" s="661"/>
      <c r="B188" s="1455" t="s">
        <v>1126</v>
      </c>
      <c r="C188" s="1456">
        <f t="shared" ref="C188:O188" si="41">SUM(C177:C186)</f>
        <v>985.16000000000008</v>
      </c>
      <c r="D188" s="1456">
        <f t="shared" si="41"/>
        <v>5219.8399999999992</v>
      </c>
      <c r="E188" s="1456">
        <f t="shared" si="41"/>
        <v>7347.98</v>
      </c>
      <c r="F188" s="1456">
        <f t="shared" si="41"/>
        <v>6200.74</v>
      </c>
      <c r="G188" s="1456">
        <f t="shared" si="41"/>
        <v>4678.12</v>
      </c>
      <c r="H188" s="1456">
        <f t="shared" si="41"/>
        <v>4074.18</v>
      </c>
      <c r="I188" s="1456">
        <f t="shared" si="41"/>
        <v>7941.93</v>
      </c>
      <c r="J188" s="1456">
        <f t="shared" si="41"/>
        <v>1428.52</v>
      </c>
      <c r="K188" s="1456">
        <f t="shared" si="41"/>
        <v>0</v>
      </c>
      <c r="L188" s="1456">
        <f t="shared" si="41"/>
        <v>0</v>
      </c>
      <c r="M188" s="1456">
        <f t="shared" si="41"/>
        <v>0</v>
      </c>
      <c r="N188" s="1456">
        <f t="shared" si="41"/>
        <v>0</v>
      </c>
      <c r="O188" s="1457">
        <f t="shared" si="41"/>
        <v>37876.47</v>
      </c>
      <c r="P188" s="1458"/>
      <c r="Q188" s="1434"/>
      <c r="R188" s="976" t="str">
        <f t="shared" si="38"/>
        <v>Total Expenses</v>
      </c>
      <c r="S188" s="1445">
        <f t="shared" si="36"/>
        <v>37876.47</v>
      </c>
      <c r="T188" s="581"/>
      <c r="U188" s="581"/>
      <c r="V188" s="581"/>
    </row>
    <row r="189" spans="1:22">
      <c r="A189" s="1459"/>
      <c r="B189" s="1455"/>
      <c r="C189" s="1456"/>
      <c r="D189" s="1456"/>
      <c r="E189" s="1456"/>
      <c r="F189" s="1456"/>
      <c r="G189" s="1456"/>
      <c r="H189" s="1456"/>
      <c r="I189" s="1456"/>
      <c r="J189" s="1456"/>
      <c r="K189" s="1456"/>
      <c r="L189" s="1456"/>
      <c r="M189" s="1456"/>
      <c r="N189" s="1456"/>
      <c r="O189" s="1457"/>
      <c r="P189" s="1460"/>
      <c r="Q189" s="1434"/>
      <c r="R189" s="581" t="s">
        <v>791</v>
      </c>
      <c r="S189" s="912">
        <f>S175-S188</f>
        <v>48056.040000000008</v>
      </c>
      <c r="T189" s="581"/>
      <c r="U189" s="581"/>
      <c r="V189" s="581"/>
    </row>
    <row r="190" spans="1:22">
      <c r="A190" s="2282" t="s">
        <v>8032</v>
      </c>
      <c r="B190" s="2087"/>
      <c r="C190" s="2087"/>
      <c r="D190" s="2087"/>
      <c r="E190" s="2087"/>
      <c r="F190" s="2087"/>
      <c r="G190" s="2087"/>
      <c r="H190" s="2087"/>
      <c r="I190" s="2087"/>
      <c r="J190" s="2087"/>
      <c r="K190" s="2087"/>
      <c r="L190" s="2087"/>
      <c r="M190" s="2087"/>
      <c r="N190" s="2087"/>
      <c r="O190" s="2087"/>
      <c r="P190" s="2087"/>
      <c r="Q190" s="912"/>
      <c r="R190" s="581">
        <f>B190</f>
        <v>0</v>
      </c>
      <c r="S190" s="581">
        <f t="shared" ref="S190:S210" si="42">O190</f>
        <v>0</v>
      </c>
      <c r="T190" s="581"/>
      <c r="U190" s="581"/>
      <c r="V190" s="581"/>
    </row>
    <row r="191" spans="1:22">
      <c r="A191" s="1416"/>
      <c r="B191" s="1416" t="s">
        <v>8033</v>
      </c>
      <c r="C191" s="1416"/>
      <c r="D191" s="1416"/>
      <c r="E191" s="1416"/>
      <c r="F191" s="1416"/>
      <c r="G191" s="1416"/>
      <c r="H191" s="1416"/>
      <c r="I191" s="1416"/>
      <c r="J191" s="1416"/>
      <c r="K191" s="1416"/>
      <c r="L191" s="1416"/>
      <c r="M191" s="1416"/>
      <c r="N191" s="1416"/>
      <c r="O191" s="1416"/>
      <c r="P191" s="1416"/>
      <c r="Q191" s="912"/>
      <c r="R191" s="581"/>
      <c r="S191" s="581">
        <f t="shared" si="42"/>
        <v>0</v>
      </c>
      <c r="T191" s="581"/>
      <c r="U191" s="581"/>
      <c r="V191" s="581"/>
    </row>
    <row r="192" spans="1:22">
      <c r="A192" s="1433"/>
      <c r="B192" s="2283" t="s">
        <v>8021</v>
      </c>
      <c r="C192" s="2284"/>
      <c r="D192" s="2284"/>
      <c r="E192" s="2284"/>
      <c r="F192" s="2284"/>
      <c r="G192" s="2284"/>
      <c r="H192" s="2284"/>
      <c r="I192" s="2284"/>
      <c r="J192" s="2284"/>
      <c r="K192" s="2284"/>
      <c r="L192" s="2284"/>
      <c r="M192" s="2284"/>
      <c r="N192" s="2284"/>
      <c r="O192" s="2285"/>
      <c r="P192" s="1433"/>
      <c r="Q192" s="1434"/>
      <c r="R192" s="581"/>
      <c r="S192" s="581">
        <f t="shared" si="42"/>
        <v>0</v>
      </c>
      <c r="T192" s="581"/>
      <c r="U192" s="581"/>
      <c r="V192" s="581"/>
    </row>
    <row r="193" spans="1:22">
      <c r="A193" s="1433"/>
      <c r="B193" s="1435" t="s">
        <v>8034</v>
      </c>
      <c r="C193" s="1436" t="s">
        <v>143</v>
      </c>
      <c r="D193" s="1436" t="s">
        <v>26</v>
      </c>
      <c r="E193" s="1436" t="s">
        <v>25</v>
      </c>
      <c r="F193" s="1436" t="s">
        <v>24</v>
      </c>
      <c r="G193" s="1436" t="s">
        <v>23</v>
      </c>
      <c r="H193" s="1436" t="s">
        <v>22</v>
      </c>
      <c r="I193" s="1436" t="s">
        <v>21</v>
      </c>
      <c r="J193" s="1436" t="s">
        <v>20</v>
      </c>
      <c r="K193" s="1436" t="s">
        <v>256</v>
      </c>
      <c r="L193" s="1436" t="s">
        <v>18</v>
      </c>
      <c r="M193" s="1436" t="s">
        <v>17</v>
      </c>
      <c r="N193" s="1436" t="s">
        <v>86</v>
      </c>
      <c r="O193" s="1437" t="s">
        <v>8022</v>
      </c>
      <c r="P193" s="1438"/>
      <c r="Q193" s="1434"/>
      <c r="R193" s="976" t="str">
        <f t="shared" ref="R193:R210" si="43">B193</f>
        <v>2 0 1 3</v>
      </c>
      <c r="S193" s="976" t="str">
        <f t="shared" si="42"/>
        <v xml:space="preserve">T o t a l s </v>
      </c>
      <c r="T193" s="581"/>
      <c r="U193" s="581"/>
      <c r="V193" s="581"/>
    </row>
    <row r="194" spans="1:22">
      <c r="A194" s="1433"/>
      <c r="B194" s="674" t="s">
        <v>8024</v>
      </c>
      <c r="C194" s="12">
        <v>13212</v>
      </c>
      <c r="D194" s="12">
        <v>12987</v>
      </c>
      <c r="E194" s="12">
        <v>12626</v>
      </c>
      <c r="F194" s="12">
        <v>12811</v>
      </c>
      <c r="G194" s="12">
        <v>12296</v>
      </c>
      <c r="H194" s="12">
        <v>13713</v>
      </c>
      <c r="I194" s="12">
        <v>12556</v>
      </c>
      <c r="J194" s="12">
        <v>13110</v>
      </c>
      <c r="K194" s="12">
        <v>12432</v>
      </c>
      <c r="L194" s="12">
        <v>12707</v>
      </c>
      <c r="M194" s="12">
        <v>12121</v>
      </c>
      <c r="N194" s="12">
        <v>11983</v>
      </c>
      <c r="O194" s="1439">
        <f>SUM(C194:N194)</f>
        <v>152554</v>
      </c>
      <c r="P194" s="1433"/>
      <c r="Q194" s="1434"/>
      <c r="R194" s="581" t="str">
        <f t="shared" si="43"/>
        <v>Rental Income</v>
      </c>
      <c r="S194" s="912">
        <f t="shared" si="42"/>
        <v>152554</v>
      </c>
      <c r="T194" s="581"/>
      <c r="U194" s="581"/>
      <c r="V194" s="581"/>
    </row>
    <row r="195" spans="1:22">
      <c r="A195" s="1433"/>
      <c r="B195" s="1440" t="s">
        <v>8025</v>
      </c>
      <c r="C195" s="1441">
        <v>2970.22</v>
      </c>
      <c r="D195" s="1441">
        <v>2498.2199999999998</v>
      </c>
      <c r="E195" s="1441">
        <v>2498.2199999999998</v>
      </c>
      <c r="F195" s="1441">
        <v>2498.2199999999998</v>
      </c>
      <c r="G195" s="1441">
        <v>2498.2199999999998</v>
      </c>
      <c r="H195" s="1441">
        <v>2758.22</v>
      </c>
      <c r="I195" s="1441">
        <v>2694.22</v>
      </c>
      <c r="J195" s="1441">
        <f>2439.22-35</f>
        <v>2404.2199999999998</v>
      </c>
      <c r="K195" s="1441">
        <v>2333.2199999999998</v>
      </c>
      <c r="L195" s="1441">
        <f>2118.22-35</f>
        <v>2083.2199999999998</v>
      </c>
      <c r="M195" s="1441">
        <v>2138.2199999999998</v>
      </c>
      <c r="N195" s="1441">
        <v>2388.2199999999998</v>
      </c>
      <c r="O195" s="1442">
        <f>SUM(C195:N195)</f>
        <v>29762.640000000003</v>
      </c>
      <c r="P195" s="1433"/>
      <c r="Q195" s="1434"/>
      <c r="R195" s="581" t="str">
        <f t="shared" si="43"/>
        <v>Loan Income</v>
      </c>
      <c r="S195" s="912">
        <f t="shared" si="42"/>
        <v>29762.640000000003</v>
      </c>
      <c r="T195" s="581"/>
      <c r="U195" s="581"/>
      <c r="V195" s="581"/>
    </row>
    <row r="196" spans="1:22">
      <c r="A196" s="1433"/>
      <c r="B196" s="666" t="s">
        <v>8026</v>
      </c>
      <c r="C196" s="12">
        <v>1633</v>
      </c>
      <c r="D196" s="12"/>
      <c r="E196" s="12">
        <v>1989</v>
      </c>
      <c r="F196" s="12"/>
      <c r="G196" s="12">
        <v>1681</v>
      </c>
      <c r="H196" s="12"/>
      <c r="I196" s="12">
        <v>1813</v>
      </c>
      <c r="J196" s="12"/>
      <c r="K196" s="12">
        <v>2087</v>
      </c>
      <c r="L196" s="12"/>
      <c r="M196" s="12">
        <v>1693</v>
      </c>
      <c r="N196" s="12"/>
      <c r="O196" s="1443">
        <f>SUM(C196:N196)</f>
        <v>10896</v>
      </c>
      <c r="P196" s="1433"/>
      <c r="Q196" s="1434"/>
      <c r="R196" s="581" t="str">
        <f t="shared" si="43"/>
        <v>Water Income</v>
      </c>
      <c r="S196" s="912">
        <f t="shared" si="42"/>
        <v>10896</v>
      </c>
      <c r="T196" s="581"/>
      <c r="U196" s="581"/>
      <c r="V196" s="581"/>
    </row>
    <row r="197" spans="1:22">
      <c r="A197" s="1433"/>
      <c r="B197" s="666" t="s">
        <v>6847</v>
      </c>
      <c r="C197" s="667">
        <f t="shared" ref="C197:N197" si="44">C194+C195+C196</f>
        <v>17815.22</v>
      </c>
      <c r="D197" s="667">
        <f t="shared" si="44"/>
        <v>15485.22</v>
      </c>
      <c r="E197" s="667">
        <f t="shared" si="44"/>
        <v>17113.22</v>
      </c>
      <c r="F197" s="667">
        <f t="shared" si="44"/>
        <v>15309.22</v>
      </c>
      <c r="G197" s="667">
        <f t="shared" si="44"/>
        <v>16475.22</v>
      </c>
      <c r="H197" s="667">
        <f t="shared" si="44"/>
        <v>16471.22</v>
      </c>
      <c r="I197" s="667">
        <f t="shared" si="44"/>
        <v>17063.22</v>
      </c>
      <c r="J197" s="667">
        <f t="shared" si="44"/>
        <v>15514.22</v>
      </c>
      <c r="K197" s="667">
        <f t="shared" si="44"/>
        <v>16852.22</v>
      </c>
      <c r="L197" s="667">
        <f t="shared" si="44"/>
        <v>14790.22</v>
      </c>
      <c r="M197" s="667">
        <f t="shared" si="44"/>
        <v>15952.22</v>
      </c>
      <c r="N197" s="667">
        <f t="shared" si="44"/>
        <v>14371.22</v>
      </c>
      <c r="O197" s="1439">
        <f>SUM(C197:N197)</f>
        <v>193212.64</v>
      </c>
      <c r="P197" s="1444"/>
      <c r="Q197" s="1434"/>
      <c r="R197" s="976" t="str">
        <f t="shared" si="43"/>
        <v>Gross Income</v>
      </c>
      <c r="S197" s="1445">
        <f t="shared" si="42"/>
        <v>193212.64</v>
      </c>
      <c r="T197" s="581"/>
      <c r="U197" s="581"/>
      <c r="V197" s="581"/>
    </row>
    <row r="198" spans="1:22">
      <c r="A198" s="1433"/>
      <c r="B198" s="666" t="s">
        <v>4397</v>
      </c>
      <c r="C198" s="1446"/>
      <c r="D198" s="1446"/>
      <c r="E198" s="1446"/>
      <c r="F198" s="1446"/>
      <c r="G198" s="1446"/>
      <c r="H198" s="1446"/>
      <c r="I198" s="1446"/>
      <c r="J198" s="1446"/>
      <c r="K198" s="1446"/>
      <c r="L198" s="1446"/>
      <c r="M198" s="1446"/>
      <c r="N198" s="1446"/>
      <c r="O198" s="1447">
        <f>O197-O210</f>
        <v>141089.16000000003</v>
      </c>
      <c r="P198" s="1448"/>
      <c r="Q198" s="1434"/>
      <c r="R198" s="581" t="str">
        <f t="shared" si="43"/>
        <v>EXPENSES</v>
      </c>
      <c r="S198" s="912">
        <f t="shared" si="42"/>
        <v>141089.16000000003</v>
      </c>
      <c r="T198" s="581"/>
      <c r="U198" s="581"/>
      <c r="V198" s="581"/>
    </row>
    <row r="199" spans="1:22">
      <c r="A199" s="1433"/>
      <c r="B199" s="674" t="s">
        <v>4399</v>
      </c>
      <c r="C199" s="675"/>
      <c r="D199" s="675" t="s">
        <v>135</v>
      </c>
      <c r="E199" s="675"/>
      <c r="F199" s="675">
        <v>5925.88</v>
      </c>
      <c r="G199" s="675"/>
      <c r="H199" s="675"/>
      <c r="I199" s="675"/>
      <c r="J199" s="675"/>
      <c r="K199" s="675" t="s">
        <v>135</v>
      </c>
      <c r="L199" s="675" t="s">
        <v>135</v>
      </c>
      <c r="M199" s="675"/>
      <c r="N199" s="675">
        <f>128.78+6042.47</f>
        <v>6171.25</v>
      </c>
      <c r="O199" s="1449">
        <f t="shared" ref="O199:O209" si="45">SUM(C199:N199)</f>
        <v>12097.130000000001</v>
      </c>
      <c r="P199" s="1448"/>
      <c r="Q199" s="1434"/>
      <c r="R199" s="581" t="str">
        <f t="shared" si="43"/>
        <v>Property Tax</v>
      </c>
      <c r="S199" s="912">
        <f t="shared" si="42"/>
        <v>12097.130000000001</v>
      </c>
      <c r="T199" s="581"/>
      <c r="U199" s="581"/>
      <c r="V199" s="581"/>
    </row>
    <row r="200" spans="1:22">
      <c r="A200" s="1433"/>
      <c r="B200" s="674" t="s">
        <v>8027</v>
      </c>
      <c r="C200" s="675">
        <v>2080.54</v>
      </c>
      <c r="D200" s="675"/>
      <c r="E200" s="675">
        <v>2092.2199999999998</v>
      </c>
      <c r="F200" s="675"/>
      <c r="G200" s="675">
        <v>2068.7199999999998</v>
      </c>
      <c r="H200" s="675"/>
      <c r="I200" s="675">
        <v>2126.2199999999998</v>
      </c>
      <c r="J200" s="675"/>
      <c r="K200" s="675">
        <v>2419.4699999999998</v>
      </c>
      <c r="L200" s="675"/>
      <c r="M200" s="675">
        <v>2336.9699999999998</v>
      </c>
      <c r="N200" s="1450">
        <v>2556.9699999999998</v>
      </c>
      <c r="O200" s="1451">
        <f t="shared" si="45"/>
        <v>15681.109999999997</v>
      </c>
      <c r="P200" s="1448"/>
      <c r="Q200" s="1434"/>
      <c r="R200" s="581" t="str">
        <f t="shared" si="43"/>
        <v>Special Dist. Water</v>
      </c>
      <c r="S200" s="912">
        <f t="shared" si="42"/>
        <v>15681.109999999997</v>
      </c>
      <c r="T200" s="581"/>
      <c r="U200" s="581"/>
      <c r="V200" s="581"/>
    </row>
    <row r="201" spans="1:22">
      <c r="A201" s="1433"/>
      <c r="B201" s="674" t="s">
        <v>8028</v>
      </c>
      <c r="C201" s="675">
        <v>30.38</v>
      </c>
      <c r="D201" s="675">
        <f>28.28+9.81</f>
        <v>38.090000000000003</v>
      </c>
      <c r="E201" s="675">
        <f>24.26+63.77+42+9.81</f>
        <v>139.84</v>
      </c>
      <c r="F201" s="675">
        <f>16.58+19.75+161.53</f>
        <v>197.86</v>
      </c>
      <c r="G201" s="675">
        <f>654.99+14.58+38.99+116.01</f>
        <v>824.57</v>
      </c>
      <c r="H201" s="675">
        <f>12.86+49.06+68.02+210.65</f>
        <v>340.59000000000003</v>
      </c>
      <c r="I201" s="675">
        <f>11.68+48.8+218.65</f>
        <v>279.13</v>
      </c>
      <c r="J201" s="675">
        <f>43.63+118.41+14.84</f>
        <v>176.88</v>
      </c>
      <c r="K201" s="675">
        <f>48.93+132.58+328.85+70.8+20.95</f>
        <v>602.11</v>
      </c>
      <c r="L201" s="675">
        <f>22.41+71.47+194.73+220.75+42.82</f>
        <v>552.18000000000006</v>
      </c>
      <c r="M201" s="675">
        <f>173.24+299.85+31.42+69.81+21.35</f>
        <v>595.67000000000007</v>
      </c>
      <c r="N201" s="1450">
        <v>603</v>
      </c>
      <c r="O201" s="1452">
        <f t="shared" si="45"/>
        <v>4380.3</v>
      </c>
      <c r="P201" s="1448"/>
      <c r="Q201" s="1434"/>
      <c r="R201" s="581" t="str">
        <f t="shared" si="43"/>
        <v>PG&amp;E electric</v>
      </c>
      <c r="S201" s="912">
        <f t="shared" si="42"/>
        <v>4380.3</v>
      </c>
      <c r="T201" s="581"/>
      <c r="U201" s="581"/>
      <c r="V201" s="581"/>
    </row>
    <row r="202" spans="1:22">
      <c r="A202" s="1433"/>
      <c r="B202" s="674" t="s">
        <v>8029</v>
      </c>
      <c r="C202" s="675"/>
      <c r="D202" s="675"/>
      <c r="E202" s="675"/>
      <c r="F202" s="675">
        <v>396.43</v>
      </c>
      <c r="G202" s="675"/>
      <c r="H202" s="675"/>
      <c r="I202" s="675"/>
      <c r="J202" s="675"/>
      <c r="K202" s="675"/>
      <c r="L202" s="675"/>
      <c r="M202" s="675"/>
      <c r="N202" s="1450">
        <v>128.28</v>
      </c>
      <c r="O202" s="1452">
        <f t="shared" si="45"/>
        <v>524.71</v>
      </c>
      <c r="P202" s="1448"/>
      <c r="Q202" s="1434"/>
      <c r="R202" s="581" t="str">
        <f t="shared" si="43"/>
        <v>Gas [propane]</v>
      </c>
      <c r="S202" s="912">
        <f t="shared" si="42"/>
        <v>524.71</v>
      </c>
      <c r="T202" s="581"/>
      <c r="U202" s="581"/>
      <c r="V202" s="581"/>
    </row>
    <row r="203" spans="1:22">
      <c r="A203" s="1433"/>
      <c r="B203" s="674" t="s">
        <v>7057</v>
      </c>
      <c r="C203" s="675">
        <v>82.14</v>
      </c>
      <c r="D203" s="675" t="s">
        <v>135</v>
      </c>
      <c r="E203" s="675">
        <v>82.14</v>
      </c>
      <c r="F203" s="675" t="s">
        <v>135</v>
      </c>
      <c r="G203" s="675">
        <v>82.14</v>
      </c>
      <c r="H203" s="675" t="s">
        <v>135</v>
      </c>
      <c r="I203" s="675">
        <v>82.14</v>
      </c>
      <c r="J203" s="675"/>
      <c r="K203" s="675">
        <v>82.14</v>
      </c>
      <c r="L203" s="675"/>
      <c r="M203" s="675">
        <v>86.86</v>
      </c>
      <c r="N203" s="1450" t="s">
        <v>135</v>
      </c>
      <c r="O203" s="1453">
        <f t="shared" si="45"/>
        <v>497.56</v>
      </c>
      <c r="P203" s="1448"/>
      <c r="Q203" s="1434"/>
      <c r="R203" s="581" t="str">
        <f t="shared" si="43"/>
        <v>Garbage</v>
      </c>
      <c r="S203" s="912">
        <f t="shared" si="42"/>
        <v>497.56</v>
      </c>
      <c r="T203" s="581"/>
      <c r="U203" s="581"/>
      <c r="V203" s="581"/>
    </row>
    <row r="204" spans="1:22">
      <c r="A204" s="1433"/>
      <c r="B204" s="674" t="s">
        <v>7294</v>
      </c>
      <c r="C204" s="675">
        <v>500</v>
      </c>
      <c r="D204" s="675">
        <v>500</v>
      </c>
      <c r="E204" s="675">
        <v>500</v>
      </c>
      <c r="F204" s="675" t="s">
        <v>135</v>
      </c>
      <c r="G204" s="675" t="s">
        <v>135</v>
      </c>
      <c r="H204" s="675" t="s">
        <v>135</v>
      </c>
      <c r="I204" s="675"/>
      <c r="J204" s="675" t="s">
        <v>135</v>
      </c>
      <c r="K204" s="675"/>
      <c r="L204" s="675"/>
      <c r="M204" s="675"/>
      <c r="N204" s="675"/>
      <c r="O204" s="1454">
        <f t="shared" si="45"/>
        <v>1500</v>
      </c>
      <c r="P204" s="1448"/>
      <c r="Q204" s="1434"/>
      <c r="R204" s="581" t="str">
        <f t="shared" si="43"/>
        <v>Management</v>
      </c>
      <c r="S204" s="912">
        <f t="shared" si="42"/>
        <v>1500</v>
      </c>
      <c r="T204" s="581"/>
      <c r="U204" s="581"/>
      <c r="V204" s="581"/>
    </row>
    <row r="205" spans="1:22">
      <c r="A205" s="1433"/>
      <c r="B205" s="674" t="s">
        <v>3313</v>
      </c>
      <c r="C205" s="675">
        <v>45.96</v>
      </c>
      <c r="D205" s="675">
        <v>39</v>
      </c>
      <c r="E205" s="675">
        <v>149</v>
      </c>
      <c r="F205" s="675"/>
      <c r="G205" s="675">
        <f>31.68+32.52+4.62</f>
        <v>68.820000000000007</v>
      </c>
      <c r="H205" s="675"/>
      <c r="I205" s="675"/>
      <c r="J205" s="675"/>
      <c r="K205" s="675"/>
      <c r="L205" s="675"/>
      <c r="M205" s="675"/>
      <c r="N205" s="675"/>
      <c r="O205" s="1443">
        <f t="shared" si="45"/>
        <v>302.78000000000003</v>
      </c>
      <c r="P205" s="1448"/>
      <c r="Q205" s="1434"/>
      <c r="R205" s="581" t="str">
        <f t="shared" si="43"/>
        <v>Advertising</v>
      </c>
      <c r="S205" s="912">
        <f t="shared" si="42"/>
        <v>302.78000000000003</v>
      </c>
      <c r="T205" s="581"/>
      <c r="U205" s="581"/>
      <c r="V205" s="581"/>
    </row>
    <row r="206" spans="1:22">
      <c r="A206" s="1433"/>
      <c r="B206" s="674" t="s">
        <v>5684</v>
      </c>
      <c r="C206" s="687"/>
      <c r="D206" s="687"/>
      <c r="E206" s="687"/>
      <c r="F206" s="687"/>
      <c r="G206" s="687"/>
      <c r="H206" s="687"/>
      <c r="I206" s="687"/>
      <c r="J206" s="687"/>
      <c r="K206" s="687" t="s">
        <v>135</v>
      </c>
      <c r="L206" s="687">
        <v>9909</v>
      </c>
      <c r="M206" s="687" t="s">
        <v>135</v>
      </c>
      <c r="N206" s="687" t="s">
        <v>135</v>
      </c>
      <c r="O206" s="1449">
        <f t="shared" si="45"/>
        <v>9909</v>
      </c>
      <c r="P206" s="1448"/>
      <c r="Q206" s="1434"/>
      <c r="R206" s="581" t="str">
        <f t="shared" si="43"/>
        <v>Property Insurance</v>
      </c>
      <c r="S206" s="912">
        <f t="shared" si="42"/>
        <v>9909</v>
      </c>
      <c r="T206" s="581"/>
      <c r="U206" s="581"/>
      <c r="V206" s="581"/>
    </row>
    <row r="207" spans="1:22">
      <c r="A207" s="1433"/>
      <c r="B207" s="674" t="s">
        <v>8030</v>
      </c>
      <c r="C207" s="945">
        <v>117.73</v>
      </c>
      <c r="D207" s="945"/>
      <c r="E207" s="945">
        <v>323.86</v>
      </c>
      <c r="F207" s="945"/>
      <c r="G207" s="945">
        <v>159.94999999999999</v>
      </c>
      <c r="H207" s="945">
        <v>376.03</v>
      </c>
      <c r="I207" s="945"/>
      <c r="J207" s="945">
        <v>216.34</v>
      </c>
      <c r="K207" s="945">
        <v>159.22999999999999</v>
      </c>
      <c r="L207" s="945">
        <v>1063.8</v>
      </c>
      <c r="M207" s="945">
        <v>350</v>
      </c>
      <c r="N207" s="1461">
        <v>116.51</v>
      </c>
      <c r="O207" s="1451">
        <f t="shared" si="45"/>
        <v>2883.45</v>
      </c>
      <c r="P207" s="1448"/>
      <c r="Q207" s="1434"/>
      <c r="R207" s="581" t="str">
        <f t="shared" si="43"/>
        <v>---Kelseyville Lumber</v>
      </c>
      <c r="S207" s="912">
        <f t="shared" si="42"/>
        <v>2883.45</v>
      </c>
      <c r="T207" s="581"/>
      <c r="U207" s="581"/>
      <c r="V207" s="581"/>
    </row>
    <row r="208" spans="1:22">
      <c r="A208" s="1433"/>
      <c r="B208" s="674" t="s">
        <v>8031</v>
      </c>
      <c r="C208" s="675">
        <v>94.55</v>
      </c>
      <c r="D208" s="675">
        <f>615.71+30.96+240.74</f>
        <v>887.41000000000008</v>
      </c>
      <c r="E208" s="675">
        <v>413.65</v>
      </c>
      <c r="F208" s="675">
        <f>35.89</f>
        <v>35.89</v>
      </c>
      <c r="G208" s="675"/>
      <c r="H208" s="675">
        <v>379.63</v>
      </c>
      <c r="I208" s="675">
        <v>73.44</v>
      </c>
      <c r="J208" s="675"/>
      <c r="K208" s="675">
        <v>1020.95</v>
      </c>
      <c r="L208" s="675">
        <v>612.80999999999995</v>
      </c>
      <c r="M208" s="675">
        <v>684.03</v>
      </c>
      <c r="N208" s="1450">
        <v>145.08000000000001</v>
      </c>
      <c r="O208" s="1453">
        <f t="shared" si="45"/>
        <v>4347.4400000000005</v>
      </c>
      <c r="P208" s="1448"/>
      <c r="Q208" s="1434"/>
      <c r="R208" s="581" t="str">
        <f t="shared" si="43"/>
        <v>---Maintenance</v>
      </c>
      <c r="S208" s="912">
        <f t="shared" si="42"/>
        <v>4347.4400000000005</v>
      </c>
      <c r="T208" s="581"/>
      <c r="U208" s="581"/>
      <c r="V208" s="581"/>
    </row>
    <row r="209" spans="1:22">
      <c r="A209" s="1433"/>
      <c r="B209" s="666" t="s">
        <v>6323</v>
      </c>
      <c r="C209" s="677" t="e">
        <f t="shared" ref="C209:N209" si="46">C207+""+""+""+C208</f>
        <v>#VALUE!</v>
      </c>
      <c r="D209" s="677" t="e">
        <f t="shared" si="46"/>
        <v>#VALUE!</v>
      </c>
      <c r="E209" s="677" t="e">
        <f t="shared" si="46"/>
        <v>#VALUE!</v>
      </c>
      <c r="F209" s="677" t="e">
        <f t="shared" si="46"/>
        <v>#VALUE!</v>
      </c>
      <c r="G209" s="677" t="e">
        <f t="shared" si="46"/>
        <v>#VALUE!</v>
      </c>
      <c r="H209" s="677" t="e">
        <f t="shared" si="46"/>
        <v>#VALUE!</v>
      </c>
      <c r="I209" s="677" t="e">
        <f t="shared" si="46"/>
        <v>#VALUE!</v>
      </c>
      <c r="J209" s="677" t="e">
        <f t="shared" si="46"/>
        <v>#VALUE!</v>
      </c>
      <c r="K209" s="677" t="e">
        <f t="shared" si="46"/>
        <v>#VALUE!</v>
      </c>
      <c r="L209" s="677" t="e">
        <f t="shared" si="46"/>
        <v>#VALUE!</v>
      </c>
      <c r="M209" s="677" t="e">
        <f t="shared" si="46"/>
        <v>#VALUE!</v>
      </c>
      <c r="N209" s="677" t="e">
        <f t="shared" si="46"/>
        <v>#VALUE!</v>
      </c>
      <c r="O209" s="1462" t="e">
        <f t="shared" si="45"/>
        <v>#VALUE!</v>
      </c>
      <c r="P209" s="1444"/>
      <c r="Q209" s="1434"/>
      <c r="R209" s="581" t="str">
        <f t="shared" si="43"/>
        <v>Total Repairs</v>
      </c>
      <c r="S209" s="912" t="e">
        <f t="shared" si="42"/>
        <v>#VALUE!</v>
      </c>
      <c r="T209" s="581"/>
      <c r="U209" s="581"/>
      <c r="V209" s="581"/>
    </row>
    <row r="210" spans="1:22">
      <c r="A210" s="661"/>
      <c r="B210" s="1455" t="s">
        <v>1126</v>
      </c>
      <c r="C210" s="1456">
        <f t="shared" ref="C210:O210" si="47">SUM(C199:C208)</f>
        <v>2951.3</v>
      </c>
      <c r="D210" s="1456">
        <f t="shared" si="47"/>
        <v>1464.5</v>
      </c>
      <c r="E210" s="1456">
        <f t="shared" si="47"/>
        <v>3700.71</v>
      </c>
      <c r="F210" s="1456">
        <f t="shared" si="47"/>
        <v>6556.06</v>
      </c>
      <c r="G210" s="1456">
        <f t="shared" si="47"/>
        <v>3204.2</v>
      </c>
      <c r="H210" s="1456">
        <f t="shared" si="47"/>
        <v>1096.25</v>
      </c>
      <c r="I210" s="1456">
        <f t="shared" si="47"/>
        <v>2560.9299999999998</v>
      </c>
      <c r="J210" s="1456">
        <f t="shared" si="47"/>
        <v>393.22</v>
      </c>
      <c r="K210" s="1456">
        <f t="shared" si="47"/>
        <v>4283.8999999999996</v>
      </c>
      <c r="L210" s="1456">
        <f t="shared" si="47"/>
        <v>12137.789999999999</v>
      </c>
      <c r="M210" s="1456">
        <f t="shared" si="47"/>
        <v>4053.5299999999997</v>
      </c>
      <c r="N210" s="1456">
        <f t="shared" si="47"/>
        <v>9721.09</v>
      </c>
      <c r="O210" s="1457">
        <f t="shared" si="47"/>
        <v>52123.479999999996</v>
      </c>
      <c r="P210" s="1458"/>
      <c r="Q210" s="1434"/>
      <c r="R210" s="976" t="str">
        <f t="shared" si="43"/>
        <v>Total Expenses</v>
      </c>
      <c r="S210" s="1445">
        <f t="shared" si="42"/>
        <v>52123.479999999996</v>
      </c>
      <c r="T210" s="581"/>
      <c r="U210" s="581"/>
      <c r="V210" s="581"/>
    </row>
    <row r="211" spans="1:22">
      <c r="A211" s="1463"/>
      <c r="B211" s="1464"/>
      <c r="C211" s="1465"/>
      <c r="D211" s="1465"/>
      <c r="E211" s="1465"/>
      <c r="F211" s="1465"/>
      <c r="G211" s="1465"/>
      <c r="H211" s="1465"/>
      <c r="I211" s="1465"/>
      <c r="J211" s="1465"/>
      <c r="K211" s="1465"/>
      <c r="L211" s="1465"/>
      <c r="M211" s="1465"/>
      <c r="N211" s="1465"/>
      <c r="O211" s="1466"/>
      <c r="P211" s="1467"/>
      <c r="Q211" s="1434"/>
      <c r="R211" s="976" t="s">
        <v>791</v>
      </c>
      <c r="S211" s="1445">
        <f>S197-S210</f>
        <v>141089.16000000003</v>
      </c>
      <c r="T211" s="581"/>
      <c r="U211" s="581"/>
      <c r="V211" s="581"/>
    </row>
    <row r="212" spans="1:22">
      <c r="A212" s="1433"/>
      <c r="B212" s="2283" t="s">
        <v>8021</v>
      </c>
      <c r="C212" s="2284"/>
      <c r="D212" s="2284"/>
      <c r="E212" s="2284"/>
      <c r="F212" s="2284"/>
      <c r="G212" s="2284"/>
      <c r="H212" s="2284"/>
      <c r="I212" s="2284"/>
      <c r="J212" s="2284"/>
      <c r="K212" s="2284"/>
      <c r="L212" s="2284"/>
      <c r="M212" s="2284"/>
      <c r="N212" s="2284"/>
      <c r="O212" s="2285"/>
      <c r="P212" s="1433"/>
      <c r="Q212" s="1408" t="s">
        <v>135</v>
      </c>
      <c r="R212" s="9" t="s">
        <v>135</v>
      </c>
    </row>
    <row r="213" spans="1:22">
      <c r="A213" s="1433"/>
      <c r="B213" s="1435" t="s">
        <v>8034</v>
      </c>
      <c r="C213" s="1436" t="s">
        <v>143</v>
      </c>
      <c r="D213" s="1436" t="s">
        <v>26</v>
      </c>
      <c r="E213" s="1436" t="s">
        <v>25</v>
      </c>
      <c r="F213" s="1436" t="s">
        <v>24</v>
      </c>
      <c r="G213" s="1436" t="s">
        <v>23</v>
      </c>
      <c r="H213" s="1436" t="s">
        <v>22</v>
      </c>
      <c r="I213" s="1436" t="s">
        <v>21</v>
      </c>
      <c r="J213" s="1436" t="s">
        <v>20</v>
      </c>
      <c r="K213" s="1436" t="s">
        <v>256</v>
      </c>
      <c r="L213" s="1436" t="s">
        <v>18</v>
      </c>
      <c r="M213" s="1436" t="s">
        <v>17</v>
      </c>
      <c r="N213" s="1436" t="s">
        <v>86</v>
      </c>
      <c r="O213" s="1437" t="s">
        <v>8022</v>
      </c>
      <c r="P213" s="1438"/>
      <c r="Q213" s="1409" t="s">
        <v>135</v>
      </c>
      <c r="R213" s="578"/>
      <c r="T213" s="578"/>
      <c r="U213" s="578"/>
      <c r="V213" s="1468"/>
    </row>
    <row r="214" spans="1:22">
      <c r="A214" s="1433"/>
      <c r="B214" s="674" t="s">
        <v>8024</v>
      </c>
      <c r="C214" s="12">
        <f t="shared" ref="C214:N214" si="48">C217-C215-C216</f>
        <v>10576.42</v>
      </c>
      <c r="D214" s="12">
        <f t="shared" si="48"/>
        <v>11651.9</v>
      </c>
      <c r="E214" s="12">
        <f t="shared" si="48"/>
        <v>9969</v>
      </c>
      <c r="F214" s="12">
        <f t="shared" si="48"/>
        <v>11404.72</v>
      </c>
      <c r="G214" s="12">
        <f t="shared" si="48"/>
        <v>9841.7200000000012</v>
      </c>
      <c r="H214" s="12">
        <f t="shared" si="48"/>
        <v>0</v>
      </c>
      <c r="I214" s="12">
        <f t="shared" si="48"/>
        <v>0</v>
      </c>
      <c r="J214" s="12">
        <f t="shared" si="48"/>
        <v>0</v>
      </c>
      <c r="K214" s="12">
        <f t="shared" si="48"/>
        <v>0</v>
      </c>
      <c r="L214" s="12">
        <f t="shared" si="48"/>
        <v>0</v>
      </c>
      <c r="M214" s="12">
        <f t="shared" si="48"/>
        <v>0</v>
      </c>
      <c r="N214" s="12">
        <f t="shared" si="48"/>
        <v>0</v>
      </c>
      <c r="O214" s="1439">
        <f>SUM(C214:N214)</f>
        <v>53443.76</v>
      </c>
      <c r="P214" s="1433"/>
      <c r="Q214" s="1408" t="s">
        <v>135</v>
      </c>
      <c r="R214" s="16"/>
      <c r="V214" s="1469"/>
    </row>
    <row r="215" spans="1:22">
      <c r="A215" s="1433"/>
      <c r="B215" s="1440" t="s">
        <v>8025</v>
      </c>
      <c r="C215" s="1441">
        <v>2079</v>
      </c>
      <c r="D215" s="1441">
        <v>1971</v>
      </c>
      <c r="E215" s="1441">
        <v>2011</v>
      </c>
      <c r="F215" s="1441">
        <v>2222</v>
      </c>
      <c r="G215" s="1441">
        <v>2222</v>
      </c>
      <c r="H215" s="1441">
        <v>0</v>
      </c>
      <c r="I215" s="1441">
        <v>0</v>
      </c>
      <c r="J215" s="1441">
        <v>0</v>
      </c>
      <c r="K215" s="1441">
        <v>0</v>
      </c>
      <c r="L215" s="1441">
        <v>0</v>
      </c>
      <c r="M215" s="1441">
        <v>0</v>
      </c>
      <c r="N215" s="1441"/>
      <c r="O215" s="1442">
        <f>SUM(C215:N215)</f>
        <v>10505</v>
      </c>
      <c r="P215" s="1433"/>
      <c r="Q215" s="1408" t="s">
        <v>135</v>
      </c>
      <c r="R215" s="16"/>
      <c r="V215" s="1469"/>
    </row>
    <row r="216" spans="1:22">
      <c r="A216" s="1433"/>
      <c r="B216" s="666" t="s">
        <v>8026</v>
      </c>
      <c r="C216" s="12">
        <v>1727</v>
      </c>
      <c r="D216" s="12"/>
      <c r="E216" s="12">
        <v>1484</v>
      </c>
      <c r="F216" s="12"/>
      <c r="G216" s="12">
        <v>1698</v>
      </c>
      <c r="H216" s="12"/>
      <c r="I216" s="12"/>
      <c r="J216" s="12"/>
      <c r="K216" s="12"/>
      <c r="L216" s="12"/>
      <c r="M216" s="12"/>
      <c r="N216" s="12"/>
      <c r="O216" s="1443">
        <f>SUM(C216:N216)</f>
        <v>4909</v>
      </c>
      <c r="P216" s="1433"/>
      <c r="Q216" s="1408" t="s">
        <v>135</v>
      </c>
      <c r="R216" s="16"/>
      <c r="V216" s="1469"/>
    </row>
    <row r="217" spans="1:22">
      <c r="A217" s="1433"/>
      <c r="B217" s="666" t="s">
        <v>6847</v>
      </c>
      <c r="C217" s="667">
        <f>4709.42+700+500+3179+3292+2002</f>
        <v>14382.42</v>
      </c>
      <c r="D217" s="667">
        <f>4740.9+635+2165+1465+4097+520</f>
        <v>13622.9</v>
      </c>
      <c r="E217" s="667">
        <f>500+2635+2494+3660+3875+300</f>
        <v>13464</v>
      </c>
      <c r="F217" s="667">
        <f>2169+500+8807.72+400+350+400+1000</f>
        <v>13626.72</v>
      </c>
      <c r="G217" s="667">
        <f>1907+6451.72+1996+2407+1000</f>
        <v>13761.720000000001</v>
      </c>
      <c r="H217" s="667">
        <v>0</v>
      </c>
      <c r="I217" s="667">
        <v>0</v>
      </c>
      <c r="J217" s="667">
        <v>0</v>
      </c>
      <c r="K217" s="667">
        <v>0</v>
      </c>
      <c r="L217" s="667">
        <v>0</v>
      </c>
      <c r="M217" s="667">
        <v>0</v>
      </c>
      <c r="N217" s="667">
        <v>0</v>
      </c>
      <c r="O217" s="1439">
        <f>SUM(C217:N217)</f>
        <v>68857.760000000009</v>
      </c>
      <c r="P217" s="1444"/>
      <c r="Q217" s="1408" t="s">
        <v>135</v>
      </c>
      <c r="R217" s="16"/>
      <c r="T217" s="578"/>
      <c r="U217" s="578"/>
      <c r="V217" s="1468"/>
    </row>
    <row r="218" spans="1:22">
      <c r="A218" s="1433"/>
      <c r="B218" s="1342" t="s">
        <v>6389</v>
      </c>
      <c r="C218" s="1343">
        <v>0</v>
      </c>
      <c r="D218" s="1343">
        <v>0</v>
      </c>
      <c r="E218" s="1343">
        <v>0</v>
      </c>
      <c r="F218" s="1343">
        <v>0</v>
      </c>
      <c r="G218" s="1343">
        <v>0</v>
      </c>
      <c r="H218" s="1343">
        <v>0</v>
      </c>
      <c r="I218" s="1343">
        <v>0</v>
      </c>
      <c r="J218" s="1343">
        <v>0</v>
      </c>
      <c r="K218" s="1343">
        <v>0</v>
      </c>
      <c r="L218" s="1343">
        <v>0</v>
      </c>
      <c r="M218" s="1343">
        <v>0</v>
      </c>
      <c r="N218" s="1343"/>
      <c r="O218" s="1470">
        <f>SUM(C218:N218)</f>
        <v>0</v>
      </c>
      <c r="P218" s="1448"/>
      <c r="Q218" s="1408" t="s">
        <v>135</v>
      </c>
      <c r="R218" s="16"/>
      <c r="V218" s="1469"/>
    </row>
    <row r="219" spans="1:22">
      <c r="A219" s="1433"/>
      <c r="B219" s="666" t="s">
        <v>8035</v>
      </c>
      <c r="C219" s="1446">
        <f t="shared" ref="C219:O219" si="49">C217-C236</f>
        <v>5014.0999999999985</v>
      </c>
      <c r="D219" s="1446">
        <f t="shared" si="49"/>
        <v>8870.49</v>
      </c>
      <c r="E219" s="1446">
        <f t="shared" si="49"/>
        <v>2612.08</v>
      </c>
      <c r="F219" s="1446">
        <f t="shared" si="49"/>
        <v>7391.8099999999986</v>
      </c>
      <c r="G219" s="1446">
        <f t="shared" si="49"/>
        <v>12097.550000000001</v>
      </c>
      <c r="H219" s="1446">
        <f t="shared" si="49"/>
        <v>-2268.02</v>
      </c>
      <c r="I219" s="1446">
        <f t="shared" si="49"/>
        <v>-583.19000000000005</v>
      </c>
      <c r="J219" s="1446">
        <f t="shared" si="49"/>
        <v>0</v>
      </c>
      <c r="K219" s="1446">
        <f t="shared" si="49"/>
        <v>0</v>
      </c>
      <c r="L219" s="1446">
        <f t="shared" si="49"/>
        <v>0</v>
      </c>
      <c r="M219" s="1446">
        <f t="shared" si="49"/>
        <v>0</v>
      </c>
      <c r="N219" s="1446">
        <f t="shared" si="49"/>
        <v>0</v>
      </c>
      <c r="O219" s="1447">
        <f t="shared" si="49"/>
        <v>33134.820000000007</v>
      </c>
      <c r="P219" s="1448"/>
      <c r="Q219" s="1408" t="s">
        <v>135</v>
      </c>
      <c r="R219" s="16"/>
      <c r="V219" s="1469"/>
    </row>
    <row r="220" spans="1:22">
      <c r="A220" s="1433"/>
      <c r="B220" s="674" t="s">
        <v>8036</v>
      </c>
      <c r="C220" s="675">
        <v>6042.47</v>
      </c>
      <c r="D220" s="675">
        <v>300</v>
      </c>
      <c r="E220" s="675">
        <v>6042.47</v>
      </c>
      <c r="F220" s="675">
        <v>665</v>
      </c>
      <c r="G220" s="675"/>
      <c r="H220" s="675"/>
      <c r="I220" s="675"/>
      <c r="J220" s="675"/>
      <c r="K220" s="675"/>
      <c r="L220" s="675"/>
      <c r="M220" s="676"/>
      <c r="N220" s="675"/>
      <c r="O220" s="1449">
        <f t="shared" ref="O220:O234" si="50">SUM(C220:N220)</f>
        <v>13049.94</v>
      </c>
      <c r="P220" s="1448"/>
      <c r="Q220" s="1408" t="s">
        <v>135</v>
      </c>
      <c r="R220" s="16"/>
      <c r="V220" s="1469"/>
    </row>
    <row r="221" spans="1:22">
      <c r="A221" s="1433"/>
      <c r="B221" s="674" t="s">
        <v>8027</v>
      </c>
      <c r="C221" s="675"/>
      <c r="D221" s="675">
        <v>2147.2199999999998</v>
      </c>
      <c r="E221" s="675"/>
      <c r="F221" s="675">
        <v>2166.1799999999998</v>
      </c>
      <c r="G221" s="675"/>
      <c r="H221" s="675">
        <v>2268.02</v>
      </c>
      <c r="I221" s="675">
        <v>583.19000000000005</v>
      </c>
      <c r="J221" s="675"/>
      <c r="K221" s="675"/>
      <c r="L221" s="675"/>
      <c r="M221" s="675"/>
      <c r="N221" s="1450"/>
      <c r="O221" s="1451">
        <f t="shared" si="50"/>
        <v>7164.6100000000006</v>
      </c>
      <c r="P221" s="1448"/>
      <c r="Q221" s="1408"/>
      <c r="R221" s="16"/>
      <c r="V221" s="1469"/>
    </row>
    <row r="222" spans="1:22">
      <c r="A222" s="1433"/>
      <c r="B222" s="674" t="s">
        <v>8028</v>
      </c>
      <c r="C222" s="675">
        <f>404.73</f>
        <v>404.73</v>
      </c>
      <c r="D222" s="675">
        <f>564.46+102.1+168.92+28.64+349.53+140.55+163.44+30.23+102.22</f>
        <v>1650.0900000000001</v>
      </c>
      <c r="E222" s="675">
        <f>64.96+149.78+22.87+55.76</f>
        <v>293.37</v>
      </c>
      <c r="F222" s="675">
        <f>116.03+36.82+39.15</f>
        <v>192</v>
      </c>
      <c r="G222" s="675"/>
      <c r="H222" s="675"/>
      <c r="I222" s="675"/>
      <c r="J222" s="675"/>
      <c r="K222" s="675"/>
      <c r="L222" s="675"/>
      <c r="M222" s="675"/>
      <c r="N222" s="1450"/>
      <c r="O222" s="1452">
        <f t="shared" si="50"/>
        <v>2540.19</v>
      </c>
      <c r="P222" s="1448"/>
      <c r="Q222" s="1408"/>
      <c r="R222" s="16"/>
      <c r="V222" s="1469"/>
    </row>
    <row r="223" spans="1:22">
      <c r="A223" s="1433"/>
      <c r="B223" s="674" t="s">
        <v>8029</v>
      </c>
      <c r="C223" s="675"/>
      <c r="D223" s="675" t="s">
        <v>135</v>
      </c>
      <c r="E223" s="675"/>
      <c r="F223" s="675"/>
      <c r="G223" s="675"/>
      <c r="H223" s="675"/>
      <c r="I223" s="675"/>
      <c r="J223" s="675"/>
      <c r="K223" s="675"/>
      <c r="L223" s="675"/>
      <c r="M223" s="675"/>
      <c r="N223" s="1450"/>
      <c r="O223" s="1452">
        <f t="shared" si="50"/>
        <v>0</v>
      </c>
      <c r="P223" s="1448"/>
      <c r="Q223" s="1408"/>
      <c r="R223" s="16"/>
      <c r="V223" s="1469"/>
    </row>
    <row r="224" spans="1:22">
      <c r="A224" s="1433"/>
      <c r="B224" s="674" t="s">
        <v>7057</v>
      </c>
      <c r="C224" s="675">
        <v>86.86</v>
      </c>
      <c r="D224" s="675"/>
      <c r="E224" s="675">
        <v>86.86</v>
      </c>
      <c r="F224" s="675"/>
      <c r="G224" s="675"/>
      <c r="H224" s="675"/>
      <c r="I224" s="675"/>
      <c r="J224" s="675"/>
      <c r="K224" s="675"/>
      <c r="L224" s="675"/>
      <c r="M224" s="675"/>
      <c r="N224" s="1450"/>
      <c r="O224" s="1453">
        <f t="shared" si="50"/>
        <v>173.72</v>
      </c>
      <c r="P224" s="1448"/>
      <c r="Q224" s="1408"/>
      <c r="R224" s="16"/>
      <c r="V224" s="1469"/>
    </row>
    <row r="225" spans="1:22">
      <c r="A225" s="1433"/>
      <c r="B225" s="674" t="s">
        <v>8037</v>
      </c>
      <c r="C225" s="675">
        <v>52.11</v>
      </c>
      <c r="D225" s="675">
        <v>5.6</v>
      </c>
      <c r="E225" s="675">
        <f>103.41+5.6+81</f>
        <v>190.01</v>
      </c>
      <c r="F225" s="675">
        <f>120.47+8.1+5.6</f>
        <v>134.16999999999999</v>
      </c>
      <c r="G225" s="675"/>
      <c r="H225" s="675"/>
      <c r="I225" s="675"/>
      <c r="J225" s="675"/>
      <c r="K225" s="675"/>
      <c r="L225" s="675"/>
      <c r="M225" s="675"/>
      <c r="N225" s="675"/>
      <c r="O225" s="1454">
        <f t="shared" si="50"/>
        <v>381.89</v>
      </c>
      <c r="P225" s="1448"/>
      <c r="Q225" s="1408" t="s">
        <v>135</v>
      </c>
      <c r="R225" s="16"/>
      <c r="V225" s="1469"/>
    </row>
    <row r="226" spans="1:22">
      <c r="A226" s="1433"/>
      <c r="B226" s="674" t="s">
        <v>7019</v>
      </c>
      <c r="C226" s="675">
        <v>2000</v>
      </c>
      <c r="D226" s="675">
        <v>500</v>
      </c>
      <c r="E226" s="675">
        <v>2000</v>
      </c>
      <c r="F226" s="675">
        <v>2000</v>
      </c>
      <c r="G226" s="675"/>
      <c r="H226" s="675"/>
      <c r="I226" s="675"/>
      <c r="J226" s="675"/>
      <c r="K226" s="675"/>
      <c r="L226" s="675"/>
      <c r="M226" s="675"/>
      <c r="N226" s="675"/>
      <c r="O226" s="1443">
        <f t="shared" si="50"/>
        <v>6500</v>
      </c>
      <c r="P226" s="1448"/>
      <c r="Q226" s="1408"/>
      <c r="R226" s="16"/>
      <c r="V226" s="1469"/>
    </row>
    <row r="227" spans="1:22">
      <c r="A227" s="1433"/>
      <c r="B227" s="674" t="s">
        <v>3313</v>
      </c>
      <c r="C227" s="675">
        <v>115.04</v>
      </c>
      <c r="D227" s="675">
        <f>24.75+24.75</f>
        <v>49.5</v>
      </c>
      <c r="E227" s="675"/>
      <c r="F227" s="675">
        <f>25.38+49.5</f>
        <v>74.88</v>
      </c>
      <c r="G227" s="675"/>
      <c r="H227" s="675"/>
      <c r="I227" s="675"/>
      <c r="J227" s="675"/>
      <c r="K227" s="675"/>
      <c r="L227" s="675"/>
      <c r="M227" s="675"/>
      <c r="N227" s="675"/>
      <c r="O227" s="1443">
        <f t="shared" si="50"/>
        <v>239.42000000000002</v>
      </c>
      <c r="P227" s="1448"/>
      <c r="Q227" s="1408"/>
      <c r="R227" s="16"/>
      <c r="V227" s="1469"/>
    </row>
    <row r="228" spans="1:22">
      <c r="A228" s="1433"/>
      <c r="B228" s="674" t="s">
        <v>7033</v>
      </c>
      <c r="C228" s="675">
        <v>15</v>
      </c>
      <c r="D228" s="675"/>
      <c r="E228" s="675">
        <v>8</v>
      </c>
      <c r="F228" s="675"/>
      <c r="G228" s="675"/>
      <c r="H228" s="675"/>
      <c r="I228" s="675"/>
      <c r="J228" s="675"/>
      <c r="K228" s="675"/>
      <c r="L228" s="675"/>
      <c r="M228" s="675"/>
      <c r="N228" s="675"/>
      <c r="O228" s="1443">
        <f t="shared" si="50"/>
        <v>23</v>
      </c>
      <c r="P228" s="1448"/>
      <c r="Q228" s="1408"/>
      <c r="R228" s="16"/>
      <c r="V228" s="1469"/>
    </row>
    <row r="229" spans="1:22">
      <c r="A229" s="1433"/>
      <c r="B229" s="674" t="s">
        <v>5684</v>
      </c>
      <c r="C229" s="675"/>
      <c r="D229" s="675"/>
      <c r="E229" s="675"/>
      <c r="F229" s="675"/>
      <c r="G229" s="675"/>
      <c r="H229" s="675"/>
      <c r="I229" s="675"/>
      <c r="J229" s="1000"/>
      <c r="K229" s="675"/>
      <c r="L229" s="675"/>
      <c r="M229" s="675"/>
      <c r="N229" s="675"/>
      <c r="O229" s="1449">
        <f t="shared" si="50"/>
        <v>0</v>
      </c>
      <c r="P229" s="1448"/>
      <c r="Q229" s="1408"/>
      <c r="R229" s="16"/>
      <c r="V229" s="1469"/>
    </row>
    <row r="230" spans="1:22">
      <c r="A230" s="1433"/>
      <c r="B230" s="674" t="s">
        <v>8030</v>
      </c>
      <c r="C230" s="675"/>
      <c r="D230" s="675"/>
      <c r="E230" s="675">
        <v>1241.8499999999999</v>
      </c>
      <c r="F230" s="675">
        <v>501.42</v>
      </c>
      <c r="G230" s="675">
        <v>964.17</v>
      </c>
      <c r="H230" s="675"/>
      <c r="I230" s="675"/>
      <c r="J230" s="675"/>
      <c r="K230" s="675"/>
      <c r="L230" s="675"/>
      <c r="M230" s="675"/>
      <c r="N230" s="1450"/>
      <c r="O230" s="1451">
        <f t="shared" si="50"/>
        <v>2707.44</v>
      </c>
      <c r="P230" s="1448"/>
      <c r="Q230" s="1408"/>
      <c r="R230" s="16"/>
      <c r="V230" s="1469"/>
    </row>
    <row r="231" spans="1:22">
      <c r="A231" s="1433"/>
      <c r="B231" s="674" t="s">
        <v>8038</v>
      </c>
      <c r="C231" s="675"/>
      <c r="D231" s="675"/>
      <c r="E231" s="675"/>
      <c r="F231" s="675"/>
      <c r="G231" s="675"/>
      <c r="H231" s="675"/>
      <c r="I231" s="675"/>
      <c r="J231" s="675"/>
      <c r="K231" s="675"/>
      <c r="L231" s="675"/>
      <c r="M231" s="675"/>
      <c r="N231" s="1450"/>
      <c r="O231" s="1452">
        <f t="shared" si="50"/>
        <v>0</v>
      </c>
      <c r="P231" s="1448"/>
      <c r="Q231" s="1408"/>
      <c r="R231" s="16"/>
      <c r="V231" s="1469"/>
    </row>
    <row r="232" spans="1:22">
      <c r="A232" s="1433"/>
      <c r="B232" s="674" t="s">
        <v>8039</v>
      </c>
      <c r="C232" s="675">
        <f>39.37+115.21+37.88+45+8.64+106.97+100</f>
        <v>453.06999999999994</v>
      </c>
      <c r="D232" s="675">
        <f>100</f>
        <v>100</v>
      </c>
      <c r="E232" s="675">
        <f>450+23+177.18+235.77+103.41</f>
        <v>989.36</v>
      </c>
      <c r="F232" s="675">
        <v>501.26</v>
      </c>
      <c r="G232" s="675">
        <v>700</v>
      </c>
      <c r="H232" s="675"/>
      <c r="I232" s="675"/>
      <c r="J232" s="675"/>
      <c r="K232" s="675"/>
      <c r="L232" s="675"/>
      <c r="M232" s="675"/>
      <c r="N232" s="1450"/>
      <c r="O232" s="1452">
        <f t="shared" si="50"/>
        <v>2743.6899999999996</v>
      </c>
      <c r="P232" s="1448"/>
      <c r="Q232" s="1408" t="s">
        <v>135</v>
      </c>
      <c r="R232" s="16"/>
      <c r="V232" s="1469"/>
    </row>
    <row r="233" spans="1:22">
      <c r="A233" s="1433"/>
      <c r="B233" s="674" t="s">
        <v>8040</v>
      </c>
      <c r="C233" s="675">
        <v>150</v>
      </c>
      <c r="D233" s="675" t="s">
        <v>135</v>
      </c>
      <c r="E233" s="675"/>
      <c r="F233" s="675"/>
      <c r="G233" s="675"/>
      <c r="H233" s="675"/>
      <c r="I233" s="675"/>
      <c r="J233" s="675"/>
      <c r="K233" s="675"/>
      <c r="L233" s="675"/>
      <c r="M233" s="675"/>
      <c r="N233" s="1450"/>
      <c r="O233" s="1452">
        <f t="shared" si="50"/>
        <v>150</v>
      </c>
      <c r="P233" s="1448"/>
      <c r="Q233" s="1408" t="s">
        <v>135</v>
      </c>
      <c r="R233" s="16"/>
      <c r="V233" s="1469"/>
    </row>
    <row r="234" spans="1:22">
      <c r="A234" s="1433"/>
      <c r="B234" s="674" t="s">
        <v>8041</v>
      </c>
      <c r="C234" s="675">
        <v>49.04</v>
      </c>
      <c r="D234" s="675" t="s">
        <v>135</v>
      </c>
      <c r="E234" s="675"/>
      <c r="F234" s="675"/>
      <c r="G234" s="675"/>
      <c r="H234" s="675"/>
      <c r="I234" s="675"/>
      <c r="J234" s="675"/>
      <c r="K234" s="675"/>
      <c r="L234" s="675"/>
      <c r="M234" s="675"/>
      <c r="N234" s="1450"/>
      <c r="O234" s="1453">
        <f t="shared" si="50"/>
        <v>49.04</v>
      </c>
      <c r="P234" s="1448"/>
      <c r="Q234" s="1408" t="s">
        <v>135</v>
      </c>
      <c r="R234" s="16"/>
      <c r="V234" s="1469"/>
    </row>
    <row r="235" spans="1:22">
      <c r="A235" s="1433"/>
      <c r="B235" s="666" t="s">
        <v>6323</v>
      </c>
      <c r="C235" s="677">
        <f t="shared" ref="C235:O235" si="51">SUM(C230:C234)</f>
        <v>652.1099999999999</v>
      </c>
      <c r="D235" s="677">
        <f t="shared" si="51"/>
        <v>100</v>
      </c>
      <c r="E235" s="677">
        <f t="shared" si="51"/>
        <v>2231.21</v>
      </c>
      <c r="F235" s="677">
        <f t="shared" si="51"/>
        <v>1002.6800000000001</v>
      </c>
      <c r="G235" s="677">
        <f t="shared" si="51"/>
        <v>1664.17</v>
      </c>
      <c r="H235" s="677">
        <f t="shared" si="51"/>
        <v>0</v>
      </c>
      <c r="I235" s="677">
        <f t="shared" si="51"/>
        <v>0</v>
      </c>
      <c r="J235" s="677">
        <f t="shared" si="51"/>
        <v>0</v>
      </c>
      <c r="K235" s="677">
        <f t="shared" si="51"/>
        <v>0</v>
      </c>
      <c r="L235" s="677">
        <f t="shared" si="51"/>
        <v>0</v>
      </c>
      <c r="M235" s="677">
        <f t="shared" si="51"/>
        <v>0</v>
      </c>
      <c r="N235" s="677">
        <f t="shared" si="51"/>
        <v>0</v>
      </c>
      <c r="O235" s="1454">
        <f t="shared" si="51"/>
        <v>5650.1699999999992</v>
      </c>
      <c r="P235" s="1444"/>
      <c r="Q235" s="1408"/>
      <c r="R235" s="16"/>
      <c r="T235" s="578"/>
      <c r="U235" s="578"/>
      <c r="V235" s="1468"/>
    </row>
    <row r="236" spans="1:22">
      <c r="A236" s="661"/>
      <c r="B236" s="1455" t="s">
        <v>1126</v>
      </c>
      <c r="C236" s="1456">
        <f t="shared" ref="C236:O236" si="52">SUM(C220:C234)</f>
        <v>9368.3200000000015</v>
      </c>
      <c r="D236" s="1456">
        <f t="shared" si="52"/>
        <v>4752.41</v>
      </c>
      <c r="E236" s="1456">
        <f t="shared" si="52"/>
        <v>10851.92</v>
      </c>
      <c r="F236" s="1456">
        <f t="shared" si="52"/>
        <v>6234.9100000000008</v>
      </c>
      <c r="G236" s="1456">
        <f t="shared" si="52"/>
        <v>1664.17</v>
      </c>
      <c r="H236" s="1456">
        <f t="shared" si="52"/>
        <v>2268.02</v>
      </c>
      <c r="I236" s="1456">
        <f t="shared" si="52"/>
        <v>583.19000000000005</v>
      </c>
      <c r="J236" s="1456">
        <f t="shared" si="52"/>
        <v>0</v>
      </c>
      <c r="K236" s="1456">
        <f t="shared" si="52"/>
        <v>0</v>
      </c>
      <c r="L236" s="1456">
        <f t="shared" si="52"/>
        <v>0</v>
      </c>
      <c r="M236" s="1456">
        <f t="shared" si="52"/>
        <v>0</v>
      </c>
      <c r="N236" s="1456">
        <f t="shared" si="52"/>
        <v>0</v>
      </c>
      <c r="O236" s="1457">
        <f t="shared" si="52"/>
        <v>35722.94</v>
      </c>
      <c r="P236" s="1458"/>
      <c r="Q236" s="1408" t="s">
        <v>4392</v>
      </c>
      <c r="R236" s="16"/>
      <c r="S236" s="16"/>
      <c r="T236" s="16"/>
      <c r="U236" s="1412"/>
      <c r="V236" s="1471"/>
    </row>
    <row r="237" spans="1:22">
      <c r="A237" s="1472"/>
      <c r="B237" s="1408" t="s">
        <v>8042</v>
      </c>
      <c r="C237" s="12">
        <v>404.73</v>
      </c>
      <c r="D237" s="444">
        <v>349.53</v>
      </c>
      <c r="E237" s="12">
        <v>163.44</v>
      </c>
      <c r="F237" s="12">
        <v>64.959999999999994</v>
      </c>
      <c r="G237" s="12">
        <v>39.15</v>
      </c>
      <c r="H237" s="12">
        <v>57.35</v>
      </c>
      <c r="I237" s="12"/>
      <c r="J237" s="12"/>
      <c r="K237" s="12"/>
      <c r="L237" s="12"/>
      <c r="M237" s="12"/>
      <c r="N237" s="12"/>
      <c r="O237" s="1340">
        <f>SUM(C237:N237)</f>
        <v>1079.1600000000001</v>
      </c>
      <c r="P237" s="449"/>
      <c r="Q237" s="245">
        <f>AVERAGE(E237:H237)</f>
        <v>81.224999999999994</v>
      </c>
      <c r="R237" s="16"/>
      <c r="S237" s="16"/>
      <c r="T237" s="16"/>
    </row>
    <row r="238" spans="1:22">
      <c r="A238" s="1472"/>
      <c r="B238" s="1473" t="s">
        <v>8043</v>
      </c>
      <c r="C238" s="1474">
        <v>234.46</v>
      </c>
      <c r="D238" s="1474">
        <v>163.92</v>
      </c>
      <c r="E238" s="1474">
        <v>140.55000000000001</v>
      </c>
      <c r="F238" s="1474">
        <v>149.78</v>
      </c>
      <c r="G238" s="1474">
        <v>116.03</v>
      </c>
      <c r="H238" s="1474">
        <v>189.78</v>
      </c>
      <c r="I238" s="1474"/>
      <c r="J238" s="1474"/>
      <c r="K238" s="1474"/>
      <c r="L238" s="1474"/>
      <c r="M238" s="1474"/>
      <c r="N238" s="1474"/>
      <c r="O238" s="1475">
        <f>SUM(C238:N238)</f>
        <v>994.52</v>
      </c>
      <c r="P238" s="449"/>
      <c r="Q238" s="245">
        <f>AVERAGE(C238:H238)</f>
        <v>165.75333333333333</v>
      </c>
      <c r="R238" s="16"/>
      <c r="S238" s="16"/>
      <c r="T238" s="16"/>
    </row>
    <row r="239" spans="1:22">
      <c r="A239" s="1472"/>
      <c r="B239" s="1476" t="s">
        <v>8044</v>
      </c>
      <c r="C239" s="1477">
        <v>125.29</v>
      </c>
      <c r="D239" s="1477">
        <v>102.1</v>
      </c>
      <c r="E239" s="1478">
        <v>204.32</v>
      </c>
      <c r="F239" s="1477">
        <v>55.76</v>
      </c>
      <c r="G239" s="1477">
        <v>36.82</v>
      </c>
      <c r="H239" s="1477">
        <v>57.63</v>
      </c>
      <c r="I239" s="1477"/>
      <c r="J239" s="1477"/>
      <c r="K239" s="1477"/>
      <c r="L239" s="1477"/>
      <c r="M239" s="1477"/>
      <c r="N239" s="1477"/>
      <c r="O239" s="1479">
        <f>SUM(C239:N239)</f>
        <v>581.91999999999996</v>
      </c>
      <c r="P239" s="449"/>
      <c r="Q239" s="245">
        <f>AVERAGE(C239:H239)</f>
        <v>96.986666666666665</v>
      </c>
      <c r="R239" s="16"/>
      <c r="S239" s="16"/>
      <c r="T239" s="16"/>
    </row>
    <row r="240" spans="1:22">
      <c r="A240" s="1472"/>
      <c r="B240" s="1406" t="s">
        <v>8045</v>
      </c>
      <c r="C240" s="12"/>
      <c r="D240" s="12"/>
      <c r="E240" s="12"/>
      <c r="F240" s="12"/>
      <c r="G240" s="12"/>
      <c r="H240" s="12"/>
      <c r="I240" s="12"/>
      <c r="J240" s="12"/>
      <c r="K240" s="12"/>
      <c r="L240" s="12"/>
      <c r="M240" s="12"/>
      <c r="N240" s="12"/>
      <c r="O240" s="1340"/>
      <c r="P240" s="449"/>
      <c r="Q240" s="245"/>
      <c r="R240" s="16"/>
      <c r="S240" s="16"/>
      <c r="T240" s="16"/>
    </row>
    <row r="241" spans="1:22">
      <c r="A241" s="1472"/>
      <c r="B241" s="1406" t="s">
        <v>8046</v>
      </c>
      <c r="C241" s="12"/>
      <c r="D241" s="12"/>
      <c r="E241" s="12"/>
      <c r="F241" s="12"/>
      <c r="G241" s="12"/>
      <c r="H241" s="12"/>
      <c r="I241" s="12"/>
      <c r="J241" s="12"/>
      <c r="K241" s="12"/>
      <c r="L241" s="12"/>
      <c r="M241" s="12"/>
      <c r="N241" s="12"/>
      <c r="O241" s="1340"/>
      <c r="P241" s="449"/>
      <c r="Q241" s="245"/>
      <c r="R241" s="16"/>
      <c r="S241" s="16"/>
      <c r="T241" s="16"/>
    </row>
    <row r="242" spans="1:22">
      <c r="A242" s="1472"/>
      <c r="B242" s="1406" t="s">
        <v>8047</v>
      </c>
      <c r="C242" s="12"/>
      <c r="D242" s="12"/>
      <c r="E242" s="12"/>
      <c r="F242" s="12"/>
      <c r="G242" s="12"/>
      <c r="H242" s="12"/>
      <c r="I242" s="12"/>
      <c r="J242" s="12"/>
      <c r="K242" s="12"/>
      <c r="L242" s="12"/>
      <c r="M242" s="12"/>
      <c r="N242" s="12"/>
      <c r="O242" s="1340"/>
      <c r="P242" s="449"/>
      <c r="Q242" s="245"/>
      <c r="R242" s="16"/>
      <c r="S242" s="16"/>
      <c r="T242" s="16"/>
    </row>
    <row r="243" spans="1:22">
      <c r="A243" s="1472"/>
      <c r="B243" s="1406" t="s">
        <v>8048</v>
      </c>
      <c r="C243" s="12"/>
      <c r="D243" s="12"/>
      <c r="E243" s="12"/>
      <c r="F243" s="12"/>
      <c r="G243" s="12"/>
      <c r="H243" s="12"/>
      <c r="I243" s="12"/>
      <c r="J243" s="12"/>
      <c r="K243" s="12"/>
      <c r="L243" s="12"/>
      <c r="M243" s="12"/>
      <c r="N243" s="12"/>
      <c r="O243" s="1340">
        <f>SUM(C243:N243)</f>
        <v>0</v>
      </c>
      <c r="P243" s="449"/>
      <c r="Q243" s="245"/>
      <c r="R243" s="16"/>
      <c r="S243" s="16"/>
      <c r="T243" s="16"/>
    </row>
    <row r="244" spans="1:22">
      <c r="A244" s="1472"/>
      <c r="B244" s="1480" t="s">
        <v>8049</v>
      </c>
      <c r="C244" s="1474">
        <f t="shared" ref="C244:J244" si="53">SUM(C237:C243)</f>
        <v>764.48</v>
      </c>
      <c r="D244" s="1474">
        <f t="shared" si="53"/>
        <v>615.54999999999995</v>
      </c>
      <c r="E244" s="1474">
        <f t="shared" si="53"/>
        <v>508.31</v>
      </c>
      <c r="F244" s="1474">
        <f t="shared" si="53"/>
        <v>270.5</v>
      </c>
      <c r="G244" s="1474">
        <f t="shared" si="53"/>
        <v>192</v>
      </c>
      <c r="H244" s="1474">
        <f t="shared" si="53"/>
        <v>304.76</v>
      </c>
      <c r="I244" s="1474">
        <f t="shared" si="53"/>
        <v>0</v>
      </c>
      <c r="J244" s="1474">
        <f t="shared" si="53"/>
        <v>0</v>
      </c>
      <c r="K244" s="1474"/>
      <c r="L244" s="1474"/>
      <c r="M244" s="1474"/>
      <c r="N244" s="1474"/>
      <c r="O244" s="1475"/>
      <c r="P244" s="449"/>
      <c r="Q244" s="245">
        <f>AVERAGE(C244:H244)</f>
        <v>442.60000000000008</v>
      </c>
    </row>
    <row r="245" spans="1:22">
      <c r="A245" s="1472"/>
      <c r="B245" s="1481" t="s">
        <v>8050</v>
      </c>
      <c r="C245" s="1482">
        <v>26.39</v>
      </c>
      <c r="D245" s="1482">
        <v>28.64</v>
      </c>
      <c r="E245" s="1305">
        <v>30.23</v>
      </c>
      <c r="F245" s="1305">
        <v>22.87</v>
      </c>
      <c r="G245" s="1305">
        <v>17.21</v>
      </c>
      <c r="H245" s="1482">
        <v>-8.32</v>
      </c>
      <c r="I245" s="1482"/>
      <c r="J245" s="1482"/>
      <c r="K245" s="1482"/>
      <c r="L245" s="1477"/>
      <c r="M245" s="1477"/>
      <c r="N245" s="1477"/>
      <c r="O245" s="1479">
        <f>SUM(C245:N245)</f>
        <v>117.02000000000001</v>
      </c>
      <c r="P245" s="449"/>
      <c r="Q245" s="245">
        <f>AVERAGE(C245:H245)</f>
        <v>19.503333333333334</v>
      </c>
    </row>
    <row r="246" spans="1:22">
      <c r="A246" s="1472"/>
      <c r="B246" s="1406" t="s">
        <v>8051</v>
      </c>
      <c r="C246" s="1477"/>
      <c r="D246" s="1477"/>
      <c r="E246" s="1477"/>
      <c r="F246" s="1477"/>
      <c r="G246" s="1477"/>
      <c r="H246" s="1477"/>
      <c r="I246" s="1477"/>
      <c r="J246" s="1477"/>
      <c r="K246" s="1477"/>
      <c r="L246" s="12"/>
      <c r="M246" s="12"/>
      <c r="N246" s="12"/>
      <c r="O246" s="1340">
        <f>SUM(C246:N246)</f>
        <v>0</v>
      </c>
      <c r="P246" s="449"/>
      <c r="Q246" s="245"/>
    </row>
    <row r="247" spans="1:22">
      <c r="A247" s="1483"/>
      <c r="B247" s="1480" t="s">
        <v>8052</v>
      </c>
      <c r="C247" s="1484">
        <f t="shared" ref="C247:O247" si="54">SUM(C237:C246)</f>
        <v>1555.3500000000001</v>
      </c>
      <c r="D247" s="1484">
        <f t="shared" si="54"/>
        <v>1259.74</v>
      </c>
      <c r="E247" s="1484">
        <f t="shared" si="54"/>
        <v>1046.8499999999999</v>
      </c>
      <c r="F247" s="1484">
        <f t="shared" si="54"/>
        <v>563.87</v>
      </c>
      <c r="G247" s="1484">
        <f t="shared" si="54"/>
        <v>401.21</v>
      </c>
      <c r="H247" s="1484">
        <f t="shared" si="54"/>
        <v>601.19999999999993</v>
      </c>
      <c r="I247" s="1484">
        <f t="shared" si="54"/>
        <v>0</v>
      </c>
      <c r="J247" s="1484">
        <f t="shared" si="54"/>
        <v>0</v>
      </c>
      <c r="K247" s="1484">
        <f t="shared" si="54"/>
        <v>0</v>
      </c>
      <c r="L247" s="1484">
        <f t="shared" si="54"/>
        <v>0</v>
      </c>
      <c r="M247" s="1484">
        <f t="shared" si="54"/>
        <v>0</v>
      </c>
      <c r="N247" s="1484">
        <f t="shared" si="54"/>
        <v>0</v>
      </c>
      <c r="O247" s="1485">
        <f t="shared" si="54"/>
        <v>2772.6200000000003</v>
      </c>
      <c r="P247" s="1486"/>
      <c r="Q247" s="1302"/>
      <c r="R247" s="578"/>
      <c r="S247" s="578"/>
      <c r="T247" s="578"/>
      <c r="U247" s="578"/>
      <c r="V247" s="578"/>
    </row>
    <row r="248" spans="1:22">
      <c r="A248" s="712"/>
      <c r="B248" s="2280" t="s">
        <v>8053</v>
      </c>
      <c r="C248" s="2281"/>
      <c r="D248" s="2281"/>
      <c r="E248" s="2281"/>
      <c r="F248" s="2281"/>
      <c r="G248" s="2281"/>
      <c r="H248" s="2281"/>
      <c r="I248" s="2281"/>
      <c r="J248" s="2281"/>
      <c r="K248" s="2281"/>
      <c r="L248" s="2281"/>
      <c r="M248" s="2281"/>
      <c r="N248" s="2281"/>
      <c r="O248" s="2281"/>
      <c r="P248" s="1417"/>
      <c r="Q248" s="16"/>
    </row>
  </sheetData>
  <mergeCells count="18">
    <mergeCell ref="B248:O248"/>
    <mergeCell ref="B101:O101"/>
    <mergeCell ref="B121:O121"/>
    <mergeCell ref="B123:O123"/>
    <mergeCell ref="M139:N139"/>
    <mergeCell ref="B144:O144"/>
    <mergeCell ref="B160:N160"/>
    <mergeCell ref="B170:O170"/>
    <mergeCell ref="B80:O80"/>
    <mergeCell ref="B99:O99"/>
    <mergeCell ref="A190:P190"/>
    <mergeCell ref="B192:O192"/>
    <mergeCell ref="B212:O212"/>
    <mergeCell ref="B2:O2"/>
    <mergeCell ref="B31:O31"/>
    <mergeCell ref="B50:O50"/>
    <mergeCell ref="B52:O52"/>
    <mergeCell ref="B75:O75"/>
  </mergeCell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outlinePr summaryBelow="0" summaryRight="0"/>
  </sheetPr>
  <dimension ref="A1:V250"/>
  <sheetViews>
    <sheetView workbookViewId="0"/>
  </sheetViews>
  <sheetFormatPr defaultColWidth="12.7109375" defaultRowHeight="12.75" customHeight="1"/>
  <cols>
    <col min="1" max="1" width="1.85546875" customWidth="1"/>
    <col min="2" max="2" width="17.42578125" customWidth="1"/>
    <col min="3" max="14" width="8.28515625" customWidth="1"/>
    <col min="15" max="15" width="9" customWidth="1"/>
    <col min="16" max="16" width="2.140625" customWidth="1"/>
    <col min="17" max="17" width="7.42578125" customWidth="1"/>
    <col min="18" max="18" width="8.85546875" customWidth="1"/>
    <col min="19" max="19" width="6" customWidth="1"/>
    <col min="20" max="20" width="5.28515625" customWidth="1"/>
    <col min="21" max="22" width="15.140625" customWidth="1"/>
  </cols>
  <sheetData>
    <row r="1" spans="1:22">
      <c r="A1" s="1433"/>
      <c r="B1" s="2283" t="s">
        <v>8021</v>
      </c>
      <c r="C1" s="2284"/>
      <c r="D1" s="2284"/>
      <c r="E1" s="2284"/>
      <c r="F1" s="2284"/>
      <c r="G1" s="2284"/>
      <c r="H1" s="2284"/>
      <c r="I1" s="2284"/>
      <c r="J1" s="2284"/>
      <c r="K1" s="2284"/>
      <c r="L1" s="2284"/>
      <c r="M1" s="2284"/>
      <c r="N1" s="2284"/>
      <c r="O1" s="2285"/>
      <c r="P1" s="1433"/>
      <c r="Q1" s="1406"/>
    </row>
    <row r="2" spans="1:22">
      <c r="A2" s="1433"/>
      <c r="B2" s="1435" t="s">
        <v>8034</v>
      </c>
      <c r="C2" s="1436" t="s">
        <v>143</v>
      </c>
      <c r="D2" s="1436" t="s">
        <v>26</v>
      </c>
      <c r="E2" s="1436" t="s">
        <v>25</v>
      </c>
      <c r="F2" s="1436" t="s">
        <v>24</v>
      </c>
      <c r="G2" s="1436" t="s">
        <v>23</v>
      </c>
      <c r="H2" s="1436" t="s">
        <v>22</v>
      </c>
      <c r="I2" s="1436" t="s">
        <v>21</v>
      </c>
      <c r="J2" s="1436" t="s">
        <v>20</v>
      </c>
      <c r="K2" s="1436" t="s">
        <v>256</v>
      </c>
      <c r="L2" s="1436" t="s">
        <v>18</v>
      </c>
      <c r="M2" s="1436" t="s">
        <v>17</v>
      </c>
      <c r="N2" s="1436" t="s">
        <v>86</v>
      </c>
      <c r="O2" s="1437" t="s">
        <v>8022</v>
      </c>
      <c r="P2" s="1438"/>
      <c r="Q2" s="1487"/>
      <c r="R2" s="578"/>
      <c r="T2" s="578"/>
      <c r="U2" s="578"/>
      <c r="V2" s="578"/>
    </row>
    <row r="3" spans="1:22">
      <c r="A3" s="1433"/>
      <c r="B3" s="674" t="s">
        <v>8024</v>
      </c>
      <c r="C3" s="12">
        <f t="shared" ref="C3:N3" si="0">C6-C4-C5</f>
        <v>7484.5</v>
      </c>
      <c r="D3" s="12">
        <f t="shared" si="0"/>
        <v>10849.78</v>
      </c>
      <c r="E3" s="12">
        <f t="shared" si="0"/>
        <v>11500</v>
      </c>
      <c r="F3" s="12">
        <f t="shared" si="0"/>
        <v>11080.720000000001</v>
      </c>
      <c r="G3" s="12">
        <f t="shared" si="0"/>
        <v>8720.0700000000015</v>
      </c>
      <c r="H3" s="12">
        <f t="shared" si="0"/>
        <v>13713.85</v>
      </c>
      <c r="I3" s="12">
        <f t="shared" si="0"/>
        <v>8040.0000000000018</v>
      </c>
      <c r="J3" s="12">
        <f t="shared" si="0"/>
        <v>8866.35</v>
      </c>
      <c r="K3" s="12">
        <f t="shared" si="0"/>
        <v>6509.1</v>
      </c>
      <c r="L3" s="12">
        <f t="shared" si="0"/>
        <v>11882.800000000001</v>
      </c>
      <c r="M3" s="12">
        <f t="shared" si="0"/>
        <v>7580</v>
      </c>
      <c r="N3" s="12">
        <f t="shared" si="0"/>
        <v>10771</v>
      </c>
      <c r="O3" s="1439">
        <f>SUM(C3:N3)</f>
        <v>116998.17000000001</v>
      </c>
      <c r="P3" s="1433"/>
      <c r="Q3" s="1408"/>
      <c r="R3" s="16"/>
    </row>
    <row r="4" spans="1:22">
      <c r="A4" s="1433"/>
      <c r="B4" s="1440" t="s">
        <v>8025</v>
      </c>
      <c r="C4" s="1441">
        <v>2970.22</v>
      </c>
      <c r="D4" s="1441">
        <v>2498.2199999999998</v>
      </c>
      <c r="E4" s="1441">
        <v>2498.2199999999998</v>
      </c>
      <c r="F4" s="1441">
        <v>2498.2199999999998</v>
      </c>
      <c r="G4" s="1441">
        <v>2498.2199999999998</v>
      </c>
      <c r="H4" s="1441">
        <v>2758.22</v>
      </c>
      <c r="I4" s="1441">
        <v>2694.22</v>
      </c>
      <c r="J4" s="1441">
        <f>2439.22-35</f>
        <v>2404.2199999999998</v>
      </c>
      <c r="K4" s="1441">
        <v>2333.2199999999998</v>
      </c>
      <c r="L4" s="1441">
        <f>2118.22-35</f>
        <v>2083.2199999999998</v>
      </c>
      <c r="M4" s="1441">
        <v>2138.2199999999998</v>
      </c>
      <c r="N4" s="1441">
        <v>2388.2199999999998</v>
      </c>
      <c r="O4" s="1442">
        <f>SUM(C4:N4)</f>
        <v>29762.640000000003</v>
      </c>
      <c r="P4" s="1433"/>
      <c r="Q4" s="1406"/>
      <c r="R4" s="16"/>
    </row>
    <row r="5" spans="1:22">
      <c r="A5" s="1433"/>
      <c r="B5" s="666" t="s">
        <v>8026</v>
      </c>
      <c r="C5" s="12">
        <v>1633</v>
      </c>
      <c r="D5" s="12">
        <v>300</v>
      </c>
      <c r="E5" s="12">
        <v>1989</v>
      </c>
      <c r="F5" s="12"/>
      <c r="G5" s="12">
        <v>1681</v>
      </c>
      <c r="H5" s="12"/>
      <c r="I5" s="12">
        <v>1813</v>
      </c>
      <c r="J5" s="12"/>
      <c r="K5" s="12">
        <v>2087</v>
      </c>
      <c r="L5" s="12"/>
      <c r="M5" s="12">
        <v>1693</v>
      </c>
      <c r="N5" s="12"/>
      <c r="O5" s="1443">
        <f>SUM(C5:N5)</f>
        <v>11196</v>
      </c>
      <c r="P5" s="1433"/>
      <c r="Q5" s="1408"/>
      <c r="R5" s="16"/>
    </row>
    <row r="6" spans="1:22">
      <c r="A6" s="1433"/>
      <c r="B6" s="666" t="s">
        <v>6847</v>
      </c>
      <c r="C6" s="667">
        <f>2545+2431.5+1619+2201+1520.22+1771</f>
        <v>12087.72</v>
      </c>
      <c r="D6" s="667">
        <f>1435+1000+1025+1000+1451+1707+1709+2341+1980</f>
        <v>13648</v>
      </c>
      <c r="E6" s="667">
        <f>725+825+4435+2204+972+2308+2192.22+1295+280+751</f>
        <v>15987.22</v>
      </c>
      <c r="F6" s="667">
        <f>732.22+3385.5+1085+2083+1799+1130+1832+1532.22</f>
        <v>13578.94</v>
      </c>
      <c r="G6" s="667">
        <f>380+782+450+30+1421+675+122.57+1310+819.22+3269+1000+1161.5+800+679</f>
        <v>12899.29</v>
      </c>
      <c r="H6" s="667">
        <f>2593+1419+1886.85+4238.22+2564+1708+1600+463</f>
        <v>16472.07</v>
      </c>
      <c r="I6" s="667">
        <f>6544.22+4313+1690</f>
        <v>12547.220000000001</v>
      </c>
      <c r="J6" s="667">
        <v>11270.57</v>
      </c>
      <c r="K6" s="667">
        <f>7856.32+2481+592</f>
        <v>10929.32</v>
      </c>
      <c r="L6" s="667">
        <f>5555.02+425+4718+3268</f>
        <v>13966.02</v>
      </c>
      <c r="M6" s="667">
        <f>7265+2376.22+1770</f>
        <v>11411.22</v>
      </c>
      <c r="N6" s="667">
        <f>1565+2259+9335.22</f>
        <v>13159.22</v>
      </c>
      <c r="O6" s="1439">
        <f>SUM(C6:N6)</f>
        <v>157956.81000000003</v>
      </c>
      <c r="P6" s="1444"/>
      <c r="Q6" s="1406"/>
      <c r="R6" s="16"/>
      <c r="T6" s="578"/>
      <c r="U6" s="578"/>
      <c r="V6" s="578"/>
    </row>
    <row r="7" spans="1:22">
      <c r="A7" s="1433"/>
      <c r="B7" s="1342" t="s">
        <v>6389</v>
      </c>
      <c r="C7" s="1343">
        <v>5000</v>
      </c>
      <c r="D7" s="1343">
        <v>5000</v>
      </c>
      <c r="E7" s="1343">
        <v>3000</v>
      </c>
      <c r="F7" s="1343">
        <v>3000</v>
      </c>
      <c r="G7" s="1343">
        <v>10000</v>
      </c>
      <c r="H7" s="1343">
        <v>10000</v>
      </c>
      <c r="I7" s="1343">
        <v>7000</v>
      </c>
      <c r="J7" s="1343">
        <v>11700</v>
      </c>
      <c r="K7" s="1343">
        <v>6860</v>
      </c>
      <c r="L7" s="1343">
        <v>6000</v>
      </c>
      <c r="M7" s="1343">
        <v>10000</v>
      </c>
      <c r="N7" s="1343">
        <v>7000</v>
      </c>
      <c r="O7" s="1470">
        <f>SUM(C7:N7)</f>
        <v>84560</v>
      </c>
      <c r="P7" s="1448"/>
      <c r="Q7" s="1408"/>
      <c r="R7" s="16"/>
    </row>
    <row r="8" spans="1:22">
      <c r="A8" s="1433"/>
      <c r="B8" s="666" t="s">
        <v>8054</v>
      </c>
      <c r="C8" s="1446">
        <f t="shared" ref="C8:O8" si="1">C6-C25</f>
        <v>7786.8799999999983</v>
      </c>
      <c r="D8" s="1446">
        <f t="shared" si="1"/>
        <v>5200.84</v>
      </c>
      <c r="E8" s="1446">
        <f t="shared" si="1"/>
        <v>4604.18</v>
      </c>
      <c r="F8" s="1446">
        <f t="shared" si="1"/>
        <v>679.03999999999905</v>
      </c>
      <c r="G8" s="1446">
        <f t="shared" si="1"/>
        <v>7505.2300000000014</v>
      </c>
      <c r="H8" s="1446">
        <f t="shared" si="1"/>
        <v>12936.86</v>
      </c>
      <c r="I8" s="1446">
        <f t="shared" si="1"/>
        <v>9356.3700000000008</v>
      </c>
      <c r="J8" s="1446">
        <f t="shared" si="1"/>
        <v>10506.58</v>
      </c>
      <c r="K8" s="1446">
        <f t="shared" si="1"/>
        <v>5483.56</v>
      </c>
      <c r="L8" s="1446">
        <f t="shared" si="1"/>
        <v>7380.74</v>
      </c>
      <c r="M8" s="1446">
        <f t="shared" si="1"/>
        <v>6663.19</v>
      </c>
      <c r="N8" s="1446">
        <f t="shared" si="1"/>
        <v>-5952.15</v>
      </c>
      <c r="O8" s="1447">
        <f t="shared" si="1"/>
        <v>72151.320000000022</v>
      </c>
      <c r="P8" s="1448"/>
      <c r="Q8" s="1406"/>
      <c r="R8" s="16"/>
    </row>
    <row r="9" spans="1:22">
      <c r="A9" s="1433"/>
      <c r="B9" s="674" t="s">
        <v>8036</v>
      </c>
      <c r="C9" s="675"/>
      <c r="D9" s="675">
        <v>178</v>
      </c>
      <c r="E9" s="675"/>
      <c r="F9" s="675">
        <v>5925.88</v>
      </c>
      <c r="G9" s="675"/>
      <c r="H9" s="675"/>
      <c r="I9" s="675"/>
      <c r="J9" s="675"/>
      <c r="K9" s="675">
        <f>504+115</f>
        <v>619</v>
      </c>
      <c r="L9" s="675">
        <v>115</v>
      </c>
      <c r="M9" s="675"/>
      <c r="N9" s="675">
        <f>128.78+6042.47</f>
        <v>6171.25</v>
      </c>
      <c r="O9" s="1449">
        <f t="shared" ref="O9:O24" si="2">SUM(C9:N9)</f>
        <v>13009.130000000001</v>
      </c>
      <c r="P9" s="1448"/>
      <c r="Q9" s="1408"/>
      <c r="R9" s="16"/>
    </row>
    <row r="10" spans="1:22">
      <c r="A10" s="1433"/>
      <c r="B10" s="674" t="s">
        <v>8027</v>
      </c>
      <c r="C10" s="675">
        <v>2080.54</v>
      </c>
      <c r="D10" s="675"/>
      <c r="E10" s="675">
        <v>2092.2199999999998</v>
      </c>
      <c r="F10" s="675"/>
      <c r="G10" s="675">
        <v>2068.7199999999998</v>
      </c>
      <c r="H10" s="675"/>
      <c r="I10" s="675">
        <v>2126.2199999999998</v>
      </c>
      <c r="J10" s="675"/>
      <c r="K10" s="675">
        <v>2419.4699999999998</v>
      </c>
      <c r="L10" s="675"/>
      <c r="M10" s="675">
        <v>2336.9699999999998</v>
      </c>
      <c r="N10" s="1450">
        <v>2556.9699999999998</v>
      </c>
      <c r="O10" s="1451">
        <f t="shared" si="2"/>
        <v>15681.109999999997</v>
      </c>
      <c r="P10" s="1448"/>
      <c r="Q10" s="1408"/>
      <c r="R10" s="16"/>
    </row>
    <row r="11" spans="1:22">
      <c r="A11" s="1433"/>
      <c r="B11" s="674" t="s">
        <v>8028</v>
      </c>
      <c r="C11" s="675">
        <v>30.38</v>
      </c>
      <c r="D11" s="675">
        <f>28.28+9.81</f>
        <v>38.090000000000003</v>
      </c>
      <c r="E11" s="675">
        <f>24.26+63.77+42+9.81</f>
        <v>139.84</v>
      </c>
      <c r="F11" s="675">
        <f>16.58+19.75+161.53</f>
        <v>197.86</v>
      </c>
      <c r="G11" s="675">
        <f>654.99+14.58+38.99+116.01</f>
        <v>824.57</v>
      </c>
      <c r="H11" s="675">
        <f>12.86+49.06+68.02+210.65</f>
        <v>340.59000000000003</v>
      </c>
      <c r="I11" s="675">
        <f>11.68+48.8+218.65</f>
        <v>279.13</v>
      </c>
      <c r="J11" s="675">
        <f>43.63+118.41+14.84</f>
        <v>176.88</v>
      </c>
      <c r="K11" s="675">
        <f>48.93+132.58+328.85+70.8+20.95</f>
        <v>602.11</v>
      </c>
      <c r="L11" s="675">
        <f>22.41+71.47+194.73+220.75+42.82</f>
        <v>552.18000000000006</v>
      </c>
      <c r="M11" s="675">
        <f>173.24+299.85+31.42+69.81+21.35</f>
        <v>595.67000000000007</v>
      </c>
      <c r="N11" s="1450">
        <f>219.46+257.92+86.63+57.14+23.73+488.03+125.29+26.39+234.46</f>
        <v>1519.05</v>
      </c>
      <c r="O11" s="1452">
        <f t="shared" si="2"/>
        <v>5296.35</v>
      </c>
      <c r="P11" s="1448"/>
      <c r="Q11" s="1408"/>
      <c r="R11" s="16"/>
    </row>
    <row r="12" spans="1:22">
      <c r="A12" s="1433"/>
      <c r="B12" s="674" t="s">
        <v>8029</v>
      </c>
      <c r="C12" s="675">
        <v>1.07</v>
      </c>
      <c r="D12" s="675"/>
      <c r="E12" s="675"/>
      <c r="F12" s="675">
        <v>396.43</v>
      </c>
      <c r="G12" s="675"/>
      <c r="H12" s="675"/>
      <c r="I12" s="675"/>
      <c r="J12" s="675"/>
      <c r="K12" s="675"/>
      <c r="L12" s="675"/>
      <c r="M12" s="675"/>
      <c r="N12" s="1450">
        <v>128.28</v>
      </c>
      <c r="O12" s="1452">
        <f t="shared" si="2"/>
        <v>525.78</v>
      </c>
      <c r="P12" s="1448"/>
      <c r="Q12" s="1408"/>
      <c r="R12" s="16"/>
    </row>
    <row r="13" spans="1:22">
      <c r="A13" s="1433"/>
      <c r="B13" s="674" t="s">
        <v>7057</v>
      </c>
      <c r="C13" s="675">
        <f>40+60</f>
        <v>100</v>
      </c>
      <c r="D13" s="675">
        <f>40+43.53+21.07+120+105</f>
        <v>329.6</v>
      </c>
      <c r="E13" s="675">
        <f>40</f>
        <v>40</v>
      </c>
      <c r="F13" s="675">
        <f>60+39.21+41.3+39.21</f>
        <v>179.72</v>
      </c>
      <c r="G13" s="675"/>
      <c r="H13" s="675" t="s">
        <v>135</v>
      </c>
      <c r="I13" s="675">
        <v>100.16</v>
      </c>
      <c r="J13" s="675"/>
      <c r="K13" s="675" t="s">
        <v>135</v>
      </c>
      <c r="L13" s="675">
        <v>82.14</v>
      </c>
      <c r="M13" s="675"/>
      <c r="N13" s="1450" t="s">
        <v>135</v>
      </c>
      <c r="O13" s="1453">
        <f t="shared" si="2"/>
        <v>831.62</v>
      </c>
      <c r="P13" s="1448"/>
      <c r="Q13" s="1408"/>
      <c r="R13" s="16"/>
    </row>
    <row r="14" spans="1:22">
      <c r="A14" s="1433"/>
      <c r="B14" s="674" t="s">
        <v>8037</v>
      </c>
      <c r="C14" s="675">
        <v>500</v>
      </c>
      <c r="D14" s="675">
        <v>500</v>
      </c>
      <c r="E14" s="675">
        <v>600</v>
      </c>
      <c r="F14" s="675">
        <f>600+139.99+1</f>
        <v>740.99</v>
      </c>
      <c r="G14" s="675">
        <v>600</v>
      </c>
      <c r="H14" s="675">
        <f>30.97+7.99</f>
        <v>38.96</v>
      </c>
      <c r="I14" s="675"/>
      <c r="J14" s="675">
        <v>99</v>
      </c>
      <c r="K14" s="675"/>
      <c r="L14" s="675"/>
      <c r="M14" s="675"/>
      <c r="N14" s="675"/>
      <c r="O14" s="1454">
        <f t="shared" si="2"/>
        <v>3078.95</v>
      </c>
      <c r="P14" s="1448"/>
      <c r="Q14" s="1408"/>
      <c r="R14" s="16"/>
    </row>
    <row r="15" spans="1:22">
      <c r="A15" s="1433"/>
      <c r="B15" s="674" t="s">
        <v>7019</v>
      </c>
      <c r="C15" s="675">
        <v>500</v>
      </c>
      <c r="D15" s="675"/>
      <c r="E15" s="675"/>
      <c r="F15" s="675">
        <v>3000</v>
      </c>
      <c r="G15" s="675">
        <v>1000</v>
      </c>
      <c r="H15" s="675">
        <v>2000</v>
      </c>
      <c r="I15" s="675">
        <v>611.9</v>
      </c>
      <c r="J15" s="675"/>
      <c r="K15" s="675"/>
      <c r="L15" s="675"/>
      <c r="M15" s="675"/>
      <c r="N15" s="675">
        <v>1000</v>
      </c>
      <c r="O15" s="1443">
        <f t="shared" si="2"/>
        <v>8111.9</v>
      </c>
      <c r="P15" s="1448"/>
      <c r="Q15" s="1408"/>
      <c r="R15" s="16"/>
    </row>
    <row r="16" spans="1:22">
      <c r="A16" s="1433"/>
      <c r="B16" s="674" t="s">
        <v>3313</v>
      </c>
      <c r="C16" s="675">
        <v>45.96</v>
      </c>
      <c r="D16" s="675">
        <f>33.86+15.73+60+149.85</f>
        <v>259.44</v>
      </c>
      <c r="E16" s="675">
        <v>149</v>
      </c>
      <c r="F16" s="675"/>
      <c r="G16" s="675">
        <f>31.68+32.52+4.62</f>
        <v>68.820000000000007</v>
      </c>
      <c r="H16" s="675"/>
      <c r="I16" s="675"/>
      <c r="J16" s="675"/>
      <c r="K16" s="675"/>
      <c r="L16" s="675"/>
      <c r="M16" s="675"/>
      <c r="N16" s="675"/>
      <c r="O16" s="1443">
        <f t="shared" si="2"/>
        <v>523.22</v>
      </c>
      <c r="P16" s="1448"/>
      <c r="Q16" s="1408"/>
      <c r="R16" s="16"/>
    </row>
    <row r="17" spans="1:22">
      <c r="A17" s="1433"/>
      <c r="B17" s="674" t="s">
        <v>7033</v>
      </c>
      <c r="C17" s="675">
        <v>15</v>
      </c>
      <c r="D17" s="675">
        <f>34+34+34+34</f>
        <v>136</v>
      </c>
      <c r="E17" s="675">
        <f>4+15</f>
        <v>19</v>
      </c>
      <c r="F17" s="675">
        <v>15</v>
      </c>
      <c r="G17" s="675"/>
      <c r="H17" s="675"/>
      <c r="I17" s="675"/>
      <c r="J17" s="675"/>
      <c r="K17" s="675"/>
      <c r="L17" s="675"/>
      <c r="M17" s="675"/>
      <c r="N17" s="675"/>
      <c r="O17" s="1443">
        <f t="shared" si="2"/>
        <v>185</v>
      </c>
      <c r="P17" s="1448"/>
      <c r="Q17" s="1408"/>
      <c r="R17" s="16"/>
    </row>
    <row r="18" spans="1:22">
      <c r="A18" s="1433"/>
      <c r="B18" s="674" t="s">
        <v>5684</v>
      </c>
      <c r="C18" s="687"/>
      <c r="D18" s="687"/>
      <c r="E18" s="687"/>
      <c r="F18" s="687"/>
      <c r="G18" s="687"/>
      <c r="H18" s="687"/>
      <c r="I18" s="687"/>
      <c r="J18" s="687"/>
      <c r="K18" s="687"/>
      <c r="L18" s="687">
        <f>2564+95.35</f>
        <v>2659.35</v>
      </c>
      <c r="M18" s="687">
        <v>681.36</v>
      </c>
      <c r="N18" s="687">
        <f>681.36+5887.87</f>
        <v>6569.23</v>
      </c>
      <c r="O18" s="1449">
        <f t="shared" si="2"/>
        <v>9909.9399999999987</v>
      </c>
      <c r="P18" s="1448"/>
      <c r="Q18" s="1408"/>
      <c r="R18" s="16"/>
    </row>
    <row r="19" spans="1:22">
      <c r="A19" s="1433"/>
      <c r="B19" s="674" t="s">
        <v>8030</v>
      </c>
      <c r="C19" s="945">
        <v>117.73</v>
      </c>
      <c r="D19" s="945"/>
      <c r="E19" s="945">
        <v>2323.86</v>
      </c>
      <c r="F19" s="945"/>
      <c r="G19" s="945">
        <v>159.94999999999999</v>
      </c>
      <c r="H19" s="945">
        <v>376.03</v>
      </c>
      <c r="I19" s="945"/>
      <c r="J19" s="945">
        <v>216.34</v>
      </c>
      <c r="K19" s="945">
        <v>159.22999999999999</v>
      </c>
      <c r="L19" s="945">
        <v>2063.8000000000002</v>
      </c>
      <c r="M19" s="945">
        <v>350</v>
      </c>
      <c r="N19" s="1461">
        <v>116.51</v>
      </c>
      <c r="O19" s="1451">
        <f t="shared" si="2"/>
        <v>5883.4500000000007</v>
      </c>
      <c r="P19" s="1448"/>
      <c r="Q19" s="1408"/>
      <c r="R19" s="16"/>
    </row>
    <row r="20" spans="1:22">
      <c r="A20" s="1433"/>
      <c r="B20" s="674" t="s">
        <v>8038</v>
      </c>
      <c r="C20" s="675"/>
      <c r="D20" s="675"/>
      <c r="E20" s="675"/>
      <c r="F20" s="675"/>
      <c r="G20" s="675"/>
      <c r="H20" s="675"/>
      <c r="I20" s="675"/>
      <c r="J20" s="675"/>
      <c r="K20" s="675"/>
      <c r="L20" s="675"/>
      <c r="M20" s="675"/>
      <c r="N20" s="1450"/>
      <c r="O20" s="1452">
        <f t="shared" si="2"/>
        <v>0</v>
      </c>
      <c r="P20" s="1448"/>
      <c r="Q20" s="1408"/>
      <c r="R20" s="16"/>
    </row>
    <row r="21" spans="1:22">
      <c r="A21" s="1433"/>
      <c r="B21" s="674" t="s">
        <v>8039</v>
      </c>
      <c r="C21" s="675">
        <f>200+100+40+44+41.61+70+80+120</f>
        <v>695.61</v>
      </c>
      <c r="D21" s="675">
        <f>200+120+1398.77+378+183.19+66.14+145+65+269.97+250+40+400+150+515+420+150+30+172+402+615.71+30.96+74.18+42.7</f>
        <v>6118.62</v>
      </c>
      <c r="E21" s="675">
        <f>490+210+180+213.47+494+318+438+75+546+60</f>
        <v>3024.4700000000003</v>
      </c>
      <c r="F21" s="675">
        <f>362+170+360+751.13+360+224+50+52+79</f>
        <v>2408.13</v>
      </c>
      <c r="G21" s="675">
        <f>100+150+350+20+52</f>
        <v>672</v>
      </c>
      <c r="H21" s="675">
        <f>130+200+30+30+10</f>
        <v>400</v>
      </c>
      <c r="I21" s="675">
        <v>0</v>
      </c>
      <c r="J21" s="675">
        <v>33.770000000000003</v>
      </c>
      <c r="K21" s="675">
        <f>500</f>
        <v>500</v>
      </c>
      <c r="L21" s="675">
        <v>500</v>
      </c>
      <c r="M21" s="675">
        <f>100</f>
        <v>100</v>
      </c>
      <c r="N21" s="1450">
        <f>905</f>
        <v>905</v>
      </c>
      <c r="O21" s="1452">
        <f t="shared" si="2"/>
        <v>15357.600000000002</v>
      </c>
      <c r="P21" s="1448"/>
      <c r="Q21" s="1408"/>
      <c r="R21" s="16"/>
    </row>
    <row r="22" spans="1:22">
      <c r="A22" s="1433"/>
      <c r="B22" s="674" t="s">
        <v>8040</v>
      </c>
      <c r="C22" s="675">
        <v>120</v>
      </c>
      <c r="D22" s="675"/>
      <c r="E22" s="675">
        <f>2377+129+75</f>
        <v>2581</v>
      </c>
      <c r="F22" s="675"/>
      <c r="G22" s="675"/>
      <c r="H22" s="675"/>
      <c r="I22" s="675"/>
      <c r="J22" s="675">
        <v>238</v>
      </c>
      <c r="K22" s="675">
        <v>125</v>
      </c>
      <c r="L22" s="675"/>
      <c r="M22" s="675"/>
      <c r="N22" s="1450"/>
      <c r="O22" s="1452">
        <f t="shared" si="2"/>
        <v>3064</v>
      </c>
      <c r="P22" s="1448"/>
      <c r="Q22" s="1408"/>
      <c r="R22" s="16"/>
    </row>
    <row r="23" spans="1:22">
      <c r="A23" s="1433"/>
      <c r="B23" s="674" t="s">
        <v>8041</v>
      </c>
      <c r="C23" s="675">
        <v>94.55</v>
      </c>
      <c r="D23" s="675">
        <f>615.71+30.96+240.74</f>
        <v>887.41000000000008</v>
      </c>
      <c r="E23" s="675">
        <v>413.65</v>
      </c>
      <c r="F23" s="675">
        <f>35.89</f>
        <v>35.89</v>
      </c>
      <c r="G23" s="675"/>
      <c r="H23" s="675">
        <v>379.63</v>
      </c>
      <c r="I23" s="675">
        <v>73.44</v>
      </c>
      <c r="J23" s="675"/>
      <c r="K23" s="675">
        <v>1020.95</v>
      </c>
      <c r="L23" s="675">
        <v>612.80999999999995</v>
      </c>
      <c r="M23" s="675">
        <v>684.03</v>
      </c>
      <c r="N23" s="1450">
        <v>145.08000000000001</v>
      </c>
      <c r="O23" s="1453">
        <f t="shared" si="2"/>
        <v>4347.4400000000005</v>
      </c>
      <c r="P23" s="1448"/>
      <c r="Q23" s="1408"/>
      <c r="R23" s="16"/>
    </row>
    <row r="24" spans="1:22">
      <c r="A24" s="1433"/>
      <c r="B24" s="666" t="s">
        <v>6323</v>
      </c>
      <c r="C24" s="677">
        <f t="shared" ref="C24:N24" si="3">C19+C20+C21+C22+C23</f>
        <v>1027.8900000000001</v>
      </c>
      <c r="D24" s="677">
        <f t="shared" si="3"/>
        <v>7006.03</v>
      </c>
      <c r="E24" s="677">
        <f t="shared" si="3"/>
        <v>8342.98</v>
      </c>
      <c r="F24" s="677">
        <f t="shared" si="3"/>
        <v>2444.02</v>
      </c>
      <c r="G24" s="677">
        <f t="shared" si="3"/>
        <v>831.95</v>
      </c>
      <c r="H24" s="677">
        <f t="shared" si="3"/>
        <v>1155.6599999999999</v>
      </c>
      <c r="I24" s="677">
        <f t="shared" si="3"/>
        <v>73.44</v>
      </c>
      <c r="J24" s="677">
        <f t="shared" si="3"/>
        <v>488.11</v>
      </c>
      <c r="K24" s="677">
        <f t="shared" si="3"/>
        <v>1805.18</v>
      </c>
      <c r="L24" s="677">
        <f t="shared" si="3"/>
        <v>3176.61</v>
      </c>
      <c r="M24" s="677">
        <f t="shared" si="3"/>
        <v>1134.03</v>
      </c>
      <c r="N24" s="677">
        <f t="shared" si="3"/>
        <v>1166.5899999999999</v>
      </c>
      <c r="O24" s="1462">
        <f t="shared" si="2"/>
        <v>28652.489999999998</v>
      </c>
      <c r="P24" s="1444"/>
      <c r="Q24" s="1408"/>
      <c r="R24" s="16"/>
      <c r="T24" s="578"/>
      <c r="U24" s="578"/>
      <c r="V24" s="578"/>
    </row>
    <row r="25" spans="1:22">
      <c r="A25" s="661"/>
      <c r="B25" s="1455" t="s">
        <v>1126</v>
      </c>
      <c r="C25" s="1456">
        <f t="shared" ref="C25:O25" si="4">SUM(C9:C23)</f>
        <v>4300.8400000000011</v>
      </c>
      <c r="D25" s="1456">
        <f t="shared" si="4"/>
        <v>8447.16</v>
      </c>
      <c r="E25" s="1456">
        <f t="shared" si="4"/>
        <v>11383.039999999999</v>
      </c>
      <c r="F25" s="1456">
        <f t="shared" si="4"/>
        <v>12899.900000000001</v>
      </c>
      <c r="G25" s="1456">
        <f t="shared" si="4"/>
        <v>5394.0599999999995</v>
      </c>
      <c r="H25" s="1456">
        <f t="shared" si="4"/>
        <v>3535.21</v>
      </c>
      <c r="I25" s="1456">
        <f t="shared" si="4"/>
        <v>3190.85</v>
      </c>
      <c r="J25" s="1456">
        <f t="shared" si="4"/>
        <v>763.99</v>
      </c>
      <c r="K25" s="1456">
        <f t="shared" si="4"/>
        <v>5445.7599999999993</v>
      </c>
      <c r="L25" s="1456">
        <f t="shared" si="4"/>
        <v>6585.2800000000007</v>
      </c>
      <c r="M25" s="1456">
        <f t="shared" si="4"/>
        <v>4748.03</v>
      </c>
      <c r="N25" s="1456">
        <f t="shared" si="4"/>
        <v>19111.37</v>
      </c>
      <c r="O25" s="1457">
        <f t="shared" si="4"/>
        <v>85805.49</v>
      </c>
      <c r="P25" s="1458"/>
      <c r="Q25" s="1408"/>
      <c r="R25" s="16"/>
      <c r="T25" s="1412"/>
      <c r="U25" s="1412"/>
      <c r="V25" s="1412"/>
    </row>
    <row r="26" spans="1:22">
      <c r="A26" s="1472"/>
      <c r="B26" s="1408" t="s">
        <v>8042</v>
      </c>
      <c r="C26" s="12"/>
      <c r="D26" s="12">
        <v>-5.96</v>
      </c>
      <c r="E26" s="12">
        <v>-19.75</v>
      </c>
      <c r="F26" s="12">
        <v>-38.99</v>
      </c>
      <c r="G26" s="12">
        <v>-49.06</v>
      </c>
      <c r="H26" s="12">
        <v>-48.8</v>
      </c>
      <c r="I26" s="12"/>
      <c r="J26" s="12">
        <v>-42.82</v>
      </c>
      <c r="K26" s="12">
        <v>-48.93</v>
      </c>
      <c r="L26" s="12">
        <v>-42.82</v>
      </c>
      <c r="M26" s="12">
        <v>-31.42</v>
      </c>
      <c r="N26" s="12">
        <v>-86.63</v>
      </c>
      <c r="O26" s="1340">
        <f t="shared" ref="O26:O32" si="5">AVERAGE(J26:N26)</f>
        <v>-50.524000000000001</v>
      </c>
      <c r="P26" s="449"/>
      <c r="Q26" s="41"/>
    </row>
    <row r="27" spans="1:22">
      <c r="A27" s="449"/>
      <c r="B27" s="41" t="s">
        <v>8043</v>
      </c>
      <c r="C27" s="12"/>
      <c r="D27" s="12"/>
      <c r="E27" s="12"/>
      <c r="F27" s="12"/>
      <c r="G27" s="12"/>
      <c r="H27" s="12">
        <v>0</v>
      </c>
      <c r="I27" s="12">
        <v>-137.58000000000001</v>
      </c>
      <c r="J27" s="12">
        <v>-220.75</v>
      </c>
      <c r="K27" s="12">
        <v>-137.58000000000001</v>
      </c>
      <c r="L27" s="12">
        <v>-220.75</v>
      </c>
      <c r="M27" s="12">
        <v>-299.85000000000002</v>
      </c>
      <c r="N27" s="12">
        <v>-257.92</v>
      </c>
      <c r="O27" s="1340">
        <f t="shared" si="5"/>
        <v>-227.37000000000003</v>
      </c>
      <c r="P27" s="449"/>
      <c r="Q27" s="41"/>
    </row>
    <row r="28" spans="1:22">
      <c r="A28" s="1472"/>
      <c r="B28" s="1488" t="s">
        <v>8044</v>
      </c>
      <c r="C28" s="1474">
        <v>-9.81</v>
      </c>
      <c r="D28" s="1474">
        <v>-103</v>
      </c>
      <c r="E28" s="1474">
        <v>-371.42</v>
      </c>
      <c r="F28" s="1474">
        <v>-283.05</v>
      </c>
      <c r="G28" s="1474">
        <v>-218.65</v>
      </c>
      <c r="H28" s="1474">
        <v>-566.21</v>
      </c>
      <c r="I28" s="1474">
        <v>-328.85</v>
      </c>
      <c r="J28" s="1474">
        <v>-194.73</v>
      </c>
      <c r="K28" s="1474">
        <v>-328.85</v>
      </c>
      <c r="L28" s="1474">
        <v>-194.73</v>
      </c>
      <c r="M28" s="1474">
        <v>-69.81</v>
      </c>
      <c r="N28" s="1474">
        <v>-57.14</v>
      </c>
      <c r="O28" s="1475">
        <f t="shared" si="5"/>
        <v>-169.05200000000002</v>
      </c>
      <c r="P28" s="449"/>
      <c r="Q28" s="41" t="s">
        <v>135</v>
      </c>
    </row>
    <row r="29" spans="1:22">
      <c r="A29" s="1472"/>
      <c r="B29" s="1481" t="s">
        <v>8045</v>
      </c>
      <c r="C29" s="1477"/>
      <c r="D29" s="1477"/>
      <c r="E29" s="1477">
        <v>100</v>
      </c>
      <c r="F29" s="1477">
        <v>100</v>
      </c>
      <c r="G29" s="1477">
        <v>100</v>
      </c>
      <c r="H29" s="1477">
        <v>100</v>
      </c>
      <c r="I29" s="1477">
        <v>100</v>
      </c>
      <c r="J29" s="1477">
        <v>100</v>
      </c>
      <c r="K29" s="1477">
        <v>0</v>
      </c>
      <c r="L29" s="1477">
        <v>0</v>
      </c>
      <c r="M29" s="1477">
        <v>0</v>
      </c>
      <c r="N29" s="1477">
        <v>0</v>
      </c>
      <c r="O29" s="1479">
        <f t="shared" si="5"/>
        <v>20</v>
      </c>
      <c r="P29" s="449"/>
      <c r="Q29" s="245" t="s">
        <v>135</v>
      </c>
      <c r="R29" s="16"/>
    </row>
    <row r="30" spans="1:22">
      <c r="A30" s="1472"/>
      <c r="B30" s="1406" t="s">
        <v>8046</v>
      </c>
      <c r="C30" s="12"/>
      <c r="D30" s="12"/>
      <c r="E30" s="12">
        <v>100</v>
      </c>
      <c r="F30" s="12">
        <v>100</v>
      </c>
      <c r="G30" s="12">
        <v>100</v>
      </c>
      <c r="H30" s="12">
        <v>100</v>
      </c>
      <c r="I30" s="12">
        <v>100</v>
      </c>
      <c r="J30" s="12">
        <v>100</v>
      </c>
      <c r="K30" s="12">
        <v>125</v>
      </c>
      <c r="L30" s="12">
        <v>125</v>
      </c>
      <c r="M30" s="12">
        <v>125</v>
      </c>
      <c r="N30" s="12">
        <v>125</v>
      </c>
      <c r="O30" s="1340">
        <f t="shared" si="5"/>
        <v>120</v>
      </c>
      <c r="P30" s="449"/>
      <c r="Q30" s="1489"/>
      <c r="R30" s="16"/>
    </row>
    <row r="31" spans="1:22">
      <c r="A31" s="1472"/>
      <c r="B31" s="1406" t="s">
        <v>8047</v>
      </c>
      <c r="C31" s="12"/>
      <c r="D31" s="12"/>
      <c r="E31" s="12">
        <v>50</v>
      </c>
      <c r="F31" s="12">
        <v>50</v>
      </c>
      <c r="G31" s="12">
        <v>100</v>
      </c>
      <c r="H31" s="12">
        <v>100</v>
      </c>
      <c r="I31" s="12">
        <v>100</v>
      </c>
      <c r="J31" s="12">
        <v>100</v>
      </c>
      <c r="K31" s="12">
        <v>100</v>
      </c>
      <c r="L31" s="12">
        <v>100</v>
      </c>
      <c r="M31" s="12">
        <v>100</v>
      </c>
      <c r="N31" s="12">
        <v>100</v>
      </c>
      <c r="O31" s="1340">
        <f t="shared" si="5"/>
        <v>100</v>
      </c>
      <c r="P31" s="449"/>
      <c r="Q31" s="1489"/>
      <c r="R31" s="16"/>
      <c r="T31" s="36"/>
    </row>
    <row r="32" spans="1:22">
      <c r="A32" s="1472"/>
      <c r="B32" s="1406" t="s">
        <v>8048</v>
      </c>
      <c r="C32" s="12"/>
      <c r="D32" s="12"/>
      <c r="E32" s="12">
        <v>75</v>
      </c>
      <c r="F32" s="12">
        <v>75</v>
      </c>
      <c r="G32" s="12">
        <v>100</v>
      </c>
      <c r="H32" s="12">
        <v>100</v>
      </c>
      <c r="I32" s="12">
        <v>100</v>
      </c>
      <c r="J32" s="12">
        <v>100</v>
      </c>
      <c r="K32" s="12">
        <v>125</v>
      </c>
      <c r="L32" s="12">
        <v>125</v>
      </c>
      <c r="M32" s="12">
        <v>125</v>
      </c>
      <c r="N32" s="12">
        <v>125</v>
      </c>
      <c r="O32" s="1340">
        <f t="shared" si="5"/>
        <v>120</v>
      </c>
      <c r="P32" s="449"/>
      <c r="Q32" s="1489"/>
      <c r="R32" s="16"/>
      <c r="T32" s="36"/>
    </row>
    <row r="33" spans="1:22">
      <c r="A33" s="1472"/>
      <c r="B33" s="1490" t="s">
        <v>8049</v>
      </c>
      <c r="C33" s="1491">
        <f t="shared" ref="C33:O33" si="6">SUM(C26:C32)</f>
        <v>-9.81</v>
      </c>
      <c r="D33" s="1491">
        <f t="shared" si="6"/>
        <v>-108.96</v>
      </c>
      <c r="E33" s="1491">
        <f t="shared" si="6"/>
        <v>-66.170000000000016</v>
      </c>
      <c r="F33" s="1491">
        <f t="shared" si="6"/>
        <v>2.9599999999999795</v>
      </c>
      <c r="G33" s="1491">
        <f t="shared" si="6"/>
        <v>132.28999999999996</v>
      </c>
      <c r="H33" s="1491">
        <f t="shared" si="6"/>
        <v>-215.01</v>
      </c>
      <c r="I33" s="1491">
        <f t="shared" si="6"/>
        <v>-66.430000000000064</v>
      </c>
      <c r="J33" s="1491">
        <f t="shared" si="6"/>
        <v>-58.299999999999955</v>
      </c>
      <c r="K33" s="1491">
        <f t="shared" si="6"/>
        <v>-165.36</v>
      </c>
      <c r="L33" s="1491">
        <f t="shared" si="6"/>
        <v>-108.29999999999995</v>
      </c>
      <c r="M33" s="1491">
        <f t="shared" si="6"/>
        <v>-51.080000000000041</v>
      </c>
      <c r="N33" s="1491">
        <f t="shared" si="6"/>
        <v>-51.69</v>
      </c>
      <c r="O33" s="1492">
        <f t="shared" si="6"/>
        <v>-86.946000000000026</v>
      </c>
      <c r="P33" s="449"/>
      <c r="Q33" s="41"/>
    </row>
    <row r="34" spans="1:22">
      <c r="A34" s="1472"/>
      <c r="B34" s="1476" t="s">
        <v>8055</v>
      </c>
      <c r="C34" s="1477"/>
      <c r="D34" s="1477"/>
      <c r="E34" s="1477">
        <v>-161.53</v>
      </c>
      <c r="F34" s="1477">
        <v>-116.01</v>
      </c>
      <c r="G34" s="1477">
        <v>-68.02</v>
      </c>
      <c r="H34" s="1477"/>
      <c r="I34" s="1477">
        <v>-118.41</v>
      </c>
      <c r="J34" s="1477">
        <v>-71.47</v>
      </c>
      <c r="K34" s="1477">
        <v>-70.8</v>
      </c>
      <c r="L34" s="1477">
        <v>-173.24</v>
      </c>
      <c r="M34" s="1477"/>
      <c r="N34" s="1477">
        <v>-219.46</v>
      </c>
      <c r="O34" s="1479">
        <f>SUM(C34:N34)</f>
        <v>-998.94</v>
      </c>
      <c r="P34" s="449"/>
      <c r="Q34" s="41"/>
    </row>
    <row r="35" spans="1:22">
      <c r="A35" s="1472"/>
      <c r="B35" s="1473" t="s">
        <v>8056</v>
      </c>
      <c r="C35" s="1474"/>
      <c r="D35" s="1474"/>
      <c r="E35" s="1474">
        <v>161.5</v>
      </c>
      <c r="F35" s="1474"/>
      <c r="G35" s="1474"/>
      <c r="H35" s="1474"/>
      <c r="I35" s="1474"/>
      <c r="J35" s="1474"/>
      <c r="K35" s="1474"/>
      <c r="L35" s="1474"/>
      <c r="M35" s="1474"/>
      <c r="N35" s="1474">
        <v>26.39</v>
      </c>
      <c r="O35" s="1475">
        <f>SUM(C35:N35)</f>
        <v>187.89</v>
      </c>
      <c r="P35" s="449"/>
      <c r="Q35" s="41"/>
    </row>
    <row r="36" spans="1:22">
      <c r="A36" s="1472"/>
      <c r="B36" s="1481" t="s">
        <v>8050</v>
      </c>
      <c r="C36" s="1477">
        <v>-28.28</v>
      </c>
      <c r="D36" s="1477">
        <v>0</v>
      </c>
      <c r="E36" s="1477">
        <v>-16.579999999999998</v>
      </c>
      <c r="F36" s="1477">
        <v>-14.58</v>
      </c>
      <c r="G36" s="1477">
        <v>-12.86</v>
      </c>
      <c r="H36" s="1477">
        <v>-11.67</v>
      </c>
      <c r="I36" s="1477">
        <v>-14.82</v>
      </c>
      <c r="J36" s="1477">
        <v>-22.41</v>
      </c>
      <c r="K36" s="1477">
        <v>-20.95</v>
      </c>
      <c r="L36" s="1477">
        <v>-22.41</v>
      </c>
      <c r="M36" s="1477">
        <v>-21.35</v>
      </c>
      <c r="N36" s="1477">
        <v>-23.73</v>
      </c>
      <c r="O36" s="1479">
        <f>AVERAGE(J36:N36)</f>
        <v>-22.17</v>
      </c>
      <c r="P36" s="449"/>
      <c r="Q36" s="41"/>
    </row>
    <row r="37" spans="1:22">
      <c r="A37" s="1472"/>
      <c r="B37" s="1406" t="s">
        <v>8051</v>
      </c>
      <c r="C37" s="12">
        <v>32</v>
      </c>
      <c r="D37" s="12">
        <v>38</v>
      </c>
      <c r="E37" s="12">
        <v>43.5</v>
      </c>
      <c r="F37" s="12"/>
      <c r="G37" s="12"/>
      <c r="H37" s="12"/>
      <c r="I37" s="12"/>
      <c r="J37" s="12"/>
      <c r="K37" s="12"/>
      <c r="L37" s="12"/>
      <c r="M37" s="12"/>
      <c r="N37" s="12"/>
      <c r="O37" s="1340">
        <f>SUM(C37:N37)</f>
        <v>113.5</v>
      </c>
      <c r="P37" s="449"/>
      <c r="Q37" s="41"/>
    </row>
    <row r="38" spans="1:22">
      <c r="A38" s="1483"/>
      <c r="B38" s="1480" t="s">
        <v>8052</v>
      </c>
      <c r="C38" s="1484">
        <f t="shared" ref="C38:O38" si="7">SUM(C26:C37)</f>
        <v>-15.900000000000006</v>
      </c>
      <c r="D38" s="1484">
        <f t="shared" si="7"/>
        <v>-179.92</v>
      </c>
      <c r="E38" s="1484">
        <f t="shared" si="7"/>
        <v>-105.44999999999999</v>
      </c>
      <c r="F38" s="1484">
        <f t="shared" si="7"/>
        <v>-124.67000000000004</v>
      </c>
      <c r="G38" s="1484">
        <f t="shared" si="7"/>
        <v>183.69999999999993</v>
      </c>
      <c r="H38" s="1484">
        <f t="shared" si="7"/>
        <v>-441.69</v>
      </c>
      <c r="I38" s="1484">
        <f t="shared" si="7"/>
        <v>-266.09000000000015</v>
      </c>
      <c r="J38" s="1484">
        <f t="shared" si="7"/>
        <v>-210.4799999999999</v>
      </c>
      <c r="K38" s="1484">
        <f t="shared" si="7"/>
        <v>-422.47</v>
      </c>
      <c r="L38" s="1484">
        <f t="shared" si="7"/>
        <v>-412.24999999999994</v>
      </c>
      <c r="M38" s="1484">
        <f t="shared" si="7"/>
        <v>-123.51000000000008</v>
      </c>
      <c r="N38" s="1484">
        <f t="shared" si="7"/>
        <v>-320.18000000000006</v>
      </c>
      <c r="O38" s="1485">
        <f t="shared" si="7"/>
        <v>-893.61200000000008</v>
      </c>
      <c r="P38" s="1486"/>
      <c r="Q38" s="1271"/>
      <c r="R38" s="578"/>
      <c r="S38" s="578"/>
      <c r="T38" s="578"/>
      <c r="U38" s="578"/>
      <c r="V38" s="578"/>
    </row>
    <row r="39" spans="1:22">
      <c r="A39" s="712"/>
      <c r="B39" s="2280" t="s">
        <v>8053</v>
      </c>
      <c r="C39" s="2281"/>
      <c r="D39" s="2281"/>
      <c r="E39" s="2281"/>
      <c r="F39" s="2281"/>
      <c r="G39" s="2281"/>
      <c r="H39" s="2281"/>
      <c r="I39" s="2281"/>
      <c r="J39" s="2281"/>
      <c r="K39" s="2281"/>
      <c r="L39" s="2281"/>
      <c r="M39" s="2281"/>
      <c r="N39" s="2281"/>
      <c r="O39" s="2281"/>
      <c r="P39" s="1417"/>
      <c r="Q39" s="707"/>
    </row>
    <row r="40" spans="1:22">
      <c r="A40" s="714"/>
      <c r="B40" s="2126" t="s">
        <v>7386</v>
      </c>
      <c r="C40" s="2127"/>
      <c r="D40" s="2127"/>
      <c r="E40" s="2127"/>
      <c r="F40" s="2127"/>
      <c r="G40" s="2127"/>
      <c r="H40" s="2127"/>
      <c r="I40" s="2127"/>
      <c r="J40" s="2127"/>
      <c r="K40" s="2127"/>
      <c r="L40" s="2127"/>
      <c r="M40" s="2127"/>
      <c r="N40" s="2127"/>
      <c r="O40" s="2128"/>
      <c r="P40" s="661"/>
      <c r="Q40" s="1406"/>
    </row>
    <row r="41" spans="1:22">
      <c r="A41" s="714"/>
      <c r="B41" s="662" t="s">
        <v>8034</v>
      </c>
      <c r="C41" s="663" t="s">
        <v>143</v>
      </c>
      <c r="D41" s="663" t="s">
        <v>26</v>
      </c>
      <c r="E41" s="663" t="s">
        <v>25</v>
      </c>
      <c r="F41" s="663" t="s">
        <v>24</v>
      </c>
      <c r="G41" s="663" t="s">
        <v>23</v>
      </c>
      <c r="H41" s="663" t="s">
        <v>22</v>
      </c>
      <c r="I41" s="663" t="s">
        <v>21</v>
      </c>
      <c r="J41" s="663" t="s">
        <v>20</v>
      </c>
      <c r="K41" s="663" t="s">
        <v>256</v>
      </c>
      <c r="L41" s="663" t="s">
        <v>18</v>
      </c>
      <c r="M41" s="663" t="s">
        <v>17</v>
      </c>
      <c r="N41" s="663" t="s">
        <v>86</v>
      </c>
      <c r="O41" s="664" t="s">
        <v>67</v>
      </c>
      <c r="P41" s="665"/>
      <c r="Q41" s="1487"/>
      <c r="R41" s="578"/>
      <c r="S41" s="578"/>
      <c r="T41" s="578"/>
      <c r="U41" s="578"/>
      <c r="V41" s="578"/>
    </row>
    <row r="42" spans="1:22">
      <c r="A42" s="714"/>
      <c r="B42" s="666" t="s">
        <v>4395</v>
      </c>
      <c r="C42" s="667">
        <v>780</v>
      </c>
      <c r="D42" s="667">
        <f>250+200+370</f>
        <v>820</v>
      </c>
      <c r="E42" s="667">
        <f>300+400+120</f>
        <v>820</v>
      </c>
      <c r="F42" s="667">
        <v>936</v>
      </c>
      <c r="G42" s="667">
        <v>820</v>
      </c>
      <c r="H42" s="667">
        <v>820</v>
      </c>
      <c r="I42" s="667">
        <v>820</v>
      </c>
      <c r="J42" s="667">
        <v>820</v>
      </c>
      <c r="K42" s="667">
        <v>820</v>
      </c>
      <c r="L42" s="667">
        <v>820</v>
      </c>
      <c r="M42" s="667">
        <v>820</v>
      </c>
      <c r="N42" s="667">
        <v>820</v>
      </c>
      <c r="O42" s="668">
        <f>SUM(C42:N42)</f>
        <v>9916</v>
      </c>
      <c r="P42" s="669"/>
      <c r="Q42" s="1493"/>
      <c r="R42" s="578"/>
      <c r="S42" s="578"/>
      <c r="T42" s="578"/>
      <c r="U42" s="578"/>
      <c r="V42" s="578"/>
    </row>
    <row r="43" spans="1:22">
      <c r="A43" s="714"/>
      <c r="B43" s="1342" t="s">
        <v>6389</v>
      </c>
      <c r="C43" s="1343" t="s">
        <v>135</v>
      </c>
      <c r="D43" s="1343" t="s">
        <v>135</v>
      </c>
      <c r="E43" s="1343" t="s">
        <v>135</v>
      </c>
      <c r="F43" s="1343" t="s">
        <v>135</v>
      </c>
      <c r="G43" s="1343" t="s">
        <v>135</v>
      </c>
      <c r="H43" s="1343" t="s">
        <v>135</v>
      </c>
      <c r="I43" s="1343" t="s">
        <v>135</v>
      </c>
      <c r="J43" s="1343" t="s">
        <v>135</v>
      </c>
      <c r="K43" s="1343"/>
      <c r="L43" s="1343"/>
      <c r="M43" s="1343"/>
      <c r="N43" s="1343"/>
      <c r="O43" s="1344">
        <f>SUM(C43:N43)</f>
        <v>0</v>
      </c>
      <c r="P43" s="672"/>
      <c r="Q43" s="1494"/>
    </row>
    <row r="44" spans="1:22">
      <c r="A44" s="714"/>
      <c r="B44" s="666" t="s">
        <v>4397</v>
      </c>
      <c r="C44" s="671"/>
      <c r="D44" s="671"/>
      <c r="E44" s="671"/>
      <c r="F44" s="671"/>
      <c r="G44" s="671"/>
      <c r="H44" s="671"/>
      <c r="I44" s="671"/>
      <c r="J44" s="671"/>
      <c r="K44" s="671"/>
      <c r="L44" s="671"/>
      <c r="M44" s="671"/>
      <c r="N44" s="671"/>
      <c r="O44" s="668"/>
      <c r="P44" s="672"/>
      <c r="Q44" s="1494"/>
    </row>
    <row r="45" spans="1:22">
      <c r="A45" s="714"/>
      <c r="B45" s="674" t="s">
        <v>5024</v>
      </c>
      <c r="C45" s="675">
        <v>146.88</v>
      </c>
      <c r="D45" s="675">
        <v>146.88</v>
      </c>
      <c r="E45" s="675">
        <v>146.88</v>
      </c>
      <c r="F45" s="675">
        <v>146.88</v>
      </c>
      <c r="G45" s="675">
        <v>146.88</v>
      </c>
      <c r="H45" s="675">
        <v>146.88</v>
      </c>
      <c r="I45" s="675">
        <v>146.88</v>
      </c>
      <c r="J45" s="675">
        <v>146.88</v>
      </c>
      <c r="K45" s="675">
        <v>146.88</v>
      </c>
      <c r="L45" s="675">
        <v>146.88</v>
      </c>
      <c r="M45" s="675">
        <v>146.88</v>
      </c>
      <c r="N45" s="675">
        <v>146.88</v>
      </c>
      <c r="O45" s="668">
        <f>SUM(C45:N45)</f>
        <v>1762.5600000000004</v>
      </c>
      <c r="P45" s="672"/>
      <c r="Q45" s="1494"/>
    </row>
    <row r="46" spans="1:22">
      <c r="A46" s="714"/>
      <c r="B46" s="674" t="s">
        <v>4399</v>
      </c>
      <c r="C46" s="675" t="s">
        <v>135</v>
      </c>
      <c r="D46" s="675"/>
      <c r="E46" s="675" t="s">
        <v>135</v>
      </c>
      <c r="F46" s="675">
        <v>469</v>
      </c>
      <c r="G46" s="675" t="s">
        <v>135</v>
      </c>
      <c r="H46" s="675"/>
      <c r="I46" s="675"/>
      <c r="J46" s="675"/>
      <c r="K46" s="675"/>
      <c r="L46" s="675"/>
      <c r="M46" s="675">
        <v>468.59</v>
      </c>
      <c r="N46" s="675" t="s">
        <v>135</v>
      </c>
      <c r="O46" s="677">
        <f>SUM(C46:N46)</f>
        <v>937.58999999999992</v>
      </c>
      <c r="P46" s="672"/>
      <c r="Q46" s="1494"/>
    </row>
    <row r="47" spans="1:22">
      <c r="A47" s="714"/>
      <c r="B47" s="674" t="s">
        <v>7031</v>
      </c>
      <c r="C47" s="675" t="s">
        <v>135</v>
      </c>
      <c r="D47" s="675"/>
      <c r="E47" s="675" t="s">
        <v>135</v>
      </c>
      <c r="F47" s="675"/>
      <c r="G47" s="675" t="s">
        <v>135</v>
      </c>
      <c r="H47" s="675" t="s">
        <v>135</v>
      </c>
      <c r="I47" s="675" t="s">
        <v>135</v>
      </c>
      <c r="J47" s="675"/>
      <c r="K47" s="675" t="s">
        <v>135</v>
      </c>
      <c r="L47" s="675" t="s">
        <v>135</v>
      </c>
      <c r="M47" s="675"/>
      <c r="N47" s="675"/>
      <c r="O47" s="677">
        <f>SUM(C47:N47)</f>
        <v>0</v>
      </c>
      <c r="P47" s="681"/>
      <c r="Q47" s="707"/>
    </row>
    <row r="48" spans="1:22">
      <c r="A48" s="714"/>
      <c r="B48" s="674" t="s">
        <v>7042</v>
      </c>
      <c r="C48" s="675" t="s">
        <v>135</v>
      </c>
      <c r="D48" s="675" t="s">
        <v>135</v>
      </c>
      <c r="E48" s="675" t="s">
        <v>135</v>
      </c>
      <c r="F48" s="675">
        <v>34.42</v>
      </c>
      <c r="G48" s="675" t="s">
        <v>135</v>
      </c>
      <c r="H48" s="675" t="s">
        <v>135</v>
      </c>
      <c r="I48" s="675" t="s">
        <v>135</v>
      </c>
      <c r="J48" s="675"/>
      <c r="K48" s="675" t="s">
        <v>135</v>
      </c>
      <c r="L48" s="675" t="s">
        <v>135</v>
      </c>
      <c r="M48" s="675" t="s">
        <v>135</v>
      </c>
      <c r="N48" s="675"/>
      <c r="O48" s="677">
        <f>SUM(C48:N48)</f>
        <v>34.42</v>
      </c>
      <c r="P48" s="672"/>
      <c r="Q48" s="1494"/>
    </row>
    <row r="49" spans="1:22">
      <c r="A49" s="714"/>
      <c r="B49" s="674" t="s">
        <v>7019</v>
      </c>
      <c r="C49" s="675"/>
      <c r="D49" s="675"/>
      <c r="E49" s="675" t="s">
        <v>135</v>
      </c>
      <c r="F49" s="675"/>
      <c r="G49" s="675" t="s">
        <v>135</v>
      </c>
      <c r="H49" s="675"/>
      <c r="I49" s="675" t="s">
        <v>135</v>
      </c>
      <c r="J49" s="675"/>
      <c r="K49" s="675"/>
      <c r="L49" s="675"/>
      <c r="M49" s="675"/>
      <c r="N49" s="675"/>
      <c r="O49" s="677"/>
      <c r="P49" s="672"/>
      <c r="Q49" s="1494"/>
    </row>
    <row r="50" spans="1:22">
      <c r="A50" s="714"/>
      <c r="B50" s="674" t="s">
        <v>7033</v>
      </c>
      <c r="C50" s="675" t="s">
        <v>135</v>
      </c>
      <c r="D50" s="675" t="s">
        <v>135</v>
      </c>
      <c r="E50" s="675" t="s">
        <v>135</v>
      </c>
      <c r="F50" s="675" t="s">
        <v>135</v>
      </c>
      <c r="G50" s="675" t="s">
        <v>135</v>
      </c>
      <c r="H50" s="675" t="s">
        <v>135</v>
      </c>
      <c r="I50" s="675"/>
      <c r="J50" s="675"/>
      <c r="K50" s="675"/>
      <c r="L50" s="675"/>
      <c r="M50" s="675"/>
      <c r="N50" s="675"/>
      <c r="O50" s="677"/>
      <c r="P50" s="672"/>
      <c r="Q50" s="1494"/>
    </row>
    <row r="51" spans="1:22">
      <c r="A51" s="714"/>
      <c r="B51" s="674" t="s">
        <v>7387</v>
      </c>
      <c r="C51" s="687">
        <v>400</v>
      </c>
      <c r="D51" s="687"/>
      <c r="E51" s="687" t="s">
        <v>135</v>
      </c>
      <c r="F51" s="687"/>
      <c r="G51" s="687"/>
      <c r="H51" s="687"/>
      <c r="I51" s="687"/>
      <c r="J51" s="687"/>
      <c r="K51" s="687">
        <v>408</v>
      </c>
      <c r="L51" s="687" t="s">
        <v>135</v>
      </c>
      <c r="M51" s="687" t="s">
        <v>135</v>
      </c>
      <c r="N51" s="687"/>
      <c r="O51" s="677">
        <f>SUM(C51:N51)</f>
        <v>808</v>
      </c>
      <c r="P51" s="672"/>
      <c r="Q51" s="1494"/>
    </row>
    <row r="52" spans="1:22">
      <c r="A52" s="714"/>
      <c r="B52" s="674" t="s">
        <v>6860</v>
      </c>
      <c r="C52" s="945" t="s">
        <v>135</v>
      </c>
      <c r="D52" s="945" t="s">
        <v>135</v>
      </c>
      <c r="E52" s="945" t="s">
        <v>135</v>
      </c>
      <c r="F52" s="945" t="s">
        <v>135</v>
      </c>
      <c r="G52" s="945" t="s">
        <v>135</v>
      </c>
      <c r="H52" s="945" t="s">
        <v>135</v>
      </c>
      <c r="I52" s="945" t="s">
        <v>135</v>
      </c>
      <c r="J52" s="945" t="s">
        <v>135</v>
      </c>
      <c r="K52" s="945" t="s">
        <v>135</v>
      </c>
      <c r="L52" s="945" t="s">
        <v>135</v>
      </c>
      <c r="M52" s="945" t="s">
        <v>135</v>
      </c>
      <c r="N52" s="945" t="s">
        <v>135</v>
      </c>
      <c r="O52" s="668">
        <f>SUM(C52:N52)</f>
        <v>0</v>
      </c>
      <c r="P52" s="672"/>
      <c r="Q52" s="1494"/>
    </row>
    <row r="53" spans="1:22">
      <c r="A53" s="714"/>
      <c r="B53" s="674" t="s">
        <v>7035</v>
      </c>
      <c r="C53" s="675"/>
      <c r="D53" s="675"/>
      <c r="E53" s="675">
        <f>35.07+17.19+28.54+20+7.67+154.82</f>
        <v>263.29000000000002</v>
      </c>
      <c r="F53" s="675"/>
      <c r="G53" s="675" t="s">
        <v>135</v>
      </c>
      <c r="H53" s="675" t="s">
        <v>135</v>
      </c>
      <c r="I53" s="675" t="s">
        <v>135</v>
      </c>
      <c r="J53" s="675"/>
      <c r="K53" s="675"/>
      <c r="L53" s="675"/>
      <c r="M53" s="675"/>
      <c r="N53" s="675"/>
      <c r="O53" s="668">
        <f>SUM(C53:N53)</f>
        <v>263.29000000000002</v>
      </c>
      <c r="P53" s="672"/>
      <c r="Q53" s="1494"/>
    </row>
    <row r="54" spans="1:22">
      <c r="A54" s="714"/>
      <c r="B54" s="666" t="s">
        <v>6323</v>
      </c>
      <c r="C54" s="677">
        <f t="shared" ref="C54:N54" si="8">SUM(C52:C53)</f>
        <v>0</v>
      </c>
      <c r="D54" s="677">
        <f t="shared" si="8"/>
        <v>0</v>
      </c>
      <c r="E54" s="677">
        <f t="shared" si="8"/>
        <v>263.29000000000002</v>
      </c>
      <c r="F54" s="677">
        <f t="shared" si="8"/>
        <v>0</v>
      </c>
      <c r="G54" s="677">
        <f t="shared" si="8"/>
        <v>0</v>
      </c>
      <c r="H54" s="677">
        <f t="shared" si="8"/>
        <v>0</v>
      </c>
      <c r="I54" s="677">
        <f t="shared" si="8"/>
        <v>0</v>
      </c>
      <c r="J54" s="677">
        <f t="shared" si="8"/>
        <v>0</v>
      </c>
      <c r="K54" s="677">
        <f t="shared" si="8"/>
        <v>0</v>
      </c>
      <c r="L54" s="677">
        <f t="shared" si="8"/>
        <v>0</v>
      </c>
      <c r="M54" s="677">
        <f t="shared" si="8"/>
        <v>0</v>
      </c>
      <c r="N54" s="677">
        <f t="shared" si="8"/>
        <v>0</v>
      </c>
      <c r="O54" s="668">
        <f>SUM(C54:N54)</f>
        <v>263.29000000000002</v>
      </c>
      <c r="P54" s="669"/>
      <c r="Q54" s="1493"/>
      <c r="R54" s="578"/>
      <c r="S54" s="578"/>
      <c r="T54" s="578"/>
      <c r="U54" s="578"/>
      <c r="V54" s="578"/>
    </row>
    <row r="55" spans="1:22">
      <c r="A55" s="714"/>
      <c r="B55" s="689" t="s">
        <v>1126</v>
      </c>
      <c r="C55" s="690">
        <f t="shared" ref="C55:N55" si="9">SUM(C45:C53)</f>
        <v>546.88</v>
      </c>
      <c r="D55" s="690">
        <f t="shared" si="9"/>
        <v>146.88</v>
      </c>
      <c r="E55" s="690">
        <f t="shared" si="9"/>
        <v>410.17</v>
      </c>
      <c r="F55" s="690">
        <f t="shared" si="9"/>
        <v>650.29999999999995</v>
      </c>
      <c r="G55" s="690">
        <f t="shared" si="9"/>
        <v>146.88</v>
      </c>
      <c r="H55" s="690">
        <f t="shared" si="9"/>
        <v>146.88</v>
      </c>
      <c r="I55" s="690">
        <f t="shared" si="9"/>
        <v>146.88</v>
      </c>
      <c r="J55" s="690">
        <f t="shared" si="9"/>
        <v>146.88</v>
      </c>
      <c r="K55" s="690">
        <f t="shared" si="9"/>
        <v>554.88</v>
      </c>
      <c r="L55" s="690">
        <f t="shared" si="9"/>
        <v>146.88</v>
      </c>
      <c r="M55" s="690">
        <f t="shared" si="9"/>
        <v>615.47</v>
      </c>
      <c r="N55" s="690">
        <f t="shared" si="9"/>
        <v>146.88</v>
      </c>
      <c r="O55" s="995">
        <f>SUM(O46:O53)</f>
        <v>2043.2999999999997</v>
      </c>
      <c r="P55" s="691"/>
      <c r="Q55" s="1495"/>
      <c r="R55" s="1412"/>
      <c r="S55" s="1412"/>
      <c r="T55" s="1412"/>
      <c r="U55" s="1412"/>
      <c r="V55" s="1412"/>
    </row>
    <row r="56" spans="1:22">
      <c r="A56" s="715"/>
      <c r="B56" s="692" t="s">
        <v>791</v>
      </c>
      <c r="C56" s="693">
        <f t="shared" ref="C56:O56" si="10">C42-C55</f>
        <v>233.12</v>
      </c>
      <c r="D56" s="693">
        <f t="shared" si="10"/>
        <v>673.12</v>
      </c>
      <c r="E56" s="693">
        <f t="shared" si="10"/>
        <v>409.83</v>
      </c>
      <c r="F56" s="693">
        <f t="shared" si="10"/>
        <v>285.70000000000005</v>
      </c>
      <c r="G56" s="693">
        <f t="shared" si="10"/>
        <v>673.12</v>
      </c>
      <c r="H56" s="693">
        <f t="shared" si="10"/>
        <v>673.12</v>
      </c>
      <c r="I56" s="693">
        <f t="shared" si="10"/>
        <v>673.12</v>
      </c>
      <c r="J56" s="693">
        <f t="shared" si="10"/>
        <v>673.12</v>
      </c>
      <c r="K56" s="693">
        <f t="shared" si="10"/>
        <v>265.12</v>
      </c>
      <c r="L56" s="693">
        <f t="shared" si="10"/>
        <v>673.12</v>
      </c>
      <c r="M56" s="693">
        <f t="shared" si="10"/>
        <v>204.52999999999997</v>
      </c>
      <c r="N56" s="693">
        <f t="shared" si="10"/>
        <v>673.12</v>
      </c>
      <c r="O56" s="693">
        <f t="shared" si="10"/>
        <v>7872.7000000000007</v>
      </c>
      <c r="P56" s="694"/>
      <c r="Q56" s="707"/>
    </row>
    <row r="57" spans="1:22">
      <c r="A57" s="947"/>
      <c r="B57" s="950" t="s">
        <v>7036</v>
      </c>
      <c r="C57" s="950">
        <v>0</v>
      </c>
      <c r="D57" s="950">
        <v>0</v>
      </c>
      <c r="E57" s="950">
        <v>0</v>
      </c>
      <c r="F57" s="950">
        <v>0</v>
      </c>
      <c r="G57" s="950">
        <v>0</v>
      </c>
      <c r="H57" s="950">
        <v>0</v>
      </c>
      <c r="I57" s="950">
        <v>0</v>
      </c>
      <c r="J57" s="950">
        <v>0</v>
      </c>
      <c r="K57" s="950">
        <v>0</v>
      </c>
      <c r="L57" s="950">
        <v>0</v>
      </c>
      <c r="M57" s="950">
        <v>0</v>
      </c>
      <c r="N57" s="951">
        <v>0</v>
      </c>
      <c r="O57" s="952">
        <f>SUM(C57:N57)</f>
        <v>0</v>
      </c>
      <c r="P57" s="953"/>
      <c r="Q57" s="707"/>
    </row>
    <row r="58" spans="1:22">
      <c r="A58" s="692"/>
      <c r="B58" s="692" t="s">
        <v>6861</v>
      </c>
      <c r="C58" s="996">
        <f t="shared" ref="C58:O58" si="11">C56-C57</f>
        <v>233.12</v>
      </c>
      <c r="D58" s="996">
        <f t="shared" si="11"/>
        <v>673.12</v>
      </c>
      <c r="E58" s="996">
        <f t="shared" si="11"/>
        <v>409.83</v>
      </c>
      <c r="F58" s="956">
        <f t="shared" si="11"/>
        <v>285.70000000000005</v>
      </c>
      <c r="G58" s="996">
        <f t="shared" si="11"/>
        <v>673.12</v>
      </c>
      <c r="H58" s="956">
        <f t="shared" si="11"/>
        <v>673.12</v>
      </c>
      <c r="I58" s="956">
        <f t="shared" si="11"/>
        <v>673.12</v>
      </c>
      <c r="J58" s="956">
        <f t="shared" si="11"/>
        <v>673.12</v>
      </c>
      <c r="K58" s="956">
        <f t="shared" si="11"/>
        <v>265.12</v>
      </c>
      <c r="L58" s="956">
        <f t="shared" si="11"/>
        <v>673.12</v>
      </c>
      <c r="M58" s="956">
        <f t="shared" si="11"/>
        <v>204.52999999999997</v>
      </c>
      <c r="N58" s="956">
        <f t="shared" si="11"/>
        <v>673.12</v>
      </c>
      <c r="O58" s="956">
        <f t="shared" si="11"/>
        <v>7872.7000000000007</v>
      </c>
      <c r="P58" s="709"/>
      <c r="Q58" s="707"/>
    </row>
    <row r="59" spans="1:22">
      <c r="B59" s="660"/>
      <c r="C59" s="660"/>
      <c r="D59" s="660"/>
      <c r="E59" s="660"/>
      <c r="F59" s="660"/>
      <c r="G59" s="660"/>
      <c r="H59" s="660"/>
      <c r="I59" s="660"/>
      <c r="J59" s="660"/>
      <c r="K59" s="660"/>
      <c r="L59" s="660"/>
      <c r="M59" s="660"/>
      <c r="N59" s="660"/>
      <c r="O59" s="660"/>
      <c r="P59" s="660"/>
      <c r="Q59" s="707"/>
    </row>
    <row r="60" spans="1:22">
      <c r="A60" s="714"/>
      <c r="B60" s="2126" t="s">
        <v>7026</v>
      </c>
      <c r="C60" s="2127"/>
      <c r="D60" s="2127"/>
      <c r="E60" s="2127"/>
      <c r="F60" s="2127"/>
      <c r="G60" s="2127"/>
      <c r="H60" s="2127"/>
      <c r="I60" s="2127"/>
      <c r="J60" s="2127"/>
      <c r="K60" s="2127"/>
      <c r="L60" s="2127"/>
      <c r="M60" s="2127"/>
      <c r="N60" s="2127"/>
      <c r="O60" s="2128"/>
      <c r="P60" s="661"/>
      <c r="Q60" s="1406"/>
    </row>
    <row r="61" spans="1:22">
      <c r="A61" s="714"/>
      <c r="B61" s="662" t="s">
        <v>8034</v>
      </c>
      <c r="C61" s="663" t="s">
        <v>143</v>
      </c>
      <c r="D61" s="663" t="s">
        <v>26</v>
      </c>
      <c r="E61" s="663" t="s">
        <v>25</v>
      </c>
      <c r="F61" s="663" t="s">
        <v>24</v>
      </c>
      <c r="G61" s="663" t="s">
        <v>23</v>
      </c>
      <c r="H61" s="663" t="s">
        <v>22</v>
      </c>
      <c r="I61" s="663" t="s">
        <v>21</v>
      </c>
      <c r="J61" s="663" t="s">
        <v>20</v>
      </c>
      <c r="K61" s="663" t="s">
        <v>256</v>
      </c>
      <c r="L61" s="663" t="s">
        <v>18</v>
      </c>
      <c r="M61" s="663" t="s">
        <v>17</v>
      </c>
      <c r="N61" s="663" t="s">
        <v>86</v>
      </c>
      <c r="O61" s="664" t="s">
        <v>67</v>
      </c>
      <c r="P61" s="665"/>
      <c r="Q61" s="1487"/>
      <c r="R61" s="578"/>
      <c r="S61" s="578"/>
      <c r="T61" s="578"/>
      <c r="U61" s="578"/>
      <c r="V61" s="578"/>
    </row>
    <row r="62" spans="1:22">
      <c r="A62" s="994"/>
      <c r="B62" s="666" t="s">
        <v>7027</v>
      </c>
      <c r="C62" s="12">
        <v>0</v>
      </c>
      <c r="D62" s="12">
        <f>60+675</f>
        <v>735</v>
      </c>
      <c r="E62" s="12">
        <v>675</v>
      </c>
      <c r="F62" s="12">
        <v>845</v>
      </c>
      <c r="G62" s="12">
        <v>675</v>
      </c>
      <c r="H62" s="12">
        <v>675</v>
      </c>
      <c r="I62" s="12">
        <v>675</v>
      </c>
      <c r="J62" s="12">
        <v>675</v>
      </c>
      <c r="K62" s="12">
        <v>675</v>
      </c>
      <c r="L62" s="12">
        <v>675</v>
      </c>
      <c r="M62" s="12">
        <v>675</v>
      </c>
      <c r="N62" s="12">
        <v>675</v>
      </c>
      <c r="O62" s="668">
        <f>SUM(C62:N62)</f>
        <v>7655</v>
      </c>
      <c r="P62" s="669"/>
      <c r="Q62" s="1493"/>
      <c r="R62" s="578"/>
      <c r="S62" s="578"/>
      <c r="T62" s="578"/>
      <c r="U62" s="578"/>
      <c r="V62" s="578"/>
    </row>
    <row r="63" spans="1:22">
      <c r="A63" s="714"/>
      <c r="B63" s="666" t="s">
        <v>7028</v>
      </c>
      <c r="C63" s="12"/>
      <c r="D63" s="12"/>
      <c r="E63" s="12"/>
      <c r="F63" s="12">
        <v>170</v>
      </c>
      <c r="G63" s="12">
        <v>170</v>
      </c>
      <c r="H63" s="12">
        <v>170</v>
      </c>
      <c r="I63" s="12">
        <v>170</v>
      </c>
      <c r="J63" s="12">
        <v>170</v>
      </c>
      <c r="K63" s="12">
        <v>170</v>
      </c>
      <c r="L63" s="12">
        <v>170</v>
      </c>
      <c r="M63" s="12">
        <v>170</v>
      </c>
      <c r="N63" s="12">
        <v>170</v>
      </c>
      <c r="O63" s="668">
        <f>SUM(C63:N63)</f>
        <v>1530</v>
      </c>
      <c r="P63" s="672"/>
      <c r="Q63" s="1494"/>
    </row>
    <row r="64" spans="1:22">
      <c r="A64" s="714"/>
      <c r="B64" s="666" t="s">
        <v>7029</v>
      </c>
      <c r="C64" s="12"/>
      <c r="D64" s="12"/>
      <c r="E64" s="12">
        <v>500</v>
      </c>
      <c r="F64" s="12">
        <f>450.09</f>
        <v>450.09</v>
      </c>
      <c r="G64" s="12">
        <f>400</f>
        <v>400</v>
      </c>
      <c r="H64" s="12" t="s">
        <v>135</v>
      </c>
      <c r="I64" s="12">
        <v>475</v>
      </c>
      <c r="J64" s="12">
        <v>237</v>
      </c>
      <c r="K64" s="12">
        <v>475</v>
      </c>
      <c r="L64" s="12">
        <v>475</v>
      </c>
      <c r="M64" s="12">
        <v>475</v>
      </c>
      <c r="N64" s="12">
        <v>475</v>
      </c>
      <c r="O64" s="668">
        <f>SUM(C64:N64)</f>
        <v>3962.09</v>
      </c>
      <c r="P64" s="672"/>
      <c r="Q64" s="1494"/>
    </row>
    <row r="65" spans="1:22">
      <c r="A65" s="714"/>
      <c r="B65" s="666" t="s">
        <v>7030</v>
      </c>
      <c r="C65" s="12"/>
      <c r="D65" s="12"/>
      <c r="E65" s="12">
        <v>100</v>
      </c>
      <c r="F65" s="12">
        <v>100</v>
      </c>
      <c r="G65" s="12">
        <v>100</v>
      </c>
      <c r="H65" s="12"/>
      <c r="I65" s="12">
        <v>100</v>
      </c>
      <c r="J65" s="12">
        <v>50</v>
      </c>
      <c r="K65" s="12">
        <v>100</v>
      </c>
      <c r="L65" s="12">
        <v>100</v>
      </c>
      <c r="M65" s="12">
        <v>100</v>
      </c>
      <c r="N65" s="12">
        <v>100</v>
      </c>
      <c r="O65" s="668">
        <f>SUM(C65:N65)</f>
        <v>850</v>
      </c>
      <c r="P65" s="672"/>
      <c r="Q65" s="1494"/>
    </row>
    <row r="66" spans="1:22">
      <c r="A66" s="714"/>
      <c r="B66" s="666" t="s">
        <v>6847</v>
      </c>
      <c r="C66" s="667">
        <f t="shared" ref="C66:O66" si="12">SUM(C62:C65)</f>
        <v>0</v>
      </c>
      <c r="D66" s="667">
        <f t="shared" si="12"/>
        <v>735</v>
      </c>
      <c r="E66" s="667">
        <f t="shared" si="12"/>
        <v>1275</v>
      </c>
      <c r="F66" s="667">
        <f t="shared" si="12"/>
        <v>1565.09</v>
      </c>
      <c r="G66" s="667">
        <f t="shared" si="12"/>
        <v>1345</v>
      </c>
      <c r="H66" s="667">
        <f t="shared" si="12"/>
        <v>845</v>
      </c>
      <c r="I66" s="667">
        <f t="shared" si="12"/>
        <v>1420</v>
      </c>
      <c r="J66" s="667">
        <f t="shared" si="12"/>
        <v>1132</v>
      </c>
      <c r="K66" s="667">
        <f t="shared" si="12"/>
        <v>1420</v>
      </c>
      <c r="L66" s="667">
        <f t="shared" si="12"/>
        <v>1420</v>
      </c>
      <c r="M66" s="667">
        <f t="shared" si="12"/>
        <v>1420</v>
      </c>
      <c r="N66" s="667">
        <f t="shared" si="12"/>
        <v>1420</v>
      </c>
      <c r="O66" s="667">
        <f t="shared" si="12"/>
        <v>13997.09</v>
      </c>
      <c r="P66" s="672"/>
      <c r="Q66" s="1494"/>
    </row>
    <row r="67" spans="1:22">
      <c r="A67" s="714"/>
      <c r="B67" s="1342" t="s">
        <v>6389</v>
      </c>
      <c r="C67" s="1343" t="s">
        <v>135</v>
      </c>
      <c r="D67" s="1343">
        <v>0</v>
      </c>
      <c r="E67" s="1343">
        <v>0</v>
      </c>
      <c r="F67" s="1343">
        <v>0</v>
      </c>
      <c r="G67" s="1343" t="s">
        <v>135</v>
      </c>
      <c r="H67" s="1343" t="s">
        <v>135</v>
      </c>
      <c r="I67" s="1343" t="s">
        <v>135</v>
      </c>
      <c r="J67" s="1343" t="s">
        <v>135</v>
      </c>
      <c r="K67" s="1343"/>
      <c r="L67" s="1343"/>
      <c r="M67" s="1343"/>
      <c r="N67" s="1343"/>
      <c r="O67" s="1344">
        <f>SUM(C67:N67)</f>
        <v>0</v>
      </c>
      <c r="P67" s="672"/>
      <c r="Q67" s="1494"/>
    </row>
    <row r="68" spans="1:22">
      <c r="A68" s="714"/>
      <c r="B68" s="666" t="s">
        <v>4397</v>
      </c>
      <c r="C68" s="671"/>
      <c r="D68" s="671"/>
      <c r="E68" s="671"/>
      <c r="F68" s="671"/>
      <c r="G68" s="671"/>
      <c r="H68" s="671"/>
      <c r="I68" s="671"/>
      <c r="J68" s="671"/>
      <c r="K68" s="671"/>
      <c r="L68" s="671"/>
      <c r="M68" s="671"/>
      <c r="N68" s="671"/>
      <c r="O68" s="668"/>
      <c r="P68" s="672"/>
      <c r="Q68" s="1494"/>
    </row>
    <row r="69" spans="1:22">
      <c r="A69" s="714"/>
      <c r="B69" s="674" t="s">
        <v>5024</v>
      </c>
      <c r="C69" s="675">
        <v>262</v>
      </c>
      <c r="D69" s="675">
        <v>262</v>
      </c>
      <c r="E69" s="675">
        <v>262</v>
      </c>
      <c r="F69" s="675">
        <v>262</v>
      </c>
      <c r="G69" s="675">
        <v>262</v>
      </c>
      <c r="H69" s="675">
        <v>262</v>
      </c>
      <c r="I69" s="675">
        <v>262</v>
      </c>
      <c r="J69" s="675">
        <v>262</v>
      </c>
      <c r="K69" s="675">
        <v>262</v>
      </c>
      <c r="L69" s="675">
        <v>262</v>
      </c>
      <c r="M69" s="675">
        <v>262</v>
      </c>
      <c r="N69" s="675">
        <v>262</v>
      </c>
      <c r="O69" s="668">
        <f>SUM(C69:N69)</f>
        <v>3144</v>
      </c>
      <c r="P69" s="672"/>
      <c r="Q69" s="1494"/>
    </row>
    <row r="70" spans="1:22">
      <c r="A70" s="714"/>
      <c r="B70" s="674" t="s">
        <v>4399</v>
      </c>
      <c r="C70" s="675" t="s">
        <v>135</v>
      </c>
      <c r="D70" s="675"/>
      <c r="E70" s="675" t="s">
        <v>135</v>
      </c>
      <c r="F70" s="675">
        <v>743</v>
      </c>
      <c r="G70" s="675" t="s">
        <v>135</v>
      </c>
      <c r="H70" s="675"/>
      <c r="I70" s="675"/>
      <c r="J70" s="675"/>
      <c r="K70" s="675"/>
      <c r="L70" s="675"/>
      <c r="M70" s="675">
        <v>653.11</v>
      </c>
      <c r="N70" s="675"/>
      <c r="O70" s="677">
        <f>SUM(C70:N70)</f>
        <v>1396.1100000000001</v>
      </c>
      <c r="P70" s="672"/>
      <c r="Q70" s="1494">
        <v>2013</v>
      </c>
      <c r="R70" s="9">
        <v>2014</v>
      </c>
    </row>
    <row r="71" spans="1:22">
      <c r="A71" s="714"/>
      <c r="B71" s="674" t="s">
        <v>7031</v>
      </c>
      <c r="C71" s="675">
        <v>96.91</v>
      </c>
      <c r="D71" s="675">
        <v>102.76</v>
      </c>
      <c r="E71" s="675">
        <v>115.49</v>
      </c>
      <c r="F71" s="675">
        <v>120.29</v>
      </c>
      <c r="G71" s="675">
        <v>120.29</v>
      </c>
      <c r="H71" s="675">
        <v>115.21</v>
      </c>
      <c r="I71" s="675">
        <v>140.21</v>
      </c>
      <c r="J71" s="675">
        <v>161.52000000000001</v>
      </c>
      <c r="K71" s="675">
        <v>150.49</v>
      </c>
      <c r="L71" s="675">
        <v>115.21</v>
      </c>
      <c r="M71" s="675">
        <v>132.09</v>
      </c>
      <c r="N71" s="675">
        <v>118.02</v>
      </c>
      <c r="O71" s="677">
        <f>SUM(C71:N71)</f>
        <v>1488.49</v>
      </c>
      <c r="P71" s="681"/>
      <c r="Q71" s="16">
        <f>AVERAGE(N71)</f>
        <v>118.02</v>
      </c>
      <c r="R71" s="9">
        <v>134</v>
      </c>
      <c r="S71" s="9">
        <f>(Q71+R71)/2</f>
        <v>126.00999999999999</v>
      </c>
    </row>
    <row r="72" spans="1:22">
      <c r="A72" s="714"/>
      <c r="B72" s="674" t="s">
        <v>6850</v>
      </c>
      <c r="C72" s="675">
        <v>57.05</v>
      </c>
      <c r="D72" s="675">
        <v>43.31</v>
      </c>
      <c r="E72" s="675">
        <v>106.56</v>
      </c>
      <c r="F72" s="675">
        <v>140.56</v>
      </c>
      <c r="G72" s="675">
        <v>123.42</v>
      </c>
      <c r="H72" s="675">
        <v>112.85</v>
      </c>
      <c r="I72" s="675">
        <v>134.61000000000001</v>
      </c>
      <c r="J72" s="675">
        <v>173.72</v>
      </c>
      <c r="K72" s="675">
        <v>119.84</v>
      </c>
      <c r="L72" s="675">
        <v>124.54</v>
      </c>
      <c r="M72" s="675">
        <v>143.16999999999999</v>
      </c>
      <c r="N72" s="675">
        <v>174.51</v>
      </c>
      <c r="O72" s="677">
        <f>SUM(C72:N72)</f>
        <v>1454.14</v>
      </c>
      <c r="P72" s="672"/>
      <c r="Q72" s="1408">
        <f>AVERAGE(E72:N72)</f>
        <v>135.37800000000001</v>
      </c>
      <c r="R72" s="9">
        <v>212</v>
      </c>
      <c r="S72" s="9">
        <f>(Q72+R72)/2</f>
        <v>173.68900000000002</v>
      </c>
    </row>
    <row r="73" spans="1:22">
      <c r="A73" s="714"/>
      <c r="B73" s="674" t="s">
        <v>7032</v>
      </c>
      <c r="C73" s="675">
        <v>17.75</v>
      </c>
      <c r="D73" s="675"/>
      <c r="E73" s="675" t="s">
        <v>135</v>
      </c>
      <c r="F73" s="675"/>
      <c r="G73" s="675" t="s">
        <v>135</v>
      </c>
      <c r="H73" s="675"/>
      <c r="I73" s="675" t="s">
        <v>135</v>
      </c>
      <c r="J73" s="675"/>
      <c r="K73" s="675">
        <v>24.34</v>
      </c>
      <c r="L73" s="675"/>
      <c r="M73" s="675"/>
      <c r="N73" s="675"/>
      <c r="O73" s="677"/>
      <c r="P73" s="672"/>
      <c r="Q73" s="1408">
        <f>Q71+Q72</f>
        <v>253.39800000000002</v>
      </c>
      <c r="R73" s="9">
        <v>346</v>
      </c>
      <c r="S73" s="9">
        <f>(Q73+R73)/2</f>
        <v>299.69900000000001</v>
      </c>
    </row>
    <row r="74" spans="1:22">
      <c r="A74" s="714"/>
      <c r="B74" s="674" t="s">
        <v>7033</v>
      </c>
      <c r="C74" s="675" t="s">
        <v>135</v>
      </c>
      <c r="D74" s="675" t="s">
        <v>135</v>
      </c>
      <c r="E74" s="675" t="s">
        <v>135</v>
      </c>
      <c r="F74" s="675" t="s">
        <v>135</v>
      </c>
      <c r="G74" s="675" t="s">
        <v>135</v>
      </c>
      <c r="H74" s="675" t="s">
        <v>135</v>
      </c>
      <c r="I74" s="675"/>
      <c r="J74" s="675"/>
      <c r="K74" s="675"/>
      <c r="L74" s="675"/>
      <c r="M74" s="675"/>
      <c r="N74" s="675"/>
      <c r="O74" s="677"/>
      <c r="P74" s="672"/>
      <c r="Q74" s="1494"/>
    </row>
    <row r="75" spans="1:22">
      <c r="A75" s="714"/>
      <c r="B75" s="674" t="s">
        <v>8057</v>
      </c>
      <c r="C75" s="687">
        <v>240.75</v>
      </c>
      <c r="D75" s="687"/>
      <c r="E75" s="687" t="s">
        <v>135</v>
      </c>
      <c r="F75" s="687"/>
      <c r="G75" s="687"/>
      <c r="H75" s="687"/>
      <c r="I75" s="687"/>
      <c r="J75" s="687"/>
      <c r="K75" s="687">
        <v>665.33</v>
      </c>
      <c r="L75" s="687" t="s">
        <v>135</v>
      </c>
      <c r="M75" s="687" t="s">
        <v>135</v>
      </c>
      <c r="N75" s="687"/>
      <c r="O75" s="677">
        <f>SUM(C75:N75)</f>
        <v>906.08</v>
      </c>
      <c r="P75" s="672"/>
      <c r="Q75" s="1494"/>
    </row>
    <row r="76" spans="1:22">
      <c r="A76" s="714"/>
      <c r="B76" s="674" t="s">
        <v>6860</v>
      </c>
      <c r="C76" s="945" t="s">
        <v>135</v>
      </c>
      <c r="D76" s="945" t="s">
        <v>135</v>
      </c>
      <c r="E76" s="945" t="s">
        <v>135</v>
      </c>
      <c r="F76" s="945" t="s">
        <v>135</v>
      </c>
      <c r="G76" s="945" t="s">
        <v>135</v>
      </c>
      <c r="H76" s="945" t="s">
        <v>135</v>
      </c>
      <c r="I76" s="945" t="s">
        <v>135</v>
      </c>
      <c r="J76" s="945" t="s">
        <v>135</v>
      </c>
      <c r="K76" s="945" t="s">
        <v>135</v>
      </c>
      <c r="L76" s="945" t="s">
        <v>135</v>
      </c>
      <c r="M76" s="945"/>
      <c r="N76" s="945" t="s">
        <v>135</v>
      </c>
      <c r="O76" s="668">
        <f>SUM(C76:N76)</f>
        <v>0</v>
      </c>
      <c r="P76" s="672"/>
      <c r="Q76" s="1494"/>
    </row>
    <row r="77" spans="1:22">
      <c r="A77" s="714"/>
      <c r="B77" s="674" t="s">
        <v>7035</v>
      </c>
      <c r="C77" s="675">
        <f>9.34+336.64+19.37+138.07+36.51+94.31+44.28+55.96+60.29+38.38+1.89+3.67+15.34</f>
        <v>854.05</v>
      </c>
      <c r="D77" s="675">
        <f>60+40+235.6+20.11+121.45+6.28+13.28+12.46+17.96+61.69+5.1+91.35+10.21+16.99+10.24</f>
        <v>722.72</v>
      </c>
      <c r="E77" s="675" t="s">
        <v>135</v>
      </c>
      <c r="F77" s="675"/>
      <c r="G77" s="675" t="s">
        <v>135</v>
      </c>
      <c r="H77" s="675">
        <f>7.98+30.49</f>
        <v>38.47</v>
      </c>
      <c r="I77" s="675">
        <v>77.22</v>
      </c>
      <c r="J77" s="675">
        <f>94.49+18.54+4.19+15.48+6.49</f>
        <v>139.19</v>
      </c>
      <c r="K77" s="675"/>
      <c r="L77" s="675"/>
      <c r="M77" s="675"/>
      <c r="N77" s="675"/>
      <c r="O77" s="668">
        <f>SUM(C77:N77)</f>
        <v>1831.65</v>
      </c>
      <c r="P77" s="672"/>
      <c r="Q77" s="1494"/>
    </row>
    <row r="78" spans="1:22">
      <c r="A78" s="714"/>
      <c r="B78" s="666" t="s">
        <v>6323</v>
      </c>
      <c r="C78" s="677">
        <f t="shared" ref="C78:N78" si="13">SUM(C76:C77)</f>
        <v>854.05</v>
      </c>
      <c r="D78" s="677">
        <f t="shared" si="13"/>
        <v>722.72</v>
      </c>
      <c r="E78" s="677">
        <f t="shared" si="13"/>
        <v>0</v>
      </c>
      <c r="F78" s="677">
        <f t="shared" si="13"/>
        <v>0</v>
      </c>
      <c r="G78" s="677">
        <f t="shared" si="13"/>
        <v>0</v>
      </c>
      <c r="H78" s="677">
        <f t="shared" si="13"/>
        <v>38.47</v>
      </c>
      <c r="I78" s="677">
        <f t="shared" si="13"/>
        <v>77.22</v>
      </c>
      <c r="J78" s="677">
        <f t="shared" si="13"/>
        <v>139.19</v>
      </c>
      <c r="K78" s="677">
        <f t="shared" si="13"/>
        <v>0</v>
      </c>
      <c r="L78" s="677">
        <f t="shared" si="13"/>
        <v>0</v>
      </c>
      <c r="M78" s="677">
        <f t="shared" si="13"/>
        <v>0</v>
      </c>
      <c r="N78" s="677">
        <f t="shared" si="13"/>
        <v>0</v>
      </c>
      <c r="O78" s="668">
        <f>SUM(C78:N78)</f>
        <v>1831.65</v>
      </c>
      <c r="P78" s="669"/>
      <c r="Q78" s="1493"/>
      <c r="R78" s="578"/>
      <c r="S78" s="578"/>
      <c r="T78" s="578"/>
      <c r="U78" s="578"/>
      <c r="V78" s="578"/>
    </row>
    <row r="79" spans="1:22">
      <c r="A79" s="714"/>
      <c r="B79" s="689" t="s">
        <v>1126</v>
      </c>
      <c r="C79" s="690">
        <f t="shared" ref="C79:O79" si="14">SUM(C70:C77)</f>
        <v>1266.51</v>
      </c>
      <c r="D79" s="690">
        <f t="shared" si="14"/>
        <v>868.79</v>
      </c>
      <c r="E79" s="690">
        <f t="shared" si="14"/>
        <v>222.05</v>
      </c>
      <c r="F79" s="690">
        <f t="shared" si="14"/>
        <v>1003.8499999999999</v>
      </c>
      <c r="G79" s="690">
        <f t="shared" si="14"/>
        <v>243.71</v>
      </c>
      <c r="H79" s="690">
        <f t="shared" si="14"/>
        <v>266.52999999999997</v>
      </c>
      <c r="I79" s="690">
        <f t="shared" si="14"/>
        <v>352.04000000000008</v>
      </c>
      <c r="J79" s="690">
        <f t="shared" si="14"/>
        <v>474.43</v>
      </c>
      <c r="K79" s="690">
        <f t="shared" si="14"/>
        <v>960</v>
      </c>
      <c r="L79" s="690">
        <f t="shared" si="14"/>
        <v>239.75</v>
      </c>
      <c r="M79" s="690">
        <f t="shared" si="14"/>
        <v>928.37</v>
      </c>
      <c r="N79" s="690">
        <f t="shared" si="14"/>
        <v>292.52999999999997</v>
      </c>
      <c r="O79" s="690">
        <f t="shared" si="14"/>
        <v>7076.4700000000012</v>
      </c>
      <c r="P79" s="691"/>
      <c r="Q79" s="1495"/>
      <c r="R79" s="1412"/>
      <c r="S79" s="1412"/>
      <c r="T79" s="1412"/>
      <c r="U79" s="1412"/>
      <c r="V79" s="1412"/>
    </row>
    <row r="80" spans="1:22">
      <c r="A80" s="715"/>
      <c r="B80" s="692" t="s">
        <v>791</v>
      </c>
      <c r="C80" s="693">
        <f t="shared" ref="C80:N80" si="15">C62-C79</f>
        <v>-1266.51</v>
      </c>
      <c r="D80" s="693">
        <f t="shared" si="15"/>
        <v>-133.78999999999996</v>
      </c>
      <c r="E80" s="693">
        <f t="shared" si="15"/>
        <v>452.95</v>
      </c>
      <c r="F80" s="693">
        <f t="shared" si="15"/>
        <v>-158.84999999999991</v>
      </c>
      <c r="G80" s="693">
        <f t="shared" si="15"/>
        <v>431.28999999999996</v>
      </c>
      <c r="H80" s="693">
        <f t="shared" si="15"/>
        <v>408.47</v>
      </c>
      <c r="I80" s="693">
        <f t="shared" si="15"/>
        <v>322.95999999999992</v>
      </c>
      <c r="J80" s="693">
        <f t="shared" si="15"/>
        <v>200.57</v>
      </c>
      <c r="K80" s="693">
        <f t="shared" si="15"/>
        <v>-285</v>
      </c>
      <c r="L80" s="693">
        <f t="shared" si="15"/>
        <v>435.25</v>
      </c>
      <c r="M80" s="693">
        <f t="shared" si="15"/>
        <v>-253.37</v>
      </c>
      <c r="N80" s="693">
        <f t="shared" si="15"/>
        <v>382.47</v>
      </c>
      <c r="O80" s="693">
        <f>O66-O79</f>
        <v>6920.619999999999</v>
      </c>
      <c r="P80" s="694"/>
      <c r="Q80" s="707"/>
    </row>
    <row r="81" spans="1:22">
      <c r="A81" s="947"/>
      <c r="B81" s="950" t="s">
        <v>7036</v>
      </c>
      <c r="C81" s="950">
        <v>0</v>
      </c>
      <c r="D81" s="950">
        <v>0</v>
      </c>
      <c r="E81" s="950">
        <v>0</v>
      </c>
      <c r="F81" s="950">
        <v>0</v>
      </c>
      <c r="G81" s="950">
        <v>0</v>
      </c>
      <c r="H81" s="950">
        <v>0</v>
      </c>
      <c r="I81" s="950">
        <v>0</v>
      </c>
      <c r="J81" s="950">
        <v>0</v>
      </c>
      <c r="K81" s="950">
        <v>0</v>
      </c>
      <c r="L81" s="950">
        <v>0</v>
      </c>
      <c r="M81" s="950">
        <v>0</v>
      </c>
      <c r="N81" s="951">
        <v>0</v>
      </c>
      <c r="O81" s="952">
        <f>SUM(C81:N81)</f>
        <v>0</v>
      </c>
      <c r="P81" s="953"/>
      <c r="Q81" s="707"/>
    </row>
    <row r="82" spans="1:22">
      <c r="A82" s="692"/>
      <c r="B82" s="692" t="s">
        <v>6861</v>
      </c>
      <c r="C82" s="996">
        <f t="shared" ref="C82:O82" si="16">C80-C81</f>
        <v>-1266.51</v>
      </c>
      <c r="D82" s="996">
        <f t="shared" si="16"/>
        <v>-133.78999999999996</v>
      </c>
      <c r="E82" s="996">
        <f t="shared" si="16"/>
        <v>452.95</v>
      </c>
      <c r="F82" s="996">
        <f t="shared" si="16"/>
        <v>-158.84999999999991</v>
      </c>
      <c r="G82" s="996">
        <f t="shared" si="16"/>
        <v>431.28999999999996</v>
      </c>
      <c r="H82" s="996">
        <f t="shared" si="16"/>
        <v>408.47</v>
      </c>
      <c r="I82" s="996">
        <f t="shared" si="16"/>
        <v>322.95999999999992</v>
      </c>
      <c r="J82" s="996">
        <f t="shared" si="16"/>
        <v>200.57</v>
      </c>
      <c r="K82" s="996">
        <f t="shared" si="16"/>
        <v>-285</v>
      </c>
      <c r="L82" s="996">
        <f t="shared" si="16"/>
        <v>435.25</v>
      </c>
      <c r="M82" s="996">
        <f t="shared" si="16"/>
        <v>-253.37</v>
      </c>
      <c r="N82" s="996">
        <f t="shared" si="16"/>
        <v>382.47</v>
      </c>
      <c r="O82" s="956">
        <f t="shared" si="16"/>
        <v>6920.619999999999</v>
      </c>
      <c r="P82" s="709"/>
      <c r="Q82" s="707"/>
    </row>
    <row r="83" spans="1:22">
      <c r="B83" s="9" t="s">
        <v>7038</v>
      </c>
      <c r="G83" s="9">
        <v>115.49</v>
      </c>
      <c r="H83" s="9">
        <v>120.29</v>
      </c>
      <c r="I83" s="9">
        <v>161.52000000000001</v>
      </c>
      <c r="K83" s="9" t="s">
        <v>135</v>
      </c>
      <c r="Q83" s="707"/>
    </row>
    <row r="84" spans="1:22">
      <c r="B84" s="9" t="s">
        <v>7039</v>
      </c>
      <c r="G84" s="9">
        <v>123.42</v>
      </c>
      <c r="H84" s="9">
        <v>112.85</v>
      </c>
      <c r="I84" s="25">
        <v>134.61000000000001</v>
      </c>
      <c r="J84" s="9">
        <v>119.84</v>
      </c>
      <c r="K84" s="9">
        <v>124.54</v>
      </c>
      <c r="Q84" s="707"/>
    </row>
    <row r="85" spans="1:22">
      <c r="B85" s="9" t="s">
        <v>7040</v>
      </c>
      <c r="G85" s="12">
        <v>270</v>
      </c>
      <c r="H85" s="12">
        <v>270</v>
      </c>
      <c r="I85" s="12">
        <v>270</v>
      </c>
      <c r="Q85" s="707"/>
    </row>
    <row r="86" spans="1:22">
      <c r="A86" s="578"/>
      <c r="B86" s="997" t="s">
        <v>59</v>
      </c>
      <c r="C86" s="997"/>
      <c r="D86" s="997"/>
      <c r="E86" s="997"/>
      <c r="F86" s="997"/>
      <c r="G86" s="997">
        <f>G85-G83-G84</f>
        <v>31.089999999999989</v>
      </c>
      <c r="H86" s="997">
        <f>H85-H83-H84</f>
        <v>36.859999999999985</v>
      </c>
      <c r="I86" s="997">
        <f>I85-I83-I84</f>
        <v>-26.130000000000024</v>
      </c>
      <c r="J86" s="997"/>
      <c r="K86" s="997"/>
      <c r="L86" s="997"/>
      <c r="M86" s="997"/>
      <c r="N86" s="997"/>
      <c r="O86" s="997"/>
      <c r="P86" s="997"/>
      <c r="Q86" s="1496"/>
      <c r="R86" s="578"/>
      <c r="S86" s="578"/>
      <c r="T86" s="578"/>
      <c r="U86" s="578"/>
      <c r="V86" s="578"/>
    </row>
    <row r="87" spans="1:22">
      <c r="A87" s="714"/>
      <c r="B87" s="2126" t="s">
        <v>7041</v>
      </c>
      <c r="C87" s="2127"/>
      <c r="D87" s="2127"/>
      <c r="E87" s="2127"/>
      <c r="F87" s="2127"/>
      <c r="G87" s="2127"/>
      <c r="H87" s="2127"/>
      <c r="I87" s="2127"/>
      <c r="J87" s="2127"/>
      <c r="K87" s="2127"/>
      <c r="L87" s="2127"/>
      <c r="M87" s="2127"/>
      <c r="N87" s="2127"/>
      <c r="O87" s="2128"/>
      <c r="P87" s="661"/>
      <c r="Q87" s="1406"/>
    </row>
    <row r="88" spans="1:22">
      <c r="A88" s="714"/>
      <c r="B88" s="662" t="s">
        <v>8034</v>
      </c>
      <c r="C88" s="663" t="s">
        <v>143</v>
      </c>
      <c r="D88" s="663" t="s">
        <v>26</v>
      </c>
      <c r="E88" s="663" t="s">
        <v>25</v>
      </c>
      <c r="F88" s="663" t="s">
        <v>24</v>
      </c>
      <c r="G88" s="663" t="s">
        <v>23</v>
      </c>
      <c r="H88" s="663" t="s">
        <v>22</v>
      </c>
      <c r="I88" s="663" t="s">
        <v>21</v>
      </c>
      <c r="J88" s="663" t="s">
        <v>20</v>
      </c>
      <c r="K88" s="663" t="s">
        <v>256</v>
      </c>
      <c r="L88" s="663" t="s">
        <v>18</v>
      </c>
      <c r="M88" s="663" t="s">
        <v>17</v>
      </c>
      <c r="N88" s="663" t="s">
        <v>86</v>
      </c>
      <c r="O88" s="664" t="s">
        <v>67</v>
      </c>
      <c r="P88" s="665"/>
      <c r="Q88" s="1406"/>
    </row>
    <row r="89" spans="1:22">
      <c r="A89" s="714"/>
      <c r="B89" s="666" t="s">
        <v>4395</v>
      </c>
      <c r="C89" s="667">
        <v>0</v>
      </c>
      <c r="D89" s="667">
        <v>0</v>
      </c>
      <c r="E89" s="667">
        <v>0</v>
      </c>
      <c r="F89" s="667">
        <v>0</v>
      </c>
      <c r="G89" s="667">
        <v>0</v>
      </c>
      <c r="H89" s="667">
        <v>0</v>
      </c>
      <c r="I89" s="667">
        <v>0</v>
      </c>
      <c r="J89" s="667">
        <v>575</v>
      </c>
      <c r="K89" s="667">
        <v>575</v>
      </c>
      <c r="L89" s="667">
        <v>575</v>
      </c>
      <c r="M89" s="667">
        <v>575</v>
      </c>
      <c r="N89" s="667">
        <v>575</v>
      </c>
      <c r="O89" s="668">
        <f>SUM(C89:N89)</f>
        <v>2875</v>
      </c>
      <c r="P89" s="669"/>
      <c r="Q89" s="1406"/>
    </row>
    <row r="90" spans="1:22">
      <c r="A90" s="714"/>
      <c r="B90" s="1342" t="s">
        <v>6389</v>
      </c>
      <c r="C90" s="1343" t="s">
        <v>135</v>
      </c>
      <c r="D90" s="1343" t="s">
        <v>135</v>
      </c>
      <c r="E90" s="1343" t="s">
        <v>135</v>
      </c>
      <c r="F90" s="1343" t="s">
        <v>135</v>
      </c>
      <c r="G90" s="1343" t="s">
        <v>135</v>
      </c>
      <c r="H90" s="1343" t="s">
        <v>135</v>
      </c>
      <c r="I90" s="1343" t="s">
        <v>135</v>
      </c>
      <c r="J90" s="1343" t="s">
        <v>135</v>
      </c>
      <c r="K90" s="1343"/>
      <c r="L90" s="1343"/>
      <c r="M90" s="1343"/>
      <c r="N90" s="1343"/>
      <c r="O90" s="1344">
        <f>SUM(C90:N90)</f>
        <v>0</v>
      </c>
      <c r="P90" s="672"/>
      <c r="Q90" s="1406"/>
    </row>
    <row r="91" spans="1:22">
      <c r="A91" s="714"/>
      <c r="B91" s="666" t="s">
        <v>4397</v>
      </c>
      <c r="C91" s="671"/>
      <c r="D91" s="671"/>
      <c r="E91" s="671"/>
      <c r="F91" s="671"/>
      <c r="G91" s="671"/>
      <c r="H91" s="671"/>
      <c r="I91" s="671"/>
      <c r="J91" s="671"/>
      <c r="K91" s="671"/>
      <c r="L91" s="671"/>
      <c r="M91" s="671"/>
      <c r="N91" s="671"/>
      <c r="O91" s="668"/>
      <c r="P91" s="672"/>
      <c r="Q91" s="1406"/>
    </row>
    <row r="92" spans="1:22">
      <c r="A92" s="714"/>
      <c r="B92" s="674" t="s">
        <v>5024</v>
      </c>
      <c r="C92" s="675"/>
      <c r="D92" s="675"/>
      <c r="E92" s="675"/>
      <c r="F92" s="675"/>
      <c r="G92" s="675"/>
      <c r="H92" s="675"/>
      <c r="I92" s="675"/>
      <c r="J92" s="675">
        <v>200</v>
      </c>
      <c r="K92" s="675">
        <v>200</v>
      </c>
      <c r="L92" s="675">
        <v>200</v>
      </c>
      <c r="M92" s="675">
        <v>200</v>
      </c>
      <c r="N92" s="675">
        <v>200</v>
      </c>
      <c r="O92" s="668">
        <f>SUM(C92:N92)</f>
        <v>1000</v>
      </c>
      <c r="P92" s="672"/>
      <c r="Q92" s="1406"/>
    </row>
    <row r="93" spans="1:22">
      <c r="A93" s="714"/>
      <c r="B93" s="674" t="s">
        <v>4399</v>
      </c>
      <c r="C93" s="675"/>
      <c r="D93" s="675"/>
      <c r="E93" s="675"/>
      <c r="F93" s="675"/>
      <c r="G93" s="675"/>
      <c r="H93" s="675"/>
      <c r="I93" s="675"/>
      <c r="J93" s="675"/>
      <c r="K93" s="675"/>
      <c r="L93" s="675"/>
      <c r="M93" s="675">
        <v>245.25</v>
      </c>
      <c r="N93" s="675" t="s">
        <v>135</v>
      </c>
      <c r="O93" s="677">
        <f>SUM(C93:N93)</f>
        <v>245.25</v>
      </c>
      <c r="P93" s="672"/>
      <c r="Q93" s="1406"/>
    </row>
    <row r="94" spans="1:22">
      <c r="A94" s="714"/>
      <c r="B94" s="674" t="s">
        <v>7031</v>
      </c>
      <c r="C94" s="675"/>
      <c r="D94" s="675"/>
      <c r="E94" s="675"/>
      <c r="F94" s="675"/>
      <c r="G94" s="675"/>
      <c r="H94" s="675"/>
      <c r="I94" s="675" t="s">
        <v>135</v>
      </c>
      <c r="J94" s="675">
        <v>100</v>
      </c>
      <c r="K94" s="675" t="s">
        <v>135</v>
      </c>
      <c r="L94" s="675" t="s">
        <v>135</v>
      </c>
      <c r="M94" s="675"/>
      <c r="N94" s="675"/>
      <c r="O94" s="677">
        <f>SUM(C94:N94)</f>
        <v>100</v>
      </c>
      <c r="P94" s="681"/>
    </row>
    <row r="95" spans="1:22">
      <c r="A95" s="714"/>
      <c r="B95" s="674" t="s">
        <v>7042</v>
      </c>
      <c r="C95" s="675"/>
      <c r="D95" s="675"/>
      <c r="E95" s="675"/>
      <c r="F95" s="675"/>
      <c r="G95" s="675"/>
      <c r="H95" s="675"/>
      <c r="I95" s="675" t="s">
        <v>135</v>
      </c>
      <c r="J95" s="675"/>
      <c r="K95" s="675" t="s">
        <v>135</v>
      </c>
      <c r="L95" s="675" t="s">
        <v>135</v>
      </c>
      <c r="M95" s="675" t="s">
        <v>135</v>
      </c>
      <c r="N95" s="675"/>
      <c r="O95" s="677">
        <f>SUM(C95:N95)</f>
        <v>0</v>
      </c>
      <c r="P95" s="672"/>
      <c r="Q95" s="1406"/>
    </row>
    <row r="96" spans="1:22">
      <c r="A96" s="714"/>
      <c r="B96" s="674" t="s">
        <v>7019</v>
      </c>
      <c r="C96" s="675"/>
      <c r="D96" s="675"/>
      <c r="E96" s="675"/>
      <c r="F96" s="675"/>
      <c r="G96" s="675"/>
      <c r="H96" s="675"/>
      <c r="I96" s="675" t="s">
        <v>135</v>
      </c>
      <c r="J96" s="675"/>
      <c r="K96" s="675"/>
      <c r="L96" s="675"/>
      <c r="M96" s="675"/>
      <c r="N96" s="675"/>
      <c r="O96" s="677"/>
      <c r="P96" s="672"/>
      <c r="Q96" s="1406"/>
    </row>
    <row r="97" spans="1:17">
      <c r="A97" s="714"/>
      <c r="B97" s="674" t="s">
        <v>7033</v>
      </c>
      <c r="C97" s="675"/>
      <c r="D97" s="675"/>
      <c r="E97" s="675"/>
      <c r="F97" s="675"/>
      <c r="G97" s="675"/>
      <c r="H97" s="675"/>
      <c r="I97" s="675"/>
      <c r="J97" s="675"/>
      <c r="K97" s="675"/>
      <c r="L97" s="675"/>
      <c r="M97" s="675"/>
      <c r="N97" s="675"/>
      <c r="O97" s="677"/>
      <c r="P97" s="672"/>
      <c r="Q97" s="1406"/>
    </row>
    <row r="98" spans="1:17">
      <c r="A98" s="714"/>
      <c r="B98" s="674" t="s">
        <v>7043</v>
      </c>
      <c r="C98" s="687"/>
      <c r="D98" s="687"/>
      <c r="E98" s="687"/>
      <c r="F98" s="687"/>
      <c r="G98" s="687"/>
      <c r="H98" s="687"/>
      <c r="I98" s="687"/>
      <c r="J98" s="687">
        <v>511.61</v>
      </c>
      <c r="K98" s="687" t="s">
        <v>135</v>
      </c>
      <c r="L98" s="687" t="s">
        <v>135</v>
      </c>
      <c r="M98" s="687" t="s">
        <v>135</v>
      </c>
      <c r="N98" s="687"/>
      <c r="O98" s="677">
        <f>SUM(C98:N98)</f>
        <v>511.61</v>
      </c>
      <c r="P98" s="672"/>
      <c r="Q98" s="1406"/>
    </row>
    <row r="99" spans="1:17">
      <c r="A99" s="714"/>
      <c r="B99" s="674" t="s">
        <v>6860</v>
      </c>
      <c r="C99" s="945" t="s">
        <v>135</v>
      </c>
      <c r="D99" s="945" t="s">
        <v>135</v>
      </c>
      <c r="E99" s="945" t="s">
        <v>135</v>
      </c>
      <c r="F99" s="945" t="s">
        <v>135</v>
      </c>
      <c r="G99" s="945" t="s">
        <v>135</v>
      </c>
      <c r="H99" s="945" t="s">
        <v>135</v>
      </c>
      <c r="I99" s="945">
        <f>2.42+30.97+123.88+113.47+113.35</f>
        <v>384.09000000000003</v>
      </c>
      <c r="J99" s="945">
        <f>52.96+39.51+30+7.09</f>
        <v>129.56</v>
      </c>
      <c r="K99" s="945" t="s">
        <v>135</v>
      </c>
      <c r="L99" s="945" t="s">
        <v>135</v>
      </c>
      <c r="M99" s="945" t="s">
        <v>135</v>
      </c>
      <c r="N99" s="945" t="s">
        <v>135</v>
      </c>
      <c r="O99" s="668">
        <f>SUM(C99:N99)</f>
        <v>513.65000000000009</v>
      </c>
      <c r="P99" s="672"/>
      <c r="Q99" s="1406"/>
    </row>
    <row r="100" spans="1:17">
      <c r="A100" s="714"/>
      <c r="B100" s="674" t="s">
        <v>7035</v>
      </c>
      <c r="C100" s="675"/>
      <c r="D100" s="675"/>
      <c r="E100" s="675" t="s">
        <v>135</v>
      </c>
      <c r="F100" s="675"/>
      <c r="G100" s="675" t="s">
        <v>135</v>
      </c>
      <c r="H100" s="675" t="s">
        <v>135</v>
      </c>
      <c r="I100" s="675" t="s">
        <v>135</v>
      </c>
      <c r="J100" s="675">
        <v>11</v>
      </c>
      <c r="K100" s="675">
        <v>36.89</v>
      </c>
      <c r="L100" s="675"/>
      <c r="M100" s="675"/>
      <c r="N100" s="675"/>
      <c r="O100" s="668">
        <f>SUM(C100:N100)</f>
        <v>47.89</v>
      </c>
      <c r="P100" s="672"/>
      <c r="Q100" s="1406"/>
    </row>
    <row r="101" spans="1:17">
      <c r="A101" s="714"/>
      <c r="B101" s="666" t="s">
        <v>6323</v>
      </c>
      <c r="C101" s="677">
        <f t="shared" ref="C101:N101" si="17">SUM(C99:C100)</f>
        <v>0</v>
      </c>
      <c r="D101" s="677">
        <f t="shared" si="17"/>
        <v>0</v>
      </c>
      <c r="E101" s="677">
        <f t="shared" si="17"/>
        <v>0</v>
      </c>
      <c r="F101" s="677">
        <f t="shared" si="17"/>
        <v>0</v>
      </c>
      <c r="G101" s="677">
        <f t="shared" si="17"/>
        <v>0</v>
      </c>
      <c r="H101" s="677">
        <f t="shared" si="17"/>
        <v>0</v>
      </c>
      <c r="I101" s="677">
        <f t="shared" si="17"/>
        <v>384.09000000000003</v>
      </c>
      <c r="J101" s="677">
        <f t="shared" si="17"/>
        <v>140.56</v>
      </c>
      <c r="K101" s="677">
        <f t="shared" si="17"/>
        <v>36.89</v>
      </c>
      <c r="L101" s="677">
        <f t="shared" si="17"/>
        <v>0</v>
      </c>
      <c r="M101" s="677">
        <f t="shared" si="17"/>
        <v>0</v>
      </c>
      <c r="N101" s="677">
        <f t="shared" si="17"/>
        <v>0</v>
      </c>
      <c r="O101" s="668">
        <f>SUM(C101:N101)</f>
        <v>561.54000000000008</v>
      </c>
      <c r="P101" s="669"/>
      <c r="Q101" s="1406"/>
    </row>
    <row r="102" spans="1:17">
      <c r="A102" s="714"/>
      <c r="B102" s="689" t="s">
        <v>1126</v>
      </c>
      <c r="C102" s="690">
        <f t="shared" ref="C102:N102" si="18">SUM(C92:C100)</f>
        <v>0</v>
      </c>
      <c r="D102" s="690">
        <f t="shared" si="18"/>
        <v>0</v>
      </c>
      <c r="E102" s="690">
        <f t="shared" si="18"/>
        <v>0</v>
      </c>
      <c r="F102" s="690">
        <f t="shared" si="18"/>
        <v>0</v>
      </c>
      <c r="G102" s="690">
        <f t="shared" si="18"/>
        <v>0</v>
      </c>
      <c r="H102" s="690">
        <f t="shared" si="18"/>
        <v>0</v>
      </c>
      <c r="I102" s="690">
        <f t="shared" si="18"/>
        <v>384.09000000000003</v>
      </c>
      <c r="J102" s="690">
        <f t="shared" si="18"/>
        <v>952.17000000000007</v>
      </c>
      <c r="K102" s="690">
        <f t="shared" si="18"/>
        <v>236.89</v>
      </c>
      <c r="L102" s="690">
        <f t="shared" si="18"/>
        <v>200</v>
      </c>
      <c r="M102" s="690">
        <f t="shared" si="18"/>
        <v>445.25</v>
      </c>
      <c r="N102" s="690">
        <f t="shared" si="18"/>
        <v>200</v>
      </c>
      <c r="O102" s="995">
        <f>SUM(O93:O100)</f>
        <v>1418.4000000000003</v>
      </c>
      <c r="P102" s="691"/>
      <c r="Q102" s="1406"/>
    </row>
    <row r="103" spans="1:17">
      <c r="A103" s="715"/>
      <c r="B103" s="692" t="s">
        <v>791</v>
      </c>
      <c r="C103" s="693">
        <f t="shared" ref="C103:O103" si="19">C89-C102</f>
        <v>0</v>
      </c>
      <c r="D103" s="693">
        <f t="shared" si="19"/>
        <v>0</v>
      </c>
      <c r="E103" s="693">
        <f t="shared" si="19"/>
        <v>0</v>
      </c>
      <c r="F103" s="693">
        <f t="shared" si="19"/>
        <v>0</v>
      </c>
      <c r="G103" s="693">
        <f t="shared" si="19"/>
        <v>0</v>
      </c>
      <c r="H103" s="693">
        <f t="shared" si="19"/>
        <v>0</v>
      </c>
      <c r="I103" s="693">
        <f t="shared" si="19"/>
        <v>-384.09000000000003</v>
      </c>
      <c r="J103" s="693">
        <f t="shared" si="19"/>
        <v>-377.17000000000007</v>
      </c>
      <c r="K103" s="693">
        <f t="shared" si="19"/>
        <v>338.11</v>
      </c>
      <c r="L103" s="693">
        <f t="shared" si="19"/>
        <v>375</v>
      </c>
      <c r="M103" s="693">
        <f t="shared" si="19"/>
        <v>129.75</v>
      </c>
      <c r="N103" s="693">
        <f t="shared" si="19"/>
        <v>375</v>
      </c>
      <c r="O103" s="693">
        <f t="shared" si="19"/>
        <v>1456.5999999999997</v>
      </c>
      <c r="P103" s="694"/>
    </row>
    <row r="104" spans="1:17">
      <c r="A104" s="947"/>
      <c r="B104" s="950" t="s">
        <v>7036</v>
      </c>
      <c r="C104" s="950">
        <v>0</v>
      </c>
      <c r="D104" s="950">
        <v>0</v>
      </c>
      <c r="E104" s="950">
        <v>0</v>
      </c>
      <c r="F104" s="950">
        <v>0</v>
      </c>
      <c r="G104" s="950">
        <v>0</v>
      </c>
      <c r="H104" s="950">
        <v>0</v>
      </c>
      <c r="I104" s="950">
        <v>0</v>
      </c>
      <c r="J104" s="950">
        <v>0</v>
      </c>
      <c r="K104" s="950">
        <v>0</v>
      </c>
      <c r="L104" s="950">
        <v>0</v>
      </c>
      <c r="M104" s="950">
        <v>0</v>
      </c>
      <c r="N104" s="951">
        <v>0</v>
      </c>
      <c r="O104" s="952">
        <f>SUM(C104:N104)</f>
        <v>0</v>
      </c>
      <c r="P104" s="953"/>
    </row>
    <row r="105" spans="1:17">
      <c r="A105" s="692"/>
      <c r="B105" s="692" t="s">
        <v>6861</v>
      </c>
      <c r="C105" s="996">
        <f t="shared" ref="C105:O105" si="20">C103-C104</f>
        <v>0</v>
      </c>
      <c r="D105" s="996">
        <f t="shared" si="20"/>
        <v>0</v>
      </c>
      <c r="E105" s="996">
        <f t="shared" si="20"/>
        <v>0</v>
      </c>
      <c r="F105" s="956">
        <f t="shared" si="20"/>
        <v>0</v>
      </c>
      <c r="G105" s="996">
        <f t="shared" si="20"/>
        <v>0</v>
      </c>
      <c r="H105" s="956">
        <f t="shared" si="20"/>
        <v>0</v>
      </c>
      <c r="I105" s="956">
        <f t="shared" si="20"/>
        <v>-384.09000000000003</v>
      </c>
      <c r="J105" s="956">
        <f t="shared" si="20"/>
        <v>-377.17000000000007</v>
      </c>
      <c r="K105" s="956">
        <f t="shared" si="20"/>
        <v>338.11</v>
      </c>
      <c r="L105" s="956">
        <f t="shared" si="20"/>
        <v>375</v>
      </c>
      <c r="M105" s="956">
        <f t="shared" si="20"/>
        <v>129.75</v>
      </c>
      <c r="N105" s="956">
        <f t="shared" si="20"/>
        <v>375</v>
      </c>
      <c r="O105" s="996">
        <f t="shared" si="20"/>
        <v>1456.5999999999997</v>
      </c>
      <c r="P105" s="709"/>
    </row>
    <row r="106" spans="1:17">
      <c r="B106" s="578"/>
      <c r="C106" s="578"/>
      <c r="D106" s="578"/>
      <c r="E106" s="578"/>
      <c r="F106" s="578"/>
      <c r="G106" s="578"/>
      <c r="H106" s="578"/>
      <c r="I106" s="578"/>
      <c r="J106" s="578"/>
      <c r="K106" s="578"/>
      <c r="L106" s="578"/>
      <c r="M106" s="578"/>
      <c r="N106" s="578"/>
      <c r="O106" s="578"/>
    </row>
    <row r="107" spans="1:17">
      <c r="B107" s="997"/>
      <c r="C107" s="997"/>
      <c r="D107" s="997"/>
      <c r="E107" s="997"/>
      <c r="F107" s="997"/>
      <c r="G107" s="997"/>
      <c r="H107" s="997"/>
      <c r="I107" s="997"/>
      <c r="J107" s="997"/>
      <c r="K107" s="997"/>
      <c r="L107" s="997"/>
      <c r="M107" s="997"/>
      <c r="N107" s="997"/>
      <c r="O107" s="997"/>
      <c r="P107" s="660"/>
    </row>
    <row r="108" spans="1:17">
      <c r="A108" s="714"/>
      <c r="B108" s="2126" t="s">
        <v>8020</v>
      </c>
      <c r="C108" s="2127"/>
      <c r="D108" s="2127"/>
      <c r="E108" s="2127"/>
      <c r="F108" s="2127"/>
      <c r="G108" s="2127"/>
      <c r="H108" s="2127"/>
      <c r="I108" s="2127"/>
      <c r="J108" s="2127"/>
      <c r="K108" s="2127"/>
      <c r="L108" s="2127"/>
      <c r="M108" s="2127"/>
      <c r="N108" s="2127"/>
      <c r="O108" s="2128"/>
      <c r="P108" s="661"/>
      <c r="Q108" s="1406"/>
    </row>
    <row r="109" spans="1:17">
      <c r="A109" s="714"/>
      <c r="B109" s="662" t="s">
        <v>8034</v>
      </c>
      <c r="C109" s="663" t="s">
        <v>143</v>
      </c>
      <c r="D109" s="663" t="s">
        <v>26</v>
      </c>
      <c r="E109" s="663" t="s">
        <v>25</v>
      </c>
      <c r="F109" s="663" t="s">
        <v>24</v>
      </c>
      <c r="G109" s="663" t="s">
        <v>23</v>
      </c>
      <c r="H109" s="663" t="s">
        <v>22</v>
      </c>
      <c r="I109" s="663" t="s">
        <v>21</v>
      </c>
      <c r="J109" s="663" t="s">
        <v>20</v>
      </c>
      <c r="K109" s="663" t="s">
        <v>256</v>
      </c>
      <c r="L109" s="663" t="s">
        <v>18</v>
      </c>
      <c r="M109" s="663" t="s">
        <v>17</v>
      </c>
      <c r="N109" s="663" t="s">
        <v>86</v>
      </c>
      <c r="O109" s="664" t="s">
        <v>67</v>
      </c>
      <c r="P109" s="665"/>
      <c r="Q109" s="1406"/>
    </row>
    <row r="110" spans="1:17">
      <c r="A110" s="714"/>
      <c r="B110" s="666" t="s">
        <v>6847</v>
      </c>
      <c r="C110" s="667">
        <v>0</v>
      </c>
      <c r="D110" s="667">
        <v>0</v>
      </c>
      <c r="E110" s="667">
        <v>0</v>
      </c>
      <c r="F110" s="667">
        <v>0</v>
      </c>
      <c r="G110" s="667">
        <v>0</v>
      </c>
      <c r="H110" s="667">
        <v>0</v>
      </c>
      <c r="I110" s="667">
        <v>0</v>
      </c>
      <c r="J110" s="667">
        <v>0</v>
      </c>
      <c r="K110" s="667">
        <v>0</v>
      </c>
      <c r="L110" s="667">
        <v>0</v>
      </c>
      <c r="M110" s="667">
        <v>0</v>
      </c>
      <c r="N110" s="667">
        <v>1400</v>
      </c>
      <c r="O110" s="668">
        <f>SUM(C110:N110)</f>
        <v>1400</v>
      </c>
      <c r="P110" s="669"/>
      <c r="Q110" s="1406"/>
    </row>
    <row r="111" spans="1:17">
      <c r="A111" s="714"/>
      <c r="B111" s="1342" t="s">
        <v>6389</v>
      </c>
      <c r="C111" s="1343" t="s">
        <v>135</v>
      </c>
      <c r="D111" s="1343" t="s">
        <v>135</v>
      </c>
      <c r="E111" s="1343" t="s">
        <v>135</v>
      </c>
      <c r="F111" s="1343" t="s">
        <v>135</v>
      </c>
      <c r="G111" s="1343" t="s">
        <v>135</v>
      </c>
      <c r="H111" s="1343" t="s">
        <v>135</v>
      </c>
      <c r="I111" s="1343" t="s">
        <v>135</v>
      </c>
      <c r="J111" s="1343" t="s">
        <v>135</v>
      </c>
      <c r="K111" s="1343"/>
      <c r="L111" s="1343"/>
      <c r="M111" s="1343"/>
      <c r="N111" s="1343"/>
      <c r="O111" s="1344">
        <f>SUM(C111:N111)</f>
        <v>0</v>
      </c>
      <c r="P111" s="672"/>
      <c r="Q111" s="1406"/>
    </row>
    <row r="112" spans="1:17">
      <c r="A112" s="714"/>
      <c r="B112" s="666" t="s">
        <v>4397</v>
      </c>
      <c r="C112" s="671"/>
      <c r="D112" s="671"/>
      <c r="E112" s="671"/>
      <c r="F112" s="671"/>
      <c r="G112" s="671"/>
      <c r="H112" s="671"/>
      <c r="I112" s="671"/>
      <c r="J112" s="671"/>
      <c r="K112" s="671"/>
      <c r="L112" s="671"/>
      <c r="M112" s="671"/>
      <c r="N112" s="671"/>
      <c r="O112" s="668"/>
      <c r="P112" s="672"/>
      <c r="Q112" s="1406"/>
    </row>
    <row r="113" spans="1:17">
      <c r="A113" s="714"/>
      <c r="B113" s="674" t="s">
        <v>5024</v>
      </c>
      <c r="C113" s="675"/>
      <c r="D113" s="675"/>
      <c r="E113" s="675"/>
      <c r="F113" s="675"/>
      <c r="G113" s="675"/>
      <c r="H113" s="675"/>
      <c r="I113" s="675"/>
      <c r="J113" s="675"/>
      <c r="K113" s="675"/>
      <c r="L113" s="675"/>
      <c r="M113" s="675"/>
      <c r="N113" s="675"/>
      <c r="O113" s="668">
        <f>SUM(C113:N113)</f>
        <v>0</v>
      </c>
      <c r="P113" s="672"/>
      <c r="Q113" s="1406"/>
    </row>
    <row r="114" spans="1:17">
      <c r="A114" s="714"/>
      <c r="B114" s="674" t="s">
        <v>4399</v>
      </c>
      <c r="C114" s="675"/>
      <c r="D114" s="675"/>
      <c r="E114" s="675"/>
      <c r="F114" s="675"/>
      <c r="G114" s="675"/>
      <c r="H114" s="675"/>
      <c r="I114" s="675"/>
      <c r="J114" s="675"/>
      <c r="K114" s="675"/>
      <c r="L114" s="675"/>
      <c r="M114" s="675"/>
      <c r="N114" s="675"/>
      <c r="O114" s="677">
        <f>SUM(C114:N114)</f>
        <v>0</v>
      </c>
      <c r="P114" s="672"/>
      <c r="Q114" s="1406"/>
    </row>
    <row r="115" spans="1:17">
      <c r="A115" s="714"/>
      <c r="B115" s="674" t="s">
        <v>7031</v>
      </c>
      <c r="C115" s="675"/>
      <c r="D115" s="675"/>
      <c r="E115" s="675"/>
      <c r="F115" s="675"/>
      <c r="G115" s="675"/>
      <c r="H115" s="675"/>
      <c r="I115" s="675"/>
      <c r="J115" s="675"/>
      <c r="K115" s="675"/>
      <c r="L115" s="675">
        <v>25</v>
      </c>
      <c r="M115" s="675"/>
      <c r="N115" s="675">
        <v>700</v>
      </c>
      <c r="O115" s="677">
        <f>SUM(C115:N115)</f>
        <v>725</v>
      </c>
      <c r="P115" s="681"/>
    </row>
    <row r="116" spans="1:17">
      <c r="A116" s="714"/>
      <c r="B116" s="674" t="s">
        <v>7042</v>
      </c>
      <c r="C116" s="675"/>
      <c r="D116" s="675"/>
      <c r="E116" s="675"/>
      <c r="F116" s="675"/>
      <c r="G116" s="675"/>
      <c r="H116" s="675"/>
      <c r="I116" s="675"/>
      <c r="J116" s="675"/>
      <c r="K116" s="675"/>
      <c r="L116" s="675"/>
      <c r="M116" s="675"/>
      <c r="N116" s="675">
        <v>54.48</v>
      </c>
      <c r="O116" s="677">
        <f>SUM(C116:N116)</f>
        <v>54.48</v>
      </c>
      <c r="P116" s="672"/>
      <c r="Q116" s="1406"/>
    </row>
    <row r="117" spans="1:17">
      <c r="A117" s="714"/>
      <c r="B117" s="674" t="s">
        <v>7019</v>
      </c>
      <c r="C117" s="675"/>
      <c r="D117" s="675"/>
      <c r="E117" s="675"/>
      <c r="F117" s="675"/>
      <c r="G117" s="675"/>
      <c r="H117" s="675"/>
      <c r="I117" s="675"/>
      <c r="J117" s="675"/>
      <c r="K117" s="675"/>
      <c r="L117" s="675"/>
      <c r="M117" s="675"/>
      <c r="N117" s="675"/>
      <c r="O117" s="677"/>
      <c r="P117" s="672"/>
      <c r="Q117" s="1406"/>
    </row>
    <row r="118" spans="1:17">
      <c r="A118" s="714"/>
      <c r="B118" s="674" t="s">
        <v>7033</v>
      </c>
      <c r="C118" s="675"/>
      <c r="D118" s="675"/>
      <c r="E118" s="675"/>
      <c r="F118" s="675"/>
      <c r="G118" s="675"/>
      <c r="H118" s="675"/>
      <c r="I118" s="675"/>
      <c r="J118" s="675"/>
      <c r="K118" s="675"/>
      <c r="L118" s="675"/>
      <c r="M118" s="675"/>
      <c r="N118" s="675"/>
      <c r="O118" s="677"/>
      <c r="P118" s="672"/>
      <c r="Q118" s="1406"/>
    </row>
    <row r="119" spans="1:17">
      <c r="A119" s="714"/>
      <c r="B119" s="674" t="s">
        <v>7043</v>
      </c>
      <c r="C119" s="687"/>
      <c r="D119" s="687"/>
      <c r="E119" s="687"/>
      <c r="F119" s="687"/>
      <c r="G119" s="687"/>
      <c r="H119" s="687"/>
      <c r="I119" s="687"/>
      <c r="J119" s="687"/>
      <c r="K119" s="687"/>
      <c r="L119" s="687"/>
      <c r="M119" s="687"/>
      <c r="N119" s="687"/>
      <c r="O119" s="677">
        <f>SUM(C119:N119)</f>
        <v>0</v>
      </c>
      <c r="P119" s="672"/>
      <c r="Q119" s="1406"/>
    </row>
    <row r="120" spans="1:17">
      <c r="A120" s="714"/>
      <c r="B120" s="674" t="s">
        <v>6860</v>
      </c>
      <c r="C120" s="945" t="s">
        <v>135</v>
      </c>
      <c r="D120" s="945" t="s">
        <v>135</v>
      </c>
      <c r="E120" s="945" t="s">
        <v>135</v>
      </c>
      <c r="F120" s="945" t="s">
        <v>135</v>
      </c>
      <c r="G120" s="945" t="s">
        <v>135</v>
      </c>
      <c r="H120" s="945" t="s">
        <v>135</v>
      </c>
      <c r="I120" s="945"/>
      <c r="J120" s="945"/>
      <c r="K120" s="945"/>
      <c r="L120" s="945" t="s">
        <v>135</v>
      </c>
      <c r="M120" s="945"/>
      <c r="N120" s="945"/>
      <c r="O120" s="668">
        <f>SUM(C120:N120)</f>
        <v>0</v>
      </c>
      <c r="P120" s="672"/>
      <c r="Q120" s="1406"/>
    </row>
    <row r="121" spans="1:17">
      <c r="A121" s="714"/>
      <c r="B121" s="674" t="s">
        <v>7035</v>
      </c>
      <c r="C121" s="675"/>
      <c r="D121" s="675"/>
      <c r="E121" s="675" t="s">
        <v>135</v>
      </c>
      <c r="F121" s="675"/>
      <c r="G121" s="675" t="s">
        <v>135</v>
      </c>
      <c r="H121" s="675" t="s">
        <v>135</v>
      </c>
      <c r="I121" s="675"/>
      <c r="J121" s="675"/>
      <c r="K121" s="675"/>
      <c r="L121" s="675">
        <v>0</v>
      </c>
      <c r="M121" s="675"/>
      <c r="N121" s="675"/>
      <c r="O121" s="668">
        <f>SUM(C121:N121)</f>
        <v>0</v>
      </c>
      <c r="P121" s="672"/>
      <c r="Q121" s="1406"/>
    </row>
    <row r="122" spans="1:17">
      <c r="A122" s="714"/>
      <c r="B122" s="666" t="s">
        <v>6323</v>
      </c>
      <c r="C122" s="677">
        <f t="shared" ref="C122:N122" si="21">SUM(C120:C121)</f>
        <v>0</v>
      </c>
      <c r="D122" s="677">
        <f t="shared" si="21"/>
        <v>0</v>
      </c>
      <c r="E122" s="677">
        <f t="shared" si="21"/>
        <v>0</v>
      </c>
      <c r="F122" s="677">
        <f t="shared" si="21"/>
        <v>0</v>
      </c>
      <c r="G122" s="677">
        <f t="shared" si="21"/>
        <v>0</v>
      </c>
      <c r="H122" s="677">
        <f t="shared" si="21"/>
        <v>0</v>
      </c>
      <c r="I122" s="677">
        <f t="shared" si="21"/>
        <v>0</v>
      </c>
      <c r="J122" s="677">
        <f t="shared" si="21"/>
        <v>0</v>
      </c>
      <c r="K122" s="677">
        <f t="shared" si="21"/>
        <v>0</v>
      </c>
      <c r="L122" s="677">
        <f t="shared" si="21"/>
        <v>0</v>
      </c>
      <c r="M122" s="677">
        <f t="shared" si="21"/>
        <v>0</v>
      </c>
      <c r="N122" s="677">
        <f t="shared" si="21"/>
        <v>0</v>
      </c>
      <c r="O122" s="668">
        <f>SUM(C122:N122)</f>
        <v>0</v>
      </c>
      <c r="P122" s="669"/>
      <c r="Q122" s="1406"/>
    </row>
    <row r="123" spans="1:17">
      <c r="A123" s="714"/>
      <c r="B123" s="689" t="s">
        <v>1126</v>
      </c>
      <c r="C123" s="690">
        <f t="shared" ref="C123:N123" si="22">SUM(C113:C121)</f>
        <v>0</v>
      </c>
      <c r="D123" s="690">
        <f t="shared" si="22"/>
        <v>0</v>
      </c>
      <c r="E123" s="690">
        <f t="shared" si="22"/>
        <v>0</v>
      </c>
      <c r="F123" s="690">
        <f t="shared" si="22"/>
        <v>0</v>
      </c>
      <c r="G123" s="690">
        <f t="shared" si="22"/>
        <v>0</v>
      </c>
      <c r="H123" s="690">
        <f t="shared" si="22"/>
        <v>0</v>
      </c>
      <c r="I123" s="690">
        <f t="shared" si="22"/>
        <v>0</v>
      </c>
      <c r="J123" s="690">
        <f t="shared" si="22"/>
        <v>0</v>
      </c>
      <c r="K123" s="690">
        <f t="shared" si="22"/>
        <v>0</v>
      </c>
      <c r="L123" s="690">
        <f t="shared" si="22"/>
        <v>25</v>
      </c>
      <c r="M123" s="690">
        <f t="shared" si="22"/>
        <v>0</v>
      </c>
      <c r="N123" s="690">
        <f t="shared" si="22"/>
        <v>754.48</v>
      </c>
      <c r="O123" s="995">
        <f>SUM(O114:O121)</f>
        <v>779.48</v>
      </c>
      <c r="P123" s="691"/>
      <c r="Q123" s="1406"/>
    </row>
    <row r="124" spans="1:17">
      <c r="A124" s="715"/>
      <c r="B124" s="692" t="s">
        <v>791</v>
      </c>
      <c r="C124" s="693">
        <f t="shared" ref="C124:O124" si="23">C110-C123</f>
        <v>0</v>
      </c>
      <c r="D124" s="693">
        <f t="shared" si="23"/>
        <v>0</v>
      </c>
      <c r="E124" s="693">
        <f t="shared" si="23"/>
        <v>0</v>
      </c>
      <c r="F124" s="693">
        <f t="shared" si="23"/>
        <v>0</v>
      </c>
      <c r="G124" s="693">
        <f t="shared" si="23"/>
        <v>0</v>
      </c>
      <c r="H124" s="693">
        <f t="shared" si="23"/>
        <v>0</v>
      </c>
      <c r="I124" s="693">
        <f t="shared" si="23"/>
        <v>0</v>
      </c>
      <c r="J124" s="693">
        <f t="shared" si="23"/>
        <v>0</v>
      </c>
      <c r="K124" s="693">
        <f t="shared" si="23"/>
        <v>0</v>
      </c>
      <c r="L124" s="693">
        <f t="shared" si="23"/>
        <v>-25</v>
      </c>
      <c r="M124" s="693">
        <f t="shared" si="23"/>
        <v>0</v>
      </c>
      <c r="N124" s="693">
        <f t="shared" si="23"/>
        <v>645.52</v>
      </c>
      <c r="O124" s="693">
        <f t="shared" si="23"/>
        <v>620.52</v>
      </c>
      <c r="P124" s="694"/>
    </row>
    <row r="125" spans="1:17">
      <c r="A125" s="947"/>
      <c r="B125" s="950" t="s">
        <v>7036</v>
      </c>
      <c r="C125" s="950">
        <v>0</v>
      </c>
      <c r="D125" s="950">
        <v>0</v>
      </c>
      <c r="E125" s="950">
        <v>0</v>
      </c>
      <c r="F125" s="950">
        <v>0</v>
      </c>
      <c r="G125" s="950">
        <v>0</v>
      </c>
      <c r="H125" s="950">
        <v>0</v>
      </c>
      <c r="I125" s="950">
        <v>0</v>
      </c>
      <c r="J125" s="950">
        <v>0</v>
      </c>
      <c r="K125" s="950">
        <v>0</v>
      </c>
      <c r="L125" s="950">
        <v>0</v>
      </c>
      <c r="M125" s="950">
        <v>0</v>
      </c>
      <c r="N125" s="951">
        <v>0</v>
      </c>
      <c r="O125" s="952">
        <f>SUM(C125:N125)</f>
        <v>0</v>
      </c>
      <c r="P125" s="953"/>
    </row>
    <row r="126" spans="1:17">
      <c r="A126" s="692"/>
      <c r="B126" s="692" t="s">
        <v>6861</v>
      </c>
      <c r="C126" s="996">
        <f t="shared" ref="C126:O126" si="24">C124-C125</f>
        <v>0</v>
      </c>
      <c r="D126" s="996">
        <f t="shared" si="24"/>
        <v>0</v>
      </c>
      <c r="E126" s="996">
        <f t="shared" si="24"/>
        <v>0</v>
      </c>
      <c r="F126" s="956">
        <f t="shared" si="24"/>
        <v>0</v>
      </c>
      <c r="G126" s="996">
        <f t="shared" si="24"/>
        <v>0</v>
      </c>
      <c r="H126" s="956">
        <f t="shared" si="24"/>
        <v>0</v>
      </c>
      <c r="I126" s="956">
        <f t="shared" si="24"/>
        <v>0</v>
      </c>
      <c r="J126" s="956">
        <f t="shared" si="24"/>
        <v>0</v>
      </c>
      <c r="K126" s="956">
        <f t="shared" si="24"/>
        <v>0</v>
      </c>
      <c r="L126" s="956">
        <f t="shared" si="24"/>
        <v>-25</v>
      </c>
      <c r="M126" s="956">
        <f t="shared" si="24"/>
        <v>0</v>
      </c>
      <c r="N126" s="956">
        <f t="shared" si="24"/>
        <v>645.52</v>
      </c>
      <c r="O126" s="996">
        <f t="shared" si="24"/>
        <v>620.52</v>
      </c>
      <c r="P126" s="709"/>
    </row>
    <row r="127" spans="1:17">
      <c r="B127" s="578"/>
      <c r="C127" s="578"/>
      <c r="D127" s="578"/>
      <c r="E127" s="578"/>
      <c r="F127" s="578"/>
      <c r="G127" s="578"/>
      <c r="H127" s="578"/>
      <c r="I127" s="578"/>
      <c r="J127" s="578"/>
      <c r="K127" s="578"/>
      <c r="L127" s="578"/>
      <c r="M127" s="578"/>
      <c r="N127" s="578"/>
      <c r="O127" s="578"/>
    </row>
    <row r="128" spans="1:17">
      <c r="B128" s="578"/>
      <c r="C128" s="578"/>
      <c r="D128" s="578"/>
      <c r="E128" s="578"/>
      <c r="F128" s="578"/>
      <c r="G128" s="578"/>
      <c r="H128" s="578"/>
      <c r="I128" s="578"/>
      <c r="J128" s="578"/>
      <c r="K128" s="578"/>
      <c r="L128" s="578"/>
      <c r="M128" s="578"/>
      <c r="N128" s="578"/>
      <c r="O128" s="578"/>
    </row>
    <row r="129" spans="1:22">
      <c r="B129" s="578"/>
      <c r="C129" s="578"/>
      <c r="D129" s="578"/>
      <c r="E129" s="578"/>
      <c r="F129" s="578"/>
      <c r="G129" s="578"/>
      <c r="H129" s="578"/>
      <c r="I129" s="578"/>
      <c r="J129" s="578"/>
      <c r="K129" s="578"/>
      <c r="L129" s="578"/>
      <c r="M129" s="578"/>
      <c r="N129" s="578"/>
      <c r="O129" s="578"/>
    </row>
    <row r="130" spans="1:22">
      <c r="B130" s="578"/>
      <c r="C130" s="578"/>
      <c r="D130" s="578"/>
      <c r="E130" s="578"/>
      <c r="F130" s="578"/>
      <c r="G130" s="578"/>
      <c r="H130" s="578"/>
      <c r="I130" s="578"/>
      <c r="J130" s="578"/>
      <c r="K130" s="578"/>
      <c r="L130" s="578"/>
      <c r="M130" s="578"/>
      <c r="N130" s="578"/>
      <c r="O130" s="578"/>
    </row>
    <row r="131" spans="1:22">
      <c r="B131" s="578"/>
      <c r="C131" s="578"/>
      <c r="D131" s="578"/>
      <c r="E131" s="578"/>
      <c r="F131" s="578"/>
      <c r="G131" s="578"/>
      <c r="H131" s="578"/>
      <c r="I131" s="578"/>
      <c r="J131" s="578"/>
      <c r="K131" s="578"/>
      <c r="L131" s="578"/>
      <c r="M131" s="578"/>
      <c r="N131" s="578"/>
      <c r="O131" s="578"/>
    </row>
    <row r="132" spans="1:22">
      <c r="B132" s="578"/>
      <c r="C132" s="578"/>
      <c r="D132" s="578"/>
      <c r="E132" s="578"/>
      <c r="F132" s="578"/>
      <c r="G132" s="578"/>
      <c r="H132" s="578"/>
      <c r="I132" s="578"/>
      <c r="J132" s="578"/>
      <c r="K132" s="578"/>
      <c r="L132" s="578"/>
      <c r="M132" s="578"/>
      <c r="N132" s="578"/>
      <c r="O132" s="578"/>
    </row>
    <row r="133" spans="1:22">
      <c r="B133" s="578"/>
      <c r="C133" s="578"/>
      <c r="D133" s="578"/>
      <c r="E133" s="578"/>
      <c r="F133" s="578"/>
      <c r="G133" s="578"/>
      <c r="H133" s="578"/>
      <c r="I133" s="578"/>
      <c r="J133" s="578"/>
      <c r="K133" s="578"/>
      <c r="L133" s="578"/>
      <c r="M133" s="578"/>
      <c r="N133" s="578"/>
      <c r="O133" s="578"/>
    </row>
    <row r="134" spans="1:22">
      <c r="B134" s="997"/>
      <c r="C134" s="997"/>
      <c r="D134" s="997"/>
      <c r="E134" s="997"/>
      <c r="F134" s="997"/>
      <c r="G134" s="997"/>
      <c r="H134" s="997"/>
      <c r="I134" s="997"/>
      <c r="J134" s="997"/>
      <c r="K134" s="997"/>
      <c r="L134" s="997"/>
      <c r="M134" s="997"/>
      <c r="N134" s="997"/>
      <c r="O134" s="997"/>
      <c r="P134" s="660"/>
    </row>
    <row r="135" spans="1:22">
      <c r="A135" s="714"/>
      <c r="B135" s="2126" t="s">
        <v>7051</v>
      </c>
      <c r="C135" s="2127"/>
      <c r="D135" s="2127"/>
      <c r="E135" s="2127"/>
      <c r="F135" s="2127"/>
      <c r="G135" s="2127"/>
      <c r="H135" s="2127"/>
      <c r="I135" s="2127"/>
      <c r="J135" s="2127"/>
      <c r="K135" s="2127"/>
      <c r="L135" s="2127"/>
      <c r="M135" s="2127"/>
      <c r="N135" s="2127"/>
      <c r="O135" s="2128"/>
      <c r="P135" s="661"/>
      <c r="Q135" s="1406"/>
    </row>
    <row r="136" spans="1:22">
      <c r="A136" s="714"/>
      <c r="B136" s="662">
        <v>2013</v>
      </c>
      <c r="C136" s="663" t="s">
        <v>143</v>
      </c>
      <c r="D136" s="663" t="s">
        <v>26</v>
      </c>
      <c r="E136" s="663" t="s">
        <v>25</v>
      </c>
      <c r="F136" s="663" t="s">
        <v>24</v>
      </c>
      <c r="G136" s="663" t="s">
        <v>23</v>
      </c>
      <c r="H136" s="663" t="s">
        <v>22</v>
      </c>
      <c r="I136" s="663" t="s">
        <v>21</v>
      </c>
      <c r="J136" s="663" t="s">
        <v>20</v>
      </c>
      <c r="K136" s="663" t="s">
        <v>256</v>
      </c>
      <c r="L136" s="663" t="s">
        <v>18</v>
      </c>
      <c r="M136" s="663" t="s">
        <v>17</v>
      </c>
      <c r="N136" s="663" t="s">
        <v>86</v>
      </c>
      <c r="O136" s="664" t="s">
        <v>67</v>
      </c>
      <c r="P136" s="665"/>
      <c r="Q136" s="1487"/>
      <c r="R136" s="578"/>
      <c r="S136" s="578"/>
      <c r="T136" s="578"/>
      <c r="U136" s="578"/>
      <c r="V136" s="578"/>
    </row>
    <row r="137" spans="1:22">
      <c r="A137" s="714"/>
      <c r="B137" s="666" t="s">
        <v>4397</v>
      </c>
      <c r="C137" s="671"/>
      <c r="D137" s="671"/>
      <c r="E137" s="671"/>
      <c r="F137" s="671"/>
      <c r="G137" s="671"/>
      <c r="H137" s="671"/>
      <c r="I137" s="671"/>
      <c r="J137" s="671"/>
      <c r="K137" s="671"/>
      <c r="L137" s="671"/>
      <c r="M137" s="671"/>
      <c r="N137" s="671"/>
      <c r="O137" s="668"/>
      <c r="P137" s="672"/>
      <c r="Q137" s="1494"/>
    </row>
    <row r="138" spans="1:22">
      <c r="A138" s="714"/>
      <c r="B138" s="674" t="s">
        <v>4399</v>
      </c>
      <c r="C138" s="675"/>
      <c r="D138" s="675"/>
      <c r="E138" s="675"/>
      <c r="F138" s="675"/>
      <c r="G138" s="675"/>
      <c r="H138" s="675"/>
      <c r="I138" s="675"/>
      <c r="J138" s="675"/>
      <c r="K138" s="675"/>
      <c r="L138" s="675"/>
      <c r="M138" s="675"/>
      <c r="N138" s="675"/>
      <c r="O138" s="668">
        <f>SUM(C138:N138)</f>
        <v>0</v>
      </c>
      <c r="P138" s="672"/>
      <c r="Q138" s="1494"/>
    </row>
    <row r="139" spans="1:22">
      <c r="A139" s="714"/>
      <c r="B139" s="674" t="s">
        <v>6850</v>
      </c>
      <c r="C139" s="675">
        <v>244.91</v>
      </c>
      <c r="D139" s="675">
        <v>289.89</v>
      </c>
      <c r="E139" s="675">
        <v>211.1</v>
      </c>
      <c r="F139" s="675">
        <v>185.85</v>
      </c>
      <c r="G139" s="675">
        <v>153.56</v>
      </c>
      <c r="H139" s="675"/>
      <c r="I139" s="675"/>
      <c r="J139" s="675"/>
      <c r="K139" s="675"/>
      <c r="L139" s="675"/>
      <c r="M139" s="675"/>
      <c r="N139" s="675"/>
      <c r="O139" s="668">
        <f>SUM(C139:N139)</f>
        <v>1085.31</v>
      </c>
      <c r="P139" s="672"/>
      <c r="Q139" s="1494"/>
    </row>
    <row r="140" spans="1:22">
      <c r="A140" s="714"/>
      <c r="B140" s="674" t="s">
        <v>5684</v>
      </c>
      <c r="C140" s="675"/>
      <c r="D140" s="675"/>
      <c r="E140" s="675"/>
      <c r="F140" s="675"/>
      <c r="G140" s="675"/>
      <c r="H140" s="675"/>
      <c r="I140" s="675"/>
      <c r="J140" s="675"/>
      <c r="K140" s="675"/>
      <c r="L140" s="675"/>
      <c r="M140" s="675"/>
      <c r="N140" s="675"/>
      <c r="O140" s="668">
        <f>SUM(C140:N140)</f>
        <v>0</v>
      </c>
      <c r="P140" s="672"/>
      <c r="Q140" s="1494"/>
    </row>
    <row r="141" spans="1:22">
      <c r="A141" s="714"/>
      <c r="B141" s="674" t="s">
        <v>7052</v>
      </c>
      <c r="C141" s="675"/>
      <c r="D141" s="675"/>
      <c r="E141" s="675"/>
      <c r="F141" s="675"/>
      <c r="G141" s="675"/>
      <c r="H141" s="675"/>
      <c r="I141" s="675"/>
      <c r="J141" s="675"/>
      <c r="K141" s="675"/>
      <c r="L141" s="675"/>
      <c r="M141" s="675"/>
      <c r="N141" s="675"/>
      <c r="O141" s="668"/>
      <c r="P141" s="672"/>
      <c r="Q141" s="1494"/>
    </row>
    <row r="142" spans="1:22">
      <c r="A142" s="714"/>
      <c r="B142" s="674" t="s">
        <v>7053</v>
      </c>
      <c r="C142" s="675">
        <v>84.59</v>
      </c>
      <c r="D142" s="675">
        <v>84.59</v>
      </c>
      <c r="E142" s="675">
        <v>84.59</v>
      </c>
      <c r="F142" s="675">
        <v>84.59</v>
      </c>
      <c r="G142" s="675">
        <v>84.59</v>
      </c>
      <c r="H142" s="675">
        <v>84.59</v>
      </c>
      <c r="I142" s="675">
        <v>84.59</v>
      </c>
      <c r="J142" s="675">
        <v>84.59</v>
      </c>
      <c r="K142" s="675">
        <v>84.59</v>
      </c>
      <c r="L142" s="675">
        <v>84.59</v>
      </c>
      <c r="M142" s="675">
        <v>84.59</v>
      </c>
      <c r="N142" s="675">
        <v>84.59</v>
      </c>
      <c r="O142" s="668"/>
      <c r="P142" s="672"/>
      <c r="Q142" s="1494"/>
    </row>
    <row r="143" spans="1:22">
      <c r="A143" s="714"/>
      <c r="B143" s="674" t="s">
        <v>7054</v>
      </c>
      <c r="C143" s="675">
        <v>703</v>
      </c>
      <c r="D143" s="675">
        <v>703</v>
      </c>
      <c r="E143" s="675">
        <v>703</v>
      </c>
      <c r="F143" s="675">
        <v>703</v>
      </c>
      <c r="G143" s="675">
        <v>703</v>
      </c>
      <c r="H143" s="675">
        <v>703</v>
      </c>
      <c r="I143" s="675">
        <v>703</v>
      </c>
      <c r="J143" s="675">
        <v>703</v>
      </c>
      <c r="K143" s="675">
        <v>703</v>
      </c>
      <c r="L143" s="675">
        <v>703</v>
      </c>
      <c r="M143" s="675">
        <v>703</v>
      </c>
      <c r="N143" s="675">
        <v>703</v>
      </c>
      <c r="O143" s="668"/>
      <c r="P143" s="672"/>
      <c r="Q143" s="1494"/>
    </row>
    <row r="144" spans="1:22">
      <c r="A144" s="714"/>
      <c r="B144" s="674" t="s">
        <v>7055</v>
      </c>
      <c r="C144" s="675"/>
      <c r="D144" s="675"/>
      <c r="E144" s="675"/>
      <c r="F144" s="675"/>
      <c r="G144" s="675">
        <v>89.99</v>
      </c>
      <c r="H144" s="675"/>
      <c r="I144" s="675"/>
      <c r="J144" s="675"/>
      <c r="K144" s="675"/>
      <c r="L144" s="675"/>
      <c r="M144" s="675"/>
      <c r="N144" s="675"/>
      <c r="O144" s="668"/>
      <c r="P144" s="672"/>
      <c r="Q144" s="1494"/>
    </row>
    <row r="145" spans="1:22">
      <c r="A145" s="714"/>
      <c r="B145" s="674" t="s">
        <v>7056</v>
      </c>
      <c r="C145" s="675">
        <v>259.43</v>
      </c>
      <c r="D145" s="675">
        <v>259.43</v>
      </c>
      <c r="E145" s="675">
        <v>259.43</v>
      </c>
      <c r="F145" s="675">
        <v>259.43</v>
      </c>
      <c r="G145" s="675">
        <v>259.43</v>
      </c>
      <c r="H145" s="675">
        <v>259.43</v>
      </c>
      <c r="I145" s="675">
        <v>259.43</v>
      </c>
      <c r="J145" s="675">
        <v>259.43</v>
      </c>
      <c r="K145" s="675">
        <v>259.43</v>
      </c>
      <c r="L145" s="675">
        <v>259.43</v>
      </c>
      <c r="M145" s="675">
        <v>259.43</v>
      </c>
      <c r="N145" s="675">
        <v>259.43</v>
      </c>
      <c r="O145" s="668"/>
      <c r="P145" s="672"/>
      <c r="Q145" s="1494"/>
    </row>
    <row r="146" spans="1:22">
      <c r="A146" s="714"/>
      <c r="B146" s="674" t="s">
        <v>5024</v>
      </c>
      <c r="C146" s="675">
        <v>2284.5700000000002</v>
      </c>
      <c r="D146" s="675">
        <v>2284.5700000000002</v>
      </c>
      <c r="E146" s="675">
        <v>2284.5700000000002</v>
      </c>
      <c r="F146" s="675">
        <v>2284.5700000000002</v>
      </c>
      <c r="G146" s="675">
        <v>2284.5700000000002</v>
      </c>
      <c r="H146" s="675">
        <v>2284.5700000000002</v>
      </c>
      <c r="I146" s="675">
        <v>2284.5700000000002</v>
      </c>
      <c r="J146" s="675">
        <v>2284.5700000000002</v>
      </c>
      <c r="K146" s="675">
        <v>2284.5700000000002</v>
      </c>
      <c r="L146" s="675">
        <v>2284.5700000000002</v>
      </c>
      <c r="M146" s="675">
        <v>2284.5700000000002</v>
      </c>
      <c r="N146" s="675">
        <v>2284.5700000000002</v>
      </c>
      <c r="O146" s="668"/>
      <c r="P146" s="672"/>
      <c r="Q146" s="1494"/>
    </row>
    <row r="147" spans="1:22">
      <c r="A147" s="714"/>
      <c r="B147" s="674" t="s">
        <v>1125</v>
      </c>
      <c r="C147" s="675"/>
      <c r="D147" s="675"/>
      <c r="E147" s="675"/>
      <c r="F147" s="675"/>
      <c r="G147" s="675"/>
      <c r="H147" s="675"/>
      <c r="I147" s="675"/>
      <c r="J147" s="675"/>
      <c r="K147" s="675"/>
      <c r="L147" s="675"/>
      <c r="M147" s="675"/>
      <c r="N147" s="675"/>
      <c r="O147" s="668">
        <f>SUM(C147:N147)</f>
        <v>0</v>
      </c>
      <c r="P147" s="672"/>
      <c r="Q147" s="1494"/>
    </row>
    <row r="148" spans="1:22">
      <c r="A148" s="714"/>
      <c r="B148" s="674" t="s">
        <v>7057</v>
      </c>
      <c r="C148" s="675"/>
      <c r="D148" s="675">
        <v>43.54</v>
      </c>
      <c r="E148" s="675"/>
      <c r="F148" s="675">
        <v>31.62</v>
      </c>
      <c r="G148" s="675"/>
      <c r="H148" s="675"/>
      <c r="I148" s="675"/>
      <c r="J148" s="675"/>
      <c r="K148" s="675"/>
      <c r="L148" s="675"/>
      <c r="M148" s="675"/>
      <c r="N148" s="675"/>
      <c r="O148" s="668">
        <f>SUM(C148:N148)</f>
        <v>75.16</v>
      </c>
      <c r="P148" s="672"/>
      <c r="Q148" s="1494"/>
    </row>
    <row r="149" spans="1:22">
      <c r="A149" s="714"/>
      <c r="B149" s="689" t="s">
        <v>1126</v>
      </c>
      <c r="C149" s="690">
        <f t="shared" ref="C149:O149" si="25">SUM(C138:C148)</f>
        <v>3576.5</v>
      </c>
      <c r="D149" s="690">
        <f t="shared" si="25"/>
        <v>3665.0200000000004</v>
      </c>
      <c r="E149" s="690">
        <f t="shared" si="25"/>
        <v>3542.6900000000005</v>
      </c>
      <c r="F149" s="690">
        <f t="shared" si="25"/>
        <v>3549.0600000000004</v>
      </c>
      <c r="G149" s="690">
        <f t="shared" si="25"/>
        <v>3575.1400000000003</v>
      </c>
      <c r="H149" s="690">
        <f t="shared" si="25"/>
        <v>3331.59</v>
      </c>
      <c r="I149" s="690">
        <f t="shared" si="25"/>
        <v>3331.59</v>
      </c>
      <c r="J149" s="690">
        <f t="shared" si="25"/>
        <v>3331.59</v>
      </c>
      <c r="K149" s="690">
        <f t="shared" si="25"/>
        <v>3331.59</v>
      </c>
      <c r="L149" s="690">
        <f t="shared" si="25"/>
        <v>3331.59</v>
      </c>
      <c r="M149" s="690">
        <f t="shared" si="25"/>
        <v>3331.59</v>
      </c>
      <c r="N149" s="690">
        <f t="shared" si="25"/>
        <v>3331.59</v>
      </c>
      <c r="O149" s="995">
        <f t="shared" si="25"/>
        <v>1160.47</v>
      </c>
      <c r="P149" s="691"/>
      <c r="Q149" s="1495"/>
      <c r="R149" s="1412"/>
      <c r="S149" s="1412"/>
      <c r="T149" s="1412"/>
      <c r="U149" s="1412"/>
      <c r="V149" s="1412"/>
    </row>
    <row r="150" spans="1:22">
      <c r="A150" s="715"/>
      <c r="B150" s="692" t="s">
        <v>791</v>
      </c>
      <c r="C150" s="693" t="e">
        <f t="shared" ref="C150:O150" si="26">""-C149</f>
        <v>#VALUE!</v>
      </c>
      <c r="D150" s="693" t="e">
        <f t="shared" si="26"/>
        <v>#VALUE!</v>
      </c>
      <c r="E150" s="693" t="e">
        <f t="shared" si="26"/>
        <v>#VALUE!</v>
      </c>
      <c r="F150" s="693" t="e">
        <f t="shared" si="26"/>
        <v>#VALUE!</v>
      </c>
      <c r="G150" s="693" t="e">
        <f t="shared" si="26"/>
        <v>#VALUE!</v>
      </c>
      <c r="H150" s="693" t="e">
        <f t="shared" si="26"/>
        <v>#VALUE!</v>
      </c>
      <c r="I150" s="693" t="e">
        <f t="shared" si="26"/>
        <v>#VALUE!</v>
      </c>
      <c r="J150" s="693" t="e">
        <f t="shared" si="26"/>
        <v>#VALUE!</v>
      </c>
      <c r="K150" s="693" t="e">
        <f t="shared" si="26"/>
        <v>#VALUE!</v>
      </c>
      <c r="L150" s="693" t="e">
        <f t="shared" si="26"/>
        <v>#VALUE!</v>
      </c>
      <c r="M150" s="693" t="e">
        <f t="shared" si="26"/>
        <v>#VALUE!</v>
      </c>
      <c r="N150" s="693" t="e">
        <f t="shared" si="26"/>
        <v>#VALUE!</v>
      </c>
      <c r="O150" s="693" t="e">
        <f t="shared" si="26"/>
        <v>#VALUE!</v>
      </c>
      <c r="P150" s="694"/>
      <c r="Q150" s="707"/>
    </row>
    <row r="151" spans="1:22">
      <c r="P151" s="712"/>
      <c r="Q151" s="707"/>
    </row>
    <row r="152" spans="1:22">
      <c r="A152" s="581"/>
      <c r="B152" s="976" t="s">
        <v>8058</v>
      </c>
      <c r="C152" s="912">
        <v>800000</v>
      </c>
      <c r="D152" s="84">
        <v>850000</v>
      </c>
      <c r="E152" s="912">
        <v>1000000</v>
      </c>
      <c r="F152" s="912">
        <v>1100000</v>
      </c>
      <c r="G152" s="1445">
        <v>1200000</v>
      </c>
      <c r="H152" s="912"/>
      <c r="I152" s="912"/>
      <c r="J152" s="912"/>
      <c r="K152" s="912"/>
      <c r="L152" s="912"/>
      <c r="M152" s="912"/>
      <c r="N152" s="581"/>
      <c r="O152" s="581"/>
      <c r="P152" s="581"/>
      <c r="Q152" s="1497"/>
      <c r="R152" s="581"/>
      <c r="S152" s="581"/>
      <c r="T152" s="581"/>
      <c r="U152" s="581"/>
      <c r="V152" s="581"/>
    </row>
    <row r="153" spans="1:22">
      <c r="A153" s="581"/>
      <c r="B153" s="581" t="s">
        <v>8059</v>
      </c>
      <c r="C153" s="912">
        <f>C152-265000</f>
        <v>535000</v>
      </c>
      <c r="D153" s="84">
        <f>D152-262000</f>
        <v>588000</v>
      </c>
      <c r="E153" s="912">
        <f>E152-265000</f>
        <v>735000</v>
      </c>
      <c r="F153" s="912">
        <f>F152-265000</f>
        <v>835000</v>
      </c>
      <c r="G153" s="912">
        <f>G152-265000</f>
        <v>935000</v>
      </c>
      <c r="H153" s="912"/>
      <c r="I153" s="912"/>
      <c r="J153" s="912"/>
      <c r="K153" s="912"/>
      <c r="L153" s="912"/>
      <c r="M153" s="912"/>
      <c r="N153" s="581"/>
      <c r="O153" s="581"/>
      <c r="P153" s="581"/>
      <c r="Q153" s="1497"/>
      <c r="R153" s="581"/>
      <c r="S153" s="581"/>
      <c r="T153" s="581"/>
      <c r="U153" s="581"/>
      <c r="V153" s="581"/>
    </row>
    <row r="154" spans="1:22">
      <c r="A154" s="581"/>
      <c r="B154" s="581" t="s">
        <v>8060</v>
      </c>
      <c r="C154" s="912">
        <f>C153/50000</f>
        <v>10.7</v>
      </c>
      <c r="D154" s="84">
        <f>D153/50000</f>
        <v>11.76</v>
      </c>
      <c r="E154" s="912">
        <f>E153/50000</f>
        <v>14.7</v>
      </c>
      <c r="F154" s="912">
        <f>F153/50000</f>
        <v>16.7</v>
      </c>
      <c r="G154" s="912">
        <f>G153/50000</f>
        <v>18.7</v>
      </c>
      <c r="H154" s="912"/>
      <c r="I154" s="912"/>
      <c r="J154" s="912"/>
      <c r="K154" s="912"/>
      <c r="L154" s="912"/>
      <c r="M154" s="912"/>
      <c r="N154" s="581"/>
      <c r="O154" s="581"/>
      <c r="P154" s="581"/>
      <c r="Q154" s="1497"/>
      <c r="R154" s="581"/>
      <c r="S154" s="581"/>
      <c r="T154" s="581"/>
      <c r="U154" s="581"/>
      <c r="V154" s="581"/>
    </row>
    <row r="155" spans="1:22">
      <c r="A155" s="581"/>
      <c r="B155" s="581" t="s">
        <v>8061</v>
      </c>
      <c r="C155" s="912">
        <f>C154*500</f>
        <v>5350</v>
      </c>
      <c r="D155" s="84">
        <f>D154*500</f>
        <v>5880</v>
      </c>
      <c r="E155" s="912">
        <f>E154*500</f>
        <v>7350</v>
      </c>
      <c r="F155" s="912">
        <f>F154*500</f>
        <v>8350</v>
      </c>
      <c r="G155" s="912">
        <f>G154*500</f>
        <v>9350</v>
      </c>
      <c r="H155" s="912"/>
      <c r="I155" s="912"/>
      <c r="J155" s="912"/>
      <c r="K155" s="912"/>
      <c r="L155" s="912"/>
      <c r="M155" s="912"/>
      <c r="N155" s="581"/>
      <c r="O155" s="581"/>
      <c r="P155" s="581"/>
      <c r="Q155" s="1497"/>
      <c r="R155" s="581"/>
      <c r="S155" s="581"/>
      <c r="T155" s="581"/>
      <c r="U155" s="581"/>
      <c r="V155" s="581"/>
    </row>
    <row r="156" spans="1:22">
      <c r="A156" s="581"/>
      <c r="B156" s="581" t="s">
        <v>8062</v>
      </c>
      <c r="C156" s="912">
        <v>10167</v>
      </c>
      <c r="D156" s="84">
        <v>8000</v>
      </c>
      <c r="E156" s="912">
        <v>10167</v>
      </c>
      <c r="F156" s="912">
        <v>10167</v>
      </c>
      <c r="G156" s="912">
        <v>10167</v>
      </c>
      <c r="H156" s="912"/>
      <c r="I156" s="912"/>
      <c r="J156" s="912"/>
      <c r="K156" s="912"/>
      <c r="L156" s="912"/>
      <c r="M156" s="912"/>
      <c r="N156" s="581"/>
      <c r="O156" s="581"/>
      <c r="P156" s="581"/>
      <c r="Q156" s="1497"/>
      <c r="R156" s="581"/>
      <c r="S156" s="581"/>
      <c r="T156" s="581"/>
      <c r="U156" s="581"/>
      <c r="V156" s="581"/>
    </row>
    <row r="157" spans="1:22">
      <c r="A157" s="581"/>
      <c r="B157" s="581" t="s">
        <v>8063</v>
      </c>
      <c r="C157" s="912">
        <v>2284</v>
      </c>
      <c r="D157" s="84">
        <v>2284</v>
      </c>
      <c r="E157" s="912">
        <v>2284</v>
      </c>
      <c r="F157" s="912">
        <v>2284</v>
      </c>
      <c r="G157" s="912">
        <v>2284</v>
      </c>
      <c r="H157" s="912"/>
      <c r="I157" s="912"/>
      <c r="J157" s="912"/>
      <c r="K157" s="912"/>
      <c r="L157" s="912"/>
      <c r="M157" s="912"/>
      <c r="N157" s="581"/>
      <c r="O157" s="581"/>
      <c r="P157" s="581"/>
      <c r="Q157" s="1497"/>
      <c r="R157" s="581"/>
      <c r="S157" s="581"/>
      <c r="T157" s="581"/>
      <c r="U157" s="581"/>
      <c r="V157" s="581"/>
    </row>
    <row r="158" spans="1:22">
      <c r="A158" s="581"/>
      <c r="B158" s="581" t="s">
        <v>8064</v>
      </c>
      <c r="C158" s="912">
        <f>C156-C157</f>
        <v>7883</v>
      </c>
      <c r="D158" s="84">
        <f>D156-D157</f>
        <v>5716</v>
      </c>
      <c r="E158" s="912">
        <f>E156-E157</f>
        <v>7883</v>
      </c>
      <c r="F158" s="912">
        <f>F156-F157</f>
        <v>7883</v>
      </c>
      <c r="G158" s="912">
        <f>G156-G157</f>
        <v>7883</v>
      </c>
      <c r="H158" s="912"/>
      <c r="I158" s="912"/>
      <c r="J158" s="912"/>
      <c r="K158" s="912"/>
      <c r="L158" s="912"/>
      <c r="M158" s="912"/>
      <c r="N158" s="581"/>
      <c r="O158" s="581"/>
      <c r="P158" s="581"/>
      <c r="Q158" s="581"/>
      <c r="R158" s="581"/>
      <c r="S158" s="581"/>
      <c r="T158" s="581"/>
      <c r="U158" s="581"/>
      <c r="V158" s="581"/>
    </row>
    <row r="159" spans="1:22">
      <c r="A159" s="581"/>
      <c r="B159" s="976" t="s">
        <v>8065</v>
      </c>
      <c r="C159" s="1498">
        <f>C155-C158</f>
        <v>-2533</v>
      </c>
      <c r="D159" s="1499">
        <f>D155-D158</f>
        <v>164</v>
      </c>
      <c r="E159" s="1498">
        <f>E155-E158</f>
        <v>-533</v>
      </c>
      <c r="F159" s="1498">
        <f>F155-F158</f>
        <v>467</v>
      </c>
      <c r="G159" s="1498">
        <f>G155-G158</f>
        <v>1467</v>
      </c>
      <c r="H159" s="1498"/>
      <c r="I159" s="1498"/>
      <c r="J159" s="1498"/>
      <c r="K159" s="1498"/>
      <c r="L159" s="1498"/>
      <c r="M159" s="1498"/>
      <c r="N159" s="581"/>
      <c r="O159" s="581"/>
      <c r="P159" s="581"/>
      <c r="Q159" s="1497"/>
      <c r="R159" s="581"/>
      <c r="S159" s="581"/>
      <c r="T159" s="581"/>
      <c r="U159" s="581"/>
      <c r="V159" s="581"/>
    </row>
    <row r="160" spans="1:22">
      <c r="B160" s="578" t="s">
        <v>8066</v>
      </c>
      <c r="D160" s="59"/>
      <c r="Q160" s="707"/>
    </row>
    <row r="161" spans="1:22">
      <c r="B161" s="9" t="s">
        <v>8067</v>
      </c>
      <c r="C161" s="16">
        <f>C153/15000</f>
        <v>35.666666666666664</v>
      </c>
      <c r="D161" s="84">
        <f>D153/15000</f>
        <v>39.200000000000003</v>
      </c>
      <c r="E161" s="16">
        <f>E153/15000</f>
        <v>49</v>
      </c>
      <c r="F161" s="16">
        <f>F153/15000</f>
        <v>55.666666666666664</v>
      </c>
      <c r="G161" s="16">
        <f>G153/15000</f>
        <v>62.333333333333336</v>
      </c>
      <c r="H161" s="16"/>
      <c r="I161" s="16"/>
      <c r="J161" s="16"/>
      <c r="K161" s="16"/>
      <c r="L161" s="16"/>
      <c r="M161" s="16"/>
      <c r="Q161" s="707"/>
    </row>
    <row r="162" spans="1:22">
      <c r="A162" s="578"/>
      <c r="B162" s="578" t="s">
        <v>8068</v>
      </c>
      <c r="C162" s="711">
        <f>C161*400</f>
        <v>14266.666666666666</v>
      </c>
      <c r="D162" s="1500">
        <f>D161*400</f>
        <v>15680.000000000002</v>
      </c>
      <c r="E162" s="711">
        <f>E161*400</f>
        <v>19600</v>
      </c>
      <c r="F162" s="711">
        <f>F161*400</f>
        <v>22266.666666666664</v>
      </c>
      <c r="G162" s="711">
        <f>G161*400</f>
        <v>24933.333333333336</v>
      </c>
      <c r="H162" s="711"/>
      <c r="I162" s="711"/>
      <c r="J162" s="711"/>
      <c r="K162" s="711"/>
      <c r="L162" s="711"/>
      <c r="M162" s="711"/>
      <c r="N162" s="578"/>
      <c r="O162" s="578"/>
      <c r="P162" s="578"/>
      <c r="Q162" s="1496"/>
      <c r="R162" s="578"/>
      <c r="S162" s="578"/>
      <c r="T162" s="578"/>
      <c r="U162" s="578"/>
      <c r="V162" s="578"/>
    </row>
    <row r="163" spans="1:22">
      <c r="B163" s="1501" t="s">
        <v>8065</v>
      </c>
      <c r="C163" s="1502">
        <f>C162-C158</f>
        <v>6383.6666666666661</v>
      </c>
      <c r="D163" s="1503">
        <f>D162-D158</f>
        <v>9964.0000000000018</v>
      </c>
      <c r="E163" s="1502">
        <f>E162-E158</f>
        <v>11717</v>
      </c>
      <c r="F163" s="1502">
        <f>F162-F158</f>
        <v>14383.666666666664</v>
      </c>
      <c r="G163" s="1502">
        <f>G162-G158</f>
        <v>17050.333333333336</v>
      </c>
      <c r="H163" s="1504"/>
      <c r="I163" s="1504"/>
      <c r="J163" s="1504"/>
      <c r="K163" s="1504" t="s">
        <v>108</v>
      </c>
      <c r="L163" s="1504" t="s">
        <v>8069</v>
      </c>
      <c r="M163" s="1504" t="s">
        <v>8070</v>
      </c>
      <c r="Q163" s="707"/>
    </row>
    <row r="164" spans="1:22">
      <c r="A164" s="1505"/>
      <c r="B164" s="1506" t="s">
        <v>8071</v>
      </c>
      <c r="C164" s="777"/>
      <c r="D164" s="1507"/>
      <c r="E164" s="777"/>
      <c r="F164" s="777"/>
      <c r="G164" s="1508"/>
      <c r="H164" s="1509"/>
      <c r="I164" s="581"/>
      <c r="J164" s="581" t="s">
        <v>8072</v>
      </c>
      <c r="K164" s="581">
        <f>(D153-60000)/2</f>
        <v>264000</v>
      </c>
      <c r="L164" s="912">
        <f>K164/40000</f>
        <v>6.6</v>
      </c>
      <c r="M164" s="581">
        <f>L164*500</f>
        <v>3300</v>
      </c>
      <c r="N164" s="581"/>
      <c r="O164" s="581"/>
      <c r="P164" s="581"/>
      <c r="Q164" s="1497"/>
      <c r="R164" s="581"/>
      <c r="S164" s="581"/>
      <c r="T164" s="581"/>
      <c r="U164" s="581"/>
      <c r="V164" s="581"/>
    </row>
    <row r="165" spans="1:22">
      <c r="A165" s="1505"/>
      <c r="B165" s="1509" t="s">
        <v>8073</v>
      </c>
      <c r="C165" s="912">
        <f>C153/2/50000</f>
        <v>5.35</v>
      </c>
      <c r="D165" s="84">
        <f>D153/2/50000</f>
        <v>5.88</v>
      </c>
      <c r="E165" s="912">
        <f>E153/2/50000</f>
        <v>7.35</v>
      </c>
      <c r="F165" s="912">
        <f>F153/2/50000</f>
        <v>8.35</v>
      </c>
      <c r="G165" s="1510">
        <f>G153/2/50000</f>
        <v>9.35</v>
      </c>
      <c r="H165" s="1511"/>
      <c r="I165" s="912"/>
      <c r="J165" s="912"/>
      <c r="K165" s="912"/>
      <c r="L165" s="912"/>
      <c r="M165" s="912" t="s">
        <v>8074</v>
      </c>
      <c r="N165" s="581"/>
      <c r="O165" s="581"/>
      <c r="P165" s="581"/>
      <c r="Q165" s="1497"/>
      <c r="R165" s="581"/>
      <c r="S165" s="581"/>
      <c r="T165" s="581"/>
      <c r="U165" s="581"/>
      <c r="V165" s="581"/>
    </row>
    <row r="166" spans="1:22">
      <c r="A166" s="1505"/>
      <c r="B166" s="1509" t="s">
        <v>8075</v>
      </c>
      <c r="C166" s="912">
        <f>C153/2/15000</f>
        <v>17.833333333333332</v>
      </c>
      <c r="D166" s="84">
        <f>D153/2/15000</f>
        <v>19.600000000000001</v>
      </c>
      <c r="E166" s="912">
        <f>E153/2/15000</f>
        <v>24.5</v>
      </c>
      <c r="F166" s="912">
        <f>F153/2/15000</f>
        <v>27.833333333333332</v>
      </c>
      <c r="G166" s="1510">
        <f>G153/2/15000</f>
        <v>31.166666666666668</v>
      </c>
      <c r="H166" s="1511"/>
      <c r="I166" s="912"/>
      <c r="J166" s="912" t="s">
        <v>8076</v>
      </c>
      <c r="K166" s="912">
        <f>K164</f>
        <v>264000</v>
      </c>
      <c r="L166" s="912">
        <f>K166/12500</f>
        <v>21.12</v>
      </c>
      <c r="M166" s="912">
        <f>L166*200</f>
        <v>4224</v>
      </c>
      <c r="N166" s="581"/>
      <c r="O166" s="581"/>
      <c r="P166" s="581"/>
      <c r="Q166" s="1497"/>
      <c r="R166" s="581"/>
      <c r="S166" s="581"/>
      <c r="T166" s="581"/>
      <c r="U166" s="581"/>
      <c r="V166" s="581"/>
    </row>
    <row r="167" spans="1:22">
      <c r="A167" s="1505"/>
      <c r="B167" s="1509" t="s">
        <v>8077</v>
      </c>
      <c r="C167" s="912">
        <f>C165*500</f>
        <v>2675</v>
      </c>
      <c r="D167" s="84">
        <f>D165*500</f>
        <v>2940</v>
      </c>
      <c r="E167" s="912">
        <f>E165*500</f>
        <v>3675</v>
      </c>
      <c r="F167" s="912">
        <f>F165*500</f>
        <v>4175</v>
      </c>
      <c r="G167" s="1510">
        <f>G165*500</f>
        <v>4675</v>
      </c>
      <c r="H167" s="1511"/>
      <c r="I167" s="912"/>
      <c r="J167" s="912"/>
      <c r="K167" s="912"/>
      <c r="L167" s="912"/>
      <c r="M167" s="912"/>
      <c r="N167" s="581"/>
      <c r="O167" s="581"/>
      <c r="P167" s="581"/>
      <c r="Q167" s="1497"/>
      <c r="R167" s="581"/>
      <c r="S167" s="581"/>
      <c r="T167" s="581"/>
      <c r="U167" s="581"/>
      <c r="V167" s="581"/>
    </row>
    <row r="168" spans="1:22">
      <c r="A168" s="1505"/>
      <c r="B168" s="1509" t="s">
        <v>8078</v>
      </c>
      <c r="C168" s="912">
        <f>C166*350</f>
        <v>6241.6666666666661</v>
      </c>
      <c r="D168" s="84">
        <f>D166*350</f>
        <v>6860.0000000000009</v>
      </c>
      <c r="E168" s="912">
        <f>E166*350</f>
        <v>8575</v>
      </c>
      <c r="F168" s="912">
        <f>F166*350</f>
        <v>9741.6666666666661</v>
      </c>
      <c r="G168" s="1510">
        <f>G166*350</f>
        <v>10908.333333333334</v>
      </c>
      <c r="H168" s="1511"/>
      <c r="I168" s="912"/>
      <c r="J168" s="912"/>
      <c r="K168" s="912"/>
      <c r="L168" s="912"/>
      <c r="M168" s="912"/>
      <c r="N168" s="581"/>
      <c r="O168" s="581"/>
      <c r="P168" s="581"/>
      <c r="Q168" s="1497"/>
      <c r="R168" s="581"/>
      <c r="S168" s="581"/>
      <c r="T168" s="581"/>
      <c r="U168" s="581"/>
      <c r="V168" s="581"/>
    </row>
    <row r="169" spans="1:22">
      <c r="A169" s="1512"/>
      <c r="B169" s="1513" t="s">
        <v>8079</v>
      </c>
      <c r="C169" s="1445">
        <f>C167+C168</f>
        <v>8916.6666666666661</v>
      </c>
      <c r="D169" s="1500">
        <f>D167+D168</f>
        <v>9800</v>
      </c>
      <c r="E169" s="1445">
        <f>E167+E168</f>
        <v>12250</v>
      </c>
      <c r="F169" s="1445">
        <f>F167+F168</f>
        <v>13916.666666666666</v>
      </c>
      <c r="G169" s="1514">
        <f>G167+G168</f>
        <v>15583.333333333334</v>
      </c>
      <c r="H169" s="1515"/>
      <c r="I169" s="1445"/>
      <c r="J169" s="1445"/>
      <c r="K169" s="1445"/>
      <c r="L169" s="1445"/>
      <c r="M169" s="1445"/>
      <c r="N169" s="976"/>
      <c r="O169" s="976"/>
      <c r="P169" s="976"/>
      <c r="Q169" s="1516"/>
      <c r="R169" s="976"/>
      <c r="S169" s="976"/>
      <c r="T169" s="976"/>
      <c r="U169" s="976"/>
      <c r="V169" s="976"/>
    </row>
    <row r="170" spans="1:22">
      <c r="A170" s="44"/>
      <c r="B170" s="1517" t="s">
        <v>8065</v>
      </c>
      <c r="C170" s="1502">
        <f>C169-C158</f>
        <v>1033.6666666666661</v>
      </c>
      <c r="D170" s="1503">
        <f>D169-D158</f>
        <v>4084</v>
      </c>
      <c r="E170" s="1502">
        <f>E169-E158</f>
        <v>4367</v>
      </c>
      <c r="F170" s="1502">
        <f>F169-F158</f>
        <v>6033.6666666666661</v>
      </c>
      <c r="G170" s="1518">
        <f>G169-G158</f>
        <v>7700.3333333333339</v>
      </c>
      <c r="H170" s="1519"/>
      <c r="I170" s="1504"/>
      <c r="J170" s="1504"/>
      <c r="K170" s="1504"/>
      <c r="L170" s="1504"/>
      <c r="M170" s="1504"/>
      <c r="Q170" s="707"/>
    </row>
    <row r="171" spans="1:22">
      <c r="B171" s="38" t="s">
        <v>8080</v>
      </c>
      <c r="C171" s="38">
        <v>559</v>
      </c>
      <c r="D171" s="1507">
        <v>559</v>
      </c>
      <c r="E171" s="38">
        <v>559</v>
      </c>
      <c r="F171" s="38">
        <v>559</v>
      </c>
      <c r="G171" s="38">
        <v>559</v>
      </c>
      <c r="Q171" s="707"/>
    </row>
    <row r="172" spans="1:22">
      <c r="B172" s="9" t="s">
        <v>8081</v>
      </c>
      <c r="C172" s="9">
        <v>300</v>
      </c>
      <c r="D172" s="59">
        <v>300</v>
      </c>
      <c r="E172" s="9">
        <v>300</v>
      </c>
      <c r="F172" s="9">
        <v>300</v>
      </c>
      <c r="G172" s="9">
        <v>300</v>
      </c>
      <c r="Q172" s="707"/>
    </row>
    <row r="173" spans="1:22">
      <c r="B173" s="9" t="s">
        <v>8082</v>
      </c>
      <c r="C173" s="9">
        <v>100</v>
      </c>
      <c r="D173" s="59">
        <v>100</v>
      </c>
      <c r="E173" s="9">
        <v>100</v>
      </c>
      <c r="F173" s="9">
        <v>100</v>
      </c>
      <c r="G173" s="9">
        <v>100</v>
      </c>
      <c r="Q173" s="707"/>
    </row>
    <row r="174" spans="1:22">
      <c r="B174" s="9" t="s">
        <v>57</v>
      </c>
      <c r="C174" s="9">
        <v>150</v>
      </c>
      <c r="D174" s="59">
        <v>150</v>
      </c>
      <c r="E174" s="9">
        <v>150</v>
      </c>
      <c r="F174" s="9">
        <v>150</v>
      </c>
      <c r="G174" s="9">
        <v>150</v>
      </c>
      <c r="Q174" s="707"/>
    </row>
    <row r="175" spans="1:22">
      <c r="B175" s="9" t="s">
        <v>7268</v>
      </c>
      <c r="C175" s="9">
        <v>450</v>
      </c>
      <c r="D175" s="59">
        <v>450</v>
      </c>
      <c r="E175" s="9">
        <v>450</v>
      </c>
      <c r="F175" s="9">
        <v>450</v>
      </c>
      <c r="G175" s="9">
        <v>450</v>
      </c>
      <c r="Q175" s="707"/>
    </row>
    <row r="176" spans="1:22">
      <c r="A176" s="578"/>
      <c r="B176" s="578" t="s">
        <v>4435</v>
      </c>
      <c r="C176" s="711">
        <f>SUM(C171:C175)+C169</f>
        <v>10475.666666666666</v>
      </c>
      <c r="D176" s="1500">
        <f>SUM(D171:D175)+D169</f>
        <v>11359</v>
      </c>
      <c r="E176" s="711">
        <f>SUM(E171:E175)+E169</f>
        <v>13809</v>
      </c>
      <c r="F176" s="711">
        <f>SUM(F171:F175)+F169</f>
        <v>15475.666666666666</v>
      </c>
      <c r="G176" s="711">
        <f>SUM(G171:G175)+G169</f>
        <v>17142.333333333336</v>
      </c>
      <c r="H176" s="711"/>
      <c r="I176" s="711"/>
      <c r="J176" s="578"/>
      <c r="K176" s="578"/>
      <c r="L176" s="578"/>
      <c r="M176" s="578"/>
      <c r="N176" s="578"/>
      <c r="O176" s="578"/>
      <c r="P176" s="578"/>
      <c r="Q176" s="1496"/>
      <c r="R176" s="578"/>
      <c r="S176" s="578"/>
      <c r="T176" s="578"/>
      <c r="U176" s="578"/>
      <c r="V176" s="578"/>
    </row>
    <row r="177" spans="2:17">
      <c r="C177" s="16">
        <f>C152</f>
        <v>800000</v>
      </c>
      <c r="D177" s="84">
        <f>D152</f>
        <v>850000</v>
      </c>
      <c r="E177" s="16">
        <f>E152</f>
        <v>1000000</v>
      </c>
      <c r="F177" s="16">
        <f>F152</f>
        <v>1100000</v>
      </c>
      <c r="G177" s="16">
        <f>G152</f>
        <v>1200000</v>
      </c>
      <c r="H177" s="16"/>
      <c r="I177" s="16"/>
      <c r="Q177" s="707"/>
    </row>
    <row r="178" spans="2:17">
      <c r="B178" s="9" t="s">
        <v>8083</v>
      </c>
      <c r="C178" s="9">
        <v>450</v>
      </c>
      <c r="D178" s="59">
        <v>533</v>
      </c>
      <c r="E178" s="9">
        <v>625</v>
      </c>
      <c r="F178" s="9">
        <v>708</v>
      </c>
      <c r="G178" s="9">
        <v>791</v>
      </c>
      <c r="Q178" s="707"/>
    </row>
    <row r="179" spans="2:17">
      <c r="B179" s="9" t="s">
        <v>8084</v>
      </c>
      <c r="C179" s="16">
        <f>C153*2.5/100/12</f>
        <v>1114.5833333333333</v>
      </c>
      <c r="D179" s="84">
        <f>D153*2.5/100/12</f>
        <v>1225</v>
      </c>
      <c r="E179" s="16">
        <f>E153*2.5/100/12</f>
        <v>1531.25</v>
      </c>
      <c r="F179" s="16">
        <f>F153*2.5/100/12</f>
        <v>1739.5833333333333</v>
      </c>
      <c r="G179" s="16">
        <f>G153*2.5/100/12</f>
        <v>1947.9166666666667</v>
      </c>
      <c r="H179" s="16"/>
      <c r="I179" s="16"/>
      <c r="Q179" s="707"/>
    </row>
    <row r="180" spans="2:17">
      <c r="Q180" s="707"/>
    </row>
    <row r="181" spans="2:17">
      <c r="Q181" s="707"/>
    </row>
    <row r="182" spans="2:17">
      <c r="Q182" s="707"/>
    </row>
    <row r="183" spans="2:17">
      <c r="Q183" s="707"/>
    </row>
    <row r="184" spans="2:17">
      <c r="B184" s="578" t="s">
        <v>8085</v>
      </c>
      <c r="O184" s="1496">
        <f t="shared" ref="O184:O190" si="27">SUM(C184:N184)</f>
        <v>0</v>
      </c>
      <c r="P184" s="1496"/>
      <c r="Q184" s="1496"/>
    </row>
    <row r="185" spans="2:17">
      <c r="B185" s="9" t="s">
        <v>4399</v>
      </c>
      <c r="O185" s="1496">
        <f t="shared" si="27"/>
        <v>0</v>
      </c>
    </row>
    <row r="186" spans="2:17">
      <c r="B186" s="9" t="s">
        <v>8086</v>
      </c>
      <c r="O186" s="1496">
        <f t="shared" si="27"/>
        <v>0</v>
      </c>
    </row>
    <row r="187" spans="2:17">
      <c r="B187" s="9" t="s">
        <v>8087</v>
      </c>
      <c r="O187" s="1496">
        <f t="shared" si="27"/>
        <v>0</v>
      </c>
    </row>
    <row r="188" spans="2:17">
      <c r="B188" s="9" t="s">
        <v>7877</v>
      </c>
      <c r="O188" s="1496">
        <f t="shared" si="27"/>
        <v>0</v>
      </c>
    </row>
    <row r="189" spans="2:17">
      <c r="B189" s="9" t="s">
        <v>8088</v>
      </c>
      <c r="O189" s="1496">
        <f t="shared" si="27"/>
        <v>0</v>
      </c>
    </row>
    <row r="190" spans="2:17">
      <c r="C190" s="888" t="s">
        <v>8010</v>
      </c>
      <c r="D190" s="888" t="s">
        <v>8089</v>
      </c>
      <c r="O190" s="1496">
        <f t="shared" si="27"/>
        <v>0</v>
      </c>
    </row>
    <row r="191" spans="2:17">
      <c r="B191" s="9" t="s">
        <v>8090</v>
      </c>
      <c r="D191" s="9">
        <v>273</v>
      </c>
      <c r="E191" s="9" t="s">
        <v>80</v>
      </c>
      <c r="O191" s="1496"/>
    </row>
    <row r="192" spans="2:17">
      <c r="B192" s="9" t="s">
        <v>8091</v>
      </c>
      <c r="D192" s="9">
        <v>687</v>
      </c>
      <c r="E192" s="9" t="s">
        <v>83</v>
      </c>
      <c r="O192" s="1496"/>
    </row>
    <row r="193" spans="2:15">
      <c r="B193" s="9" t="s">
        <v>8092</v>
      </c>
      <c r="D193" s="9">
        <v>522</v>
      </c>
      <c r="E193" s="9" t="s">
        <v>78</v>
      </c>
      <c r="O193" s="1496"/>
    </row>
    <row r="194" spans="2:15">
      <c r="B194" s="9" t="s">
        <v>8093</v>
      </c>
      <c r="D194" s="9">
        <v>0</v>
      </c>
      <c r="E194" s="9" t="s">
        <v>135</v>
      </c>
      <c r="O194" s="1496"/>
    </row>
    <row r="195" spans="2:15">
      <c r="B195" s="9" t="s">
        <v>8094</v>
      </c>
      <c r="D195" s="9">
        <v>0</v>
      </c>
      <c r="O195" s="1496"/>
    </row>
    <row r="196" spans="2:15">
      <c r="B196" s="9" t="s">
        <v>8095</v>
      </c>
      <c r="D196" s="9">
        <v>0</v>
      </c>
      <c r="O196" s="1496"/>
    </row>
    <row r="197" spans="2:15">
      <c r="B197" s="9" t="s">
        <v>8096</v>
      </c>
      <c r="D197" s="9">
        <v>0</v>
      </c>
      <c r="O197" s="1496">
        <f>SUM(C197:N197)</f>
        <v>0</v>
      </c>
    </row>
    <row r="198" spans="2:15">
      <c r="B198" s="9" t="s">
        <v>8097</v>
      </c>
      <c r="D198" s="9">
        <v>0</v>
      </c>
      <c r="O198" s="1496">
        <f>SUM(C198:N198)</f>
        <v>0</v>
      </c>
    </row>
    <row r="199" spans="2:15">
      <c r="B199" s="9" t="s">
        <v>8098</v>
      </c>
      <c r="D199" s="9">
        <v>0</v>
      </c>
      <c r="O199" s="1496">
        <f>SUM(C199:N199)</f>
        <v>0</v>
      </c>
    </row>
    <row r="200" spans="2:15">
      <c r="B200" s="578" t="s">
        <v>67</v>
      </c>
      <c r="C200" s="578"/>
      <c r="D200" s="711">
        <f>SUM(D191:D199)</f>
        <v>1482</v>
      </c>
      <c r="O200" s="1496"/>
    </row>
    <row r="201" spans="2:15">
      <c r="B201" s="9" t="s">
        <v>8099</v>
      </c>
      <c r="D201" s="9">
        <f>D200*10/100</f>
        <v>148.19999999999999</v>
      </c>
      <c r="O201" s="1496"/>
    </row>
    <row r="202" spans="2:15">
      <c r="B202" s="578" t="s">
        <v>59</v>
      </c>
      <c r="C202" s="578"/>
      <c r="D202" s="711">
        <f>D200-D201</f>
        <v>1333.8</v>
      </c>
      <c r="O202" s="1496">
        <f>SUM(C202:N202)</f>
        <v>1333.8</v>
      </c>
    </row>
    <row r="203" spans="2:15">
      <c r="B203" s="9" t="s">
        <v>8100</v>
      </c>
      <c r="D203" s="16">
        <f>D202*12</f>
        <v>16005.599999999999</v>
      </c>
      <c r="O203" s="1496">
        <f>SUM(C203:N203)</f>
        <v>16005.599999999999</v>
      </c>
    </row>
    <row r="204" spans="2:15">
      <c r="B204" s="578" t="s">
        <v>38</v>
      </c>
      <c r="O204" s="1496"/>
    </row>
    <row r="205" spans="2:15">
      <c r="B205" s="9" t="s">
        <v>7354</v>
      </c>
      <c r="N205" s="9">
        <v>7200</v>
      </c>
      <c r="O205" s="1496"/>
    </row>
    <row r="206" spans="2:15">
      <c r="B206" s="9" t="s">
        <v>8101</v>
      </c>
      <c r="N206" s="9">
        <v>2500</v>
      </c>
      <c r="O206" s="1496"/>
    </row>
    <row r="207" spans="2:15">
      <c r="O207" s="1496"/>
    </row>
    <row r="208" spans="2:15">
      <c r="O208" s="1496"/>
    </row>
    <row r="209" spans="2:15">
      <c r="B209" s="578" t="s">
        <v>270</v>
      </c>
      <c r="O209" s="1496"/>
    </row>
    <row r="210" spans="2:15">
      <c r="B210" s="578" t="s">
        <v>8102</v>
      </c>
      <c r="N210" s="9" t="s">
        <v>135</v>
      </c>
      <c r="O210" s="1496"/>
    </row>
    <row r="211" spans="2:15">
      <c r="B211" s="9" t="s">
        <v>8103</v>
      </c>
      <c r="N211" s="9">
        <v>1000</v>
      </c>
      <c r="O211" s="1496"/>
    </row>
    <row r="212" spans="2:15">
      <c r="B212" s="9" t="s">
        <v>8104</v>
      </c>
      <c r="C212" s="9" t="s">
        <v>135</v>
      </c>
      <c r="N212" s="9">
        <v>300</v>
      </c>
      <c r="O212" s="1496"/>
    </row>
    <row r="213" spans="2:15">
      <c r="B213" s="9" t="s">
        <v>8105</v>
      </c>
      <c r="O213" s="1496"/>
    </row>
    <row r="214" spans="2:15">
      <c r="B214" s="9" t="s">
        <v>8106</v>
      </c>
      <c r="N214" s="9">
        <v>500</v>
      </c>
      <c r="O214" s="1496"/>
    </row>
    <row r="215" spans="2:15">
      <c r="B215" s="9" t="s">
        <v>8107</v>
      </c>
      <c r="O215" s="1496"/>
    </row>
    <row r="216" spans="2:15">
      <c r="O216" s="1496"/>
    </row>
    <row r="217" spans="2:15">
      <c r="B217" s="578" t="s">
        <v>8088</v>
      </c>
      <c r="O217" s="1496"/>
    </row>
    <row r="218" spans="2:15">
      <c r="B218" s="9" t="s">
        <v>8108</v>
      </c>
      <c r="O218" s="1496"/>
    </row>
    <row r="219" spans="2:15">
      <c r="B219" s="9" t="s">
        <v>135</v>
      </c>
      <c r="O219" s="1496"/>
    </row>
    <row r="220" spans="2:15">
      <c r="B220" s="9" t="s">
        <v>135</v>
      </c>
      <c r="N220" s="9">
        <v>0</v>
      </c>
      <c r="O220" s="1496"/>
    </row>
    <row r="221" spans="2:15">
      <c r="B221" s="9" t="s">
        <v>8109</v>
      </c>
      <c r="O221" s="1496"/>
    </row>
    <row r="222" spans="2:15">
      <c r="O222" s="1496"/>
    </row>
    <row r="223" spans="2:15">
      <c r="B223" s="578" t="s">
        <v>8110</v>
      </c>
      <c r="O223" s="1496"/>
    </row>
    <row r="224" spans="2:15">
      <c r="B224" s="9" t="s">
        <v>8111</v>
      </c>
      <c r="O224" s="1496"/>
    </row>
    <row r="225" spans="2:15">
      <c r="B225" s="9" t="s">
        <v>8112</v>
      </c>
      <c r="O225" s="1496"/>
    </row>
    <row r="226" spans="2:15">
      <c r="B226" s="9" t="s">
        <v>8113</v>
      </c>
      <c r="O226" s="1496"/>
    </row>
    <row r="227" spans="2:15">
      <c r="B227" s="9" t="s">
        <v>8114</v>
      </c>
      <c r="C227" s="9" t="s">
        <v>8115</v>
      </c>
      <c r="D227" s="9" t="s">
        <v>61</v>
      </c>
      <c r="E227" s="9" t="s">
        <v>8116</v>
      </c>
      <c r="F227" s="9" t="s">
        <v>8117</v>
      </c>
      <c r="G227" s="9" t="s">
        <v>8118</v>
      </c>
      <c r="H227" s="112" t="s">
        <v>8119</v>
      </c>
      <c r="O227" s="1496"/>
    </row>
    <row r="228" spans="2:15">
      <c r="B228" s="9">
        <v>1</v>
      </c>
      <c r="D228" s="9">
        <v>561</v>
      </c>
      <c r="H228" s="578">
        <f t="shared" ref="H228:H237" si="28">D228-E228-F228-G228</f>
        <v>561</v>
      </c>
      <c r="O228" s="1496"/>
    </row>
    <row r="229" spans="2:15">
      <c r="B229" s="9">
        <v>2</v>
      </c>
      <c r="D229" s="9">
        <v>765</v>
      </c>
      <c r="H229" s="578">
        <f t="shared" si="28"/>
        <v>765</v>
      </c>
      <c r="O229" s="1496"/>
    </row>
    <row r="230" spans="2:15">
      <c r="B230" s="9">
        <v>3</v>
      </c>
      <c r="C230" s="9">
        <v>96</v>
      </c>
      <c r="D230" s="9">
        <v>855</v>
      </c>
      <c r="H230" s="578">
        <f t="shared" si="28"/>
        <v>855</v>
      </c>
      <c r="O230" s="1496">
        <f>SUM(C230:N230)</f>
        <v>1806</v>
      </c>
    </row>
    <row r="231" spans="2:15">
      <c r="B231" s="9">
        <v>4</v>
      </c>
      <c r="C231" s="9">
        <v>1256</v>
      </c>
      <c r="D231" s="9">
        <v>2056</v>
      </c>
      <c r="H231" s="578">
        <f t="shared" si="28"/>
        <v>2056</v>
      </c>
      <c r="O231" s="1496"/>
    </row>
    <row r="232" spans="2:15">
      <c r="B232" s="9">
        <v>5</v>
      </c>
      <c r="C232" s="9">
        <v>1240</v>
      </c>
      <c r="D232" s="9">
        <v>1988</v>
      </c>
      <c r="H232" s="578">
        <f t="shared" si="28"/>
        <v>1988</v>
      </c>
      <c r="O232" s="1496"/>
    </row>
    <row r="233" spans="2:15">
      <c r="B233" s="9">
        <v>8</v>
      </c>
      <c r="C233" s="9">
        <v>885</v>
      </c>
      <c r="D233" s="9">
        <v>1525</v>
      </c>
      <c r="E233" s="9">
        <v>1525</v>
      </c>
      <c r="H233" s="578">
        <f t="shared" si="28"/>
        <v>0</v>
      </c>
      <c r="O233" s="1496"/>
    </row>
    <row r="234" spans="2:15">
      <c r="B234" s="9">
        <v>9</v>
      </c>
      <c r="C234" s="9">
        <v>0</v>
      </c>
      <c r="D234" s="9">
        <v>473</v>
      </c>
      <c r="E234" s="9">
        <v>473</v>
      </c>
      <c r="H234" s="578">
        <f t="shared" si="28"/>
        <v>0</v>
      </c>
      <c r="O234" s="1496"/>
    </row>
    <row r="235" spans="2:15">
      <c r="B235" s="9">
        <v>11</v>
      </c>
      <c r="C235" s="9">
        <v>322</v>
      </c>
      <c r="D235" s="9">
        <v>1103</v>
      </c>
      <c r="E235" s="9">
        <v>1103</v>
      </c>
      <c r="H235" s="578">
        <f t="shared" si="28"/>
        <v>0</v>
      </c>
      <c r="O235" s="1496"/>
    </row>
    <row r="236" spans="2:15">
      <c r="B236" s="9">
        <v>15</v>
      </c>
      <c r="C236" s="9">
        <v>631</v>
      </c>
      <c r="D236" s="9">
        <v>1379</v>
      </c>
      <c r="E236" s="9">
        <v>1379</v>
      </c>
      <c r="H236" s="578">
        <f t="shared" si="28"/>
        <v>0</v>
      </c>
      <c r="O236" s="1496"/>
    </row>
    <row r="237" spans="2:15">
      <c r="B237" s="9">
        <v>21</v>
      </c>
      <c r="H237" s="578">
        <f t="shared" si="28"/>
        <v>0</v>
      </c>
      <c r="O237" s="1496"/>
    </row>
    <row r="238" spans="2:15">
      <c r="H238" s="578"/>
      <c r="O238" s="1496"/>
    </row>
    <row r="239" spans="2:15">
      <c r="B239" s="9" t="s">
        <v>67</v>
      </c>
      <c r="E239" s="9">
        <f>SUM(E228:E238)</f>
        <v>4480</v>
      </c>
      <c r="F239" s="9">
        <f>SUM(F228:F238)</f>
        <v>0</v>
      </c>
      <c r="G239" s="9">
        <f>SUM(G228:G238)</f>
        <v>0</v>
      </c>
      <c r="H239" s="578">
        <f>SUM(H228:H237)</f>
        <v>6225</v>
      </c>
      <c r="J239" s="9">
        <v>10705</v>
      </c>
      <c r="O239" s="1496"/>
    </row>
    <row r="240" spans="2:15">
      <c r="G240" s="9">
        <f>SUM(E239:G239)</f>
        <v>4480</v>
      </c>
      <c r="O240" s="1496"/>
    </row>
    <row r="241" spans="15:15">
      <c r="O241" s="1496"/>
    </row>
    <row r="242" spans="15:15">
      <c r="O242" s="1496"/>
    </row>
    <row r="243" spans="15:15">
      <c r="O243" s="1496"/>
    </row>
    <row r="244" spans="15:15">
      <c r="O244" s="1496"/>
    </row>
    <row r="245" spans="15:15">
      <c r="O245" s="1496"/>
    </row>
    <row r="246" spans="15:15">
      <c r="O246" s="1496"/>
    </row>
    <row r="247" spans="15:15">
      <c r="O247" s="1496"/>
    </row>
    <row r="248" spans="15:15">
      <c r="O248" s="1496"/>
    </row>
    <row r="249" spans="15:15">
      <c r="O249" s="1496"/>
    </row>
    <row r="250" spans="15:15">
      <c r="O250" s="1496"/>
    </row>
  </sheetData>
  <mergeCells count="7">
    <mergeCell ref="B108:O108"/>
    <mergeCell ref="B135:O135"/>
    <mergeCell ref="B1:O1"/>
    <mergeCell ref="B39:O39"/>
    <mergeCell ref="B40:O40"/>
    <mergeCell ref="B60:O60"/>
    <mergeCell ref="B87:O87"/>
  </mergeCell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outlinePr summaryBelow="0" summaryRight="0"/>
  </sheetPr>
  <dimension ref="A1:V187"/>
  <sheetViews>
    <sheetView workbookViewId="0"/>
  </sheetViews>
  <sheetFormatPr defaultColWidth="12.7109375" defaultRowHeight="12.75" customHeight="1"/>
  <cols>
    <col min="1" max="1" width="1.85546875" customWidth="1"/>
    <col min="2" max="2" width="16.42578125" customWidth="1"/>
    <col min="3" max="14" width="8.28515625" customWidth="1"/>
    <col min="15" max="15" width="9" customWidth="1"/>
    <col min="16" max="16" width="2.140625" customWidth="1"/>
    <col min="17" max="17" width="5.42578125" customWidth="1"/>
    <col min="18" max="18" width="6.7109375" customWidth="1"/>
    <col min="19" max="19" width="17" customWidth="1"/>
    <col min="20" max="22" width="15.140625" customWidth="1"/>
  </cols>
  <sheetData>
    <row r="1" spans="1:22">
      <c r="A1" s="1433"/>
      <c r="B1" s="2283" t="s">
        <v>8021</v>
      </c>
      <c r="C1" s="2284"/>
      <c r="D1" s="2284"/>
      <c r="E1" s="2284"/>
      <c r="F1" s="2284"/>
      <c r="G1" s="2284"/>
      <c r="H1" s="2284"/>
      <c r="I1" s="2284"/>
      <c r="J1" s="2284"/>
      <c r="K1" s="2284"/>
      <c r="L1" s="2284"/>
      <c r="M1" s="2284"/>
      <c r="N1" s="2284"/>
      <c r="O1" s="2285"/>
      <c r="P1" s="1433"/>
      <c r="Q1" s="1406"/>
      <c r="R1" s="9" t="s">
        <v>8120</v>
      </c>
    </row>
    <row r="2" spans="1:22">
      <c r="A2" s="1433"/>
      <c r="B2" s="1435" t="s">
        <v>8121</v>
      </c>
      <c r="C2" s="1436" t="s">
        <v>143</v>
      </c>
      <c r="D2" s="1436" t="s">
        <v>26</v>
      </c>
      <c r="E2" s="1436" t="s">
        <v>25</v>
      </c>
      <c r="F2" s="1436" t="s">
        <v>24</v>
      </c>
      <c r="G2" s="1436" t="s">
        <v>23</v>
      </c>
      <c r="H2" s="1436" t="s">
        <v>22</v>
      </c>
      <c r="I2" s="1436" t="s">
        <v>21</v>
      </c>
      <c r="J2" s="1436" t="s">
        <v>20</v>
      </c>
      <c r="K2" s="1436" t="s">
        <v>256</v>
      </c>
      <c r="L2" s="1436" t="s">
        <v>18</v>
      </c>
      <c r="M2" s="1436" t="s">
        <v>17</v>
      </c>
      <c r="N2" s="1436" t="s">
        <v>86</v>
      </c>
      <c r="O2" s="1437" t="s">
        <v>8022</v>
      </c>
      <c r="P2" s="1438"/>
      <c r="Q2" s="1487" t="s">
        <v>8122</v>
      </c>
      <c r="R2" s="578" t="s">
        <v>8123</v>
      </c>
      <c r="S2" s="9" t="str">
        <f>B2</f>
        <v>2 0 1 2</v>
      </c>
      <c r="T2" s="578"/>
      <c r="U2" s="578"/>
      <c r="V2" s="578"/>
    </row>
    <row r="3" spans="1:22">
      <c r="A3" s="1433"/>
      <c r="B3" s="674" t="s">
        <v>8024</v>
      </c>
      <c r="C3" s="12">
        <f t="shared" ref="C3:N3" si="0">C6-C4-C5</f>
        <v>9812</v>
      </c>
      <c r="D3" s="12">
        <f t="shared" si="0"/>
        <v>14160.000000000002</v>
      </c>
      <c r="E3" s="12">
        <f t="shared" si="0"/>
        <v>10062.5</v>
      </c>
      <c r="F3" s="12">
        <f t="shared" si="0"/>
        <v>9767</v>
      </c>
      <c r="G3" s="12">
        <f t="shared" si="0"/>
        <v>5539.5</v>
      </c>
      <c r="H3" s="12">
        <f t="shared" si="0"/>
        <v>14268.000000000002</v>
      </c>
      <c r="I3" s="12">
        <f t="shared" si="0"/>
        <v>7779.5</v>
      </c>
      <c r="J3" s="12">
        <f t="shared" si="0"/>
        <v>11550.5</v>
      </c>
      <c r="K3" s="12">
        <f t="shared" si="0"/>
        <v>11982.5</v>
      </c>
      <c r="L3" s="12">
        <f t="shared" si="0"/>
        <v>10766.000000000002</v>
      </c>
      <c r="M3" s="12">
        <f t="shared" si="0"/>
        <v>8215.23</v>
      </c>
      <c r="N3" s="12">
        <f t="shared" si="0"/>
        <v>5191.0000000000018</v>
      </c>
      <c r="O3" s="1439">
        <f>SUM(C3:N3)</f>
        <v>119093.73</v>
      </c>
      <c r="P3" s="1433"/>
      <c r="Q3" s="1408">
        <f>AVERAGE(C3:J3)</f>
        <v>10367.375</v>
      </c>
      <c r="R3" s="16">
        <f>Q3*12</f>
        <v>124408.5</v>
      </c>
      <c r="S3" s="9" t="str">
        <f>B3</f>
        <v>Rental Income</v>
      </c>
    </row>
    <row r="4" spans="1:22">
      <c r="A4" s="1433"/>
      <c r="B4" s="1440" t="s">
        <v>8025</v>
      </c>
      <c r="C4" s="1441">
        <v>3378.22</v>
      </c>
      <c r="D4" s="1441">
        <v>3388.22</v>
      </c>
      <c r="E4" s="1441">
        <v>3388.22</v>
      </c>
      <c r="F4" s="1441">
        <v>3388.22</v>
      </c>
      <c r="G4" s="1441">
        <v>3383.22</v>
      </c>
      <c r="H4" s="1441">
        <v>2978.22</v>
      </c>
      <c r="I4" s="1441">
        <v>3253.22</v>
      </c>
      <c r="J4" s="1441">
        <v>3253.22</v>
      </c>
      <c r="K4" s="1441">
        <f>3253.22+100</f>
        <v>3353.22</v>
      </c>
      <c r="L4" s="1441">
        <v>3353.22</v>
      </c>
      <c r="M4" s="1441">
        <v>3335.22</v>
      </c>
      <c r="N4" s="1441">
        <v>3335.22</v>
      </c>
      <c r="O4" s="1442">
        <f>SUM(C4:N4)</f>
        <v>39787.640000000007</v>
      </c>
      <c r="P4" s="1433"/>
      <c r="Q4" s="1408">
        <f>AVERAGE(C4:J4)</f>
        <v>3301.3450000000003</v>
      </c>
      <c r="R4" s="16">
        <f>Q4*12</f>
        <v>39616.14</v>
      </c>
      <c r="S4" s="9" t="str">
        <f>B4</f>
        <v>Loan Income</v>
      </c>
    </row>
    <row r="5" spans="1:22">
      <c r="A5" s="1433"/>
      <c r="B5" s="666" t="s">
        <v>8026</v>
      </c>
      <c r="C5" s="12">
        <v>1780</v>
      </c>
      <c r="D5" s="12"/>
      <c r="E5" s="12">
        <v>1658</v>
      </c>
      <c r="F5" s="12"/>
      <c r="G5" s="12">
        <v>2415</v>
      </c>
      <c r="H5" s="12"/>
      <c r="I5" s="12">
        <v>2160</v>
      </c>
      <c r="J5" s="12"/>
      <c r="K5" s="12">
        <v>0</v>
      </c>
      <c r="L5" s="12"/>
      <c r="M5" s="12">
        <v>1281</v>
      </c>
      <c r="N5" s="12"/>
      <c r="O5" s="1443">
        <f>SUM(C5:N5)</f>
        <v>9294</v>
      </c>
      <c r="P5" s="1433"/>
      <c r="Q5" s="1408"/>
      <c r="R5" s="16"/>
    </row>
    <row r="6" spans="1:22">
      <c r="A6" s="1433"/>
      <c r="B6" s="666" t="s">
        <v>6847</v>
      </c>
      <c r="C6" s="667">
        <v>14970.22</v>
      </c>
      <c r="D6" s="667">
        <v>17548.22</v>
      </c>
      <c r="E6" s="667">
        <v>15108.72</v>
      </c>
      <c r="F6" s="667">
        <v>13155.22</v>
      </c>
      <c r="G6" s="667">
        <v>11337.72</v>
      </c>
      <c r="H6" s="667">
        <v>17246.22</v>
      </c>
      <c r="I6" s="667">
        <v>13192.72</v>
      </c>
      <c r="J6" s="667">
        <f>2518+3416.5+3644.22+675+2050+810+890+800</f>
        <v>14803.72</v>
      </c>
      <c r="K6" s="667">
        <f>1235+4185.5+1417+2497.22+2400+607+1710+1284</f>
        <v>15335.72</v>
      </c>
      <c r="L6" s="667">
        <f>1284+1752+400+1512.22+3259+1957+765+3190</f>
        <v>14119.220000000001</v>
      </c>
      <c r="M6" s="667">
        <f>1326+936+1355+2568+2034.22+802+765+1000.23+665+1380</f>
        <v>12831.449999999999</v>
      </c>
      <c r="N6" s="667">
        <f>2789+2065+732.22+2940</f>
        <v>8526.2200000000012</v>
      </c>
      <c r="O6" s="1439">
        <f>SUM(C6:N6)</f>
        <v>168175.37000000002</v>
      </c>
      <c r="P6" s="1444"/>
      <c r="Q6" s="1408">
        <f t="shared" ref="Q6:Q11" si="1">AVERAGE(C6:J6)</f>
        <v>14670.345000000001</v>
      </c>
      <c r="R6" s="16">
        <f t="shared" ref="R6:R11" si="2">Q6*12</f>
        <v>176044.14</v>
      </c>
      <c r="S6" s="9" t="str">
        <f t="shared" ref="S6:S11" si="3">B6</f>
        <v>Gross Income</v>
      </c>
      <c r="T6" s="578"/>
      <c r="U6" s="578"/>
      <c r="V6" s="578"/>
    </row>
    <row r="7" spans="1:22">
      <c r="A7" s="1433"/>
      <c r="B7" s="1342" t="s">
        <v>6389</v>
      </c>
      <c r="C7" s="1343">
        <v>10000</v>
      </c>
      <c r="D7" s="1343">
        <v>11000</v>
      </c>
      <c r="E7" s="1343">
        <v>11000</v>
      </c>
      <c r="F7" s="1343">
        <v>12000</v>
      </c>
      <c r="G7" s="1343">
        <v>10000</v>
      </c>
      <c r="H7" s="1343">
        <v>7000</v>
      </c>
      <c r="I7" s="1343">
        <v>6000</v>
      </c>
      <c r="J7" s="1343">
        <v>10000</v>
      </c>
      <c r="K7" s="1343">
        <v>9000</v>
      </c>
      <c r="L7" s="1343">
        <v>10000</v>
      </c>
      <c r="M7" s="1343">
        <v>6000</v>
      </c>
      <c r="N7" s="1343">
        <v>9000</v>
      </c>
      <c r="O7" s="1470">
        <f>SUM(C7:N7)</f>
        <v>111000</v>
      </c>
      <c r="P7" s="1448"/>
      <c r="Q7" s="1408">
        <f t="shared" si="1"/>
        <v>9625</v>
      </c>
      <c r="R7" s="16">
        <f t="shared" si="2"/>
        <v>115500</v>
      </c>
      <c r="S7" s="9" t="str">
        <f t="shared" si="3"/>
        <v>Draw</v>
      </c>
    </row>
    <row r="8" spans="1:22">
      <c r="A8" s="1433"/>
      <c r="B8" s="666" t="s">
        <v>8054</v>
      </c>
      <c r="C8" s="1446">
        <f t="shared" ref="C8:O8" si="4">C6-C25</f>
        <v>12093.599999999999</v>
      </c>
      <c r="D8" s="1446">
        <f t="shared" si="4"/>
        <v>16266.18</v>
      </c>
      <c r="E8" s="1446">
        <f t="shared" si="4"/>
        <v>10585.39</v>
      </c>
      <c r="F8" s="1446">
        <f t="shared" si="4"/>
        <v>11054.539999999999</v>
      </c>
      <c r="G8" s="1446">
        <f t="shared" si="4"/>
        <v>-849.6100000000024</v>
      </c>
      <c r="H8" s="1446">
        <f t="shared" si="4"/>
        <v>14837.880000000001</v>
      </c>
      <c r="I8" s="1446">
        <f t="shared" si="4"/>
        <v>1762.0599999999995</v>
      </c>
      <c r="J8" s="1446">
        <f t="shared" si="4"/>
        <v>13621.06</v>
      </c>
      <c r="K8" s="1446">
        <f t="shared" si="4"/>
        <v>11135.16</v>
      </c>
      <c r="L8" s="1446">
        <f t="shared" si="4"/>
        <v>8969.0800000000017</v>
      </c>
      <c r="M8" s="1446">
        <f t="shared" si="4"/>
        <v>4543.6900000000005</v>
      </c>
      <c r="N8" s="1446">
        <f t="shared" si="4"/>
        <v>1734.1900000000014</v>
      </c>
      <c r="O8" s="1447">
        <f t="shared" si="4"/>
        <v>105753.22000000003</v>
      </c>
      <c r="P8" s="1448"/>
      <c r="Q8" s="1408">
        <f t="shared" si="1"/>
        <v>9921.3874999999989</v>
      </c>
      <c r="R8" s="16">
        <f t="shared" si="2"/>
        <v>119056.65</v>
      </c>
      <c r="S8" s="9" t="str">
        <f t="shared" si="3"/>
        <v>EXPENSES   /   Net &gt;</v>
      </c>
    </row>
    <row r="9" spans="1:22">
      <c r="A9" s="1433"/>
      <c r="B9" s="674" t="s">
        <v>8036</v>
      </c>
      <c r="C9" s="675" t="s">
        <v>135</v>
      </c>
      <c r="D9" s="675"/>
      <c r="E9" s="675"/>
      <c r="F9" s="675" t="s">
        <v>135</v>
      </c>
      <c r="G9" s="675">
        <f>5687.88+100</f>
        <v>5787.88</v>
      </c>
      <c r="H9" s="675">
        <v>197</v>
      </c>
      <c r="I9" s="675"/>
      <c r="J9" s="675">
        <v>0</v>
      </c>
      <c r="K9" s="675">
        <f>111.01+504+115</f>
        <v>730.01</v>
      </c>
      <c r="L9" s="675">
        <f>392+115</f>
        <v>507</v>
      </c>
      <c r="M9" s="675" t="s">
        <v>135</v>
      </c>
      <c r="N9" s="675">
        <f>128.22+556.19+5241.47</f>
        <v>5925.88</v>
      </c>
      <c r="O9" s="1449">
        <f t="shared" ref="O9:O24" si="5">SUM(C9:N9)</f>
        <v>13147.77</v>
      </c>
      <c r="P9" s="1448"/>
      <c r="Q9" s="1408">
        <f t="shared" si="1"/>
        <v>1994.96</v>
      </c>
      <c r="R9" s="16">
        <f t="shared" si="2"/>
        <v>23939.52</v>
      </c>
      <c r="S9" s="9" t="str">
        <f t="shared" si="3"/>
        <v>Property &amp; HCD Tax</v>
      </c>
    </row>
    <row r="10" spans="1:22">
      <c r="A10" s="1433"/>
      <c r="B10" s="674" t="s">
        <v>8027</v>
      </c>
      <c r="C10" s="675">
        <v>1902.45</v>
      </c>
      <c r="D10" s="675"/>
      <c r="E10" s="675">
        <v>2626.25</v>
      </c>
      <c r="F10" s="675"/>
      <c r="G10" s="675">
        <v>2457.25</v>
      </c>
      <c r="H10" s="675" t="s">
        <v>135</v>
      </c>
      <c r="I10" s="675">
        <v>3003.25</v>
      </c>
      <c r="J10" s="675"/>
      <c r="K10" s="675">
        <v>0</v>
      </c>
      <c r="L10" s="675"/>
      <c r="M10" s="675">
        <v>1359.25</v>
      </c>
      <c r="N10" s="1450"/>
      <c r="O10" s="1451">
        <f t="shared" si="5"/>
        <v>11348.45</v>
      </c>
      <c r="P10" s="1448"/>
      <c r="Q10" s="1408">
        <f t="shared" si="1"/>
        <v>2497.3000000000002</v>
      </c>
      <c r="R10" s="16">
        <f t="shared" si="2"/>
        <v>29967.600000000002</v>
      </c>
      <c r="S10" s="9" t="str">
        <f t="shared" si="3"/>
        <v>Special Dist. Water</v>
      </c>
    </row>
    <row r="11" spans="1:22">
      <c r="A11" s="1433"/>
      <c r="B11" s="674" t="s">
        <v>8028</v>
      </c>
      <c r="C11" s="675" t="s">
        <v>135</v>
      </c>
      <c r="D11" s="675" t="s">
        <v>135</v>
      </c>
      <c r="E11" s="675" t="s">
        <v>135</v>
      </c>
      <c r="F11" s="675" t="s">
        <v>135</v>
      </c>
      <c r="G11" s="675">
        <v>20.6</v>
      </c>
      <c r="H11" s="675">
        <f>38.75+20.6+252.01</f>
        <v>311.36</v>
      </c>
      <c r="I11" s="675">
        <v>38.75</v>
      </c>
      <c r="J11" s="675">
        <v>36.94</v>
      </c>
      <c r="K11" s="675">
        <v>24.46</v>
      </c>
      <c r="L11" s="675">
        <v>23.56</v>
      </c>
      <c r="M11" s="675">
        <v>24.85</v>
      </c>
      <c r="N11" s="1450"/>
      <c r="O11" s="1452">
        <f t="shared" si="5"/>
        <v>480.52000000000004</v>
      </c>
      <c r="P11" s="1448"/>
      <c r="Q11" s="1408">
        <f t="shared" si="1"/>
        <v>101.91250000000001</v>
      </c>
      <c r="R11" s="16">
        <f t="shared" si="2"/>
        <v>1222.95</v>
      </c>
      <c r="S11" s="9" t="str">
        <f t="shared" si="3"/>
        <v>PG&amp;E electric</v>
      </c>
    </row>
    <row r="12" spans="1:22">
      <c r="A12" s="1433"/>
      <c r="B12" s="674" t="s">
        <v>8124</v>
      </c>
      <c r="C12" s="675"/>
      <c r="D12" s="675"/>
      <c r="E12" s="675"/>
      <c r="F12" s="675"/>
      <c r="G12" s="675"/>
      <c r="H12" s="675"/>
      <c r="I12" s="675"/>
      <c r="J12" s="675"/>
      <c r="K12" s="675"/>
      <c r="L12" s="675">
        <v>105.5</v>
      </c>
      <c r="M12" s="675" t="s">
        <v>135</v>
      </c>
      <c r="N12" s="1450"/>
      <c r="O12" s="1452">
        <f t="shared" si="5"/>
        <v>105.5</v>
      </c>
      <c r="P12" s="1448"/>
      <c r="Q12" s="1408"/>
      <c r="R12" s="16"/>
    </row>
    <row r="13" spans="1:22">
      <c r="A13" s="1433"/>
      <c r="B13" s="674" t="s">
        <v>7057</v>
      </c>
      <c r="C13" s="675">
        <v>38.58</v>
      </c>
      <c r="D13" s="675" t="s">
        <v>135</v>
      </c>
      <c r="E13" s="675" t="s">
        <v>135</v>
      </c>
      <c r="F13" s="675">
        <v>199.41</v>
      </c>
      <c r="G13" s="675">
        <v>80</v>
      </c>
      <c r="H13" s="675" t="s">
        <v>135</v>
      </c>
      <c r="I13" s="675">
        <v>41.74</v>
      </c>
      <c r="J13" s="675"/>
      <c r="K13" s="675"/>
      <c r="L13" s="675">
        <v>41.24</v>
      </c>
      <c r="M13" s="675">
        <v>60</v>
      </c>
      <c r="N13" s="1450"/>
      <c r="O13" s="1453">
        <f t="shared" si="5"/>
        <v>460.97</v>
      </c>
      <c r="P13" s="1448"/>
      <c r="Q13" s="1408">
        <f t="shared" ref="Q13:Q25" si="6">AVERAGE(C13:J13)</f>
        <v>89.932500000000005</v>
      </c>
      <c r="R13" s="16">
        <f t="shared" ref="R13:R25" si="7">Q13*12</f>
        <v>1079.19</v>
      </c>
      <c r="S13" s="9" t="str">
        <f t="shared" ref="S13:S25" si="8">B13</f>
        <v>Garbage</v>
      </c>
    </row>
    <row r="14" spans="1:22">
      <c r="A14" s="1433"/>
      <c r="B14" s="674" t="s">
        <v>8125</v>
      </c>
      <c r="C14" s="675">
        <v>538.59</v>
      </c>
      <c r="D14" s="675">
        <v>602.04</v>
      </c>
      <c r="E14" s="675">
        <v>602.04</v>
      </c>
      <c r="F14" s="675">
        <v>521.9</v>
      </c>
      <c r="G14" s="675">
        <f>500+300</f>
        <v>800</v>
      </c>
      <c r="H14" s="675">
        <v>500</v>
      </c>
      <c r="I14" s="675">
        <v>632.79999999999995</v>
      </c>
      <c r="J14" s="675">
        <v>500</v>
      </c>
      <c r="K14" s="675">
        <v>523.5</v>
      </c>
      <c r="L14" s="675">
        <v>530.17999999999995</v>
      </c>
      <c r="M14" s="675">
        <v>500</v>
      </c>
      <c r="N14" s="675">
        <v>500</v>
      </c>
      <c r="O14" s="1454">
        <f t="shared" si="5"/>
        <v>6751.05</v>
      </c>
      <c r="P14" s="1448"/>
      <c r="Q14" s="1408">
        <f t="shared" si="6"/>
        <v>587.17124999999999</v>
      </c>
      <c r="R14" s="16">
        <f t="shared" si="7"/>
        <v>7046.0550000000003</v>
      </c>
      <c r="S14" s="9" t="str">
        <f t="shared" si="8"/>
        <v>Harry Management</v>
      </c>
    </row>
    <row r="15" spans="1:22">
      <c r="A15" s="1433"/>
      <c r="B15" s="674" t="s">
        <v>7019</v>
      </c>
      <c r="C15" s="675">
        <v>200</v>
      </c>
      <c r="D15" s="675"/>
      <c r="E15" s="675"/>
      <c r="F15" s="675">
        <v>1000</v>
      </c>
      <c r="G15" s="675">
        <v>455.32</v>
      </c>
      <c r="H15" s="675"/>
      <c r="I15" s="675">
        <v>1822</v>
      </c>
      <c r="J15" s="675"/>
      <c r="K15" s="675"/>
      <c r="L15" s="675"/>
      <c r="M15" s="675"/>
      <c r="N15" s="675"/>
      <c r="O15" s="1443">
        <f t="shared" si="5"/>
        <v>3477.3199999999997</v>
      </c>
      <c r="P15" s="1448"/>
      <c r="Q15" s="1408">
        <f t="shared" si="6"/>
        <v>869.32999999999993</v>
      </c>
      <c r="R15" s="16">
        <f t="shared" si="7"/>
        <v>10431.959999999999</v>
      </c>
      <c r="S15" s="9" t="str">
        <f t="shared" si="8"/>
        <v>Legal</v>
      </c>
    </row>
    <row r="16" spans="1:22">
      <c r="A16" s="1433"/>
      <c r="B16" s="674" t="s">
        <v>3313</v>
      </c>
      <c r="C16" s="675"/>
      <c r="D16" s="675"/>
      <c r="E16" s="675"/>
      <c r="F16" s="675"/>
      <c r="G16" s="675"/>
      <c r="H16" s="675">
        <v>48.48</v>
      </c>
      <c r="I16" s="675"/>
      <c r="J16" s="675">
        <v>42.6</v>
      </c>
      <c r="K16" s="675"/>
      <c r="L16" s="675"/>
      <c r="M16" s="675"/>
      <c r="N16" s="675"/>
      <c r="O16" s="1443">
        <f t="shared" si="5"/>
        <v>91.08</v>
      </c>
      <c r="P16" s="1448"/>
      <c r="Q16" s="1408">
        <f t="shared" si="6"/>
        <v>45.54</v>
      </c>
      <c r="R16" s="16">
        <f t="shared" si="7"/>
        <v>546.48</v>
      </c>
      <c r="S16" s="9" t="str">
        <f t="shared" si="8"/>
        <v>Advertising</v>
      </c>
    </row>
    <row r="17" spans="1:22">
      <c r="A17" s="1433"/>
      <c r="B17" s="674" t="s">
        <v>7033</v>
      </c>
      <c r="C17" s="675">
        <v>15</v>
      </c>
      <c r="D17" s="675"/>
      <c r="E17" s="675">
        <v>27</v>
      </c>
      <c r="F17" s="675"/>
      <c r="G17" s="675">
        <v>15</v>
      </c>
      <c r="H17" s="675">
        <v>15</v>
      </c>
      <c r="I17" s="675"/>
      <c r="J17" s="675"/>
      <c r="K17" s="675"/>
      <c r="L17" s="675"/>
      <c r="M17" s="675"/>
      <c r="N17" s="675"/>
      <c r="O17" s="1443">
        <f t="shared" si="5"/>
        <v>72</v>
      </c>
      <c r="P17" s="1448"/>
      <c r="Q17" s="1408">
        <f t="shared" si="6"/>
        <v>18</v>
      </c>
      <c r="R17" s="16">
        <f t="shared" si="7"/>
        <v>216</v>
      </c>
      <c r="S17" s="9" t="str">
        <f t="shared" si="8"/>
        <v>Bank Fees</v>
      </c>
    </row>
    <row r="18" spans="1:22">
      <c r="A18" s="1433"/>
      <c r="B18" s="674" t="s">
        <v>5684</v>
      </c>
      <c r="C18" s="687" t="s">
        <v>135</v>
      </c>
      <c r="D18" s="687"/>
      <c r="E18" s="687">
        <v>131.04</v>
      </c>
      <c r="F18" s="687"/>
      <c r="G18" s="687"/>
      <c r="H18" s="687"/>
      <c r="I18" s="687"/>
      <c r="J18" s="687">
        <v>23.75</v>
      </c>
      <c r="K18" s="687"/>
      <c r="L18" s="687">
        <v>2655.13</v>
      </c>
      <c r="M18" s="687">
        <v>6211.2</v>
      </c>
      <c r="N18" s="687"/>
      <c r="O18" s="1449">
        <f t="shared" si="5"/>
        <v>9021.119999999999</v>
      </c>
      <c r="P18" s="1448"/>
      <c r="Q18" s="1408">
        <f t="shared" si="6"/>
        <v>77.394999999999996</v>
      </c>
      <c r="R18" s="16">
        <f t="shared" si="7"/>
        <v>928.74</v>
      </c>
      <c r="S18" s="9" t="str">
        <f t="shared" si="8"/>
        <v>Property Insurance</v>
      </c>
    </row>
    <row r="19" spans="1:22">
      <c r="A19" s="1433"/>
      <c r="B19" s="674" t="s">
        <v>8030</v>
      </c>
      <c r="C19" s="945" t="s">
        <v>135</v>
      </c>
      <c r="D19" s="945" t="s">
        <v>135</v>
      </c>
      <c r="E19" s="945" t="s">
        <v>135</v>
      </c>
      <c r="F19" s="945" t="s">
        <v>135</v>
      </c>
      <c r="G19" s="945" t="s">
        <v>135</v>
      </c>
      <c r="H19" s="945">
        <v>608.54</v>
      </c>
      <c r="I19" s="945">
        <v>242.12</v>
      </c>
      <c r="J19" s="945">
        <v>24.37</v>
      </c>
      <c r="K19" s="945">
        <v>78.78</v>
      </c>
      <c r="L19" s="945">
        <v>25.22</v>
      </c>
      <c r="M19" s="945">
        <v>92.46</v>
      </c>
      <c r="N19" s="1461" t="s">
        <v>135</v>
      </c>
      <c r="O19" s="1451">
        <f t="shared" si="5"/>
        <v>1071.49</v>
      </c>
      <c r="P19" s="1448"/>
      <c r="Q19" s="1408">
        <f t="shared" si="6"/>
        <v>291.67666666666668</v>
      </c>
      <c r="R19" s="16">
        <f t="shared" si="7"/>
        <v>3500.12</v>
      </c>
      <c r="S19" s="9" t="str">
        <f t="shared" si="8"/>
        <v>---Kelseyville Lumber</v>
      </c>
    </row>
    <row r="20" spans="1:22">
      <c r="A20" s="1433"/>
      <c r="B20" s="674" t="s">
        <v>8038</v>
      </c>
      <c r="C20" s="675"/>
      <c r="D20" s="675">
        <v>400</v>
      </c>
      <c r="E20" s="675">
        <v>527</v>
      </c>
      <c r="F20" s="675"/>
      <c r="G20" s="675">
        <f>315+400</f>
        <v>715</v>
      </c>
      <c r="H20" s="675">
        <f>35+188.79</f>
        <v>223.79</v>
      </c>
      <c r="I20" s="675">
        <f>4500</f>
        <v>4500</v>
      </c>
      <c r="J20" s="675"/>
      <c r="K20" s="675">
        <f>800+180</f>
        <v>980</v>
      </c>
      <c r="L20" s="675"/>
      <c r="M20" s="675"/>
      <c r="N20" s="1450">
        <v>360</v>
      </c>
      <c r="O20" s="1452">
        <f t="shared" si="5"/>
        <v>7705.79</v>
      </c>
      <c r="P20" s="1448"/>
      <c r="Q20" s="1408">
        <f t="shared" si="6"/>
        <v>1273.1579999999999</v>
      </c>
      <c r="R20" s="16">
        <f t="shared" si="7"/>
        <v>15277.895999999999</v>
      </c>
      <c r="S20" s="9" t="str">
        <f t="shared" si="8"/>
        <v>---Septic/Sewer</v>
      </c>
    </row>
    <row r="21" spans="1:22">
      <c r="A21" s="1433"/>
      <c r="B21" s="674" t="s">
        <v>8039</v>
      </c>
      <c r="C21" s="675">
        <f>420.58-38.58-200</f>
        <v>182</v>
      </c>
      <c r="D21" s="675">
        <f>680-400</f>
        <v>280</v>
      </c>
      <c r="E21" s="675">
        <v>610</v>
      </c>
      <c r="F21" s="675">
        <f>1464.74-199.41-1000</f>
        <v>265.32999999999993</v>
      </c>
      <c r="G21" s="675">
        <f>1671.66-1260-80</f>
        <v>331.66000000000008</v>
      </c>
      <c r="H21" s="675">
        <f>790.47-188.79-196-48.48-125</f>
        <v>232.20000000000005</v>
      </c>
      <c r="I21" s="675">
        <f>1191.74-410-41.74</f>
        <v>740</v>
      </c>
      <c r="J21" s="675">
        <f>40+120+45+80+60</f>
        <v>345</v>
      </c>
      <c r="K21" s="675"/>
      <c r="L21" s="675">
        <f>45+75+60+180</f>
        <v>360</v>
      </c>
      <c r="M21" s="675">
        <v>40</v>
      </c>
      <c r="N21" s="1450">
        <v>6.15</v>
      </c>
      <c r="O21" s="1452">
        <f t="shared" si="5"/>
        <v>3392.34</v>
      </c>
      <c r="P21" s="1448"/>
      <c r="Q21" s="1408">
        <f t="shared" si="6"/>
        <v>373.27375000000001</v>
      </c>
      <c r="R21" s="16">
        <f t="shared" si="7"/>
        <v>4479.2849999999999</v>
      </c>
      <c r="S21" s="9" t="str">
        <f t="shared" si="8"/>
        <v>---Petty Cash</v>
      </c>
    </row>
    <row r="22" spans="1:22">
      <c r="A22" s="1433"/>
      <c r="B22" s="674" t="s">
        <v>8040</v>
      </c>
      <c r="C22" s="675"/>
      <c r="D22" s="675"/>
      <c r="E22" s="675"/>
      <c r="F22" s="675"/>
      <c r="G22" s="675">
        <v>1260</v>
      </c>
      <c r="H22" s="675">
        <v>125</v>
      </c>
      <c r="I22" s="675">
        <v>410</v>
      </c>
      <c r="J22" s="675">
        <v>150</v>
      </c>
      <c r="K22" s="675">
        <v>1761.5</v>
      </c>
      <c r="L22" s="675"/>
      <c r="M22" s="675"/>
      <c r="N22" s="1450"/>
      <c r="O22" s="1452">
        <f t="shared" si="5"/>
        <v>3706.5</v>
      </c>
      <c r="P22" s="1448"/>
      <c r="Q22" s="1408">
        <f t="shared" si="6"/>
        <v>486.25</v>
      </c>
      <c r="R22" s="16">
        <f t="shared" si="7"/>
        <v>5835</v>
      </c>
      <c r="S22" s="9" t="str">
        <f t="shared" si="8"/>
        <v>---Electrical/Trees</v>
      </c>
    </row>
    <row r="23" spans="1:22">
      <c r="A23" s="1433"/>
      <c r="B23" s="674" t="s">
        <v>8041</v>
      </c>
      <c r="C23" s="675"/>
      <c r="D23" s="675"/>
      <c r="E23" s="675"/>
      <c r="F23" s="675">
        <v>114.04</v>
      </c>
      <c r="G23" s="675">
        <v>264.62</v>
      </c>
      <c r="H23" s="675">
        <v>146.97</v>
      </c>
      <c r="I23" s="675"/>
      <c r="J23" s="675">
        <v>60</v>
      </c>
      <c r="K23" s="675">
        <f>97.16+5.15</f>
        <v>102.31</v>
      </c>
      <c r="L23" s="675">
        <v>902.31</v>
      </c>
      <c r="M23" s="675"/>
      <c r="N23" s="1450"/>
      <c r="O23" s="1453">
        <f t="shared" si="5"/>
        <v>1590.25</v>
      </c>
      <c r="P23" s="1448"/>
      <c r="Q23" s="1408">
        <f t="shared" si="6"/>
        <v>146.4075</v>
      </c>
      <c r="R23" s="16">
        <f t="shared" si="7"/>
        <v>1756.8899999999999</v>
      </c>
      <c r="S23" s="9" t="str">
        <f t="shared" si="8"/>
        <v>---Other [visa]</v>
      </c>
    </row>
    <row r="24" spans="1:22">
      <c r="A24" s="1433"/>
      <c r="B24" s="666" t="s">
        <v>6323</v>
      </c>
      <c r="C24" s="677">
        <f t="shared" ref="C24:N24" si="9">SUM(C19:C23)</f>
        <v>182</v>
      </c>
      <c r="D24" s="677">
        <f t="shared" si="9"/>
        <v>680</v>
      </c>
      <c r="E24" s="677">
        <f t="shared" si="9"/>
        <v>1137</v>
      </c>
      <c r="F24" s="677">
        <f t="shared" si="9"/>
        <v>379.36999999999995</v>
      </c>
      <c r="G24" s="677">
        <f t="shared" si="9"/>
        <v>2571.2799999999997</v>
      </c>
      <c r="H24" s="677">
        <f t="shared" si="9"/>
        <v>1336.5</v>
      </c>
      <c r="I24" s="677">
        <f t="shared" si="9"/>
        <v>5892.12</v>
      </c>
      <c r="J24" s="677">
        <f t="shared" si="9"/>
        <v>579.37</v>
      </c>
      <c r="K24" s="677">
        <f t="shared" si="9"/>
        <v>2922.5899999999997</v>
      </c>
      <c r="L24" s="677">
        <f t="shared" si="9"/>
        <v>1287.53</v>
      </c>
      <c r="M24" s="677">
        <f t="shared" si="9"/>
        <v>132.45999999999998</v>
      </c>
      <c r="N24" s="677">
        <f t="shared" si="9"/>
        <v>366.15</v>
      </c>
      <c r="O24" s="1462">
        <f t="shared" si="5"/>
        <v>17466.370000000003</v>
      </c>
      <c r="P24" s="1444"/>
      <c r="Q24" s="1408">
        <f t="shared" si="6"/>
        <v>1594.7050000000002</v>
      </c>
      <c r="R24" s="16">
        <f t="shared" si="7"/>
        <v>19136.460000000003</v>
      </c>
      <c r="S24" s="9" t="str">
        <f t="shared" si="8"/>
        <v>Total Repairs</v>
      </c>
      <c r="T24" s="578"/>
      <c r="U24" s="578"/>
      <c r="V24" s="578"/>
    </row>
    <row r="25" spans="1:22">
      <c r="A25" s="661"/>
      <c r="B25" s="1455" t="s">
        <v>1126</v>
      </c>
      <c r="C25" s="1456">
        <f t="shared" ref="C25:O25" si="10">SUM(C9:C23)</f>
        <v>2876.62</v>
      </c>
      <c r="D25" s="1456">
        <f t="shared" si="10"/>
        <v>1282.04</v>
      </c>
      <c r="E25" s="1456">
        <f t="shared" si="10"/>
        <v>4523.33</v>
      </c>
      <c r="F25" s="1456">
        <f t="shared" si="10"/>
        <v>2100.6799999999998</v>
      </c>
      <c r="G25" s="1456">
        <f t="shared" si="10"/>
        <v>12187.330000000002</v>
      </c>
      <c r="H25" s="1456">
        <f t="shared" si="10"/>
        <v>2408.3399999999997</v>
      </c>
      <c r="I25" s="1456">
        <f t="shared" si="10"/>
        <v>11430.66</v>
      </c>
      <c r="J25" s="1456">
        <f t="shared" si="10"/>
        <v>1182.6600000000001</v>
      </c>
      <c r="K25" s="1456">
        <f t="shared" si="10"/>
        <v>4200.5600000000004</v>
      </c>
      <c r="L25" s="1456">
        <f t="shared" si="10"/>
        <v>5150.1399999999994</v>
      </c>
      <c r="M25" s="1456">
        <f t="shared" si="10"/>
        <v>8287.7599999999984</v>
      </c>
      <c r="N25" s="1456">
        <f t="shared" si="10"/>
        <v>6792.03</v>
      </c>
      <c r="O25" s="1457">
        <f t="shared" si="10"/>
        <v>62422.149999999994</v>
      </c>
      <c r="P25" s="1458"/>
      <c r="Q25" s="1408">
        <f t="shared" si="6"/>
        <v>4748.9575000000004</v>
      </c>
      <c r="R25" s="16">
        <f t="shared" si="7"/>
        <v>56987.490000000005</v>
      </c>
      <c r="S25" s="9" t="str">
        <f t="shared" si="8"/>
        <v>Total Expenses</v>
      </c>
      <c r="T25" s="1412"/>
      <c r="U25" s="1412"/>
      <c r="V25" s="1412"/>
    </row>
    <row r="26" spans="1:22">
      <c r="A26" s="1520"/>
      <c r="B26" s="1406" t="s">
        <v>8126</v>
      </c>
      <c r="C26" s="16">
        <v>3000</v>
      </c>
      <c r="D26" s="16">
        <v>3000</v>
      </c>
      <c r="E26" s="16">
        <v>2000</v>
      </c>
      <c r="F26" s="16">
        <v>1500</v>
      </c>
      <c r="G26" s="16">
        <v>1500</v>
      </c>
      <c r="H26" s="16">
        <v>1000</v>
      </c>
      <c r="I26" s="16">
        <v>0</v>
      </c>
      <c r="J26" s="16">
        <v>800</v>
      </c>
      <c r="K26" s="16"/>
      <c r="L26" s="16"/>
      <c r="M26" s="12"/>
      <c r="N26" s="12"/>
      <c r="O26" s="1521"/>
      <c r="P26" s="1520"/>
      <c r="Q26" s="1406"/>
    </row>
    <row r="27" spans="1:22">
      <c r="A27" s="1520"/>
      <c r="B27" s="1406" t="s">
        <v>8127</v>
      </c>
      <c r="C27" s="16">
        <f t="shared" ref="C27:L27" si="11">2600+717</f>
        <v>3317</v>
      </c>
      <c r="D27" s="16">
        <f t="shared" si="11"/>
        <v>3317</v>
      </c>
      <c r="E27" s="16">
        <f t="shared" si="11"/>
        <v>3317</v>
      </c>
      <c r="F27" s="16">
        <f t="shared" si="11"/>
        <v>3317</v>
      </c>
      <c r="G27" s="16">
        <f t="shared" si="11"/>
        <v>3317</v>
      </c>
      <c r="H27" s="16">
        <f t="shared" si="11"/>
        <v>3317</v>
      </c>
      <c r="I27" s="16">
        <f t="shared" si="11"/>
        <v>3317</v>
      </c>
      <c r="J27" s="16">
        <f t="shared" si="11"/>
        <v>3317</v>
      </c>
      <c r="K27" s="16">
        <f t="shared" si="11"/>
        <v>3317</v>
      </c>
      <c r="L27" s="16">
        <f t="shared" si="11"/>
        <v>3317</v>
      </c>
      <c r="M27" s="12"/>
      <c r="N27" s="12"/>
      <c r="O27" s="1521"/>
      <c r="P27" s="1520"/>
      <c r="Q27" s="1406"/>
    </row>
    <row r="28" spans="1:22">
      <c r="A28" s="1522"/>
      <c r="B28" s="1523" t="s">
        <v>8128</v>
      </c>
      <c r="C28" s="1524">
        <f t="shared" ref="C28:O28" si="12">C26-C27</f>
        <v>-317</v>
      </c>
      <c r="D28" s="1524">
        <f t="shared" si="12"/>
        <v>-317</v>
      </c>
      <c r="E28" s="1524">
        <f t="shared" si="12"/>
        <v>-1317</v>
      </c>
      <c r="F28" s="1524">
        <f t="shared" si="12"/>
        <v>-1817</v>
      </c>
      <c r="G28" s="1524">
        <f t="shared" si="12"/>
        <v>-1817</v>
      </c>
      <c r="H28" s="1524">
        <f t="shared" si="12"/>
        <v>-2317</v>
      </c>
      <c r="I28" s="1524">
        <f t="shared" si="12"/>
        <v>-3317</v>
      </c>
      <c r="J28" s="1524">
        <f t="shared" si="12"/>
        <v>-2517</v>
      </c>
      <c r="K28" s="1524">
        <f t="shared" si="12"/>
        <v>-3317</v>
      </c>
      <c r="L28" s="1524">
        <f t="shared" si="12"/>
        <v>-3317</v>
      </c>
      <c r="M28" s="1524">
        <f t="shared" si="12"/>
        <v>0</v>
      </c>
      <c r="N28" s="1524">
        <f t="shared" si="12"/>
        <v>0</v>
      </c>
      <c r="O28" s="1525">
        <f t="shared" si="12"/>
        <v>0</v>
      </c>
      <c r="P28" s="1522"/>
      <c r="Q28" s="1406"/>
    </row>
    <row r="29" spans="1:22">
      <c r="A29" s="712"/>
      <c r="B29" s="1526" t="s">
        <v>8129</v>
      </c>
      <c r="C29" s="1527">
        <f>C5-C10</f>
        <v>-122.45000000000005</v>
      </c>
      <c r="D29" s="1528" t="s">
        <v>135</v>
      </c>
      <c r="E29" s="1527">
        <f>E5-E10</f>
        <v>-968.25</v>
      </c>
      <c r="F29" s="1528" t="s">
        <v>135</v>
      </c>
      <c r="G29" s="1527">
        <f>G5-G10</f>
        <v>-42.25</v>
      </c>
      <c r="H29" s="1528" t="s">
        <v>135</v>
      </c>
      <c r="I29" s="1527">
        <f>I5-I10</f>
        <v>-843.25</v>
      </c>
      <c r="J29" s="1528" t="s">
        <v>135</v>
      </c>
      <c r="K29" s="1527">
        <f>K5-K10</f>
        <v>0</v>
      </c>
      <c r="L29" s="1527">
        <f>L5-L10</f>
        <v>0</v>
      </c>
      <c r="M29" s="1527">
        <f>M5-M10</f>
        <v>-78.25</v>
      </c>
      <c r="N29" s="1527">
        <f>N5-N10</f>
        <v>0</v>
      </c>
      <c r="O29" s="1527">
        <f>O5-O10</f>
        <v>-2054.4500000000007</v>
      </c>
      <c r="P29" s="712"/>
      <c r="Q29" s="707"/>
    </row>
    <row r="30" spans="1:22">
      <c r="B30" s="2088" t="s">
        <v>8130</v>
      </c>
      <c r="C30" s="2087"/>
      <c r="D30" s="2087"/>
      <c r="E30" s="2087"/>
      <c r="F30" s="2087"/>
      <c r="G30" s="2087"/>
      <c r="H30" s="2087"/>
      <c r="I30" s="2087"/>
      <c r="J30" s="2087"/>
      <c r="K30" s="2087"/>
      <c r="L30" s="2087"/>
      <c r="M30" s="2087"/>
      <c r="N30" s="2087"/>
      <c r="O30" s="2087"/>
      <c r="Q30" s="707"/>
    </row>
    <row r="31" spans="1:22">
      <c r="B31" s="2286"/>
      <c r="C31" s="2152"/>
      <c r="D31" s="2152"/>
      <c r="E31" s="2152"/>
      <c r="F31" s="2152"/>
      <c r="G31" s="2152"/>
      <c r="H31" s="2152"/>
      <c r="I31" s="2152"/>
      <c r="J31" s="2152"/>
      <c r="K31" s="2152"/>
      <c r="L31" s="2152"/>
      <c r="M31" s="2152"/>
      <c r="N31" s="2152"/>
      <c r="O31" s="2152"/>
      <c r="P31" s="660"/>
      <c r="Q31" s="707"/>
    </row>
    <row r="32" spans="1:22">
      <c r="A32" s="714"/>
      <c r="B32" s="2126" t="s">
        <v>7386</v>
      </c>
      <c r="C32" s="2127"/>
      <c r="D32" s="2127"/>
      <c r="E32" s="2127"/>
      <c r="F32" s="2127"/>
      <c r="G32" s="2127"/>
      <c r="H32" s="2127"/>
      <c r="I32" s="2127"/>
      <c r="J32" s="2127"/>
      <c r="K32" s="2127"/>
      <c r="L32" s="2127"/>
      <c r="M32" s="2127"/>
      <c r="N32" s="2127"/>
      <c r="O32" s="2128"/>
      <c r="P32" s="661"/>
      <c r="Q32" s="1406"/>
    </row>
    <row r="33" spans="1:22">
      <c r="A33" s="714"/>
      <c r="B33" s="662" t="s">
        <v>8121</v>
      </c>
      <c r="C33" s="663" t="s">
        <v>143</v>
      </c>
      <c r="D33" s="663" t="s">
        <v>26</v>
      </c>
      <c r="E33" s="663" t="s">
        <v>25</v>
      </c>
      <c r="F33" s="663" t="s">
        <v>24</v>
      </c>
      <c r="G33" s="663" t="s">
        <v>23</v>
      </c>
      <c r="H33" s="663" t="s">
        <v>22</v>
      </c>
      <c r="I33" s="663" t="s">
        <v>21</v>
      </c>
      <c r="J33" s="663" t="s">
        <v>20</v>
      </c>
      <c r="K33" s="663" t="s">
        <v>256</v>
      </c>
      <c r="L33" s="663" t="s">
        <v>18</v>
      </c>
      <c r="M33" s="663" t="s">
        <v>17</v>
      </c>
      <c r="N33" s="663" t="s">
        <v>86</v>
      </c>
      <c r="O33" s="664" t="s">
        <v>67</v>
      </c>
      <c r="P33" s="665"/>
      <c r="Q33" s="1487" t="s">
        <v>8131</v>
      </c>
      <c r="R33" s="578"/>
      <c r="S33" s="578"/>
      <c r="T33" s="578"/>
      <c r="U33" s="578"/>
      <c r="V33" s="578"/>
    </row>
    <row r="34" spans="1:22">
      <c r="A34" s="714"/>
      <c r="B34" s="666" t="s">
        <v>6847</v>
      </c>
      <c r="C34" s="667">
        <v>0</v>
      </c>
      <c r="D34" s="667">
        <v>0</v>
      </c>
      <c r="E34" s="667">
        <v>0</v>
      </c>
      <c r="F34" s="667">
        <v>0</v>
      </c>
      <c r="G34" s="667">
        <v>0</v>
      </c>
      <c r="H34" s="667">
        <v>0</v>
      </c>
      <c r="I34" s="667">
        <v>0</v>
      </c>
      <c r="J34" s="667">
        <v>0</v>
      </c>
      <c r="K34" s="667">
        <v>0</v>
      </c>
      <c r="L34" s="667">
        <v>1060</v>
      </c>
      <c r="M34" s="667">
        <v>780</v>
      </c>
      <c r="N34" s="667">
        <f>550+370</f>
        <v>920</v>
      </c>
      <c r="O34" s="668">
        <f>SUM(C34:N34)</f>
        <v>2760</v>
      </c>
      <c r="P34" s="669"/>
      <c r="Q34" s="1493">
        <v>0</v>
      </c>
      <c r="R34" s="578"/>
      <c r="S34" s="578"/>
      <c r="T34" s="578"/>
      <c r="U34" s="578"/>
      <c r="V34" s="578"/>
    </row>
    <row r="35" spans="1:22">
      <c r="A35" s="714"/>
      <c r="B35" s="1342" t="s">
        <v>6389</v>
      </c>
      <c r="C35" s="1343" t="s">
        <v>135</v>
      </c>
      <c r="D35" s="1343" t="s">
        <v>135</v>
      </c>
      <c r="E35" s="1343" t="s">
        <v>135</v>
      </c>
      <c r="F35" s="1343" t="s">
        <v>135</v>
      </c>
      <c r="G35" s="1343" t="s">
        <v>135</v>
      </c>
      <c r="H35" s="1343" t="s">
        <v>135</v>
      </c>
      <c r="I35" s="1343" t="s">
        <v>135</v>
      </c>
      <c r="J35" s="1343" t="s">
        <v>135</v>
      </c>
      <c r="K35" s="1343"/>
      <c r="L35" s="1343"/>
      <c r="M35" s="1343"/>
      <c r="N35" s="1343"/>
      <c r="O35" s="1344">
        <f>SUM(C35:N35)</f>
        <v>0</v>
      </c>
      <c r="P35" s="672"/>
      <c r="Q35" s="1494"/>
    </row>
    <row r="36" spans="1:22">
      <c r="A36" s="714"/>
      <c r="B36" s="666" t="s">
        <v>4397</v>
      </c>
      <c r="C36" s="671"/>
      <c r="D36" s="671"/>
      <c r="E36" s="671"/>
      <c r="F36" s="671"/>
      <c r="G36" s="671"/>
      <c r="H36" s="671"/>
      <c r="I36" s="671"/>
      <c r="J36" s="671"/>
      <c r="K36" s="671"/>
      <c r="L36" s="671"/>
      <c r="M36" s="671"/>
      <c r="N36" s="671"/>
      <c r="O36" s="668"/>
      <c r="P36" s="672"/>
      <c r="Q36" s="1494"/>
    </row>
    <row r="37" spans="1:22">
      <c r="A37" s="714"/>
      <c r="B37" s="674" t="s">
        <v>5024</v>
      </c>
      <c r="C37" s="12"/>
      <c r="D37" s="12"/>
      <c r="E37" s="12"/>
      <c r="F37" s="12"/>
      <c r="G37" s="12"/>
      <c r="H37" s="12"/>
      <c r="I37" s="12"/>
      <c r="J37" s="12"/>
      <c r="K37" s="12"/>
      <c r="L37" s="12"/>
      <c r="M37" s="12"/>
      <c r="N37" s="12">
        <v>146.88</v>
      </c>
      <c r="O37" s="668">
        <f>SUM(C37:N37)</f>
        <v>146.88</v>
      </c>
      <c r="P37" s="672"/>
      <c r="Q37" s="1494"/>
    </row>
    <row r="38" spans="1:22">
      <c r="A38" s="714"/>
      <c r="B38" s="674" t="s">
        <v>4399</v>
      </c>
      <c r="C38" s="675" t="s">
        <v>135</v>
      </c>
      <c r="D38" s="675"/>
      <c r="E38" s="675" t="s">
        <v>135</v>
      </c>
      <c r="F38" s="675" t="s">
        <v>135</v>
      </c>
      <c r="G38" s="675" t="s">
        <v>135</v>
      </c>
      <c r="H38" s="675"/>
      <c r="I38" s="675"/>
      <c r="J38" s="675"/>
      <c r="K38" s="675"/>
      <c r="L38" s="675"/>
      <c r="M38" s="675"/>
      <c r="N38" s="675">
        <v>0</v>
      </c>
      <c r="O38" s="677">
        <f>SUM(C38:N38)</f>
        <v>0</v>
      </c>
      <c r="P38" s="672"/>
      <c r="Q38" s="1494">
        <v>0</v>
      </c>
    </row>
    <row r="39" spans="1:22">
      <c r="A39" s="714"/>
      <c r="B39" s="674" t="s">
        <v>7031</v>
      </c>
      <c r="C39" s="675" t="s">
        <v>135</v>
      </c>
      <c r="D39" s="675"/>
      <c r="E39" s="675" t="s">
        <v>135</v>
      </c>
      <c r="F39" s="675"/>
      <c r="G39" s="675" t="s">
        <v>135</v>
      </c>
      <c r="H39" s="675" t="s">
        <v>135</v>
      </c>
      <c r="I39" s="675" t="s">
        <v>135</v>
      </c>
      <c r="J39" s="675"/>
      <c r="K39" s="675" t="s">
        <v>135</v>
      </c>
      <c r="L39" s="675">
        <v>100</v>
      </c>
      <c r="M39" s="675"/>
      <c r="N39" s="675"/>
      <c r="O39" s="677">
        <f>SUM(C39:N39)</f>
        <v>100</v>
      </c>
      <c r="P39" s="681"/>
      <c r="Q39" s="707"/>
    </row>
    <row r="40" spans="1:22">
      <c r="A40" s="714"/>
      <c r="B40" s="674" t="s">
        <v>6850</v>
      </c>
      <c r="C40" s="675" t="s">
        <v>135</v>
      </c>
      <c r="D40" s="675" t="s">
        <v>135</v>
      </c>
      <c r="E40" s="675" t="s">
        <v>135</v>
      </c>
      <c r="F40" s="675" t="s">
        <v>135</v>
      </c>
      <c r="G40" s="675" t="s">
        <v>135</v>
      </c>
      <c r="H40" s="675" t="s">
        <v>135</v>
      </c>
      <c r="I40" s="675" t="s">
        <v>135</v>
      </c>
      <c r="J40" s="675"/>
      <c r="K40" s="675" t="s">
        <v>135</v>
      </c>
      <c r="L40" s="675" t="s">
        <v>135</v>
      </c>
      <c r="M40" s="675">
        <v>20.29</v>
      </c>
      <c r="N40" s="675"/>
      <c r="O40" s="677">
        <f>SUM(C40:N40)</f>
        <v>20.29</v>
      </c>
      <c r="P40" s="672"/>
      <c r="Q40" s="1494">
        <v>0</v>
      </c>
    </row>
    <row r="41" spans="1:22">
      <c r="A41" s="714"/>
      <c r="B41" s="674" t="s">
        <v>7019</v>
      </c>
      <c r="C41" s="675"/>
      <c r="D41" s="675"/>
      <c r="E41" s="675" t="s">
        <v>135</v>
      </c>
      <c r="F41" s="675"/>
      <c r="G41" s="675" t="s">
        <v>135</v>
      </c>
      <c r="H41" s="675"/>
      <c r="I41" s="675" t="s">
        <v>135</v>
      </c>
      <c r="J41" s="675"/>
      <c r="K41" s="675"/>
      <c r="L41" s="675"/>
      <c r="M41" s="675"/>
      <c r="N41" s="675"/>
      <c r="O41" s="677"/>
      <c r="P41" s="672"/>
      <c r="Q41" s="1494"/>
    </row>
    <row r="42" spans="1:22">
      <c r="A42" s="714"/>
      <c r="B42" s="674" t="s">
        <v>7033</v>
      </c>
      <c r="C42" s="675" t="s">
        <v>135</v>
      </c>
      <c r="D42" s="675" t="s">
        <v>135</v>
      </c>
      <c r="E42" s="675" t="s">
        <v>135</v>
      </c>
      <c r="F42" s="675" t="s">
        <v>135</v>
      </c>
      <c r="G42" s="675" t="s">
        <v>135</v>
      </c>
      <c r="H42" s="675" t="s">
        <v>135</v>
      </c>
      <c r="I42" s="675"/>
      <c r="J42" s="675"/>
      <c r="K42" s="675"/>
      <c r="L42" s="675"/>
      <c r="M42" s="675"/>
      <c r="N42" s="675"/>
      <c r="O42" s="677"/>
      <c r="P42" s="672"/>
      <c r="Q42" s="1494"/>
    </row>
    <row r="43" spans="1:22">
      <c r="A43" s="714"/>
      <c r="B43" s="674" t="s">
        <v>5684</v>
      </c>
      <c r="C43" s="687" t="s">
        <v>135</v>
      </c>
      <c r="D43" s="687"/>
      <c r="E43" s="687" t="s">
        <v>135</v>
      </c>
      <c r="F43" s="687"/>
      <c r="G43" s="687"/>
      <c r="H43" s="687"/>
      <c r="I43" s="687"/>
      <c r="J43" s="687"/>
      <c r="K43" s="687" t="s">
        <v>135</v>
      </c>
      <c r="L43" s="687">
        <v>0</v>
      </c>
      <c r="M43" s="687">
        <v>397</v>
      </c>
      <c r="N43" s="687"/>
      <c r="O43" s="677">
        <f>SUM(C43:N43)</f>
        <v>397</v>
      </c>
      <c r="P43" s="672"/>
      <c r="Q43" s="1494">
        <v>0</v>
      </c>
    </row>
    <row r="44" spans="1:22">
      <c r="A44" s="714"/>
      <c r="B44" s="674" t="s">
        <v>6860</v>
      </c>
      <c r="C44" s="945" t="s">
        <v>135</v>
      </c>
      <c r="D44" s="945" t="s">
        <v>135</v>
      </c>
      <c r="E44" s="945" t="s">
        <v>135</v>
      </c>
      <c r="F44" s="945" t="s">
        <v>135</v>
      </c>
      <c r="G44" s="945" t="s">
        <v>135</v>
      </c>
      <c r="H44" s="945" t="s">
        <v>135</v>
      </c>
      <c r="I44" s="945" t="s">
        <v>135</v>
      </c>
      <c r="J44" s="945" t="s">
        <v>135</v>
      </c>
      <c r="K44" s="945">
        <v>1110.72</v>
      </c>
      <c r="L44" s="945">
        <v>2500</v>
      </c>
      <c r="M44" s="945" t="s">
        <v>135</v>
      </c>
      <c r="N44" s="945" t="s">
        <v>135</v>
      </c>
      <c r="O44" s="668">
        <f>SUM(C44:N44)</f>
        <v>3610.7200000000003</v>
      </c>
      <c r="P44" s="672"/>
      <c r="Q44" s="1494">
        <v>0</v>
      </c>
    </row>
    <row r="45" spans="1:22">
      <c r="A45" s="714"/>
      <c r="B45" s="674" t="s">
        <v>7035</v>
      </c>
      <c r="C45" s="675"/>
      <c r="D45" s="675"/>
      <c r="E45" s="675" t="s">
        <v>135</v>
      </c>
      <c r="F45" s="675"/>
      <c r="G45" s="675" t="s">
        <v>135</v>
      </c>
      <c r="H45" s="675" t="s">
        <v>135</v>
      </c>
      <c r="I45" s="675" t="s">
        <v>135</v>
      </c>
      <c r="J45" s="675">
        <v>0</v>
      </c>
      <c r="K45" s="675"/>
      <c r="L45" s="675"/>
      <c r="M45" s="675"/>
      <c r="N45" s="675"/>
      <c r="O45" s="668">
        <f>SUM(C45:N45)</f>
        <v>0</v>
      </c>
      <c r="P45" s="672"/>
      <c r="Q45" s="1494"/>
    </row>
    <row r="46" spans="1:22">
      <c r="A46" s="714"/>
      <c r="B46" s="666" t="s">
        <v>6323</v>
      </c>
      <c r="C46" s="677">
        <f t="shared" ref="C46:N46" si="13">SUM(C44:C45)</f>
        <v>0</v>
      </c>
      <c r="D46" s="677">
        <f t="shared" si="13"/>
        <v>0</v>
      </c>
      <c r="E46" s="677">
        <f t="shared" si="13"/>
        <v>0</v>
      </c>
      <c r="F46" s="677">
        <f t="shared" si="13"/>
        <v>0</v>
      </c>
      <c r="G46" s="677">
        <f t="shared" si="13"/>
        <v>0</v>
      </c>
      <c r="H46" s="677">
        <f t="shared" si="13"/>
        <v>0</v>
      </c>
      <c r="I46" s="677">
        <f t="shared" si="13"/>
        <v>0</v>
      </c>
      <c r="J46" s="677">
        <f t="shared" si="13"/>
        <v>0</v>
      </c>
      <c r="K46" s="677">
        <f t="shared" si="13"/>
        <v>1110.72</v>
      </c>
      <c r="L46" s="677">
        <f t="shared" si="13"/>
        <v>2500</v>
      </c>
      <c r="M46" s="677">
        <f t="shared" si="13"/>
        <v>0</v>
      </c>
      <c r="N46" s="677">
        <f t="shared" si="13"/>
        <v>0</v>
      </c>
      <c r="O46" s="668">
        <f>SUM(C46:N46)</f>
        <v>3610.7200000000003</v>
      </c>
      <c r="P46" s="669"/>
      <c r="Q46" s="1493"/>
      <c r="R46" s="578"/>
      <c r="S46" s="578"/>
      <c r="T46" s="578"/>
      <c r="U46" s="578"/>
      <c r="V46" s="578"/>
    </row>
    <row r="47" spans="1:22">
      <c r="A47" s="714"/>
      <c r="B47" s="689" t="s">
        <v>1126</v>
      </c>
      <c r="C47" s="690">
        <f t="shared" ref="C47:O47" si="14">SUM(C38:C45)</f>
        <v>0</v>
      </c>
      <c r="D47" s="690">
        <f t="shared" si="14"/>
        <v>0</v>
      </c>
      <c r="E47" s="690">
        <f t="shared" si="14"/>
        <v>0</v>
      </c>
      <c r="F47" s="690">
        <f t="shared" si="14"/>
        <v>0</v>
      </c>
      <c r="G47" s="690">
        <f t="shared" si="14"/>
        <v>0</v>
      </c>
      <c r="H47" s="690">
        <f t="shared" si="14"/>
        <v>0</v>
      </c>
      <c r="I47" s="690">
        <f t="shared" si="14"/>
        <v>0</v>
      </c>
      <c r="J47" s="690">
        <f t="shared" si="14"/>
        <v>0</v>
      </c>
      <c r="K47" s="690">
        <f t="shared" si="14"/>
        <v>1110.72</v>
      </c>
      <c r="L47" s="690">
        <f t="shared" si="14"/>
        <v>2600</v>
      </c>
      <c r="M47" s="690">
        <f t="shared" si="14"/>
        <v>417.29</v>
      </c>
      <c r="N47" s="690">
        <f t="shared" si="14"/>
        <v>0</v>
      </c>
      <c r="O47" s="995">
        <f t="shared" si="14"/>
        <v>4128.01</v>
      </c>
      <c r="P47" s="691"/>
      <c r="Q47" s="1495"/>
      <c r="R47" s="1412"/>
      <c r="S47" s="1412"/>
      <c r="T47" s="1412"/>
      <c r="U47" s="1412"/>
      <c r="V47" s="1412"/>
    </row>
    <row r="48" spans="1:22">
      <c r="A48" s="715"/>
      <c r="B48" s="692" t="s">
        <v>791</v>
      </c>
      <c r="C48" s="693">
        <f t="shared" ref="C48:O48" si="15">C34-C47</f>
        <v>0</v>
      </c>
      <c r="D48" s="693">
        <f t="shared" si="15"/>
        <v>0</v>
      </c>
      <c r="E48" s="693">
        <f t="shared" si="15"/>
        <v>0</v>
      </c>
      <c r="F48" s="693">
        <f t="shared" si="15"/>
        <v>0</v>
      </c>
      <c r="G48" s="693">
        <f t="shared" si="15"/>
        <v>0</v>
      </c>
      <c r="H48" s="693">
        <f t="shared" si="15"/>
        <v>0</v>
      </c>
      <c r="I48" s="693">
        <f t="shared" si="15"/>
        <v>0</v>
      </c>
      <c r="J48" s="693">
        <f t="shared" si="15"/>
        <v>0</v>
      </c>
      <c r="K48" s="693">
        <f t="shared" si="15"/>
        <v>-1110.72</v>
      </c>
      <c r="L48" s="693">
        <f t="shared" si="15"/>
        <v>-1540</v>
      </c>
      <c r="M48" s="693">
        <f t="shared" si="15"/>
        <v>362.71</v>
      </c>
      <c r="N48" s="693">
        <f t="shared" si="15"/>
        <v>920</v>
      </c>
      <c r="O48" s="693">
        <f t="shared" si="15"/>
        <v>-1368.0100000000002</v>
      </c>
      <c r="P48" s="694"/>
      <c r="Q48" s="707"/>
    </row>
    <row r="49" spans="1:22">
      <c r="A49" s="947"/>
      <c r="B49" s="950" t="s">
        <v>7036</v>
      </c>
      <c r="C49" s="950">
        <v>0</v>
      </c>
      <c r="D49" s="950">
        <v>0</v>
      </c>
      <c r="E49" s="950">
        <v>0</v>
      </c>
      <c r="F49" s="950">
        <v>0</v>
      </c>
      <c r="G49" s="950">
        <v>0</v>
      </c>
      <c r="H49" s="950">
        <v>0</v>
      </c>
      <c r="I49" s="950">
        <v>0</v>
      </c>
      <c r="J49" s="950">
        <v>161.51</v>
      </c>
      <c r="K49" s="950">
        <v>0</v>
      </c>
      <c r="L49" s="950">
        <v>0</v>
      </c>
      <c r="M49" s="950">
        <v>0</v>
      </c>
      <c r="N49" s="951">
        <v>0</v>
      </c>
      <c r="O49" s="952">
        <f>SUM(C49:N49)</f>
        <v>161.51</v>
      </c>
      <c r="P49" s="953"/>
      <c r="Q49" s="707"/>
    </row>
    <row r="50" spans="1:22">
      <c r="A50" s="692"/>
      <c r="B50" s="692" t="s">
        <v>6861</v>
      </c>
      <c r="C50" s="996">
        <f t="shared" ref="C50:O50" si="16">C48-C49</f>
        <v>0</v>
      </c>
      <c r="D50" s="996">
        <f t="shared" si="16"/>
        <v>0</v>
      </c>
      <c r="E50" s="996">
        <f t="shared" si="16"/>
        <v>0</v>
      </c>
      <c r="F50" s="996">
        <f t="shared" si="16"/>
        <v>0</v>
      </c>
      <c r="G50" s="996">
        <f t="shared" si="16"/>
        <v>0</v>
      </c>
      <c r="H50" s="996">
        <f t="shared" si="16"/>
        <v>0</v>
      </c>
      <c r="I50" s="996">
        <f t="shared" si="16"/>
        <v>0</v>
      </c>
      <c r="J50" s="996">
        <f t="shared" si="16"/>
        <v>-161.51</v>
      </c>
      <c r="K50" s="996">
        <f t="shared" si="16"/>
        <v>-1110.72</v>
      </c>
      <c r="L50" s="996">
        <f t="shared" si="16"/>
        <v>-1540</v>
      </c>
      <c r="M50" s="996">
        <f t="shared" si="16"/>
        <v>362.71</v>
      </c>
      <c r="N50" s="996">
        <f t="shared" si="16"/>
        <v>920</v>
      </c>
      <c r="O50" s="996">
        <f t="shared" si="16"/>
        <v>-1529.5200000000002</v>
      </c>
      <c r="P50" s="709"/>
      <c r="Q50" s="707"/>
    </row>
    <row r="51" spans="1:22">
      <c r="B51" s="660"/>
      <c r="C51" s="660"/>
      <c r="D51" s="660"/>
      <c r="E51" s="660"/>
      <c r="F51" s="660"/>
      <c r="G51" s="660"/>
      <c r="H51" s="660"/>
      <c r="I51" s="660"/>
      <c r="J51" s="660"/>
      <c r="K51" s="660"/>
      <c r="L51" s="660"/>
      <c r="M51" s="660"/>
      <c r="N51" s="660"/>
      <c r="O51" s="660"/>
      <c r="P51" s="660"/>
      <c r="Q51" s="707"/>
    </row>
    <row r="52" spans="1:22">
      <c r="A52" s="714"/>
      <c r="B52" s="2126" t="s">
        <v>7026</v>
      </c>
      <c r="C52" s="2127"/>
      <c r="D52" s="2127"/>
      <c r="E52" s="2127"/>
      <c r="F52" s="2127"/>
      <c r="G52" s="2127"/>
      <c r="H52" s="2127"/>
      <c r="I52" s="2127"/>
      <c r="J52" s="2127"/>
      <c r="K52" s="2127"/>
      <c r="L52" s="2127"/>
      <c r="M52" s="2127"/>
      <c r="N52" s="2127"/>
      <c r="O52" s="2128"/>
      <c r="P52" s="661"/>
      <c r="Q52" s="1406"/>
    </row>
    <row r="53" spans="1:22">
      <c r="A53" s="714"/>
      <c r="B53" s="662" t="s">
        <v>8121</v>
      </c>
      <c r="C53" s="663" t="s">
        <v>143</v>
      </c>
      <c r="D53" s="663" t="s">
        <v>26</v>
      </c>
      <c r="E53" s="663" t="s">
        <v>25</v>
      </c>
      <c r="F53" s="663" t="s">
        <v>24</v>
      </c>
      <c r="G53" s="663" t="s">
        <v>23</v>
      </c>
      <c r="H53" s="663" t="s">
        <v>22</v>
      </c>
      <c r="I53" s="663" t="s">
        <v>21</v>
      </c>
      <c r="J53" s="663" t="s">
        <v>20</v>
      </c>
      <c r="K53" s="663" t="s">
        <v>256</v>
      </c>
      <c r="L53" s="663" t="s">
        <v>18</v>
      </c>
      <c r="M53" s="663" t="s">
        <v>17</v>
      </c>
      <c r="N53" s="663" t="s">
        <v>86</v>
      </c>
      <c r="O53" s="664" t="s">
        <v>67</v>
      </c>
      <c r="P53" s="665"/>
      <c r="Q53" s="1487" t="s">
        <v>8131</v>
      </c>
      <c r="R53" s="578"/>
      <c r="S53" s="578"/>
      <c r="T53" s="578"/>
      <c r="U53" s="578"/>
      <c r="V53" s="578"/>
    </row>
    <row r="54" spans="1:22">
      <c r="A54" s="714"/>
      <c r="B54" s="666" t="s">
        <v>6847</v>
      </c>
      <c r="C54" s="667">
        <v>0</v>
      </c>
      <c r="D54" s="667">
        <v>0</v>
      </c>
      <c r="E54" s="667">
        <v>0</v>
      </c>
      <c r="F54" s="667">
        <v>0</v>
      </c>
      <c r="G54" s="667">
        <v>0</v>
      </c>
      <c r="H54" s="667">
        <v>0</v>
      </c>
      <c r="I54" s="667">
        <v>0</v>
      </c>
      <c r="J54" s="667">
        <v>0</v>
      </c>
      <c r="K54" s="667">
        <v>0</v>
      </c>
      <c r="L54" s="667">
        <v>0</v>
      </c>
      <c r="M54" s="667">
        <v>0</v>
      </c>
      <c r="N54" s="667">
        <v>0</v>
      </c>
      <c r="O54" s="668">
        <f>SUM(C54:N54)</f>
        <v>0</v>
      </c>
      <c r="P54" s="669"/>
      <c r="Q54" s="1493">
        <v>0</v>
      </c>
      <c r="R54" s="578"/>
      <c r="S54" s="578"/>
      <c r="T54" s="578"/>
      <c r="U54" s="578"/>
      <c r="V54" s="578"/>
    </row>
    <row r="55" spans="1:22">
      <c r="A55" s="714"/>
      <c r="B55" s="1342" t="s">
        <v>6389</v>
      </c>
      <c r="C55" s="1343" t="s">
        <v>135</v>
      </c>
      <c r="D55" s="1343" t="s">
        <v>135</v>
      </c>
      <c r="E55" s="1343" t="s">
        <v>135</v>
      </c>
      <c r="F55" s="1343" t="s">
        <v>135</v>
      </c>
      <c r="G55" s="1343" t="s">
        <v>135</v>
      </c>
      <c r="H55" s="1343" t="s">
        <v>135</v>
      </c>
      <c r="I55" s="1343" t="s">
        <v>135</v>
      </c>
      <c r="J55" s="1343" t="s">
        <v>135</v>
      </c>
      <c r="K55" s="1343"/>
      <c r="L55" s="1343"/>
      <c r="M55" s="1343"/>
      <c r="N55" s="1343"/>
      <c r="O55" s="1344">
        <f>SUM(C55:N55)</f>
        <v>0</v>
      </c>
      <c r="P55" s="672"/>
      <c r="Q55" s="1494"/>
    </row>
    <row r="56" spans="1:22">
      <c r="A56" s="714"/>
      <c r="B56" s="666" t="s">
        <v>4397</v>
      </c>
      <c r="C56" s="671"/>
      <c r="D56" s="671"/>
      <c r="E56" s="671"/>
      <c r="F56" s="671"/>
      <c r="G56" s="671"/>
      <c r="H56" s="671"/>
      <c r="I56" s="671"/>
      <c r="J56" s="671"/>
      <c r="K56" s="671"/>
      <c r="L56" s="671"/>
      <c r="M56" s="671"/>
      <c r="N56" s="671"/>
      <c r="O56" s="668"/>
      <c r="P56" s="672"/>
      <c r="Q56" s="1494"/>
    </row>
    <row r="57" spans="1:22">
      <c r="A57" s="714"/>
      <c r="B57" s="674" t="s">
        <v>5024</v>
      </c>
      <c r="C57" s="12"/>
      <c r="D57" s="12"/>
      <c r="E57" s="12"/>
      <c r="F57" s="12"/>
      <c r="G57" s="12"/>
      <c r="H57" s="12"/>
      <c r="I57" s="12"/>
      <c r="J57" s="12"/>
      <c r="K57" s="12"/>
      <c r="L57" s="12"/>
      <c r="M57" s="12"/>
      <c r="N57" s="12" t="s">
        <v>135</v>
      </c>
      <c r="O57" s="668">
        <f>SUM(C57:N57)</f>
        <v>0</v>
      </c>
      <c r="P57" s="672"/>
      <c r="Q57" s="1494"/>
    </row>
    <row r="58" spans="1:22">
      <c r="A58" s="714"/>
      <c r="B58" s="674" t="s">
        <v>4399</v>
      </c>
      <c r="C58" s="675" t="s">
        <v>135</v>
      </c>
      <c r="D58" s="675"/>
      <c r="E58" s="675" t="s">
        <v>135</v>
      </c>
      <c r="F58" s="675" t="s">
        <v>135</v>
      </c>
      <c r="G58" s="675" t="s">
        <v>135</v>
      </c>
      <c r="H58" s="675"/>
      <c r="I58" s="675"/>
      <c r="J58" s="675"/>
      <c r="K58" s="675"/>
      <c r="L58" s="675"/>
      <c r="M58" s="675"/>
      <c r="N58" s="675" t="s">
        <v>135</v>
      </c>
      <c r="O58" s="677">
        <f>SUM(C58:N58)</f>
        <v>0</v>
      </c>
      <c r="P58" s="672"/>
      <c r="Q58" s="1494">
        <v>0</v>
      </c>
    </row>
    <row r="59" spans="1:22">
      <c r="A59" s="714"/>
      <c r="B59" s="674" t="s">
        <v>7031</v>
      </c>
      <c r="C59" s="675" t="s">
        <v>135</v>
      </c>
      <c r="D59" s="675"/>
      <c r="E59" s="675" t="s">
        <v>135</v>
      </c>
      <c r="F59" s="675"/>
      <c r="G59" s="675" t="s">
        <v>135</v>
      </c>
      <c r="H59" s="675" t="s">
        <v>135</v>
      </c>
      <c r="I59" s="675" t="s">
        <v>135</v>
      </c>
      <c r="J59" s="675"/>
      <c r="K59" s="675" t="s">
        <v>135</v>
      </c>
      <c r="L59" s="675" t="s">
        <v>135</v>
      </c>
      <c r="M59" s="675"/>
      <c r="N59" s="675"/>
      <c r="O59" s="677">
        <f>SUM(C59:N59)</f>
        <v>0</v>
      </c>
      <c r="P59" s="681"/>
      <c r="Q59" s="707"/>
    </row>
    <row r="60" spans="1:22">
      <c r="A60" s="714"/>
      <c r="B60" s="674" t="s">
        <v>6850</v>
      </c>
      <c r="C60" s="675" t="s">
        <v>135</v>
      </c>
      <c r="D60" s="675" t="s">
        <v>135</v>
      </c>
      <c r="E60" s="675" t="s">
        <v>135</v>
      </c>
      <c r="F60" s="675" t="s">
        <v>135</v>
      </c>
      <c r="G60" s="675" t="s">
        <v>135</v>
      </c>
      <c r="H60" s="675" t="s">
        <v>135</v>
      </c>
      <c r="I60" s="675" t="s">
        <v>135</v>
      </c>
      <c r="J60" s="675"/>
      <c r="K60" s="675" t="s">
        <v>135</v>
      </c>
      <c r="L60" s="675" t="s">
        <v>135</v>
      </c>
      <c r="M60" s="675" t="s">
        <v>135</v>
      </c>
      <c r="N60" s="675"/>
      <c r="O60" s="677">
        <f>SUM(C60:N60)</f>
        <v>0</v>
      </c>
      <c r="P60" s="672"/>
      <c r="Q60" s="1494">
        <v>0</v>
      </c>
    </row>
    <row r="61" spans="1:22">
      <c r="A61" s="714"/>
      <c r="B61" s="674" t="s">
        <v>7019</v>
      </c>
      <c r="C61" s="675"/>
      <c r="D61" s="675"/>
      <c r="E61" s="675" t="s">
        <v>135</v>
      </c>
      <c r="F61" s="675"/>
      <c r="G61" s="675" t="s">
        <v>135</v>
      </c>
      <c r="H61" s="675"/>
      <c r="I61" s="675" t="s">
        <v>135</v>
      </c>
      <c r="J61" s="675"/>
      <c r="K61" s="675"/>
      <c r="L61" s="675"/>
      <c r="M61" s="675"/>
      <c r="N61" s="675"/>
      <c r="O61" s="677"/>
      <c r="P61" s="672"/>
      <c r="Q61" s="1494"/>
    </row>
    <row r="62" spans="1:22">
      <c r="A62" s="714"/>
      <c r="B62" s="674" t="s">
        <v>7033</v>
      </c>
      <c r="C62" s="675" t="s">
        <v>135</v>
      </c>
      <c r="D62" s="675" t="s">
        <v>135</v>
      </c>
      <c r="E62" s="675" t="s">
        <v>135</v>
      </c>
      <c r="F62" s="675" t="s">
        <v>135</v>
      </c>
      <c r="G62" s="675" t="s">
        <v>135</v>
      </c>
      <c r="H62" s="675" t="s">
        <v>135</v>
      </c>
      <c r="I62" s="675"/>
      <c r="J62" s="675"/>
      <c r="K62" s="675"/>
      <c r="L62" s="675"/>
      <c r="M62" s="675"/>
      <c r="N62" s="675"/>
      <c r="O62" s="677"/>
      <c r="P62" s="672"/>
      <c r="Q62" s="1494"/>
    </row>
    <row r="63" spans="1:22">
      <c r="A63" s="714"/>
      <c r="B63" s="674" t="s">
        <v>5684</v>
      </c>
      <c r="C63" s="687" t="s">
        <v>135</v>
      </c>
      <c r="D63" s="687"/>
      <c r="E63" s="687" t="s">
        <v>135</v>
      </c>
      <c r="F63" s="687"/>
      <c r="G63" s="687"/>
      <c r="H63" s="687"/>
      <c r="I63" s="687"/>
      <c r="J63" s="687"/>
      <c r="K63" s="687" t="s">
        <v>135</v>
      </c>
      <c r="L63" s="687" t="s">
        <v>135</v>
      </c>
      <c r="M63" s="687" t="s">
        <v>135</v>
      </c>
      <c r="N63" s="687"/>
      <c r="O63" s="677">
        <f>SUM(C63:N63)</f>
        <v>0</v>
      </c>
      <c r="P63" s="672"/>
      <c r="Q63" s="1494">
        <v>0</v>
      </c>
    </row>
    <row r="64" spans="1:22">
      <c r="A64" s="714"/>
      <c r="B64" s="674" t="s">
        <v>6860</v>
      </c>
      <c r="C64" s="945" t="s">
        <v>135</v>
      </c>
      <c r="D64" s="945" t="s">
        <v>135</v>
      </c>
      <c r="E64" s="945" t="s">
        <v>135</v>
      </c>
      <c r="F64" s="945" t="s">
        <v>135</v>
      </c>
      <c r="G64" s="945" t="s">
        <v>135</v>
      </c>
      <c r="H64" s="945" t="s">
        <v>135</v>
      </c>
      <c r="I64" s="945" t="s">
        <v>135</v>
      </c>
      <c r="J64" s="945" t="s">
        <v>135</v>
      </c>
      <c r="K64" s="945" t="s">
        <v>135</v>
      </c>
      <c r="L64" s="945" t="s">
        <v>135</v>
      </c>
      <c r="M64" s="945">
        <v>2500</v>
      </c>
      <c r="N64" s="945" t="s">
        <v>135</v>
      </c>
      <c r="O64" s="668">
        <f>SUM(C64:N64)</f>
        <v>2500</v>
      </c>
      <c r="P64" s="672"/>
      <c r="Q64" s="1494">
        <v>0</v>
      </c>
    </row>
    <row r="65" spans="1:22">
      <c r="A65" s="714"/>
      <c r="B65" s="674" t="s">
        <v>7035</v>
      </c>
      <c r="C65" s="675"/>
      <c r="D65" s="675"/>
      <c r="E65" s="675" t="s">
        <v>135</v>
      </c>
      <c r="F65" s="675"/>
      <c r="G65" s="675" t="s">
        <v>135</v>
      </c>
      <c r="H65" s="675" t="s">
        <v>135</v>
      </c>
      <c r="I65" s="675" t="s">
        <v>135</v>
      </c>
      <c r="J65" s="675" t="s">
        <v>135</v>
      </c>
      <c r="K65" s="675"/>
      <c r="L65" s="675"/>
      <c r="M65" s="675"/>
      <c r="N65" s="675"/>
      <c r="O65" s="668">
        <f>SUM(C65:N65)</f>
        <v>0</v>
      </c>
      <c r="P65" s="672"/>
      <c r="Q65" s="1494"/>
    </row>
    <row r="66" spans="1:22">
      <c r="A66" s="714"/>
      <c r="B66" s="666" t="s">
        <v>6323</v>
      </c>
      <c r="C66" s="677">
        <f t="shared" ref="C66:N66" si="17">SUM(C64:C65)</f>
        <v>0</v>
      </c>
      <c r="D66" s="677">
        <f t="shared" si="17"/>
        <v>0</v>
      </c>
      <c r="E66" s="677">
        <f t="shared" si="17"/>
        <v>0</v>
      </c>
      <c r="F66" s="677">
        <f t="shared" si="17"/>
        <v>0</v>
      </c>
      <c r="G66" s="677">
        <f t="shared" si="17"/>
        <v>0</v>
      </c>
      <c r="H66" s="677">
        <f t="shared" si="17"/>
        <v>0</v>
      </c>
      <c r="I66" s="677">
        <f t="shared" si="17"/>
        <v>0</v>
      </c>
      <c r="J66" s="677">
        <f t="shared" si="17"/>
        <v>0</v>
      </c>
      <c r="K66" s="677">
        <f t="shared" si="17"/>
        <v>0</v>
      </c>
      <c r="L66" s="677">
        <f t="shared" si="17"/>
        <v>0</v>
      </c>
      <c r="M66" s="677">
        <f t="shared" si="17"/>
        <v>2500</v>
      </c>
      <c r="N66" s="677">
        <f t="shared" si="17"/>
        <v>0</v>
      </c>
      <c r="O66" s="668">
        <f>SUM(C66:N66)</f>
        <v>2500</v>
      </c>
      <c r="P66" s="669"/>
      <c r="Q66" s="1493"/>
      <c r="R66" s="578"/>
      <c r="S66" s="578"/>
      <c r="T66" s="578"/>
      <c r="U66" s="578"/>
      <c r="V66" s="578"/>
    </row>
    <row r="67" spans="1:22">
      <c r="A67" s="714"/>
      <c r="B67" s="689" t="s">
        <v>1126</v>
      </c>
      <c r="C67" s="690">
        <f t="shared" ref="C67:O67" si="18">SUM(C58:C65)</f>
        <v>0</v>
      </c>
      <c r="D67" s="690">
        <f t="shared" si="18"/>
        <v>0</v>
      </c>
      <c r="E67" s="690">
        <f t="shared" si="18"/>
        <v>0</v>
      </c>
      <c r="F67" s="690">
        <f t="shared" si="18"/>
        <v>0</v>
      </c>
      <c r="G67" s="690">
        <f t="shared" si="18"/>
        <v>0</v>
      </c>
      <c r="H67" s="690">
        <f t="shared" si="18"/>
        <v>0</v>
      </c>
      <c r="I67" s="690">
        <f t="shared" si="18"/>
        <v>0</v>
      </c>
      <c r="J67" s="690">
        <f t="shared" si="18"/>
        <v>0</v>
      </c>
      <c r="K67" s="690">
        <f t="shared" si="18"/>
        <v>0</v>
      </c>
      <c r="L67" s="690">
        <f t="shared" si="18"/>
        <v>0</v>
      </c>
      <c r="M67" s="690">
        <f t="shared" si="18"/>
        <v>2500</v>
      </c>
      <c r="N67" s="690">
        <f t="shared" si="18"/>
        <v>0</v>
      </c>
      <c r="O67" s="995">
        <f t="shared" si="18"/>
        <v>2500</v>
      </c>
      <c r="P67" s="691"/>
      <c r="Q67" s="1495"/>
      <c r="R67" s="1412"/>
      <c r="S67" s="1412"/>
      <c r="T67" s="1412"/>
      <c r="U67" s="1412"/>
      <c r="V67" s="1412"/>
    </row>
    <row r="68" spans="1:22">
      <c r="A68" s="715"/>
      <c r="B68" s="692" t="s">
        <v>791</v>
      </c>
      <c r="C68" s="693">
        <f t="shared" ref="C68:O68" si="19">C54-C67</f>
        <v>0</v>
      </c>
      <c r="D68" s="693">
        <f t="shared" si="19"/>
        <v>0</v>
      </c>
      <c r="E68" s="693">
        <f t="shared" si="19"/>
        <v>0</v>
      </c>
      <c r="F68" s="693">
        <f t="shared" si="19"/>
        <v>0</v>
      </c>
      <c r="G68" s="693">
        <f t="shared" si="19"/>
        <v>0</v>
      </c>
      <c r="H68" s="693">
        <f t="shared" si="19"/>
        <v>0</v>
      </c>
      <c r="I68" s="693">
        <f t="shared" si="19"/>
        <v>0</v>
      </c>
      <c r="J68" s="693">
        <f t="shared" si="19"/>
        <v>0</v>
      </c>
      <c r="K68" s="693">
        <f t="shared" si="19"/>
        <v>0</v>
      </c>
      <c r="L68" s="693">
        <f t="shared" si="19"/>
        <v>0</v>
      </c>
      <c r="M68" s="693">
        <f t="shared" si="19"/>
        <v>-2500</v>
      </c>
      <c r="N68" s="693">
        <f t="shared" si="19"/>
        <v>0</v>
      </c>
      <c r="O68" s="693">
        <f t="shared" si="19"/>
        <v>-2500</v>
      </c>
      <c r="P68" s="694"/>
      <c r="Q68" s="707"/>
    </row>
    <row r="69" spans="1:22">
      <c r="A69" s="947"/>
      <c r="B69" s="950" t="s">
        <v>7036</v>
      </c>
      <c r="C69" s="950">
        <v>0</v>
      </c>
      <c r="D69" s="950">
        <v>0</v>
      </c>
      <c r="E69" s="950">
        <v>0</v>
      </c>
      <c r="F69" s="950">
        <v>0</v>
      </c>
      <c r="G69" s="950">
        <v>0</v>
      </c>
      <c r="H69" s="950">
        <v>0</v>
      </c>
      <c r="I69" s="950">
        <v>0</v>
      </c>
      <c r="J69" s="950">
        <v>0</v>
      </c>
      <c r="K69" s="950">
        <v>0</v>
      </c>
      <c r="L69" s="950">
        <v>0</v>
      </c>
      <c r="M69" s="950">
        <v>0</v>
      </c>
      <c r="N69" s="951">
        <v>0</v>
      </c>
      <c r="O69" s="952">
        <f>SUM(C69:N69)</f>
        <v>0</v>
      </c>
      <c r="P69" s="953"/>
      <c r="Q69" s="707"/>
    </row>
    <row r="70" spans="1:22">
      <c r="A70" s="692"/>
      <c r="B70" s="692" t="s">
        <v>6861</v>
      </c>
      <c r="C70" s="996">
        <f t="shared" ref="C70:O70" si="20">C68-C69</f>
        <v>0</v>
      </c>
      <c r="D70" s="996">
        <f t="shared" si="20"/>
        <v>0</v>
      </c>
      <c r="E70" s="996">
        <f t="shared" si="20"/>
        <v>0</v>
      </c>
      <c r="F70" s="996">
        <f t="shared" si="20"/>
        <v>0</v>
      </c>
      <c r="G70" s="996">
        <f t="shared" si="20"/>
        <v>0</v>
      </c>
      <c r="H70" s="996">
        <f t="shared" si="20"/>
        <v>0</v>
      </c>
      <c r="I70" s="996">
        <f t="shared" si="20"/>
        <v>0</v>
      </c>
      <c r="J70" s="996">
        <f t="shared" si="20"/>
        <v>0</v>
      </c>
      <c r="K70" s="996">
        <f t="shared" si="20"/>
        <v>0</v>
      </c>
      <c r="L70" s="996">
        <f t="shared" si="20"/>
        <v>0</v>
      </c>
      <c r="M70" s="996">
        <f t="shared" si="20"/>
        <v>-2500</v>
      </c>
      <c r="N70" s="996">
        <f t="shared" si="20"/>
        <v>0</v>
      </c>
      <c r="O70" s="996">
        <f t="shared" si="20"/>
        <v>-2500</v>
      </c>
      <c r="P70" s="709"/>
      <c r="Q70" s="707"/>
    </row>
    <row r="71" spans="1:22">
      <c r="B71" s="660"/>
      <c r="C71" s="660"/>
      <c r="D71" s="660"/>
      <c r="E71" s="660"/>
      <c r="F71" s="660"/>
      <c r="G71" s="660"/>
      <c r="H71" s="660"/>
      <c r="I71" s="660"/>
      <c r="J71" s="660"/>
      <c r="K71" s="660"/>
      <c r="L71" s="660"/>
      <c r="M71" s="660"/>
      <c r="N71" s="660"/>
      <c r="O71" s="660"/>
      <c r="P71" s="660"/>
      <c r="Q71" s="707"/>
    </row>
    <row r="72" spans="1:22">
      <c r="A72" s="714"/>
      <c r="B72" s="2126" t="s">
        <v>7051</v>
      </c>
      <c r="C72" s="2127"/>
      <c r="D72" s="2127"/>
      <c r="E72" s="2127"/>
      <c r="F72" s="2127"/>
      <c r="G72" s="2127"/>
      <c r="H72" s="2127"/>
      <c r="I72" s="2127"/>
      <c r="J72" s="2127"/>
      <c r="K72" s="2127"/>
      <c r="L72" s="2127"/>
      <c r="M72" s="2127"/>
      <c r="N72" s="2127"/>
      <c r="O72" s="2128"/>
      <c r="P72" s="661"/>
      <c r="Q72" s="1406"/>
    </row>
    <row r="73" spans="1:22">
      <c r="A73" s="714"/>
      <c r="B73" s="662" t="s">
        <v>8121</v>
      </c>
      <c r="C73" s="663" t="s">
        <v>143</v>
      </c>
      <c r="D73" s="663" t="s">
        <v>26</v>
      </c>
      <c r="E73" s="663" t="s">
        <v>25</v>
      </c>
      <c r="F73" s="663" t="s">
        <v>24</v>
      </c>
      <c r="G73" s="663" t="s">
        <v>23</v>
      </c>
      <c r="H73" s="663" t="s">
        <v>22</v>
      </c>
      <c r="I73" s="663" t="s">
        <v>21</v>
      </c>
      <c r="J73" s="663" t="s">
        <v>20</v>
      </c>
      <c r="K73" s="663" t="s">
        <v>256</v>
      </c>
      <c r="L73" s="663" t="s">
        <v>18</v>
      </c>
      <c r="M73" s="663" t="s">
        <v>17</v>
      </c>
      <c r="N73" s="663" t="s">
        <v>86</v>
      </c>
      <c r="O73" s="664" t="s">
        <v>67</v>
      </c>
      <c r="P73" s="665"/>
      <c r="Q73" s="1487" t="s">
        <v>8131</v>
      </c>
      <c r="R73" s="578"/>
      <c r="S73" s="578"/>
      <c r="T73" s="578"/>
      <c r="U73" s="578"/>
      <c r="V73" s="578"/>
    </row>
    <row r="74" spans="1:22">
      <c r="A74" s="714"/>
      <c r="B74" s="666" t="s">
        <v>4397</v>
      </c>
      <c r="C74" s="671"/>
      <c r="D74" s="671"/>
      <c r="E74" s="671"/>
      <c r="F74" s="671"/>
      <c r="G74" s="671"/>
      <c r="H74" s="671"/>
      <c r="I74" s="671"/>
      <c r="J74" s="671"/>
      <c r="K74" s="671"/>
      <c r="L74" s="671"/>
      <c r="M74" s="671"/>
      <c r="N74" s="671"/>
      <c r="O74" s="668"/>
      <c r="P74" s="672"/>
      <c r="Q74" s="1494"/>
    </row>
    <row r="75" spans="1:22">
      <c r="A75" s="714"/>
      <c r="B75" s="674" t="s">
        <v>4399</v>
      </c>
      <c r="C75" s="675" t="s">
        <v>135</v>
      </c>
      <c r="D75" s="675"/>
      <c r="E75" s="675" t="s">
        <v>135</v>
      </c>
      <c r="F75" s="675" t="s">
        <v>135</v>
      </c>
      <c r="G75" s="675" t="s">
        <v>135</v>
      </c>
      <c r="H75" s="675"/>
      <c r="I75" s="675"/>
      <c r="J75" s="675"/>
      <c r="K75" s="675"/>
      <c r="L75" s="675"/>
      <c r="M75" s="675">
        <v>2297.1799999999998</v>
      </c>
      <c r="N75" s="675" t="s">
        <v>135</v>
      </c>
      <c r="O75" s="668">
        <f>SUM(C75:N75)</f>
        <v>2297.1799999999998</v>
      </c>
      <c r="P75" s="672"/>
      <c r="Q75" s="1494">
        <v>0</v>
      </c>
    </row>
    <row r="76" spans="1:22">
      <c r="A76" s="714"/>
      <c r="B76" s="674" t="s">
        <v>6850</v>
      </c>
      <c r="C76" s="675">
        <v>384.55</v>
      </c>
      <c r="D76" s="675">
        <v>329.99</v>
      </c>
      <c r="E76" s="675">
        <v>328.43</v>
      </c>
      <c r="F76" s="675">
        <v>277.57</v>
      </c>
      <c r="G76" s="675">
        <v>177.23</v>
      </c>
      <c r="H76" s="675">
        <v>131.83000000000001</v>
      </c>
      <c r="I76" s="675">
        <v>100.45</v>
      </c>
      <c r="J76" s="675">
        <v>52.31</v>
      </c>
      <c r="K76" s="675">
        <v>86.06</v>
      </c>
      <c r="L76" s="675">
        <v>76.959999999999994</v>
      </c>
      <c r="M76" s="675"/>
      <c r="N76" s="675"/>
      <c r="O76" s="668">
        <f>SUM(C76:N76)</f>
        <v>1945.3799999999999</v>
      </c>
      <c r="P76" s="672"/>
      <c r="Q76" s="1494">
        <v>0</v>
      </c>
    </row>
    <row r="77" spans="1:22">
      <c r="A77" s="714"/>
      <c r="B77" s="674" t="s">
        <v>5684</v>
      </c>
      <c r="C77" s="675" t="s">
        <v>135</v>
      </c>
      <c r="D77" s="675"/>
      <c r="E77" s="675" t="s">
        <v>135</v>
      </c>
      <c r="F77" s="675"/>
      <c r="G77" s="675"/>
      <c r="H77" s="675"/>
      <c r="I77" s="675"/>
      <c r="J77" s="675"/>
      <c r="K77" s="675" t="s">
        <v>135</v>
      </c>
      <c r="L77" s="675" t="s">
        <v>135</v>
      </c>
      <c r="M77" s="675"/>
      <c r="N77" s="675"/>
      <c r="O77" s="668">
        <f>SUM(C77:N77)</f>
        <v>0</v>
      </c>
      <c r="P77" s="672"/>
      <c r="Q77" s="1494">
        <v>0</v>
      </c>
    </row>
    <row r="78" spans="1:22">
      <c r="A78" s="714"/>
      <c r="B78" s="674" t="s">
        <v>7052</v>
      </c>
      <c r="C78" s="675">
        <v>85.46</v>
      </c>
      <c r="D78" s="675">
        <v>85.46</v>
      </c>
      <c r="E78" s="675">
        <v>85.46</v>
      </c>
      <c r="F78" s="675">
        <v>85.46</v>
      </c>
      <c r="G78" s="675">
        <v>85.46</v>
      </c>
      <c r="H78" s="675">
        <v>85.46</v>
      </c>
      <c r="I78" s="675">
        <v>85.46</v>
      </c>
      <c r="J78" s="675">
        <v>85.46</v>
      </c>
      <c r="K78" s="675">
        <v>85.46</v>
      </c>
      <c r="L78" s="675">
        <v>84.62</v>
      </c>
      <c r="M78" s="675">
        <v>85.46</v>
      </c>
      <c r="N78" s="675">
        <v>85.46</v>
      </c>
      <c r="O78" s="668"/>
      <c r="P78" s="672"/>
      <c r="Q78" s="1494"/>
    </row>
    <row r="79" spans="1:22">
      <c r="A79" s="714"/>
      <c r="B79" s="674" t="s">
        <v>7053</v>
      </c>
      <c r="C79" s="675"/>
      <c r="D79" s="675"/>
      <c r="E79" s="675"/>
      <c r="F79" s="675"/>
      <c r="G79" s="675"/>
      <c r="H79" s="675"/>
      <c r="I79" s="675"/>
      <c r="J79" s="675"/>
      <c r="K79" s="675"/>
      <c r="L79" s="675">
        <v>90.99</v>
      </c>
      <c r="M79" s="675"/>
      <c r="N79" s="675"/>
      <c r="O79" s="668"/>
      <c r="P79" s="672"/>
      <c r="Q79" s="1494"/>
    </row>
    <row r="80" spans="1:22">
      <c r="A80" s="714"/>
      <c r="B80" s="674" t="s">
        <v>7054</v>
      </c>
      <c r="C80" s="675">
        <v>703</v>
      </c>
      <c r="D80" s="675">
        <v>703</v>
      </c>
      <c r="E80" s="675">
        <v>703</v>
      </c>
      <c r="F80" s="675">
        <v>703</v>
      </c>
      <c r="G80" s="675">
        <v>703</v>
      </c>
      <c r="H80" s="675">
        <v>703</v>
      </c>
      <c r="I80" s="675">
        <v>703</v>
      </c>
      <c r="J80" s="675">
        <v>703</v>
      </c>
      <c r="K80" s="675">
        <v>703</v>
      </c>
      <c r="L80" s="675">
        <v>703</v>
      </c>
      <c r="M80" s="675">
        <v>703</v>
      </c>
      <c r="N80" s="675">
        <v>703</v>
      </c>
      <c r="O80" s="668"/>
      <c r="P80" s="672"/>
      <c r="Q80" s="1494"/>
    </row>
    <row r="81" spans="1:22">
      <c r="A81" s="714"/>
      <c r="B81" s="674" t="s">
        <v>7055</v>
      </c>
      <c r="C81" s="675"/>
      <c r="D81" s="675"/>
      <c r="E81" s="675"/>
      <c r="F81" s="675"/>
      <c r="G81" s="675"/>
      <c r="H81" s="675"/>
      <c r="I81" s="675"/>
      <c r="J81" s="675"/>
      <c r="K81" s="675">
        <v>180.66</v>
      </c>
      <c r="L81" s="675">
        <v>90.78</v>
      </c>
      <c r="M81" s="675"/>
      <c r="N81" s="675"/>
      <c r="O81" s="668"/>
      <c r="P81" s="672"/>
      <c r="Q81" s="1494"/>
    </row>
    <row r="82" spans="1:22">
      <c r="A82" s="714"/>
      <c r="B82" s="674" t="s">
        <v>7056</v>
      </c>
      <c r="C82" s="675">
        <v>259.43</v>
      </c>
      <c r="D82" s="675">
        <v>259.43</v>
      </c>
      <c r="E82" s="675">
        <v>259.43</v>
      </c>
      <c r="F82" s="675">
        <v>259.43</v>
      </c>
      <c r="G82" s="675">
        <v>259.43</v>
      </c>
      <c r="H82" s="675">
        <v>259.43</v>
      </c>
      <c r="I82" s="675">
        <v>259.43</v>
      </c>
      <c r="J82" s="675">
        <v>259.43</v>
      </c>
      <c r="K82" s="675">
        <v>259.43</v>
      </c>
      <c r="L82" s="675">
        <v>259.43</v>
      </c>
      <c r="M82" s="675">
        <v>259.43</v>
      </c>
      <c r="N82" s="675">
        <v>259.43</v>
      </c>
      <c r="O82" s="668"/>
      <c r="P82" s="672"/>
      <c r="Q82" s="1494"/>
    </row>
    <row r="83" spans="1:22">
      <c r="A83" s="714"/>
      <c r="B83" s="674" t="s">
        <v>5024</v>
      </c>
      <c r="C83" s="675">
        <v>2284.5700000000002</v>
      </c>
      <c r="D83" s="675">
        <v>2284.5700000000002</v>
      </c>
      <c r="E83" s="675">
        <v>2284.5700000000002</v>
      </c>
      <c r="F83" s="675">
        <v>2284.5700000000002</v>
      </c>
      <c r="G83" s="675">
        <v>2284.5700000000002</v>
      </c>
      <c r="H83" s="675">
        <v>2284.5700000000002</v>
      </c>
      <c r="I83" s="675">
        <v>2284.5700000000002</v>
      </c>
      <c r="J83" s="675">
        <v>2284.5700000000002</v>
      </c>
      <c r="K83" s="675">
        <v>2284.5700000000002</v>
      </c>
      <c r="L83" s="675">
        <v>2284.5700000000002</v>
      </c>
      <c r="M83" s="675">
        <v>2284.5700000000002</v>
      </c>
      <c r="N83" s="675">
        <v>2284.5700000000002</v>
      </c>
      <c r="O83" s="668"/>
      <c r="P83" s="672"/>
      <c r="Q83" s="1494"/>
    </row>
    <row r="84" spans="1:22">
      <c r="A84" s="714"/>
      <c r="B84" s="674" t="s">
        <v>1125</v>
      </c>
      <c r="C84" s="675" t="s">
        <v>135</v>
      </c>
      <c r="D84" s="675" t="s">
        <v>135</v>
      </c>
      <c r="E84" s="675" t="s">
        <v>135</v>
      </c>
      <c r="F84" s="675" t="s">
        <v>135</v>
      </c>
      <c r="G84" s="675" t="s">
        <v>135</v>
      </c>
      <c r="H84" s="675" t="s">
        <v>135</v>
      </c>
      <c r="I84" s="675" t="s">
        <v>135</v>
      </c>
      <c r="J84" s="675" t="s">
        <v>135</v>
      </c>
      <c r="K84" s="675" t="s">
        <v>135</v>
      </c>
      <c r="L84" s="675" t="s">
        <v>135</v>
      </c>
      <c r="M84" s="675" t="s">
        <v>135</v>
      </c>
      <c r="N84" s="675" t="s">
        <v>135</v>
      </c>
      <c r="O84" s="668">
        <f>SUM(C84:N84)</f>
        <v>0</v>
      </c>
      <c r="P84" s="672"/>
      <c r="Q84" s="1494">
        <v>0</v>
      </c>
    </row>
    <row r="85" spans="1:22">
      <c r="A85" s="714"/>
      <c r="B85" s="674" t="s">
        <v>7057</v>
      </c>
      <c r="C85" s="675">
        <v>35.6</v>
      </c>
      <c r="D85" s="675">
        <v>35.6</v>
      </c>
      <c r="E85" s="675">
        <v>35.6</v>
      </c>
      <c r="F85" s="675">
        <v>35.6</v>
      </c>
      <c r="G85" s="675">
        <v>35.6</v>
      </c>
      <c r="H85" s="675">
        <v>35.6</v>
      </c>
      <c r="I85" s="675">
        <v>35.6</v>
      </c>
      <c r="J85" s="675">
        <v>35.6</v>
      </c>
      <c r="K85" s="675">
        <v>35.6</v>
      </c>
      <c r="L85" s="675">
        <v>35.94</v>
      </c>
      <c r="M85" s="675"/>
      <c r="N85" s="675"/>
      <c r="O85" s="668">
        <f>SUM(C85:N85)</f>
        <v>356.34000000000003</v>
      </c>
      <c r="P85" s="672"/>
      <c r="Q85" s="1494"/>
    </row>
    <row r="86" spans="1:22">
      <c r="A86" s="714"/>
      <c r="B86" s="689" t="s">
        <v>1126</v>
      </c>
      <c r="C86" s="690">
        <f t="shared" ref="C86:O86" si="21">SUM(C75:C85)</f>
        <v>3752.61</v>
      </c>
      <c r="D86" s="690">
        <f t="shared" si="21"/>
        <v>3698.05</v>
      </c>
      <c r="E86" s="690">
        <f t="shared" si="21"/>
        <v>3696.4900000000002</v>
      </c>
      <c r="F86" s="690">
        <f t="shared" si="21"/>
        <v>3645.63</v>
      </c>
      <c r="G86" s="690">
        <f t="shared" si="21"/>
        <v>3545.2900000000004</v>
      </c>
      <c r="H86" s="690">
        <f t="shared" si="21"/>
        <v>3499.89</v>
      </c>
      <c r="I86" s="690">
        <f t="shared" si="21"/>
        <v>3468.5099999999998</v>
      </c>
      <c r="J86" s="690">
        <f t="shared" si="21"/>
        <v>3420.3700000000003</v>
      </c>
      <c r="K86" s="690">
        <f t="shared" si="21"/>
        <v>3634.78</v>
      </c>
      <c r="L86" s="690">
        <f t="shared" si="21"/>
        <v>3626.2900000000004</v>
      </c>
      <c r="M86" s="690">
        <f t="shared" si="21"/>
        <v>5629.6399999999994</v>
      </c>
      <c r="N86" s="690">
        <f t="shared" si="21"/>
        <v>3332.46</v>
      </c>
      <c r="O86" s="995">
        <f t="shared" si="21"/>
        <v>4598.8999999999996</v>
      </c>
      <c r="P86" s="691"/>
      <c r="Q86" s="1495"/>
      <c r="R86" s="1412"/>
      <c r="S86" s="1412"/>
      <c r="T86" s="1412"/>
      <c r="U86" s="1412"/>
      <c r="V86" s="1412"/>
    </row>
    <row r="87" spans="1:22">
      <c r="A87" s="715"/>
      <c r="B87" s="692" t="s">
        <v>791</v>
      </c>
      <c r="C87" s="693" t="e">
        <f t="shared" ref="C87:O87" si="22">""-C86</f>
        <v>#VALUE!</v>
      </c>
      <c r="D87" s="693" t="e">
        <f t="shared" si="22"/>
        <v>#VALUE!</v>
      </c>
      <c r="E87" s="693" t="e">
        <f t="shared" si="22"/>
        <v>#VALUE!</v>
      </c>
      <c r="F87" s="693" t="e">
        <f t="shared" si="22"/>
        <v>#VALUE!</v>
      </c>
      <c r="G87" s="693" t="e">
        <f t="shared" si="22"/>
        <v>#VALUE!</v>
      </c>
      <c r="H87" s="693" t="e">
        <f t="shared" si="22"/>
        <v>#VALUE!</v>
      </c>
      <c r="I87" s="693" t="e">
        <f t="shared" si="22"/>
        <v>#VALUE!</v>
      </c>
      <c r="J87" s="693" t="e">
        <f t="shared" si="22"/>
        <v>#VALUE!</v>
      </c>
      <c r="K87" s="693" t="e">
        <f t="shared" si="22"/>
        <v>#VALUE!</v>
      </c>
      <c r="L87" s="693" t="e">
        <f t="shared" si="22"/>
        <v>#VALUE!</v>
      </c>
      <c r="M87" s="693" t="e">
        <f t="shared" si="22"/>
        <v>#VALUE!</v>
      </c>
      <c r="N87" s="693" t="e">
        <f t="shared" si="22"/>
        <v>#VALUE!</v>
      </c>
      <c r="O87" s="693" t="e">
        <f t="shared" si="22"/>
        <v>#VALUE!</v>
      </c>
      <c r="P87" s="694"/>
      <c r="Q87" s="707"/>
    </row>
    <row r="88" spans="1:22">
      <c r="P88" s="712"/>
      <c r="Q88" s="707"/>
    </row>
    <row r="89" spans="1:22">
      <c r="A89" s="581"/>
      <c r="B89" s="976" t="s">
        <v>8058</v>
      </c>
      <c r="C89" s="912">
        <v>800000</v>
      </c>
      <c r="D89" s="912">
        <v>900000</v>
      </c>
      <c r="E89" s="912">
        <v>1000000</v>
      </c>
      <c r="F89" s="912">
        <v>1100000</v>
      </c>
      <c r="G89" s="1445">
        <v>1200000</v>
      </c>
      <c r="H89" s="912">
        <v>1300000</v>
      </c>
      <c r="I89" s="912">
        <v>1400000</v>
      </c>
      <c r="J89" s="912"/>
      <c r="K89" s="912"/>
      <c r="L89" s="912"/>
      <c r="M89" s="912"/>
      <c r="N89" s="581"/>
      <c r="O89" s="581"/>
      <c r="P89" s="581"/>
      <c r="Q89" s="1497"/>
      <c r="R89" s="581"/>
      <c r="S89" s="581"/>
      <c r="T89" s="581"/>
      <c r="U89" s="581"/>
      <c r="V89" s="581"/>
    </row>
    <row r="90" spans="1:22">
      <c r="A90" s="581"/>
      <c r="B90" s="581" t="s">
        <v>8059</v>
      </c>
      <c r="C90" s="912">
        <f t="shared" ref="C90:I90" si="23">C89-277000</f>
        <v>523000</v>
      </c>
      <c r="D90" s="912">
        <f t="shared" si="23"/>
        <v>623000</v>
      </c>
      <c r="E90" s="912">
        <f t="shared" si="23"/>
        <v>723000</v>
      </c>
      <c r="F90" s="912">
        <f t="shared" si="23"/>
        <v>823000</v>
      </c>
      <c r="G90" s="912">
        <f t="shared" si="23"/>
        <v>923000</v>
      </c>
      <c r="H90" s="912">
        <f t="shared" si="23"/>
        <v>1023000</v>
      </c>
      <c r="I90" s="912">
        <f t="shared" si="23"/>
        <v>1123000</v>
      </c>
      <c r="J90" s="912"/>
      <c r="K90" s="912"/>
      <c r="L90" s="912"/>
      <c r="M90" s="912"/>
      <c r="N90" s="581"/>
      <c r="O90" s="581"/>
      <c r="P90" s="581"/>
      <c r="Q90" s="1497"/>
      <c r="R90" s="581"/>
      <c r="S90" s="581"/>
      <c r="T90" s="581"/>
      <c r="U90" s="581"/>
      <c r="V90" s="581"/>
    </row>
    <row r="91" spans="1:22">
      <c r="A91" s="581"/>
      <c r="B91" s="581" t="s">
        <v>8060</v>
      </c>
      <c r="C91" s="912">
        <f t="shared" ref="C91:I91" si="24">C90/50000</f>
        <v>10.46</v>
      </c>
      <c r="D91" s="912">
        <f t="shared" si="24"/>
        <v>12.46</v>
      </c>
      <c r="E91" s="912">
        <f t="shared" si="24"/>
        <v>14.46</v>
      </c>
      <c r="F91" s="912">
        <f t="shared" si="24"/>
        <v>16.46</v>
      </c>
      <c r="G91" s="912">
        <f t="shared" si="24"/>
        <v>18.46</v>
      </c>
      <c r="H91" s="912">
        <f t="shared" si="24"/>
        <v>20.46</v>
      </c>
      <c r="I91" s="912">
        <f t="shared" si="24"/>
        <v>22.46</v>
      </c>
      <c r="J91" s="912"/>
      <c r="K91" s="912"/>
      <c r="L91" s="912"/>
      <c r="M91" s="912"/>
      <c r="N91" s="581"/>
      <c r="O91" s="581"/>
      <c r="P91" s="581"/>
      <c r="Q91" s="1497"/>
      <c r="R91" s="581"/>
      <c r="S91" s="581"/>
      <c r="T91" s="581"/>
      <c r="U91" s="581"/>
      <c r="V91" s="581"/>
    </row>
    <row r="92" spans="1:22">
      <c r="A92" s="581"/>
      <c r="B92" s="581" t="s">
        <v>8061</v>
      </c>
      <c r="C92" s="912">
        <f t="shared" ref="C92:I92" si="25">C91*500</f>
        <v>5230</v>
      </c>
      <c r="D92" s="912">
        <f t="shared" si="25"/>
        <v>6230</v>
      </c>
      <c r="E92" s="912">
        <f t="shared" si="25"/>
        <v>7230</v>
      </c>
      <c r="F92" s="912">
        <f t="shared" si="25"/>
        <v>8230</v>
      </c>
      <c r="G92" s="912">
        <f t="shared" si="25"/>
        <v>9230</v>
      </c>
      <c r="H92" s="912">
        <f t="shared" si="25"/>
        <v>10230</v>
      </c>
      <c r="I92" s="912">
        <f t="shared" si="25"/>
        <v>11230</v>
      </c>
      <c r="J92" s="912"/>
      <c r="K92" s="912"/>
      <c r="L92" s="912"/>
      <c r="M92" s="912"/>
      <c r="N92" s="581"/>
      <c r="O92" s="581"/>
      <c r="P92" s="581"/>
      <c r="Q92" s="1497"/>
      <c r="R92" s="581"/>
      <c r="S92" s="581"/>
      <c r="T92" s="581"/>
      <c r="U92" s="581"/>
      <c r="V92" s="581"/>
    </row>
    <row r="93" spans="1:22">
      <c r="A93" s="581"/>
      <c r="B93" s="581" t="s">
        <v>8062</v>
      </c>
      <c r="C93" s="912">
        <v>10167</v>
      </c>
      <c r="D93" s="912">
        <v>10167</v>
      </c>
      <c r="E93" s="912">
        <v>10167</v>
      </c>
      <c r="F93" s="912">
        <v>10167</v>
      </c>
      <c r="G93" s="912">
        <v>10167</v>
      </c>
      <c r="H93" s="912">
        <v>10167</v>
      </c>
      <c r="I93" s="912">
        <v>10167</v>
      </c>
      <c r="J93" s="912"/>
      <c r="K93" s="912"/>
      <c r="L93" s="912"/>
      <c r="M93" s="912"/>
      <c r="N93" s="581"/>
      <c r="O93" s="581"/>
      <c r="P93" s="581"/>
      <c r="Q93" s="1497"/>
      <c r="R93" s="581"/>
      <c r="S93" s="581"/>
      <c r="T93" s="581"/>
      <c r="U93" s="581"/>
      <c r="V93" s="581"/>
    </row>
    <row r="94" spans="1:22">
      <c r="A94" s="581"/>
      <c r="B94" s="581" t="s">
        <v>8063</v>
      </c>
      <c r="C94" s="912">
        <v>2284</v>
      </c>
      <c r="D94" s="912">
        <v>2284</v>
      </c>
      <c r="E94" s="912">
        <v>2284</v>
      </c>
      <c r="F94" s="912">
        <v>2284</v>
      </c>
      <c r="G94" s="912">
        <v>2284</v>
      </c>
      <c r="H94" s="912">
        <v>2284</v>
      </c>
      <c r="I94" s="912">
        <v>2284</v>
      </c>
      <c r="J94" s="912"/>
      <c r="K94" s="912"/>
      <c r="L94" s="912"/>
      <c r="M94" s="912"/>
      <c r="N94" s="581"/>
      <c r="O94" s="581"/>
      <c r="P94" s="581"/>
      <c r="Q94" s="1497"/>
      <c r="R94" s="581"/>
      <c r="S94" s="581"/>
      <c r="T94" s="581"/>
      <c r="U94" s="581"/>
      <c r="V94" s="581"/>
    </row>
    <row r="95" spans="1:22">
      <c r="A95" s="581"/>
      <c r="B95" s="581" t="s">
        <v>8064</v>
      </c>
      <c r="C95" s="912">
        <f t="shared" ref="C95:I95" si="26">C93-C94</f>
        <v>7883</v>
      </c>
      <c r="D95" s="912">
        <f t="shared" si="26"/>
        <v>7883</v>
      </c>
      <c r="E95" s="912">
        <f t="shared" si="26"/>
        <v>7883</v>
      </c>
      <c r="F95" s="912">
        <f t="shared" si="26"/>
        <v>7883</v>
      </c>
      <c r="G95" s="912">
        <f t="shared" si="26"/>
        <v>7883</v>
      </c>
      <c r="H95" s="912">
        <f t="shared" si="26"/>
        <v>7883</v>
      </c>
      <c r="I95" s="912">
        <f t="shared" si="26"/>
        <v>7883</v>
      </c>
      <c r="J95" s="912"/>
      <c r="K95" s="912"/>
      <c r="L95" s="912"/>
      <c r="M95" s="912"/>
      <c r="N95" s="581"/>
      <c r="O95" s="581"/>
      <c r="P95" s="581"/>
      <c r="Q95" s="581"/>
      <c r="R95" s="581"/>
      <c r="S95" s="581"/>
      <c r="T95" s="581"/>
      <c r="U95" s="581"/>
      <c r="V95" s="581"/>
    </row>
    <row r="96" spans="1:22">
      <c r="A96" s="581"/>
      <c r="B96" s="976" t="s">
        <v>8065</v>
      </c>
      <c r="C96" s="1498">
        <f t="shared" ref="C96:I96" si="27">C92-C95</f>
        <v>-2653</v>
      </c>
      <c r="D96" s="1498">
        <f t="shared" si="27"/>
        <v>-1653</v>
      </c>
      <c r="E96" s="1498">
        <f t="shared" si="27"/>
        <v>-653</v>
      </c>
      <c r="F96" s="1498">
        <f t="shared" si="27"/>
        <v>347</v>
      </c>
      <c r="G96" s="1498">
        <f t="shared" si="27"/>
        <v>1347</v>
      </c>
      <c r="H96" s="1498">
        <f t="shared" si="27"/>
        <v>2347</v>
      </c>
      <c r="I96" s="1498">
        <f t="shared" si="27"/>
        <v>3347</v>
      </c>
      <c r="J96" s="1498"/>
      <c r="K96" s="1498"/>
      <c r="L96" s="1498"/>
      <c r="M96" s="1498"/>
      <c r="N96" s="581"/>
      <c r="O96" s="581"/>
      <c r="P96" s="581"/>
      <c r="Q96" s="1497"/>
      <c r="R96" s="581"/>
      <c r="S96" s="581"/>
      <c r="T96" s="581"/>
      <c r="U96" s="581"/>
      <c r="V96" s="581"/>
    </row>
    <row r="97" spans="1:22">
      <c r="B97" s="578" t="s">
        <v>8132</v>
      </c>
      <c r="Q97" s="707"/>
    </row>
    <row r="98" spans="1:22">
      <c r="B98" s="9" t="s">
        <v>8067</v>
      </c>
      <c r="C98" s="16">
        <f t="shared" ref="C98:I98" si="28">C90/15000</f>
        <v>34.866666666666667</v>
      </c>
      <c r="D98" s="16">
        <f t="shared" si="28"/>
        <v>41.533333333333331</v>
      </c>
      <c r="E98" s="16">
        <f t="shared" si="28"/>
        <v>48.2</v>
      </c>
      <c r="F98" s="16">
        <f t="shared" si="28"/>
        <v>54.866666666666667</v>
      </c>
      <c r="G98" s="16">
        <f t="shared" si="28"/>
        <v>61.533333333333331</v>
      </c>
      <c r="H98" s="16">
        <f t="shared" si="28"/>
        <v>68.2</v>
      </c>
      <c r="I98" s="16">
        <f t="shared" si="28"/>
        <v>74.86666666666666</v>
      </c>
      <c r="J98" s="16"/>
      <c r="K98" s="16"/>
      <c r="L98" s="16"/>
      <c r="M98" s="16"/>
      <c r="Q98" s="707"/>
    </row>
    <row r="99" spans="1:22">
      <c r="A99" s="578"/>
      <c r="B99" s="578" t="s">
        <v>8068</v>
      </c>
      <c r="C99" s="711">
        <f t="shared" ref="C99:I99" si="29">C98*400</f>
        <v>13946.666666666666</v>
      </c>
      <c r="D99" s="711">
        <f t="shared" si="29"/>
        <v>16613.333333333332</v>
      </c>
      <c r="E99" s="711">
        <f t="shared" si="29"/>
        <v>19280</v>
      </c>
      <c r="F99" s="711">
        <f t="shared" si="29"/>
        <v>21946.666666666668</v>
      </c>
      <c r="G99" s="711">
        <f t="shared" si="29"/>
        <v>24613.333333333332</v>
      </c>
      <c r="H99" s="711">
        <f t="shared" si="29"/>
        <v>27280</v>
      </c>
      <c r="I99" s="711">
        <f t="shared" si="29"/>
        <v>29946.666666666664</v>
      </c>
      <c r="J99" s="711"/>
      <c r="K99" s="711"/>
      <c r="L99" s="711"/>
      <c r="M99" s="711"/>
      <c r="N99" s="578"/>
      <c r="O99" s="578"/>
      <c r="P99" s="578"/>
      <c r="Q99" s="1496"/>
      <c r="R99" s="578"/>
      <c r="S99" s="578"/>
      <c r="T99" s="578"/>
      <c r="U99" s="578"/>
      <c r="V99" s="578"/>
    </row>
    <row r="100" spans="1:22">
      <c r="B100" s="1529" t="s">
        <v>8065</v>
      </c>
      <c r="C100" s="1504">
        <f t="shared" ref="C100:I100" si="30">C99-C95</f>
        <v>6063.6666666666661</v>
      </c>
      <c r="D100" s="1504">
        <f t="shared" si="30"/>
        <v>8730.3333333333321</v>
      </c>
      <c r="E100" s="1504">
        <f t="shared" si="30"/>
        <v>11397</v>
      </c>
      <c r="F100" s="1504">
        <f t="shared" si="30"/>
        <v>14063.666666666668</v>
      </c>
      <c r="G100" s="1504">
        <f t="shared" si="30"/>
        <v>16730.333333333332</v>
      </c>
      <c r="H100" s="1504">
        <f t="shared" si="30"/>
        <v>19397</v>
      </c>
      <c r="I100" s="1504">
        <f t="shared" si="30"/>
        <v>22063.666666666664</v>
      </c>
      <c r="J100" s="1504"/>
      <c r="K100" s="1504"/>
      <c r="L100" s="1504"/>
      <c r="M100" s="1504"/>
      <c r="Q100" s="707"/>
    </row>
    <row r="101" spans="1:22">
      <c r="A101" s="581"/>
      <c r="B101" s="976" t="s">
        <v>8071</v>
      </c>
      <c r="C101" s="581"/>
      <c r="D101" s="581"/>
      <c r="E101" s="581"/>
      <c r="F101" s="581"/>
      <c r="G101" s="581"/>
      <c r="H101" s="581"/>
      <c r="I101" s="581"/>
      <c r="J101" s="581"/>
      <c r="K101" s="581"/>
      <c r="L101" s="581"/>
      <c r="M101" s="581"/>
      <c r="N101" s="581"/>
      <c r="O101" s="581"/>
      <c r="P101" s="581"/>
      <c r="Q101" s="1497"/>
      <c r="R101" s="581"/>
      <c r="S101" s="581"/>
      <c r="T101" s="581"/>
      <c r="U101" s="581"/>
      <c r="V101" s="581"/>
    </row>
    <row r="102" spans="1:22">
      <c r="A102" s="581"/>
      <c r="B102" s="581" t="s">
        <v>8073</v>
      </c>
      <c r="C102" s="912">
        <f t="shared" ref="C102:I102" si="31">C90/2/50000</f>
        <v>5.23</v>
      </c>
      <c r="D102" s="912">
        <f t="shared" si="31"/>
        <v>6.23</v>
      </c>
      <c r="E102" s="912">
        <f t="shared" si="31"/>
        <v>7.23</v>
      </c>
      <c r="F102" s="912">
        <f t="shared" si="31"/>
        <v>8.23</v>
      </c>
      <c r="G102" s="912">
        <f t="shared" si="31"/>
        <v>9.23</v>
      </c>
      <c r="H102" s="912">
        <f t="shared" si="31"/>
        <v>10.23</v>
      </c>
      <c r="I102" s="912">
        <f t="shared" si="31"/>
        <v>11.23</v>
      </c>
      <c r="J102" s="912"/>
      <c r="K102" s="912"/>
      <c r="L102" s="912"/>
      <c r="M102" s="912"/>
      <c r="N102" s="581"/>
      <c r="O102" s="581"/>
      <c r="P102" s="581"/>
      <c r="Q102" s="1497"/>
      <c r="R102" s="581"/>
      <c r="S102" s="581"/>
      <c r="T102" s="581"/>
      <c r="U102" s="581"/>
      <c r="V102" s="581"/>
    </row>
    <row r="103" spans="1:22">
      <c r="A103" s="581"/>
      <c r="B103" s="581" t="s">
        <v>8075</v>
      </c>
      <c r="C103" s="912">
        <f t="shared" ref="C103:I103" si="32">C90/2/15000</f>
        <v>17.433333333333334</v>
      </c>
      <c r="D103" s="912">
        <f t="shared" si="32"/>
        <v>20.766666666666666</v>
      </c>
      <c r="E103" s="912">
        <f t="shared" si="32"/>
        <v>24.1</v>
      </c>
      <c r="F103" s="912">
        <f t="shared" si="32"/>
        <v>27.433333333333334</v>
      </c>
      <c r="G103" s="912">
        <f t="shared" si="32"/>
        <v>30.766666666666666</v>
      </c>
      <c r="H103" s="912">
        <f t="shared" si="32"/>
        <v>34.1</v>
      </c>
      <c r="I103" s="912">
        <f t="shared" si="32"/>
        <v>37.43333333333333</v>
      </c>
      <c r="J103" s="912"/>
      <c r="K103" s="912"/>
      <c r="L103" s="912"/>
      <c r="M103" s="912"/>
      <c r="N103" s="581"/>
      <c r="O103" s="581"/>
      <c r="P103" s="581"/>
      <c r="Q103" s="1497"/>
      <c r="R103" s="581"/>
      <c r="S103" s="581"/>
      <c r="T103" s="581"/>
      <c r="U103" s="581"/>
      <c r="V103" s="581"/>
    </row>
    <row r="104" spans="1:22">
      <c r="A104" s="581"/>
      <c r="B104" s="581" t="s">
        <v>8077</v>
      </c>
      <c r="C104" s="912">
        <f t="shared" ref="C104:I104" si="33">C102*500</f>
        <v>2615</v>
      </c>
      <c r="D104" s="912">
        <f t="shared" si="33"/>
        <v>3115</v>
      </c>
      <c r="E104" s="912">
        <f t="shared" si="33"/>
        <v>3615</v>
      </c>
      <c r="F104" s="912">
        <f t="shared" si="33"/>
        <v>4115</v>
      </c>
      <c r="G104" s="912">
        <f t="shared" si="33"/>
        <v>4615</v>
      </c>
      <c r="H104" s="912">
        <f t="shared" si="33"/>
        <v>5115</v>
      </c>
      <c r="I104" s="912">
        <f t="shared" si="33"/>
        <v>5615</v>
      </c>
      <c r="J104" s="912"/>
      <c r="K104" s="912"/>
      <c r="L104" s="912"/>
      <c r="M104" s="912"/>
      <c r="N104" s="581"/>
      <c r="O104" s="581"/>
      <c r="P104" s="581"/>
      <c r="Q104" s="1497"/>
      <c r="R104" s="581"/>
      <c r="S104" s="581"/>
      <c r="T104" s="581"/>
      <c r="U104" s="581"/>
      <c r="V104" s="581"/>
    </row>
    <row r="105" spans="1:22">
      <c r="A105" s="581"/>
      <c r="B105" s="581" t="s">
        <v>8078</v>
      </c>
      <c r="C105" s="912">
        <f t="shared" ref="C105:I105" si="34">C103*350</f>
        <v>6101.666666666667</v>
      </c>
      <c r="D105" s="912">
        <f t="shared" si="34"/>
        <v>7268.333333333333</v>
      </c>
      <c r="E105" s="912">
        <f t="shared" si="34"/>
        <v>8435</v>
      </c>
      <c r="F105" s="912">
        <f t="shared" si="34"/>
        <v>9601.6666666666661</v>
      </c>
      <c r="G105" s="912">
        <f t="shared" si="34"/>
        <v>10768.333333333332</v>
      </c>
      <c r="H105" s="912">
        <f t="shared" si="34"/>
        <v>11935</v>
      </c>
      <c r="I105" s="912">
        <f t="shared" si="34"/>
        <v>13101.666666666666</v>
      </c>
      <c r="J105" s="912"/>
      <c r="K105" s="912"/>
      <c r="L105" s="912"/>
      <c r="M105" s="912"/>
      <c r="N105" s="581"/>
      <c r="O105" s="581"/>
      <c r="P105" s="581"/>
      <c r="Q105" s="1497"/>
      <c r="R105" s="581"/>
      <c r="S105" s="581"/>
      <c r="T105" s="581"/>
      <c r="U105" s="581"/>
      <c r="V105" s="581"/>
    </row>
    <row r="106" spans="1:22">
      <c r="A106" s="976"/>
      <c r="B106" s="976" t="s">
        <v>8079</v>
      </c>
      <c r="C106" s="1445">
        <f t="shared" ref="C106:I106" si="35">C104+C105</f>
        <v>8716.6666666666679</v>
      </c>
      <c r="D106" s="1445">
        <f t="shared" si="35"/>
        <v>10383.333333333332</v>
      </c>
      <c r="E106" s="1445">
        <f t="shared" si="35"/>
        <v>12050</v>
      </c>
      <c r="F106" s="1445">
        <f t="shared" si="35"/>
        <v>13716.666666666666</v>
      </c>
      <c r="G106" s="1445">
        <f t="shared" si="35"/>
        <v>15383.333333333332</v>
      </c>
      <c r="H106" s="1445">
        <f t="shared" si="35"/>
        <v>17050</v>
      </c>
      <c r="I106" s="1445">
        <f t="shared" si="35"/>
        <v>18716.666666666664</v>
      </c>
      <c r="J106" s="1445"/>
      <c r="K106" s="1445"/>
      <c r="L106" s="1445"/>
      <c r="M106" s="1445"/>
      <c r="N106" s="976"/>
      <c r="O106" s="976"/>
      <c r="P106" s="976"/>
      <c r="Q106" s="1516"/>
      <c r="R106" s="976"/>
      <c r="S106" s="976"/>
      <c r="T106" s="976"/>
      <c r="U106" s="976"/>
      <c r="V106" s="976"/>
    </row>
    <row r="107" spans="1:22">
      <c r="B107" s="1529" t="s">
        <v>8065</v>
      </c>
      <c r="C107" s="1504">
        <f t="shared" ref="C107:I107" si="36">C106-C95</f>
        <v>833.66666666666788</v>
      </c>
      <c r="D107" s="1504">
        <f t="shared" si="36"/>
        <v>2500.3333333333321</v>
      </c>
      <c r="E107" s="1504">
        <f t="shared" si="36"/>
        <v>4167</v>
      </c>
      <c r="F107" s="1504">
        <f t="shared" si="36"/>
        <v>5833.6666666666661</v>
      </c>
      <c r="G107" s="1504">
        <f t="shared" si="36"/>
        <v>7500.3333333333321</v>
      </c>
      <c r="H107" s="1504">
        <f t="shared" si="36"/>
        <v>9167</v>
      </c>
      <c r="I107" s="1504">
        <f t="shared" si="36"/>
        <v>10833.666666666664</v>
      </c>
      <c r="J107" s="1504"/>
      <c r="K107" s="1504"/>
      <c r="L107" s="1504"/>
      <c r="M107" s="1504"/>
      <c r="Q107" s="707"/>
    </row>
    <row r="108" spans="1:22">
      <c r="B108" s="9" t="s">
        <v>8080</v>
      </c>
      <c r="C108" s="9">
        <v>559</v>
      </c>
      <c r="D108" s="9">
        <v>559</v>
      </c>
      <c r="E108" s="9">
        <v>559</v>
      </c>
      <c r="F108" s="9">
        <v>559</v>
      </c>
      <c r="G108" s="9">
        <v>559</v>
      </c>
      <c r="H108" s="9">
        <v>559</v>
      </c>
      <c r="I108" s="9">
        <v>559</v>
      </c>
      <c r="Q108" s="707"/>
    </row>
    <row r="109" spans="1:22">
      <c r="B109" s="9" t="s">
        <v>8081</v>
      </c>
      <c r="C109" s="9">
        <v>300</v>
      </c>
      <c r="D109" s="9">
        <v>300</v>
      </c>
      <c r="E109" s="9">
        <v>300</v>
      </c>
      <c r="F109" s="9">
        <v>300</v>
      </c>
      <c r="G109" s="9">
        <v>300</v>
      </c>
      <c r="H109" s="9">
        <v>300</v>
      </c>
      <c r="I109" s="9">
        <v>300</v>
      </c>
      <c r="Q109" s="707"/>
    </row>
    <row r="110" spans="1:22">
      <c r="B110" s="9" t="s">
        <v>8082</v>
      </c>
      <c r="C110" s="9">
        <v>100</v>
      </c>
      <c r="D110" s="9">
        <v>100</v>
      </c>
      <c r="E110" s="9">
        <v>100</v>
      </c>
      <c r="F110" s="9">
        <v>100</v>
      </c>
      <c r="G110" s="9">
        <v>100</v>
      </c>
      <c r="H110" s="9">
        <v>100</v>
      </c>
      <c r="I110" s="9">
        <v>100</v>
      </c>
      <c r="Q110" s="707"/>
    </row>
    <row r="111" spans="1:22">
      <c r="B111" s="9" t="s">
        <v>57</v>
      </c>
      <c r="C111" s="9">
        <v>150</v>
      </c>
      <c r="D111" s="9">
        <v>150</v>
      </c>
      <c r="E111" s="9">
        <v>150</v>
      </c>
      <c r="F111" s="9">
        <v>150</v>
      </c>
      <c r="G111" s="9">
        <v>150</v>
      </c>
      <c r="H111" s="9">
        <v>150</v>
      </c>
      <c r="I111" s="9">
        <v>150</v>
      </c>
      <c r="Q111" s="707"/>
    </row>
    <row r="112" spans="1:22">
      <c r="B112" s="9" t="s">
        <v>7268</v>
      </c>
      <c r="C112" s="9">
        <v>450</v>
      </c>
      <c r="D112" s="9">
        <v>450</v>
      </c>
      <c r="E112" s="9">
        <v>450</v>
      </c>
      <c r="F112" s="9">
        <v>450</v>
      </c>
      <c r="G112" s="9">
        <v>450</v>
      </c>
      <c r="H112" s="9">
        <v>450</v>
      </c>
      <c r="I112" s="9">
        <v>450</v>
      </c>
      <c r="Q112" s="707"/>
    </row>
    <row r="113" spans="1:22">
      <c r="A113" s="578"/>
      <c r="B113" s="578" t="s">
        <v>4435</v>
      </c>
      <c r="C113" s="711">
        <f t="shared" ref="C113:I113" si="37">SUM(C108:C112)+C106</f>
        <v>10275.666666666668</v>
      </c>
      <c r="D113" s="711">
        <f t="shared" si="37"/>
        <v>11942.333333333332</v>
      </c>
      <c r="E113" s="711">
        <f t="shared" si="37"/>
        <v>13609</v>
      </c>
      <c r="F113" s="711">
        <f t="shared" si="37"/>
        <v>15275.666666666666</v>
      </c>
      <c r="G113" s="711">
        <f t="shared" si="37"/>
        <v>16942.333333333332</v>
      </c>
      <c r="H113" s="711">
        <f t="shared" si="37"/>
        <v>18609</v>
      </c>
      <c r="I113" s="711">
        <f t="shared" si="37"/>
        <v>20275.666666666664</v>
      </c>
      <c r="J113" s="578"/>
      <c r="K113" s="578"/>
      <c r="L113" s="578"/>
      <c r="M113" s="578"/>
      <c r="N113" s="578"/>
      <c r="O113" s="578"/>
      <c r="P113" s="578"/>
      <c r="Q113" s="1496"/>
      <c r="R113" s="578"/>
      <c r="S113" s="578"/>
      <c r="T113" s="578"/>
      <c r="U113" s="578"/>
      <c r="V113" s="578"/>
    </row>
    <row r="114" spans="1:22">
      <c r="C114" s="16">
        <f t="shared" ref="C114:I114" si="38">C89</f>
        <v>800000</v>
      </c>
      <c r="D114" s="16">
        <f t="shared" si="38"/>
        <v>900000</v>
      </c>
      <c r="E114" s="16">
        <f t="shared" si="38"/>
        <v>1000000</v>
      </c>
      <c r="F114" s="16">
        <f t="shared" si="38"/>
        <v>1100000</v>
      </c>
      <c r="G114" s="16">
        <f t="shared" si="38"/>
        <v>1200000</v>
      </c>
      <c r="H114" s="16">
        <f t="shared" si="38"/>
        <v>1300000</v>
      </c>
      <c r="I114" s="16">
        <f t="shared" si="38"/>
        <v>1400000</v>
      </c>
      <c r="Q114" s="707"/>
    </row>
    <row r="115" spans="1:22">
      <c r="B115" s="9" t="s">
        <v>8083</v>
      </c>
      <c r="C115" s="9">
        <v>450</v>
      </c>
      <c r="D115" s="9">
        <v>533</v>
      </c>
      <c r="E115" s="9">
        <v>625</v>
      </c>
      <c r="F115" s="9">
        <v>708</v>
      </c>
      <c r="G115" s="9">
        <v>791</v>
      </c>
      <c r="Q115" s="707"/>
    </row>
    <row r="116" spans="1:22">
      <c r="B116" s="9" t="s">
        <v>8084</v>
      </c>
      <c r="C116" s="16">
        <f t="shared" ref="C116:I116" si="39">C90*2.5/100/12</f>
        <v>1089.5833333333333</v>
      </c>
      <c r="D116" s="16">
        <f t="shared" si="39"/>
        <v>1297.9166666666667</v>
      </c>
      <c r="E116" s="16">
        <f t="shared" si="39"/>
        <v>1506.25</v>
      </c>
      <c r="F116" s="16">
        <f t="shared" si="39"/>
        <v>1714.5833333333333</v>
      </c>
      <c r="G116" s="16">
        <f t="shared" si="39"/>
        <v>1922.9166666666667</v>
      </c>
      <c r="H116" s="16">
        <f t="shared" si="39"/>
        <v>2131.25</v>
      </c>
      <c r="I116" s="16">
        <f t="shared" si="39"/>
        <v>2339.5833333333335</v>
      </c>
      <c r="Q116" s="707"/>
    </row>
    <row r="117" spans="1:22">
      <c r="Q117" s="707"/>
    </row>
    <row r="118" spans="1:22">
      <c r="Q118" s="707"/>
    </row>
    <row r="119" spans="1:22">
      <c r="Q119" s="707"/>
    </row>
    <row r="120" spans="1:22">
      <c r="Q120" s="707"/>
    </row>
    <row r="121" spans="1:22">
      <c r="B121" s="578" t="s">
        <v>8085</v>
      </c>
      <c r="O121" s="1496">
        <f t="shared" ref="O121:O127" si="40">SUM(C121:N121)</f>
        <v>0</v>
      </c>
      <c r="P121" s="1496"/>
      <c r="Q121" s="1496">
        <f>Q6-SUM(Q7:Q24)</f>
        <v>-15323.054666666663</v>
      </c>
    </row>
    <row r="122" spans="1:22">
      <c r="B122" s="9" t="s">
        <v>4399</v>
      </c>
      <c r="O122" s="1496">
        <f t="shared" si="40"/>
        <v>0</v>
      </c>
    </row>
    <row r="123" spans="1:22">
      <c r="B123" s="9" t="s">
        <v>8086</v>
      </c>
      <c r="O123" s="1496">
        <f t="shared" si="40"/>
        <v>0</v>
      </c>
    </row>
    <row r="124" spans="1:22">
      <c r="B124" s="9" t="s">
        <v>8087</v>
      </c>
      <c r="O124" s="1496">
        <f t="shared" si="40"/>
        <v>0</v>
      </c>
    </row>
    <row r="125" spans="1:22">
      <c r="B125" s="9" t="s">
        <v>7877</v>
      </c>
      <c r="O125" s="1496">
        <f t="shared" si="40"/>
        <v>0</v>
      </c>
    </row>
    <row r="126" spans="1:22">
      <c r="B126" s="9" t="s">
        <v>8088</v>
      </c>
      <c r="O126" s="1496">
        <f t="shared" si="40"/>
        <v>0</v>
      </c>
    </row>
    <row r="127" spans="1:22">
      <c r="C127" s="888" t="s">
        <v>8010</v>
      </c>
      <c r="D127" s="888" t="s">
        <v>8089</v>
      </c>
      <c r="O127" s="1496">
        <f t="shared" si="40"/>
        <v>0</v>
      </c>
    </row>
    <row r="128" spans="1:22">
      <c r="B128" s="9" t="s">
        <v>8090</v>
      </c>
      <c r="D128" s="9">
        <v>411</v>
      </c>
      <c r="E128" s="9" t="s">
        <v>750</v>
      </c>
      <c r="O128" s="1496"/>
    </row>
    <row r="129" spans="2:15">
      <c r="B129" s="9" t="s">
        <v>8091</v>
      </c>
      <c r="D129" s="9">
        <v>518</v>
      </c>
      <c r="E129" s="9" t="s">
        <v>83</v>
      </c>
      <c r="O129" s="1496"/>
    </row>
    <row r="130" spans="2:15">
      <c r="B130" s="9" t="s">
        <v>8092</v>
      </c>
      <c r="D130" s="9">
        <v>368</v>
      </c>
      <c r="E130" s="9" t="s">
        <v>78</v>
      </c>
      <c r="O130" s="1496"/>
    </row>
    <row r="131" spans="2:15">
      <c r="B131" s="9" t="s">
        <v>8093</v>
      </c>
      <c r="D131" s="9">
        <v>772</v>
      </c>
      <c r="E131" s="9" t="s">
        <v>8133</v>
      </c>
      <c r="O131" s="1496"/>
    </row>
    <row r="132" spans="2:15">
      <c r="B132" s="9" t="s">
        <v>8094</v>
      </c>
      <c r="D132" s="9">
        <v>0</v>
      </c>
      <c r="O132" s="1496"/>
    </row>
    <row r="133" spans="2:15">
      <c r="B133" s="9" t="s">
        <v>8095</v>
      </c>
      <c r="D133" s="9">
        <v>0</v>
      </c>
      <c r="O133" s="1496"/>
    </row>
    <row r="134" spans="2:15">
      <c r="B134" s="9" t="s">
        <v>8096</v>
      </c>
      <c r="D134" s="9">
        <v>0</v>
      </c>
      <c r="O134" s="1496">
        <f>SUM(C134:N134)</f>
        <v>0</v>
      </c>
    </row>
    <row r="135" spans="2:15">
      <c r="B135" s="9" t="s">
        <v>8097</v>
      </c>
      <c r="D135" s="9">
        <v>0</v>
      </c>
      <c r="O135" s="1496">
        <f>SUM(C135:N135)</f>
        <v>0</v>
      </c>
    </row>
    <row r="136" spans="2:15">
      <c r="B136" s="9" t="s">
        <v>8098</v>
      </c>
      <c r="D136" s="9">
        <v>0</v>
      </c>
      <c r="O136" s="1496">
        <f>SUM(C136:N136)</f>
        <v>0</v>
      </c>
    </row>
    <row r="137" spans="2:15">
      <c r="B137" s="578" t="s">
        <v>67</v>
      </c>
      <c r="C137" s="578"/>
      <c r="D137" s="711">
        <f>SUM(D128:D136)</f>
        <v>2069</v>
      </c>
      <c r="O137" s="1496"/>
    </row>
    <row r="138" spans="2:15">
      <c r="B138" s="9" t="s">
        <v>8099</v>
      </c>
      <c r="D138" s="9">
        <f>D137*10/100</f>
        <v>206.9</v>
      </c>
      <c r="O138" s="1496"/>
    </row>
    <row r="139" spans="2:15">
      <c r="B139" s="578" t="s">
        <v>59</v>
      </c>
      <c r="C139" s="578"/>
      <c r="D139" s="711">
        <f>D137-D138</f>
        <v>1862.1</v>
      </c>
      <c r="O139" s="1496">
        <f>SUM(C139:N139)</f>
        <v>1862.1</v>
      </c>
    </row>
    <row r="140" spans="2:15">
      <c r="B140" s="9" t="s">
        <v>8100</v>
      </c>
      <c r="D140" s="16">
        <f>D139*12</f>
        <v>22345.199999999997</v>
      </c>
      <c r="O140" s="1496">
        <f>SUM(C140:N140)</f>
        <v>22345.199999999997</v>
      </c>
    </row>
    <row r="141" spans="2:15">
      <c r="B141" s="578" t="s">
        <v>38</v>
      </c>
      <c r="O141" s="1496"/>
    </row>
    <row r="142" spans="2:15">
      <c r="B142" s="9" t="s">
        <v>7354</v>
      </c>
      <c r="N142" s="9">
        <v>7200</v>
      </c>
      <c r="O142" s="1496"/>
    </row>
    <row r="143" spans="2:15">
      <c r="B143" s="9" t="s">
        <v>8101</v>
      </c>
      <c r="N143" s="9">
        <v>2500</v>
      </c>
      <c r="O143" s="1496"/>
    </row>
    <row r="144" spans="2:15">
      <c r="O144" s="1496"/>
    </row>
    <row r="145" spans="2:15">
      <c r="O145" s="1496"/>
    </row>
    <row r="146" spans="2:15">
      <c r="B146" s="578" t="s">
        <v>270</v>
      </c>
      <c r="O146" s="1496"/>
    </row>
    <row r="147" spans="2:15">
      <c r="B147" s="578" t="s">
        <v>8102</v>
      </c>
      <c r="N147" s="9" t="s">
        <v>135</v>
      </c>
      <c r="O147" s="1496"/>
    </row>
    <row r="148" spans="2:15">
      <c r="B148" s="9" t="s">
        <v>8103</v>
      </c>
      <c r="N148" s="9">
        <v>1000</v>
      </c>
      <c r="O148" s="1496"/>
    </row>
    <row r="149" spans="2:15">
      <c r="B149" s="9" t="s">
        <v>8104</v>
      </c>
      <c r="C149" s="9" t="s">
        <v>135</v>
      </c>
      <c r="N149" s="9">
        <v>300</v>
      </c>
      <c r="O149" s="1496"/>
    </row>
    <row r="150" spans="2:15">
      <c r="B150" s="9" t="s">
        <v>8105</v>
      </c>
      <c r="O150" s="1496"/>
    </row>
    <row r="151" spans="2:15">
      <c r="B151" s="9" t="s">
        <v>8106</v>
      </c>
      <c r="N151" s="9">
        <v>500</v>
      </c>
      <c r="O151" s="1496"/>
    </row>
    <row r="152" spans="2:15">
      <c r="B152" s="9" t="s">
        <v>8107</v>
      </c>
      <c r="O152" s="1496"/>
    </row>
    <row r="153" spans="2:15">
      <c r="O153" s="1496"/>
    </row>
    <row r="154" spans="2:15">
      <c r="B154" s="578" t="s">
        <v>8088</v>
      </c>
      <c r="O154" s="1496"/>
    </row>
    <row r="155" spans="2:15">
      <c r="B155" s="9" t="s">
        <v>8108</v>
      </c>
      <c r="O155" s="1496"/>
    </row>
    <row r="156" spans="2:15">
      <c r="B156" s="9" t="s">
        <v>135</v>
      </c>
      <c r="O156" s="1496"/>
    </row>
    <row r="157" spans="2:15">
      <c r="B157" s="9" t="s">
        <v>135</v>
      </c>
      <c r="N157" s="9">
        <v>0</v>
      </c>
      <c r="O157" s="1496"/>
    </row>
    <row r="158" spans="2:15">
      <c r="B158" s="9" t="s">
        <v>8109</v>
      </c>
      <c r="O158" s="1496"/>
    </row>
    <row r="159" spans="2:15">
      <c r="O159" s="1496"/>
    </row>
    <row r="160" spans="2:15">
      <c r="B160" s="578" t="s">
        <v>8110</v>
      </c>
      <c r="O160" s="1496"/>
    </row>
    <row r="161" spans="2:15">
      <c r="B161" s="9" t="s">
        <v>8111</v>
      </c>
      <c r="O161" s="1496"/>
    </row>
    <row r="162" spans="2:15">
      <c r="B162" s="9" t="s">
        <v>8112</v>
      </c>
      <c r="O162" s="1496"/>
    </row>
    <row r="163" spans="2:15">
      <c r="B163" s="9" t="s">
        <v>8113</v>
      </c>
      <c r="O163" s="1496"/>
    </row>
    <row r="164" spans="2:15">
      <c r="B164" s="9" t="s">
        <v>8114</v>
      </c>
      <c r="C164" s="9" t="s">
        <v>8134</v>
      </c>
      <c r="D164" s="9" t="s">
        <v>61</v>
      </c>
      <c r="E164" s="9" t="s">
        <v>8116</v>
      </c>
      <c r="F164" s="9" t="s">
        <v>8117</v>
      </c>
      <c r="G164" s="9" t="s">
        <v>8118</v>
      </c>
      <c r="H164" s="112" t="s">
        <v>8119</v>
      </c>
      <c r="O164" s="1496"/>
    </row>
    <row r="165" spans="2:15">
      <c r="B165" s="9">
        <v>1</v>
      </c>
      <c r="D165" s="9">
        <v>561</v>
      </c>
      <c r="H165" s="578">
        <f t="shared" ref="H165:H174" si="41">D165-E165-F165-G165</f>
        <v>561</v>
      </c>
      <c r="O165" s="1496"/>
    </row>
    <row r="166" spans="2:15">
      <c r="B166" s="9">
        <v>2</v>
      </c>
      <c r="D166" s="9">
        <v>765</v>
      </c>
      <c r="H166" s="578">
        <f t="shared" si="41"/>
        <v>765</v>
      </c>
      <c r="O166" s="1496"/>
    </row>
    <row r="167" spans="2:15">
      <c r="B167" s="9">
        <v>3</v>
      </c>
      <c r="C167" s="9">
        <v>96</v>
      </c>
      <c r="D167" s="9">
        <v>855</v>
      </c>
      <c r="H167" s="578">
        <f t="shared" si="41"/>
        <v>855</v>
      </c>
      <c r="O167" s="1496">
        <f>SUM(C167:N167)</f>
        <v>1806</v>
      </c>
    </row>
    <row r="168" spans="2:15">
      <c r="B168" s="9">
        <v>4</v>
      </c>
      <c r="C168" s="9">
        <v>1256</v>
      </c>
      <c r="D168" s="9">
        <v>2056</v>
      </c>
      <c r="H168" s="578">
        <f t="shared" si="41"/>
        <v>2056</v>
      </c>
      <c r="O168" s="1496"/>
    </row>
    <row r="169" spans="2:15">
      <c r="B169" s="9">
        <v>5</v>
      </c>
      <c r="C169" s="9">
        <v>1240</v>
      </c>
      <c r="D169" s="9">
        <v>1988</v>
      </c>
      <c r="H169" s="578">
        <f t="shared" si="41"/>
        <v>1988</v>
      </c>
      <c r="O169" s="1496"/>
    </row>
    <row r="170" spans="2:15">
      <c r="B170" s="9">
        <v>8</v>
      </c>
      <c r="C170" s="9">
        <v>885</v>
      </c>
      <c r="D170" s="9">
        <v>1525</v>
      </c>
      <c r="E170" s="9">
        <v>1525</v>
      </c>
      <c r="H170" s="578">
        <f t="shared" si="41"/>
        <v>0</v>
      </c>
      <c r="O170" s="1496"/>
    </row>
    <row r="171" spans="2:15">
      <c r="B171" s="9">
        <v>9</v>
      </c>
      <c r="C171" s="9">
        <v>0</v>
      </c>
      <c r="D171" s="9">
        <v>473</v>
      </c>
      <c r="E171" s="9">
        <v>473</v>
      </c>
      <c r="H171" s="578">
        <f t="shared" si="41"/>
        <v>0</v>
      </c>
      <c r="O171" s="1496"/>
    </row>
    <row r="172" spans="2:15">
      <c r="B172" s="9">
        <v>11</v>
      </c>
      <c r="C172" s="9">
        <v>322</v>
      </c>
      <c r="D172" s="9">
        <v>1103</v>
      </c>
      <c r="E172" s="9">
        <v>1103</v>
      </c>
      <c r="H172" s="578">
        <f t="shared" si="41"/>
        <v>0</v>
      </c>
      <c r="O172" s="1496"/>
    </row>
    <row r="173" spans="2:15">
      <c r="B173" s="9">
        <v>15</v>
      </c>
      <c r="C173" s="9">
        <v>631</v>
      </c>
      <c r="D173" s="9">
        <v>1379</v>
      </c>
      <c r="E173" s="9">
        <v>1379</v>
      </c>
      <c r="H173" s="578">
        <f t="shared" si="41"/>
        <v>0</v>
      </c>
      <c r="O173" s="1496"/>
    </row>
    <row r="174" spans="2:15">
      <c r="B174" s="9">
        <v>21</v>
      </c>
      <c r="H174" s="578">
        <f t="shared" si="41"/>
        <v>0</v>
      </c>
      <c r="O174" s="1496"/>
    </row>
    <row r="175" spans="2:15">
      <c r="H175" s="578"/>
      <c r="O175" s="1496"/>
    </row>
    <row r="176" spans="2:15">
      <c r="B176" s="9" t="s">
        <v>67</v>
      </c>
      <c r="E176" s="9">
        <f>SUM(E165:E175)</f>
        <v>4480</v>
      </c>
      <c r="F176" s="9">
        <f>SUM(F165:F175)</f>
        <v>0</v>
      </c>
      <c r="G176" s="9">
        <f>SUM(G165:G175)</f>
        <v>0</v>
      </c>
      <c r="H176" s="578">
        <f>SUM(H165:H174)</f>
        <v>6225</v>
      </c>
      <c r="J176" s="9">
        <v>10705</v>
      </c>
      <c r="O176" s="1496"/>
    </row>
    <row r="177" spans="7:15">
      <c r="G177" s="9">
        <f>SUM(E176:G176)</f>
        <v>4480</v>
      </c>
      <c r="O177" s="1496"/>
    </row>
    <row r="178" spans="7:15">
      <c r="O178" s="1496"/>
    </row>
    <row r="179" spans="7:15">
      <c r="O179" s="1496"/>
    </row>
    <row r="180" spans="7:15">
      <c r="O180" s="1496"/>
    </row>
    <row r="181" spans="7:15">
      <c r="O181" s="1496"/>
    </row>
    <row r="182" spans="7:15">
      <c r="O182" s="1496"/>
    </row>
    <row r="183" spans="7:15">
      <c r="O183" s="1496"/>
    </row>
    <row r="184" spans="7:15">
      <c r="O184" s="1496"/>
    </row>
    <row r="185" spans="7:15">
      <c r="O185" s="1496"/>
    </row>
    <row r="186" spans="7:15">
      <c r="O186" s="1496"/>
    </row>
    <row r="187" spans="7:15">
      <c r="O187" s="1496"/>
    </row>
  </sheetData>
  <mergeCells count="6">
    <mergeCell ref="B72:O72"/>
    <mergeCell ref="B1:O1"/>
    <mergeCell ref="B30:O30"/>
    <mergeCell ref="B31:O31"/>
    <mergeCell ref="B32:O32"/>
    <mergeCell ref="B52:O52"/>
  </mergeCells>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outlinePr summaryBelow="0" summaryRight="0"/>
  </sheetPr>
  <dimension ref="A1:T227"/>
  <sheetViews>
    <sheetView workbookViewId="0"/>
  </sheetViews>
  <sheetFormatPr defaultColWidth="12.7109375" defaultRowHeight="12.75" customHeight="1"/>
  <cols>
    <col min="1" max="1" width="40" customWidth="1"/>
    <col min="2" max="2" width="24.85546875" customWidth="1"/>
    <col min="3" max="3" width="17" customWidth="1"/>
    <col min="4" max="4" width="34.7109375" customWidth="1"/>
    <col min="5" max="5" width="43.7109375" customWidth="1"/>
    <col min="6" max="20" width="15.140625" customWidth="1"/>
  </cols>
  <sheetData>
    <row r="1" spans="1:20">
      <c r="A1" s="578"/>
      <c r="B1" s="578" t="s">
        <v>3689</v>
      </c>
      <c r="C1" s="578" t="s">
        <v>3690</v>
      </c>
      <c r="D1" s="578"/>
      <c r="E1" s="578"/>
      <c r="F1" s="578"/>
      <c r="H1" s="578"/>
      <c r="I1" s="578"/>
      <c r="J1" s="578"/>
      <c r="K1" s="578"/>
      <c r="L1" s="578"/>
      <c r="M1" s="578"/>
      <c r="N1" s="578"/>
      <c r="O1" s="578"/>
      <c r="P1" s="578"/>
      <c r="Q1" s="578"/>
      <c r="R1" s="578"/>
      <c r="S1" s="578"/>
      <c r="T1" s="578"/>
    </row>
    <row r="2" spans="1:20">
      <c r="A2" s="9" t="s">
        <v>6900</v>
      </c>
      <c r="B2" s="9" t="s">
        <v>3755</v>
      </c>
      <c r="C2" s="9" t="s">
        <v>8135</v>
      </c>
    </row>
    <row r="3" spans="1:20">
      <c r="A3" s="9" t="s">
        <v>8136</v>
      </c>
      <c r="B3" s="9" t="s">
        <v>3692</v>
      </c>
      <c r="C3" s="9" t="s">
        <v>3706</v>
      </c>
    </row>
    <row r="4" spans="1:20">
      <c r="A4" s="9" t="s">
        <v>8137</v>
      </c>
      <c r="B4" s="9" t="s">
        <v>3692</v>
      </c>
      <c r="C4" s="9" t="s">
        <v>3785</v>
      </c>
    </row>
    <row r="5" spans="1:20">
      <c r="A5" s="9" t="s">
        <v>8138</v>
      </c>
      <c r="B5" s="9" t="s">
        <v>3781</v>
      </c>
      <c r="C5" s="9" t="s">
        <v>8139</v>
      </c>
      <c r="D5" s="9" t="s">
        <v>7747</v>
      </c>
    </row>
    <row r="6" spans="1:20">
      <c r="A6" s="9" t="s">
        <v>4215</v>
      </c>
      <c r="B6" s="9" t="s">
        <v>4216</v>
      </c>
      <c r="C6" s="9" t="s">
        <v>4217</v>
      </c>
    </row>
    <row r="7" spans="1:20">
      <c r="A7" s="9" t="s">
        <v>360</v>
      </c>
      <c r="B7" s="9" t="s">
        <v>3692</v>
      </c>
      <c r="C7" s="9" t="s">
        <v>3706</v>
      </c>
    </row>
    <row r="8" spans="1:20">
      <c r="A8" s="9" t="s">
        <v>4218</v>
      </c>
      <c r="B8" s="9" t="s">
        <v>4219</v>
      </c>
      <c r="C8" s="9" t="s">
        <v>4220</v>
      </c>
      <c r="D8" s="9" t="s">
        <v>4221</v>
      </c>
    </row>
    <row r="9" spans="1:20">
      <c r="A9" s="9" t="s">
        <v>4222</v>
      </c>
      <c r="B9" s="9" t="s">
        <v>4223</v>
      </c>
      <c r="C9" s="9" t="s">
        <v>4224</v>
      </c>
      <c r="D9" s="9" t="s">
        <v>4225</v>
      </c>
    </row>
    <row r="10" spans="1:20">
      <c r="A10" s="9" t="s">
        <v>4226</v>
      </c>
      <c r="B10" s="9" t="s">
        <v>4227</v>
      </c>
      <c r="C10" s="40">
        <v>28162816</v>
      </c>
    </row>
    <row r="11" spans="1:20">
      <c r="A11" s="9" t="s">
        <v>8140</v>
      </c>
      <c r="B11" s="9" t="s">
        <v>4205</v>
      </c>
      <c r="C11" s="9" t="s">
        <v>3706</v>
      </c>
    </row>
    <row r="12" spans="1:20">
      <c r="A12" s="9" t="s">
        <v>4228</v>
      </c>
      <c r="B12" s="9" t="s">
        <v>4229</v>
      </c>
      <c r="C12" s="9" t="s">
        <v>4230</v>
      </c>
    </row>
    <row r="13" spans="1:20">
      <c r="A13" s="9" t="s">
        <v>4236</v>
      </c>
      <c r="B13" s="9" t="s">
        <v>4237</v>
      </c>
      <c r="C13" s="9" t="s">
        <v>3782</v>
      </c>
    </row>
    <row r="14" spans="1:20">
      <c r="A14" s="9" t="s">
        <v>7743</v>
      </c>
      <c r="B14" s="9" t="s">
        <v>7740</v>
      </c>
      <c r="C14" s="9" t="s">
        <v>3785</v>
      </c>
    </row>
    <row r="15" spans="1:20">
      <c r="A15" s="9" t="s">
        <v>4238</v>
      </c>
      <c r="B15" s="9" t="s">
        <v>4223</v>
      </c>
      <c r="C15" s="9" t="s">
        <v>3782</v>
      </c>
    </row>
    <row r="16" spans="1:20">
      <c r="A16" s="9" t="s">
        <v>4239</v>
      </c>
      <c r="B16" s="9" t="s">
        <v>3692</v>
      </c>
      <c r="C16" s="9" t="s">
        <v>3785</v>
      </c>
    </row>
    <row r="17" spans="1:5">
      <c r="A17" s="9" t="s">
        <v>7748</v>
      </c>
      <c r="B17" s="9" t="s">
        <v>7749</v>
      </c>
      <c r="D17" s="9" t="s">
        <v>8141</v>
      </c>
    </row>
    <row r="18" spans="1:5">
      <c r="A18" s="9" t="s">
        <v>6907</v>
      </c>
      <c r="B18" s="9">
        <v>1300041</v>
      </c>
      <c r="C18" s="9" t="s">
        <v>8142</v>
      </c>
      <c r="D18" s="9" t="s">
        <v>8143</v>
      </c>
      <c r="E18" s="9" t="s">
        <v>8144</v>
      </c>
    </row>
    <row r="19" spans="1:5">
      <c r="A19" s="9" t="s">
        <v>8145</v>
      </c>
      <c r="B19" s="9" t="s">
        <v>8146</v>
      </c>
      <c r="C19" s="9" t="s">
        <v>8142</v>
      </c>
      <c r="D19" s="9" t="s">
        <v>8147</v>
      </c>
    </row>
    <row r="20" spans="1:5">
      <c r="A20" s="9" t="s">
        <v>3723</v>
      </c>
      <c r="B20" s="9" t="s">
        <v>3692</v>
      </c>
      <c r="C20" s="9" t="s">
        <v>3706</v>
      </c>
      <c r="D20" s="9" t="s">
        <v>3725</v>
      </c>
    </row>
    <row r="21" spans="1:5">
      <c r="A21" s="9" t="s">
        <v>4270</v>
      </c>
      <c r="B21" s="9" t="s">
        <v>3692</v>
      </c>
      <c r="C21" s="9" t="s">
        <v>3785</v>
      </c>
      <c r="D21" s="9" t="s">
        <v>7755</v>
      </c>
    </row>
    <row r="22" spans="1:5">
      <c r="A22" s="9" t="s">
        <v>6914</v>
      </c>
      <c r="B22" s="9" t="s">
        <v>3692</v>
      </c>
      <c r="C22" s="9" t="s">
        <v>3706</v>
      </c>
    </row>
    <row r="23" spans="1:5">
      <c r="A23" s="9" t="s">
        <v>7756</v>
      </c>
      <c r="C23" s="40">
        <v>2816</v>
      </c>
    </row>
    <row r="24" spans="1:5">
      <c r="A24" s="9" t="s">
        <v>4273</v>
      </c>
      <c r="B24" s="9" t="s">
        <v>4274</v>
      </c>
      <c r="C24" s="9" t="s">
        <v>3706</v>
      </c>
    </row>
    <row r="25" spans="1:5">
      <c r="A25" s="9" t="s">
        <v>4275</v>
      </c>
      <c r="C25" s="9" t="s">
        <v>4276</v>
      </c>
    </row>
    <row r="26" spans="1:5">
      <c r="A26" s="9" t="s">
        <v>8148</v>
      </c>
      <c r="B26" s="9" t="s">
        <v>7758</v>
      </c>
      <c r="C26" s="9" t="s">
        <v>3785</v>
      </c>
      <c r="D26" s="9" t="s">
        <v>7759</v>
      </c>
    </row>
    <row r="27" spans="1:5">
      <c r="A27" s="9" t="s">
        <v>4281</v>
      </c>
      <c r="B27" s="9" t="s">
        <v>3755</v>
      </c>
      <c r="C27" s="9" t="s">
        <v>3756</v>
      </c>
      <c r="D27" s="9" t="s">
        <v>8149</v>
      </c>
    </row>
    <row r="28" spans="1:5">
      <c r="A28" s="9" t="s">
        <v>1217</v>
      </c>
      <c r="B28" s="9" t="s">
        <v>3939</v>
      </c>
      <c r="C28" s="9" t="s">
        <v>3706</v>
      </c>
    </row>
    <row r="29" spans="1:5">
      <c r="A29" s="9" t="s">
        <v>4283</v>
      </c>
      <c r="B29" s="9" t="s">
        <v>3755</v>
      </c>
      <c r="C29" s="9" t="s">
        <v>4284</v>
      </c>
    </row>
    <row r="30" spans="1:5">
      <c r="A30" s="9" t="s">
        <v>7760</v>
      </c>
      <c r="B30" s="9" t="s">
        <v>3692</v>
      </c>
      <c r="C30" s="9" t="s">
        <v>3785</v>
      </c>
      <c r="D30" s="9" t="s">
        <v>8150</v>
      </c>
      <c r="E30" s="9" t="s">
        <v>7761</v>
      </c>
    </row>
    <row r="31" spans="1:5">
      <c r="A31" s="9" t="s">
        <v>6917</v>
      </c>
      <c r="B31" s="9" t="s">
        <v>3692</v>
      </c>
      <c r="C31" s="9" t="s">
        <v>3785</v>
      </c>
      <c r="D31" s="9" t="s">
        <v>6918</v>
      </c>
    </row>
    <row r="32" spans="1:5">
      <c r="A32" s="9" t="s">
        <v>4291</v>
      </c>
      <c r="B32" s="9" t="s">
        <v>3692</v>
      </c>
      <c r="C32" s="9" t="s">
        <v>3785</v>
      </c>
      <c r="D32" s="9" t="s">
        <v>4292</v>
      </c>
    </row>
    <row r="33" spans="1:5">
      <c r="A33" s="9" t="s">
        <v>7764</v>
      </c>
      <c r="B33" s="9" t="s">
        <v>3292</v>
      </c>
      <c r="C33" s="9" t="s">
        <v>3851</v>
      </c>
      <c r="D33" s="9" t="s">
        <v>8151</v>
      </c>
    </row>
    <row r="34" spans="1:5">
      <c r="A34" s="9" t="s">
        <v>7762</v>
      </c>
      <c r="B34" s="9" t="s">
        <v>3692</v>
      </c>
      <c r="C34" s="9" t="s">
        <v>8152</v>
      </c>
    </row>
    <row r="35" spans="1:5">
      <c r="A35" s="9" t="s">
        <v>7766</v>
      </c>
      <c r="B35" s="9" t="s">
        <v>3692</v>
      </c>
      <c r="C35" s="9" t="s">
        <v>7767</v>
      </c>
    </row>
    <row r="36" spans="1:5">
      <c r="A36" s="9" t="s">
        <v>8153</v>
      </c>
      <c r="B36" s="40">
        <v>425279</v>
      </c>
      <c r="C36" s="40">
        <v>2816</v>
      </c>
      <c r="D36" s="9" t="s">
        <v>4260</v>
      </c>
    </row>
    <row r="37" spans="1:5">
      <c r="A37" s="9" t="s">
        <v>8154</v>
      </c>
      <c r="B37" s="40" t="s">
        <v>3755</v>
      </c>
      <c r="C37" s="9" t="s">
        <v>3785</v>
      </c>
    </row>
    <row r="38" spans="1:5">
      <c r="A38" s="9" t="s">
        <v>7768</v>
      </c>
      <c r="B38" s="40" t="s">
        <v>3692</v>
      </c>
      <c r="C38" s="9" t="s">
        <v>3785</v>
      </c>
      <c r="D38" s="9" t="s">
        <v>7769</v>
      </c>
      <c r="E38" s="653" t="s">
        <v>7770</v>
      </c>
    </row>
    <row r="39" spans="1:5">
      <c r="A39" s="9" t="s">
        <v>4294</v>
      </c>
      <c r="B39" s="40" t="s">
        <v>3755</v>
      </c>
      <c r="C39" s="9" t="s">
        <v>4295</v>
      </c>
    </row>
    <row r="40" spans="1:5">
      <c r="A40" s="9" t="s">
        <v>7771</v>
      </c>
      <c r="B40" s="40">
        <v>69390</v>
      </c>
      <c r="C40" s="9" t="s">
        <v>3785</v>
      </c>
    </row>
    <row r="41" spans="1:5">
      <c r="B41" s="9" t="s">
        <v>3692</v>
      </c>
      <c r="C41" s="9" t="s">
        <v>3779</v>
      </c>
    </row>
    <row r="42" spans="1:5">
      <c r="A42" s="9" t="s">
        <v>3719</v>
      </c>
      <c r="B42" s="9" t="s">
        <v>3720</v>
      </c>
      <c r="D42" s="9" t="s">
        <v>3721</v>
      </c>
      <c r="E42" s="653" t="s">
        <v>3722</v>
      </c>
    </row>
    <row r="43" spans="1:5">
      <c r="A43" s="9" t="s">
        <v>4296</v>
      </c>
      <c r="B43" s="9" t="s">
        <v>4297</v>
      </c>
      <c r="C43" s="9" t="s">
        <v>3785</v>
      </c>
      <c r="D43" s="9" t="s">
        <v>3692</v>
      </c>
    </row>
    <row r="44" spans="1:5">
      <c r="A44" s="9" t="s">
        <v>4301</v>
      </c>
      <c r="B44" s="9" t="s">
        <v>4302</v>
      </c>
      <c r="C44" s="9" t="s">
        <v>4303</v>
      </c>
    </row>
    <row r="45" spans="1:5">
      <c r="A45" s="9" t="s">
        <v>6919</v>
      </c>
      <c r="B45" s="9" t="s">
        <v>4306</v>
      </c>
    </row>
    <row r="46" spans="1:5">
      <c r="A46" s="9" t="s">
        <v>7772</v>
      </c>
      <c r="B46" s="9" t="s">
        <v>3692</v>
      </c>
      <c r="C46" s="9" t="s">
        <v>4295</v>
      </c>
      <c r="D46" s="9" t="s">
        <v>7773</v>
      </c>
      <c r="E46" s="9" t="s">
        <v>7774</v>
      </c>
    </row>
    <row r="47" spans="1:5">
      <c r="A47" s="9" t="s">
        <v>7775</v>
      </c>
      <c r="B47" s="9" t="s">
        <v>3692</v>
      </c>
      <c r="C47" s="9" t="s">
        <v>3706</v>
      </c>
      <c r="D47" s="9" t="s">
        <v>7776</v>
      </c>
    </row>
    <row r="48" spans="1:5">
      <c r="A48" s="9" t="s">
        <v>3772</v>
      </c>
      <c r="B48" s="9" t="s">
        <v>3696</v>
      </c>
      <c r="C48" s="9" t="s">
        <v>7767</v>
      </c>
      <c r="D48" s="9" t="s">
        <v>6920</v>
      </c>
    </row>
    <row r="49" spans="1:5">
      <c r="A49" s="9" t="s">
        <v>7777</v>
      </c>
      <c r="B49" s="9" t="s">
        <v>7778</v>
      </c>
      <c r="C49" s="9" t="s">
        <v>3706</v>
      </c>
    </row>
    <row r="50" spans="1:5">
      <c r="A50" s="9" t="s">
        <v>4310</v>
      </c>
      <c r="B50" s="9" t="s">
        <v>4311</v>
      </c>
      <c r="C50" s="9" t="s">
        <v>4312</v>
      </c>
      <c r="D50" s="653" t="s">
        <v>4313</v>
      </c>
      <c r="E50" s="9" t="s">
        <v>4314</v>
      </c>
    </row>
    <row r="51" spans="1:5">
      <c r="A51" s="9" t="s">
        <v>4315</v>
      </c>
      <c r="B51" s="9" t="s">
        <v>4316</v>
      </c>
      <c r="D51" s="653" t="s">
        <v>4317</v>
      </c>
      <c r="E51" s="9" t="s">
        <v>4318</v>
      </c>
    </row>
    <row r="52" spans="1:5">
      <c r="A52" s="9" t="s">
        <v>7779</v>
      </c>
      <c r="B52" s="9" t="s">
        <v>3716</v>
      </c>
      <c r="C52" s="9" t="s">
        <v>3851</v>
      </c>
      <c r="D52" s="9" t="s">
        <v>8155</v>
      </c>
    </row>
    <row r="53" spans="1:5">
      <c r="A53" s="9" t="s">
        <v>4319</v>
      </c>
      <c r="B53" s="9" t="s">
        <v>3859</v>
      </c>
      <c r="C53" s="9" t="s">
        <v>3785</v>
      </c>
      <c r="D53" s="9" t="s">
        <v>4320</v>
      </c>
    </row>
    <row r="54" spans="1:5">
      <c r="A54" s="9" t="s">
        <v>4321</v>
      </c>
      <c r="B54" s="9" t="s">
        <v>3692</v>
      </c>
      <c r="C54" s="40" t="s">
        <v>3785</v>
      </c>
    </row>
    <row r="55" spans="1:5">
      <c r="A55" s="9" t="s">
        <v>7780</v>
      </c>
      <c r="B55" s="9" t="s">
        <v>7781</v>
      </c>
      <c r="C55" s="9" t="s">
        <v>8156</v>
      </c>
      <c r="D55" s="9" t="s">
        <v>7783</v>
      </c>
      <c r="E55" s="9" t="s">
        <v>8157</v>
      </c>
    </row>
    <row r="56" spans="1:5">
      <c r="A56" s="9" t="s">
        <v>7785</v>
      </c>
      <c r="B56" s="9" t="s">
        <v>7786</v>
      </c>
      <c r="C56" s="9" t="s">
        <v>7787</v>
      </c>
    </row>
    <row r="57" spans="1:5">
      <c r="A57" s="9" t="s">
        <v>7788</v>
      </c>
      <c r="B57" s="9" t="s">
        <v>7789</v>
      </c>
      <c r="C57" s="9" t="s">
        <v>7790</v>
      </c>
    </row>
    <row r="58" spans="1:5">
      <c r="A58" s="9" t="s">
        <v>6927</v>
      </c>
      <c r="B58" s="9" t="s">
        <v>3755</v>
      </c>
      <c r="C58" s="9" t="s">
        <v>4295</v>
      </c>
      <c r="D58" s="9" t="s">
        <v>6929</v>
      </c>
    </row>
    <row r="59" spans="1:5">
      <c r="A59" s="9" t="s">
        <v>7791</v>
      </c>
      <c r="B59" s="9" t="s">
        <v>7792</v>
      </c>
      <c r="C59" s="9" t="s">
        <v>7793</v>
      </c>
      <c r="D59" s="9" t="s">
        <v>7794</v>
      </c>
      <c r="E59" s="9" t="s">
        <v>7795</v>
      </c>
    </row>
    <row r="60" spans="1:5">
      <c r="A60" s="9" t="s">
        <v>7796</v>
      </c>
      <c r="B60" s="9" t="s">
        <v>7797</v>
      </c>
      <c r="C60" s="9" t="s">
        <v>7798</v>
      </c>
      <c r="D60" s="9" t="s">
        <v>7799</v>
      </c>
    </row>
    <row r="61" spans="1:5">
      <c r="A61" s="9" t="s">
        <v>7800</v>
      </c>
      <c r="B61" s="9" t="s">
        <v>7801</v>
      </c>
      <c r="C61" s="9" t="s">
        <v>7802</v>
      </c>
      <c r="D61" s="9" t="s">
        <v>7803</v>
      </c>
    </row>
    <row r="62" spans="1:5">
      <c r="A62" s="653" t="s">
        <v>7804</v>
      </c>
      <c r="B62" s="9" t="s">
        <v>7805</v>
      </c>
      <c r="C62" s="9" t="s">
        <v>7806</v>
      </c>
      <c r="D62" s="9" t="s">
        <v>8158</v>
      </c>
      <c r="E62" s="9" t="s">
        <v>7808</v>
      </c>
    </row>
    <row r="63" spans="1:5">
      <c r="A63" s="9" t="s">
        <v>4323</v>
      </c>
      <c r="B63" s="9" t="s">
        <v>4324</v>
      </c>
      <c r="C63" s="9" t="s">
        <v>4325</v>
      </c>
      <c r="D63" s="9" t="s">
        <v>4326</v>
      </c>
    </row>
    <row r="64" spans="1:5">
      <c r="A64" s="9" t="s">
        <v>3744</v>
      </c>
      <c r="B64" s="9" t="s">
        <v>3745</v>
      </c>
    </row>
    <row r="65" spans="1:5">
      <c r="A65" s="9" t="s">
        <v>4327</v>
      </c>
      <c r="B65" s="9" t="s">
        <v>4328</v>
      </c>
      <c r="C65" s="9" t="s">
        <v>4295</v>
      </c>
    </row>
    <row r="66" spans="1:5">
      <c r="A66" s="9" t="s">
        <v>8159</v>
      </c>
      <c r="B66" s="9" t="s">
        <v>8160</v>
      </c>
      <c r="C66" s="9" t="s">
        <v>3785</v>
      </c>
    </row>
    <row r="67" spans="1:5">
      <c r="A67" s="9" t="s">
        <v>8161</v>
      </c>
      <c r="B67" s="9" t="s">
        <v>8162</v>
      </c>
      <c r="C67" s="9" t="s">
        <v>3785</v>
      </c>
    </row>
    <row r="68" spans="1:5">
      <c r="A68" s="9" t="s">
        <v>8163</v>
      </c>
      <c r="B68" s="9" t="s">
        <v>8164</v>
      </c>
      <c r="C68" s="9" t="s">
        <v>3785</v>
      </c>
    </row>
    <row r="69" spans="1:5">
      <c r="A69" s="9" t="s">
        <v>8165</v>
      </c>
      <c r="B69" s="9" t="s">
        <v>3781</v>
      </c>
      <c r="C69" s="9" t="s">
        <v>3785</v>
      </c>
    </row>
    <row r="70" spans="1:5">
      <c r="A70" s="9" t="s">
        <v>8166</v>
      </c>
      <c r="B70" s="9" t="s">
        <v>3781</v>
      </c>
      <c r="C70" s="9" t="s">
        <v>3785</v>
      </c>
    </row>
    <row r="71" spans="1:5">
      <c r="A71" s="9" t="s">
        <v>4329</v>
      </c>
      <c r="B71" s="9" t="s">
        <v>3692</v>
      </c>
      <c r="C71" s="9" t="s">
        <v>3785</v>
      </c>
    </row>
    <row r="72" spans="1:5">
      <c r="A72" s="9" t="s">
        <v>7813</v>
      </c>
      <c r="B72" s="9" t="s">
        <v>7814</v>
      </c>
      <c r="C72" s="9" t="s">
        <v>3785</v>
      </c>
    </row>
    <row r="73" spans="1:5">
      <c r="A73" s="9" t="s">
        <v>7815</v>
      </c>
      <c r="B73" s="9" t="s">
        <v>3692</v>
      </c>
      <c r="C73" s="9" t="s">
        <v>3785</v>
      </c>
    </row>
    <row r="74" spans="1:5">
      <c r="A74" s="9" t="s">
        <v>7816</v>
      </c>
      <c r="B74" s="9" t="s">
        <v>3692</v>
      </c>
      <c r="C74" s="9" t="s">
        <v>3785</v>
      </c>
      <c r="D74" s="9" t="s">
        <v>3713</v>
      </c>
      <c r="E74" s="9" t="s">
        <v>3714</v>
      </c>
    </row>
    <row r="75" spans="1:5">
      <c r="A75" s="9" t="s">
        <v>7817</v>
      </c>
      <c r="B75" s="9" t="s">
        <v>3692</v>
      </c>
      <c r="C75" s="9" t="s">
        <v>3706</v>
      </c>
    </row>
    <row r="76" spans="1:5">
      <c r="A76" s="653" t="s">
        <v>7818</v>
      </c>
      <c r="B76" s="9" t="s">
        <v>7819</v>
      </c>
      <c r="C76" s="9" t="s">
        <v>7820</v>
      </c>
    </row>
    <row r="77" spans="1:5">
      <c r="A77" s="9" t="s">
        <v>8167</v>
      </c>
      <c r="B77" s="9" t="s">
        <v>3292</v>
      </c>
      <c r="C77" s="9" t="s">
        <v>3999</v>
      </c>
    </row>
    <row r="78" spans="1:5">
      <c r="A78" s="9" t="s">
        <v>7821</v>
      </c>
      <c r="B78" s="9">
        <v>3607490116</v>
      </c>
      <c r="C78" s="9" t="s">
        <v>7822</v>
      </c>
    </row>
    <row r="79" spans="1:5">
      <c r="A79" s="9" t="s">
        <v>8168</v>
      </c>
      <c r="B79" s="9" t="s">
        <v>8169</v>
      </c>
      <c r="C79" s="9" t="s">
        <v>8170</v>
      </c>
    </row>
    <row r="80" spans="1:5">
      <c r="A80" s="9" t="s">
        <v>7401</v>
      </c>
      <c r="B80" s="9" t="s">
        <v>3692</v>
      </c>
      <c r="C80" s="9" t="s">
        <v>3785</v>
      </c>
    </row>
    <row r="81" spans="1:5">
      <c r="A81" s="9" t="s">
        <v>135</v>
      </c>
      <c r="B81" s="9" t="s">
        <v>8171</v>
      </c>
      <c r="C81" s="9" t="s">
        <v>8172</v>
      </c>
      <c r="D81" s="9" t="s">
        <v>8173</v>
      </c>
      <c r="E81" s="9" t="s">
        <v>8174</v>
      </c>
    </row>
    <row r="82" spans="1:5">
      <c r="A82" s="82" t="s">
        <v>8175</v>
      </c>
      <c r="B82" s="9" t="s">
        <v>8171</v>
      </c>
      <c r="C82" s="9" t="s">
        <v>8176</v>
      </c>
      <c r="D82" s="9" t="s">
        <v>8177</v>
      </c>
    </row>
    <row r="83" spans="1:5">
      <c r="A83" s="9" t="s">
        <v>7823</v>
      </c>
      <c r="B83" s="9" t="s">
        <v>7824</v>
      </c>
      <c r="C83" s="9" t="s">
        <v>7825</v>
      </c>
    </row>
    <row r="84" spans="1:5">
      <c r="A84" s="9" t="s">
        <v>7826</v>
      </c>
      <c r="B84" s="9">
        <v>139752</v>
      </c>
      <c r="C84" s="9" t="s">
        <v>7827</v>
      </c>
      <c r="D84" s="9" t="s">
        <v>7828</v>
      </c>
      <c r="E84" s="9" t="s">
        <v>7829</v>
      </c>
    </row>
    <row r="85" spans="1:5">
      <c r="B85" s="9" t="s">
        <v>7830</v>
      </c>
      <c r="C85" s="9" t="s">
        <v>7831</v>
      </c>
      <c r="D85" s="9" t="s">
        <v>7832</v>
      </c>
      <c r="E85" s="9" t="s">
        <v>7833</v>
      </c>
    </row>
    <row r="86" spans="1:5">
      <c r="A86" s="9" t="s">
        <v>7834</v>
      </c>
      <c r="B86" s="9" t="s">
        <v>4223</v>
      </c>
      <c r="C86" s="9" t="s">
        <v>3785</v>
      </c>
    </row>
    <row r="87" spans="1:5">
      <c r="A87" s="9" t="s">
        <v>7835</v>
      </c>
      <c r="B87" s="9" t="s">
        <v>3692</v>
      </c>
      <c r="C87" s="9">
        <v>28162816</v>
      </c>
    </row>
    <row r="88" spans="1:5">
      <c r="A88" s="9" t="s">
        <v>7836</v>
      </c>
      <c r="B88" s="9" t="s">
        <v>3692</v>
      </c>
      <c r="C88" s="9" t="s">
        <v>3785</v>
      </c>
    </row>
    <row r="89" spans="1:5">
      <c r="A89" s="9" t="s">
        <v>3747</v>
      </c>
      <c r="B89" s="9" t="s">
        <v>3696</v>
      </c>
      <c r="C89" s="40" t="s">
        <v>3785</v>
      </c>
    </row>
    <row r="90" spans="1:5">
      <c r="A90" s="9" t="s">
        <v>6930</v>
      </c>
      <c r="D90" s="9" t="s">
        <v>6931</v>
      </c>
    </row>
    <row r="91" spans="1:5">
      <c r="A91" s="9" t="s">
        <v>6932</v>
      </c>
      <c r="B91" s="9" t="s">
        <v>3755</v>
      </c>
      <c r="C91" s="9" t="s">
        <v>3706</v>
      </c>
    </row>
    <row r="92" spans="1:5">
      <c r="A92" s="9" t="s">
        <v>8178</v>
      </c>
    </row>
    <row r="93" spans="1:5">
      <c r="A93" s="9" t="s">
        <v>8179</v>
      </c>
      <c r="B93" s="9" t="s">
        <v>4223</v>
      </c>
      <c r="C93" s="9" t="s">
        <v>3785</v>
      </c>
      <c r="D93" s="9" t="s">
        <v>8180</v>
      </c>
      <c r="E93" s="9" t="s">
        <v>8181</v>
      </c>
    </row>
    <row r="94" spans="1:5">
      <c r="A94" s="9" t="s">
        <v>6933</v>
      </c>
      <c r="B94" s="9" t="s">
        <v>6934</v>
      </c>
      <c r="C94" s="9" t="s">
        <v>6935</v>
      </c>
    </row>
    <row r="95" spans="1:5">
      <c r="A95" s="9" t="s">
        <v>8182</v>
      </c>
      <c r="B95" s="9" t="s">
        <v>3755</v>
      </c>
      <c r="C95" s="9" t="s">
        <v>8183</v>
      </c>
    </row>
    <row r="96" spans="1:5">
      <c r="A96" s="9" t="s">
        <v>8184</v>
      </c>
      <c r="B96" s="9">
        <v>1233820</v>
      </c>
      <c r="C96" s="9" t="s">
        <v>3999</v>
      </c>
    </row>
    <row r="97" spans="1:5">
      <c r="A97" s="9" t="s">
        <v>8184</v>
      </c>
      <c r="B97" s="9">
        <v>1233820</v>
      </c>
      <c r="C97" s="9" t="s">
        <v>3785</v>
      </c>
    </row>
    <row r="98" spans="1:5">
      <c r="A98" s="9" t="s">
        <v>8185</v>
      </c>
      <c r="B98" s="460" t="s">
        <v>8186</v>
      </c>
      <c r="C98" s="9" t="s">
        <v>8187</v>
      </c>
      <c r="D98" s="9" t="s">
        <v>8188</v>
      </c>
      <c r="E98" s="9" t="s">
        <v>8189</v>
      </c>
    </row>
    <row r="99" spans="1:5">
      <c r="A99" s="9" t="s">
        <v>8190</v>
      </c>
      <c r="D99" s="9" t="s">
        <v>8191</v>
      </c>
    </row>
    <row r="100" spans="1:5">
      <c r="A100" s="9" t="s">
        <v>8192</v>
      </c>
      <c r="B100" s="9" t="s">
        <v>3755</v>
      </c>
      <c r="C100" s="9" t="s">
        <v>8193</v>
      </c>
    </row>
    <row r="101" spans="1:5">
      <c r="A101" s="9" t="s">
        <v>8194</v>
      </c>
      <c r="B101" s="9" t="s">
        <v>3755</v>
      </c>
      <c r="C101" s="9" t="s">
        <v>3785</v>
      </c>
      <c r="D101" s="9" t="s">
        <v>8195</v>
      </c>
    </row>
    <row r="102" spans="1:5">
      <c r="A102" s="9" t="s">
        <v>8196</v>
      </c>
      <c r="B102" s="9" t="s">
        <v>3692</v>
      </c>
      <c r="C102" s="9" t="s">
        <v>3785</v>
      </c>
    </row>
    <row r="103" spans="1:5">
      <c r="A103" s="653" t="s">
        <v>7837</v>
      </c>
      <c r="B103" s="9" t="s">
        <v>7838</v>
      </c>
      <c r="C103" s="9" t="s">
        <v>3755</v>
      </c>
    </row>
    <row r="104" spans="1:5">
      <c r="A104" s="9" t="s">
        <v>6936</v>
      </c>
      <c r="B104" s="9" t="s">
        <v>6937</v>
      </c>
      <c r="C104" s="9" t="s">
        <v>6938</v>
      </c>
    </row>
    <row r="105" spans="1:5">
      <c r="A105" s="9" t="s">
        <v>4298</v>
      </c>
      <c r="B105" s="9" t="s">
        <v>4299</v>
      </c>
      <c r="C105" s="9" t="s">
        <v>3782</v>
      </c>
    </row>
    <row r="106" spans="1:5">
      <c r="A106" s="9" t="s">
        <v>8197</v>
      </c>
      <c r="B106" s="40">
        <v>471605</v>
      </c>
      <c r="C106" s="40" t="s">
        <v>4230</v>
      </c>
      <c r="D106" s="9" t="s">
        <v>135</v>
      </c>
    </row>
    <row r="107" spans="1:5">
      <c r="A107" s="9" t="s">
        <v>4332</v>
      </c>
      <c r="B107" s="9" t="s">
        <v>4333</v>
      </c>
      <c r="C107" s="9" t="s">
        <v>3785</v>
      </c>
    </row>
    <row r="108" spans="1:5">
      <c r="A108" s="9" t="s">
        <v>8198</v>
      </c>
      <c r="B108" s="9" t="s">
        <v>8199</v>
      </c>
      <c r="C108" s="9" t="s">
        <v>8200</v>
      </c>
    </row>
    <row r="109" spans="1:5">
      <c r="A109" s="578" t="s">
        <v>8201</v>
      </c>
      <c r="B109" s="9" t="s">
        <v>3755</v>
      </c>
      <c r="C109" s="9" t="s">
        <v>8202</v>
      </c>
      <c r="D109" s="9" t="s">
        <v>284</v>
      </c>
    </row>
    <row r="110" spans="1:5">
      <c r="A110" s="9" t="s">
        <v>8203</v>
      </c>
      <c r="B110" s="9" t="s">
        <v>8204</v>
      </c>
      <c r="C110" s="9" t="s">
        <v>8205</v>
      </c>
      <c r="D110" s="9" t="s">
        <v>284</v>
      </c>
    </row>
    <row r="111" spans="1:5">
      <c r="A111" s="9" t="s">
        <v>8206</v>
      </c>
    </row>
    <row r="112" spans="1:5">
      <c r="A112" s="9" t="s">
        <v>8207</v>
      </c>
      <c r="B112" s="9" t="s">
        <v>8208</v>
      </c>
      <c r="C112" s="9" t="s">
        <v>8209</v>
      </c>
      <c r="D112" s="9" t="s">
        <v>8210</v>
      </c>
    </row>
    <row r="113" spans="1:5">
      <c r="A113" s="9" t="s">
        <v>8207</v>
      </c>
      <c r="B113" s="9" t="s">
        <v>8211</v>
      </c>
      <c r="C113" s="9" t="s">
        <v>8209</v>
      </c>
      <c r="D113" s="9" t="s">
        <v>8212</v>
      </c>
    </row>
    <row r="114" spans="1:5">
      <c r="A114" s="9" t="s">
        <v>8213</v>
      </c>
      <c r="B114" s="9" t="s">
        <v>8214</v>
      </c>
      <c r="C114" s="9" t="s">
        <v>8209</v>
      </c>
      <c r="D114" s="9" t="s">
        <v>8215</v>
      </c>
    </row>
    <row r="115" spans="1:5">
      <c r="A115" s="9" t="s">
        <v>8213</v>
      </c>
      <c r="B115" s="9" t="s">
        <v>6680</v>
      </c>
      <c r="C115" s="9" t="s">
        <v>8209</v>
      </c>
      <c r="D115" s="9" t="s">
        <v>8216</v>
      </c>
    </row>
    <row r="116" spans="1:5">
      <c r="A116" s="9" t="s">
        <v>3750</v>
      </c>
      <c r="B116" s="9" t="s">
        <v>8217</v>
      </c>
      <c r="C116" s="9" t="s">
        <v>3785</v>
      </c>
      <c r="D116" s="9" t="s">
        <v>210</v>
      </c>
    </row>
    <row r="117" spans="1:5">
      <c r="A117" s="9" t="s">
        <v>3750</v>
      </c>
      <c r="B117" s="9" t="s">
        <v>3751</v>
      </c>
      <c r="D117" s="9" t="s">
        <v>210</v>
      </c>
      <c r="E117" s="9" t="s">
        <v>3752</v>
      </c>
    </row>
    <row r="118" spans="1:5">
      <c r="A118" s="9" t="s">
        <v>4334</v>
      </c>
      <c r="B118" s="9" t="s">
        <v>4335</v>
      </c>
      <c r="C118" s="9" t="s">
        <v>3785</v>
      </c>
      <c r="D118" s="653" t="s">
        <v>4336</v>
      </c>
      <c r="E118" s="653" t="s">
        <v>4337</v>
      </c>
    </row>
    <row r="119" spans="1:5">
      <c r="B119" s="9" t="s">
        <v>3755</v>
      </c>
      <c r="C119" s="9" t="s">
        <v>3785</v>
      </c>
      <c r="D119" s="653" t="s">
        <v>4339</v>
      </c>
      <c r="E119" s="9" t="s">
        <v>4340</v>
      </c>
    </row>
    <row r="120" spans="1:5">
      <c r="A120" s="9" t="s">
        <v>4341</v>
      </c>
      <c r="B120" s="9" t="s">
        <v>3692</v>
      </c>
      <c r="C120" s="9" t="s">
        <v>3785</v>
      </c>
      <c r="D120" s="9">
        <v>43245713</v>
      </c>
      <c r="E120" s="9" t="s">
        <v>4343</v>
      </c>
    </row>
    <row r="121" spans="1:5">
      <c r="A121" s="9" t="s">
        <v>4344</v>
      </c>
      <c r="B121" s="9" t="s">
        <v>3692</v>
      </c>
      <c r="C121" s="9" t="s">
        <v>3785</v>
      </c>
      <c r="E121" s="653" t="s">
        <v>4346</v>
      </c>
    </row>
    <row r="122" spans="1:5">
      <c r="A122" s="578" t="s">
        <v>8218</v>
      </c>
      <c r="E122" s="653" t="s">
        <v>6939</v>
      </c>
    </row>
    <row r="123" spans="1:5">
      <c r="A123" s="9" t="s">
        <v>8219</v>
      </c>
      <c r="B123" s="9" t="s">
        <v>8220</v>
      </c>
      <c r="C123" s="9" t="s">
        <v>8221</v>
      </c>
    </row>
    <row r="124" spans="1:5">
      <c r="A124" s="9" t="s">
        <v>8222</v>
      </c>
      <c r="B124" s="653" t="s">
        <v>8223</v>
      </c>
      <c r="C124" s="9" t="s">
        <v>8224</v>
      </c>
      <c r="D124" s="9" t="s">
        <v>8225</v>
      </c>
    </row>
    <row r="125" spans="1:5">
      <c r="A125" s="9" t="s">
        <v>8226</v>
      </c>
      <c r="B125" s="9" t="s">
        <v>8227</v>
      </c>
      <c r="C125" s="9" t="s">
        <v>8228</v>
      </c>
      <c r="D125" s="9" t="s">
        <v>8229</v>
      </c>
    </row>
    <row r="126" spans="1:5">
      <c r="A126" s="9" t="s">
        <v>8230</v>
      </c>
      <c r="B126" s="9" t="s">
        <v>3785</v>
      </c>
    </row>
    <row r="127" spans="1:5">
      <c r="A127" s="9" t="s">
        <v>8231</v>
      </c>
      <c r="B127" s="9" t="s">
        <v>3785</v>
      </c>
    </row>
    <row r="128" spans="1:5">
      <c r="A128" s="9" t="s">
        <v>8232</v>
      </c>
      <c r="B128" s="9" t="s">
        <v>3785</v>
      </c>
    </row>
    <row r="129" spans="1:5">
      <c r="A129" s="9" t="s">
        <v>8233</v>
      </c>
      <c r="B129" s="9" t="s">
        <v>8221</v>
      </c>
    </row>
    <row r="130" spans="1:5">
      <c r="A130" s="9" t="s">
        <v>4347</v>
      </c>
      <c r="B130" s="9" t="s">
        <v>3924</v>
      </c>
      <c r="C130" s="9" t="s">
        <v>3785</v>
      </c>
    </row>
    <row r="131" spans="1:5">
      <c r="A131" s="9" t="s">
        <v>8234</v>
      </c>
      <c r="B131" s="9" t="s">
        <v>3924</v>
      </c>
      <c r="C131" s="9" t="s">
        <v>3785</v>
      </c>
      <c r="D131" s="9" t="s">
        <v>8235</v>
      </c>
    </row>
    <row r="132" spans="1:5">
      <c r="A132" s="9" t="s">
        <v>7840</v>
      </c>
      <c r="B132" s="9" t="s">
        <v>3781</v>
      </c>
      <c r="C132" s="9" t="s">
        <v>3782</v>
      </c>
    </row>
    <row r="133" spans="1:5">
      <c r="A133" s="9" t="s">
        <v>8236</v>
      </c>
      <c r="B133" s="9" t="s">
        <v>8237</v>
      </c>
      <c r="C133" s="40">
        <v>11767788</v>
      </c>
      <c r="D133" s="9" t="s">
        <v>8238</v>
      </c>
    </row>
    <row r="134" spans="1:5">
      <c r="A134" s="9" t="s">
        <v>8239</v>
      </c>
      <c r="B134" s="9" t="s">
        <v>8240</v>
      </c>
      <c r="C134" s="40">
        <v>11767788</v>
      </c>
    </row>
    <row r="135" spans="1:5">
      <c r="A135" s="9" t="s">
        <v>8241</v>
      </c>
      <c r="B135" s="9" t="s">
        <v>8242</v>
      </c>
      <c r="C135" s="9" t="s">
        <v>8243</v>
      </c>
      <c r="D135" s="653" t="s">
        <v>8244</v>
      </c>
      <c r="E135" s="9" t="s">
        <v>8245</v>
      </c>
    </row>
    <row r="136" spans="1:5">
      <c r="A136" s="653" t="s">
        <v>8246</v>
      </c>
      <c r="B136" s="9" t="s">
        <v>8242</v>
      </c>
      <c r="C136" s="9" t="s">
        <v>3785</v>
      </c>
    </row>
    <row r="137" spans="1:5">
      <c r="A137" s="9" t="s">
        <v>8247</v>
      </c>
      <c r="B137" s="9" t="s">
        <v>3781</v>
      </c>
      <c r="C137" s="9" t="s">
        <v>4230</v>
      </c>
    </row>
    <row r="138" spans="1:5">
      <c r="A138" s="9" t="s">
        <v>6940</v>
      </c>
      <c r="B138" s="9" t="s">
        <v>3781</v>
      </c>
      <c r="C138" s="9" t="s">
        <v>3782</v>
      </c>
    </row>
    <row r="139" spans="1:5">
      <c r="A139" s="9" t="s">
        <v>8248</v>
      </c>
      <c r="B139" s="9" t="s">
        <v>8249</v>
      </c>
      <c r="C139" s="9" t="s">
        <v>3785</v>
      </c>
    </row>
    <row r="140" spans="1:5">
      <c r="A140" s="9" t="s">
        <v>8250</v>
      </c>
      <c r="B140" s="9" t="s">
        <v>8251</v>
      </c>
      <c r="C140" s="9" t="s">
        <v>8252</v>
      </c>
      <c r="D140" s="653" t="s">
        <v>8253</v>
      </c>
    </row>
    <row r="141" spans="1:5">
      <c r="A141" s="9" t="s">
        <v>6941</v>
      </c>
      <c r="B141" s="9" t="s">
        <v>3696</v>
      </c>
      <c r="C141" s="9" t="s">
        <v>3785</v>
      </c>
    </row>
    <row r="142" spans="1:5">
      <c r="A142" s="9" t="s">
        <v>4159</v>
      </c>
      <c r="B142" s="9" t="s">
        <v>3692</v>
      </c>
      <c r="C142" s="9" t="s">
        <v>3785</v>
      </c>
    </row>
    <row r="143" spans="1:5">
      <c r="A143" s="9" t="s">
        <v>7841</v>
      </c>
      <c r="B143" s="9" t="s">
        <v>3924</v>
      </c>
      <c r="C143" s="9" t="s">
        <v>3785</v>
      </c>
      <c r="D143" s="578" t="s">
        <v>7842</v>
      </c>
      <c r="E143" s="9">
        <v>2816</v>
      </c>
    </row>
    <row r="144" spans="1:5">
      <c r="A144" s="9" t="s">
        <v>8254</v>
      </c>
      <c r="B144" s="9" t="s">
        <v>8255</v>
      </c>
      <c r="C144" s="9" t="s">
        <v>8256</v>
      </c>
    </row>
    <row r="145" spans="1:5">
      <c r="A145" s="9" t="s">
        <v>8257</v>
      </c>
      <c r="B145" s="9" t="s">
        <v>3781</v>
      </c>
      <c r="C145" s="9" t="s">
        <v>8258</v>
      </c>
    </row>
    <row r="146" spans="1:5">
      <c r="A146" s="9" t="s">
        <v>8259</v>
      </c>
      <c r="B146" s="9" t="s">
        <v>3692</v>
      </c>
      <c r="C146" s="9" t="s">
        <v>8260</v>
      </c>
    </row>
    <row r="147" spans="1:5">
      <c r="A147" s="9" t="s">
        <v>8261</v>
      </c>
      <c r="B147" s="9" t="s">
        <v>8262</v>
      </c>
      <c r="C147" s="9" t="s">
        <v>3785</v>
      </c>
    </row>
    <row r="148" spans="1:5">
      <c r="A148" s="9" t="s">
        <v>4014</v>
      </c>
      <c r="B148" s="9" t="s">
        <v>3924</v>
      </c>
      <c r="C148" s="9" t="s">
        <v>3785</v>
      </c>
    </row>
    <row r="149" spans="1:5">
      <c r="A149" s="9" t="s">
        <v>8263</v>
      </c>
      <c r="B149" s="9" t="s">
        <v>8264</v>
      </c>
      <c r="C149" s="9" t="s">
        <v>8265</v>
      </c>
    </row>
    <row r="150" spans="1:5">
      <c r="A150" s="9" t="s">
        <v>8266</v>
      </c>
      <c r="B150" s="9" t="s">
        <v>3781</v>
      </c>
      <c r="C150" s="9" t="s">
        <v>3785</v>
      </c>
    </row>
    <row r="151" spans="1:5">
      <c r="A151" s="578" t="s">
        <v>6876</v>
      </c>
      <c r="B151" s="9" t="s">
        <v>3692</v>
      </c>
      <c r="C151" s="9" t="s">
        <v>3706</v>
      </c>
    </row>
    <row r="152" spans="1:5">
      <c r="A152" s="9" t="s">
        <v>8267</v>
      </c>
      <c r="B152" s="9" t="s">
        <v>3920</v>
      </c>
      <c r="C152" s="9" t="s">
        <v>8268</v>
      </c>
    </row>
    <row r="153" spans="1:5">
      <c r="D153" s="9" t="s">
        <v>135</v>
      </c>
    </row>
    <row r="154" spans="1:5">
      <c r="A154" s="9" t="s">
        <v>7843</v>
      </c>
      <c r="B154" s="9">
        <v>3607490116</v>
      </c>
      <c r="C154" s="9" t="s">
        <v>7844</v>
      </c>
      <c r="D154" s="9" t="s">
        <v>7209</v>
      </c>
    </row>
    <row r="155" spans="1:5">
      <c r="A155" s="9" t="s">
        <v>4359</v>
      </c>
      <c r="B155" s="9" t="s">
        <v>3755</v>
      </c>
      <c r="C155" s="9" t="s">
        <v>7845</v>
      </c>
      <c r="D155" s="653" t="s">
        <v>7846</v>
      </c>
      <c r="E155" s="1390" t="s">
        <v>7847</v>
      </c>
    </row>
    <row r="156" spans="1:5">
      <c r="A156" s="653" t="s">
        <v>7848</v>
      </c>
      <c r="D156" s="9" t="s">
        <v>7850</v>
      </c>
      <c r="E156" s="653" t="s">
        <v>7851</v>
      </c>
    </row>
    <row r="157" spans="1:5">
      <c r="A157" s="9" t="s">
        <v>4362</v>
      </c>
      <c r="B157" s="9" t="s">
        <v>3755</v>
      </c>
      <c r="C157" s="9" t="s">
        <v>7845</v>
      </c>
    </row>
    <row r="158" spans="1:5">
      <c r="A158" s="9" t="s">
        <v>4366</v>
      </c>
      <c r="B158" s="9" t="s">
        <v>3755</v>
      </c>
      <c r="C158" s="9" t="s">
        <v>3785</v>
      </c>
      <c r="D158" s="9" t="s">
        <v>4367</v>
      </c>
    </row>
    <row r="159" spans="1:5">
      <c r="A159" s="9" t="s">
        <v>7852</v>
      </c>
      <c r="B159" s="9" t="s">
        <v>4369</v>
      </c>
      <c r="C159" s="9" t="s">
        <v>3706</v>
      </c>
      <c r="D159" s="9" t="s">
        <v>4371</v>
      </c>
    </row>
    <row r="160" spans="1:5">
      <c r="A160" s="653" t="s">
        <v>4372</v>
      </c>
      <c r="B160" s="9" t="s">
        <v>4373</v>
      </c>
    </row>
    <row r="161" spans="1:4">
      <c r="A161" s="9" t="s">
        <v>8269</v>
      </c>
      <c r="B161" s="9" t="s">
        <v>8270</v>
      </c>
      <c r="C161" s="9" t="s">
        <v>3785</v>
      </c>
    </row>
    <row r="162" spans="1:4">
      <c r="A162" s="9" t="s">
        <v>8247</v>
      </c>
      <c r="B162" s="9" t="s">
        <v>8271</v>
      </c>
      <c r="C162" s="9" t="s">
        <v>3785</v>
      </c>
    </row>
    <row r="163" spans="1:4">
      <c r="A163" s="9" t="s">
        <v>8272</v>
      </c>
      <c r="B163" s="9" t="s">
        <v>8273</v>
      </c>
      <c r="C163" s="9">
        <v>81054</v>
      </c>
    </row>
    <row r="164" spans="1:4">
      <c r="A164" s="9" t="s">
        <v>8274</v>
      </c>
      <c r="B164" s="9" t="s">
        <v>3692</v>
      </c>
      <c r="C164" s="9" t="s">
        <v>8275</v>
      </c>
    </row>
    <row r="165" spans="1:4">
      <c r="A165" s="9" t="s">
        <v>1198</v>
      </c>
      <c r="B165" s="9" t="s">
        <v>3755</v>
      </c>
      <c r="C165" s="9" t="s">
        <v>4295</v>
      </c>
      <c r="D165" s="9" t="s">
        <v>8276</v>
      </c>
    </row>
    <row r="166" spans="1:4">
      <c r="A166" s="9" t="s">
        <v>8277</v>
      </c>
      <c r="B166" s="9" t="s">
        <v>3692</v>
      </c>
      <c r="C166" s="9" t="s">
        <v>4230</v>
      </c>
    </row>
    <row r="167" spans="1:4">
      <c r="A167" s="9" t="s">
        <v>8278</v>
      </c>
      <c r="B167" s="9" t="s">
        <v>8279</v>
      </c>
      <c r="C167" s="9" t="s">
        <v>8280</v>
      </c>
    </row>
    <row r="168" spans="1:4">
      <c r="A168" s="9" t="s">
        <v>8281</v>
      </c>
      <c r="B168" s="9" t="s">
        <v>3692</v>
      </c>
      <c r="C168" s="9" t="s">
        <v>4230</v>
      </c>
    </row>
    <row r="169" spans="1:4">
      <c r="A169" s="9" t="s">
        <v>8282</v>
      </c>
      <c r="B169" s="9" t="s">
        <v>3781</v>
      </c>
      <c r="C169" s="9" t="s">
        <v>8283</v>
      </c>
    </row>
    <row r="170" spans="1:4">
      <c r="A170" s="9" t="s">
        <v>8284</v>
      </c>
      <c r="B170" s="9" t="s">
        <v>8285</v>
      </c>
      <c r="C170" s="9" t="s">
        <v>8286</v>
      </c>
    </row>
    <row r="171" spans="1:4">
      <c r="A171" s="9" t="s">
        <v>8287</v>
      </c>
      <c r="B171" s="9" t="s">
        <v>8288</v>
      </c>
    </row>
    <row r="172" spans="1:4">
      <c r="A172" s="9" t="s">
        <v>8289</v>
      </c>
      <c r="B172" s="9" t="s">
        <v>3755</v>
      </c>
      <c r="C172" s="9" t="s">
        <v>3785</v>
      </c>
    </row>
    <row r="173" spans="1:4">
      <c r="A173" s="9" t="s">
        <v>8290</v>
      </c>
      <c r="B173" s="9">
        <v>7072813961</v>
      </c>
      <c r="C173" s="9" t="s">
        <v>4384</v>
      </c>
    </row>
    <row r="174" spans="1:4">
      <c r="A174" s="9" t="s">
        <v>8291</v>
      </c>
      <c r="B174" s="9" t="s">
        <v>3755</v>
      </c>
      <c r="C174" s="9" t="s">
        <v>8292</v>
      </c>
    </row>
    <row r="175" spans="1:4">
      <c r="A175" s="9" t="s">
        <v>7853</v>
      </c>
      <c r="B175" s="9" t="s">
        <v>3755</v>
      </c>
      <c r="C175" s="9" t="s">
        <v>3785</v>
      </c>
    </row>
    <row r="176" spans="1:4">
      <c r="A176" s="9" t="s">
        <v>7854</v>
      </c>
      <c r="B176" s="9" t="s">
        <v>7855</v>
      </c>
    </row>
    <row r="177" spans="1:3">
      <c r="A177" s="9" t="s">
        <v>7856</v>
      </c>
      <c r="B177" s="9">
        <v>2439752207</v>
      </c>
    </row>
    <row r="178" spans="1:3">
      <c r="A178" s="9" t="s">
        <v>8247</v>
      </c>
      <c r="B178" s="9" t="s">
        <v>8293</v>
      </c>
      <c r="C178" s="9" t="s">
        <v>3785</v>
      </c>
    </row>
    <row r="179" spans="1:3">
      <c r="A179" s="9" t="s">
        <v>4375</v>
      </c>
      <c r="B179" s="9" t="s">
        <v>4376</v>
      </c>
      <c r="C179" s="9" t="s">
        <v>4377</v>
      </c>
    </row>
    <row r="180" spans="1:3">
      <c r="A180" s="9" t="s">
        <v>4378</v>
      </c>
      <c r="B180" s="9" t="s">
        <v>4379</v>
      </c>
      <c r="C180" s="9" t="s">
        <v>7857</v>
      </c>
    </row>
    <row r="181" spans="1:3">
      <c r="A181" s="9" t="s">
        <v>8294</v>
      </c>
      <c r="B181" s="9" t="s">
        <v>4227</v>
      </c>
      <c r="C181" s="9" t="s">
        <v>8295</v>
      </c>
    </row>
    <row r="182" spans="1:3">
      <c r="A182" s="9" t="s">
        <v>210</v>
      </c>
      <c r="B182" s="9" t="s">
        <v>3785</v>
      </c>
    </row>
    <row r="183" spans="1:3">
      <c r="A183" s="9" t="s">
        <v>2959</v>
      </c>
      <c r="B183" s="9" t="s">
        <v>8296</v>
      </c>
    </row>
    <row r="184" spans="1:3">
      <c r="A184" s="9" t="s">
        <v>8297</v>
      </c>
      <c r="B184" s="9" t="s">
        <v>8298</v>
      </c>
      <c r="C184" s="9" t="s">
        <v>4230</v>
      </c>
    </row>
    <row r="185" spans="1:3">
      <c r="A185" s="9" t="s">
        <v>8299</v>
      </c>
    </row>
    <row r="186" spans="1:3">
      <c r="A186" s="9" t="s">
        <v>8300</v>
      </c>
    </row>
    <row r="187" spans="1:3">
      <c r="A187" s="9" t="s">
        <v>8301</v>
      </c>
    </row>
    <row r="188" spans="1:3">
      <c r="A188" s="9" t="s">
        <v>8302</v>
      </c>
    </row>
    <row r="189" spans="1:3">
      <c r="A189" s="9" t="s">
        <v>8303</v>
      </c>
    </row>
    <row r="190" spans="1:3">
      <c r="A190" s="9" t="s">
        <v>8304</v>
      </c>
    </row>
    <row r="191" spans="1:3">
      <c r="A191" s="9" t="s">
        <v>8305</v>
      </c>
    </row>
    <row r="192" spans="1:3">
      <c r="A192" s="9" t="s">
        <v>8306</v>
      </c>
      <c r="B192" s="9" t="s">
        <v>8307</v>
      </c>
      <c r="C192" s="9" t="s">
        <v>7857</v>
      </c>
    </row>
    <row r="193" spans="1:3">
      <c r="A193" s="9" t="s">
        <v>725</v>
      </c>
      <c r="B193" s="9" t="s">
        <v>4229</v>
      </c>
      <c r="C193" s="9" t="s">
        <v>4384</v>
      </c>
    </row>
    <row r="194" spans="1:3">
      <c r="A194" s="653" t="s">
        <v>7858</v>
      </c>
      <c r="B194" s="9" t="s">
        <v>4229</v>
      </c>
    </row>
    <row r="195" spans="1:3">
      <c r="A195" s="9" t="s">
        <v>4381</v>
      </c>
      <c r="B195" s="9" t="s">
        <v>4382</v>
      </c>
      <c r="C195" s="9" t="s">
        <v>3692</v>
      </c>
    </row>
    <row r="196" spans="1:3">
      <c r="A196" s="9" t="s">
        <v>8308</v>
      </c>
      <c r="B196" s="9" t="s">
        <v>8309</v>
      </c>
    </row>
    <row r="197" spans="1:3">
      <c r="A197" s="9" t="s">
        <v>8310</v>
      </c>
      <c r="B197" s="9" t="s">
        <v>3755</v>
      </c>
      <c r="C197" s="9" t="s">
        <v>4230</v>
      </c>
    </row>
    <row r="198" spans="1:3">
      <c r="A198" s="653" t="s">
        <v>8311</v>
      </c>
      <c r="B198" s="9" t="s">
        <v>3285</v>
      </c>
      <c r="C198" s="9" t="s">
        <v>8312</v>
      </c>
    </row>
    <row r="199" spans="1:3">
      <c r="A199" s="9" t="s">
        <v>8313</v>
      </c>
    </row>
    <row r="200" spans="1:3">
      <c r="A200" s="653" t="s">
        <v>8314</v>
      </c>
      <c r="B200" s="9" t="s">
        <v>3887</v>
      </c>
      <c r="C200" s="9" t="s">
        <v>4384</v>
      </c>
    </row>
    <row r="201" spans="1:3">
      <c r="A201" s="9" t="s">
        <v>8315</v>
      </c>
      <c r="B201" s="9" t="s">
        <v>3755</v>
      </c>
      <c r="C201" s="9" t="s">
        <v>8316</v>
      </c>
    </row>
    <row r="202" spans="1:3">
      <c r="A202" s="653" t="s">
        <v>8317</v>
      </c>
      <c r="B202" s="9" t="s">
        <v>3755</v>
      </c>
      <c r="C202" s="9" t="s">
        <v>8318</v>
      </c>
    </row>
    <row r="203" spans="1:3">
      <c r="A203" s="9" t="s">
        <v>8310</v>
      </c>
    </row>
    <row r="204" spans="1:3">
      <c r="A204" s="9" t="s">
        <v>8319</v>
      </c>
    </row>
    <row r="205" spans="1:3">
      <c r="A205" s="9" t="s">
        <v>8320</v>
      </c>
    </row>
    <row r="206" spans="1:3">
      <c r="A206" s="9" t="s">
        <v>8321</v>
      </c>
    </row>
    <row r="207" spans="1:3">
      <c r="A207" s="9" t="s">
        <v>8322</v>
      </c>
      <c r="B207" s="9" t="s">
        <v>8323</v>
      </c>
      <c r="C207" s="9" t="s">
        <v>4230</v>
      </c>
    </row>
    <row r="208" spans="1:3">
      <c r="A208" s="653" t="s">
        <v>8324</v>
      </c>
    </row>
    <row r="209" spans="1:4">
      <c r="A209" s="9" t="s">
        <v>8325</v>
      </c>
    </row>
    <row r="210" spans="1:4">
      <c r="A210" s="9" t="s">
        <v>8326</v>
      </c>
    </row>
    <row r="211" spans="1:4">
      <c r="A211" s="9" t="s">
        <v>8327</v>
      </c>
      <c r="B211" s="9" t="s">
        <v>8328</v>
      </c>
    </row>
    <row r="212" spans="1:4">
      <c r="A212" s="9" t="s">
        <v>8329</v>
      </c>
      <c r="B212" s="9" t="s">
        <v>3755</v>
      </c>
      <c r="C212" s="9" t="s">
        <v>4384</v>
      </c>
    </row>
    <row r="213" spans="1:4">
      <c r="A213" s="9" t="s">
        <v>7739</v>
      </c>
      <c r="B213" s="9" t="s">
        <v>4196</v>
      </c>
      <c r="C213" s="9" t="s">
        <v>4197</v>
      </c>
    </row>
    <row r="214" spans="1:4">
      <c r="A214" s="653" t="s">
        <v>8330</v>
      </c>
    </row>
    <row r="215" spans="1:4">
      <c r="A215" s="9" t="s">
        <v>8331</v>
      </c>
      <c r="B215" s="9">
        <v>22093753</v>
      </c>
      <c r="C215" s="9">
        <v>1234</v>
      </c>
    </row>
    <row r="216" spans="1:4">
      <c r="B216" s="9" t="s">
        <v>3755</v>
      </c>
      <c r="C216" s="9" t="s">
        <v>3785</v>
      </c>
    </row>
    <row r="217" spans="1:4">
      <c r="A217" s="653" t="s">
        <v>8332</v>
      </c>
    </row>
    <row r="218" spans="1:4">
      <c r="A218" s="9" t="s">
        <v>7859</v>
      </c>
      <c r="B218" s="9" t="s">
        <v>7860</v>
      </c>
      <c r="C218" s="9" t="s">
        <v>7861</v>
      </c>
    </row>
    <row r="219" spans="1:4">
      <c r="A219" s="9" t="s">
        <v>8333</v>
      </c>
    </row>
    <row r="220" spans="1:4">
      <c r="A220" s="9" t="s">
        <v>8334</v>
      </c>
      <c r="B220" s="9" t="s">
        <v>8335</v>
      </c>
    </row>
    <row r="221" spans="1:4">
      <c r="A221" s="9" t="s">
        <v>4383</v>
      </c>
      <c r="B221" s="9" t="s">
        <v>3920</v>
      </c>
      <c r="C221" s="9" t="s">
        <v>4384</v>
      </c>
      <c r="D221" s="9" t="s">
        <v>8336</v>
      </c>
    </row>
    <row r="222" spans="1:4">
      <c r="A222" s="9" t="s">
        <v>8337</v>
      </c>
      <c r="B222" s="9" t="s">
        <v>8338</v>
      </c>
      <c r="C222" s="9" t="s">
        <v>4384</v>
      </c>
    </row>
    <row r="223" spans="1:4">
      <c r="B223" s="9" t="s">
        <v>8339</v>
      </c>
    </row>
    <row r="224" spans="1:4">
      <c r="A224" s="9" t="s">
        <v>8340</v>
      </c>
      <c r="B224" s="9" t="s">
        <v>3887</v>
      </c>
      <c r="C224" s="9" t="s">
        <v>4230</v>
      </c>
    </row>
    <row r="225" spans="1:3">
      <c r="A225" s="9" t="s">
        <v>8341</v>
      </c>
      <c r="B225" s="9">
        <v>275452241</v>
      </c>
      <c r="C225" s="9" t="s">
        <v>4384</v>
      </c>
    </row>
    <row r="226" spans="1:3">
      <c r="A226" s="653" t="s">
        <v>8342</v>
      </c>
      <c r="B226" s="9" t="s">
        <v>4229</v>
      </c>
      <c r="C226" s="9">
        <v>36</v>
      </c>
    </row>
    <row r="227" spans="1:3">
      <c r="A227" s="9" t="s">
        <v>8343</v>
      </c>
      <c r="B227" s="9" t="s">
        <v>4229</v>
      </c>
      <c r="C227" s="9" t="s">
        <v>4230</v>
      </c>
    </row>
  </sheetData>
  <hyperlinks>
    <hyperlink ref="E38" r:id="rId1" location="chrome64" xr:uid="{00000000-0004-0000-3600-000000000000}"/>
    <hyperlink ref="E42" r:id="rId2" xr:uid="{00000000-0004-0000-3600-000001000000}"/>
    <hyperlink ref="D50" r:id="rId3" xr:uid="{00000000-0004-0000-3600-000002000000}"/>
    <hyperlink ref="D51" r:id="rId4" xr:uid="{00000000-0004-0000-3600-000003000000}"/>
    <hyperlink ref="A62" r:id="rId5" xr:uid="{00000000-0004-0000-3600-000004000000}"/>
    <hyperlink ref="A76" r:id="rId6" xr:uid="{00000000-0004-0000-3600-000005000000}"/>
    <hyperlink ref="A103" r:id="rId7" xr:uid="{00000000-0004-0000-3600-000006000000}"/>
    <hyperlink ref="D118" r:id="rId8" xr:uid="{00000000-0004-0000-3600-000007000000}"/>
    <hyperlink ref="E118" r:id="rId9" xr:uid="{00000000-0004-0000-3600-000008000000}"/>
    <hyperlink ref="D119" r:id="rId10" xr:uid="{00000000-0004-0000-3600-000009000000}"/>
    <hyperlink ref="E121" r:id="rId11" xr:uid="{00000000-0004-0000-3600-00000A000000}"/>
    <hyperlink ref="E122" r:id="rId12" xr:uid="{00000000-0004-0000-3600-00000B000000}"/>
    <hyperlink ref="B124" r:id="rId13" xr:uid="{00000000-0004-0000-3600-00000C000000}"/>
    <hyperlink ref="D135" r:id="rId14" xr:uid="{00000000-0004-0000-3600-00000D000000}"/>
    <hyperlink ref="A136" r:id="rId15" xr:uid="{00000000-0004-0000-3600-00000E000000}"/>
    <hyperlink ref="D140" r:id="rId16" xr:uid="{00000000-0004-0000-3600-00000F000000}"/>
    <hyperlink ref="D155" r:id="rId17" xr:uid="{00000000-0004-0000-3600-000010000000}"/>
    <hyperlink ref="E155" r:id="rId18" xr:uid="{00000000-0004-0000-3600-000011000000}"/>
    <hyperlink ref="A156" r:id="rId19" xr:uid="{00000000-0004-0000-3600-000012000000}"/>
    <hyperlink ref="E156" r:id="rId20" xr:uid="{00000000-0004-0000-3600-000013000000}"/>
    <hyperlink ref="A160" r:id="rId21" xr:uid="{00000000-0004-0000-3600-000014000000}"/>
    <hyperlink ref="A194" r:id="rId22" xr:uid="{00000000-0004-0000-3600-000015000000}"/>
    <hyperlink ref="A198" r:id="rId23" xr:uid="{00000000-0004-0000-3600-000016000000}"/>
    <hyperlink ref="A200" r:id="rId24" xr:uid="{00000000-0004-0000-3600-000017000000}"/>
    <hyperlink ref="A202" r:id="rId25" xr:uid="{00000000-0004-0000-3600-000018000000}"/>
    <hyperlink ref="A208" r:id="rId26" xr:uid="{00000000-0004-0000-3600-000019000000}"/>
    <hyperlink ref="A214" r:id="rId27" xr:uid="{00000000-0004-0000-3600-00001A000000}"/>
    <hyperlink ref="A217" r:id="rId28" xr:uid="{00000000-0004-0000-3600-00001B000000}"/>
    <hyperlink ref="A226" r:id="rId29" xr:uid="{00000000-0004-0000-3600-00001C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outlinePr summaryBelow="0" summaryRight="0"/>
  </sheetPr>
  <dimension ref="A1:K113"/>
  <sheetViews>
    <sheetView workbookViewId="0"/>
  </sheetViews>
  <sheetFormatPr defaultColWidth="12.7109375" defaultRowHeight="12.75" customHeight="1"/>
  <cols>
    <col min="1" max="1" width="3.28515625" customWidth="1"/>
    <col min="2" max="2" width="35.140625" customWidth="1"/>
    <col min="3" max="3" width="3.42578125" customWidth="1"/>
    <col min="4" max="4" width="19.140625" customWidth="1"/>
    <col min="5" max="5" width="20.28515625" customWidth="1"/>
    <col min="6" max="6" width="3.7109375" customWidth="1"/>
    <col min="7" max="7" width="38.7109375" customWidth="1"/>
    <col min="8" max="8" width="3.85546875" customWidth="1"/>
    <col min="9" max="10" width="4.140625" customWidth="1"/>
    <col min="11" max="11" width="4" customWidth="1"/>
  </cols>
  <sheetData>
    <row r="1" spans="1:8" ht="12.75" customHeight="1">
      <c r="A1" s="791"/>
      <c r="B1" s="2287" t="s">
        <v>8344</v>
      </c>
      <c r="C1" s="2102"/>
      <c r="D1" s="2102"/>
      <c r="E1" s="2102"/>
      <c r="F1" s="2102"/>
      <c r="G1" s="2103"/>
      <c r="H1" s="41"/>
    </row>
    <row r="2" spans="1:8">
      <c r="A2" s="578"/>
      <c r="B2" s="1530" t="s">
        <v>8345</v>
      </c>
      <c r="C2" s="1530"/>
      <c r="D2" s="2288" t="s">
        <v>8346</v>
      </c>
      <c r="E2" s="2095"/>
      <c r="F2" s="1530"/>
      <c r="G2" s="1530" t="s">
        <v>8347</v>
      </c>
      <c r="H2" s="41"/>
    </row>
    <row r="3" spans="1:8">
      <c r="A3" s="578"/>
      <c r="B3" s="1531" t="s">
        <v>8348</v>
      </c>
      <c r="C3" s="1531"/>
      <c r="D3" s="2288" t="s">
        <v>8348</v>
      </c>
      <c r="E3" s="2095"/>
      <c r="F3" s="1531"/>
      <c r="G3" s="1531" t="s">
        <v>8348</v>
      </c>
      <c r="H3" s="41"/>
    </row>
    <row r="4" spans="1:8">
      <c r="A4" s="9"/>
      <c r="B4" s="449" t="s">
        <v>8349</v>
      </c>
      <c r="C4" s="41"/>
      <c r="D4" s="2289" t="s">
        <v>8350</v>
      </c>
      <c r="E4" s="2137"/>
      <c r="F4" s="44"/>
      <c r="G4" s="449" t="s">
        <v>8351</v>
      </c>
      <c r="H4" s="41"/>
    </row>
    <row r="5" spans="1:8">
      <c r="A5" s="9"/>
      <c r="B5" s="449" t="s">
        <v>8352</v>
      </c>
      <c r="C5" s="41"/>
      <c r="D5" s="2289" t="s">
        <v>8353</v>
      </c>
      <c r="E5" s="2137"/>
      <c r="F5" s="44"/>
      <c r="G5" s="449" t="s">
        <v>8354</v>
      </c>
      <c r="H5" s="41"/>
    </row>
    <row r="6" spans="1:8">
      <c r="A6" s="9"/>
      <c r="B6" s="449" t="s">
        <v>8355</v>
      </c>
      <c r="C6" s="41"/>
      <c r="D6" s="2289" t="s">
        <v>8356</v>
      </c>
      <c r="E6" s="2137"/>
      <c r="F6" s="44"/>
      <c r="G6" s="449" t="s">
        <v>8357</v>
      </c>
      <c r="H6" s="41"/>
    </row>
    <row r="7" spans="1:8">
      <c r="A7" s="9"/>
      <c r="B7" s="449" t="s">
        <v>8358</v>
      </c>
      <c r="C7" s="41"/>
      <c r="D7" s="2289" t="s">
        <v>8359</v>
      </c>
      <c r="E7" s="2137"/>
      <c r="F7" s="44"/>
      <c r="G7" s="449" t="s">
        <v>8360</v>
      </c>
      <c r="H7" s="41"/>
    </row>
    <row r="8" spans="1:8">
      <c r="A8" s="9"/>
      <c r="B8" s="449" t="s">
        <v>8361</v>
      </c>
      <c r="C8" s="41"/>
      <c r="D8" s="2289" t="s">
        <v>8362</v>
      </c>
      <c r="E8" s="2137"/>
      <c r="F8" s="44"/>
      <c r="G8" s="449" t="s">
        <v>8363</v>
      </c>
      <c r="H8" s="41"/>
    </row>
    <row r="9" spans="1:8">
      <c r="A9" s="9"/>
      <c r="B9" s="449" t="s">
        <v>8364</v>
      </c>
      <c r="C9" s="41"/>
      <c r="D9" s="2289" t="s">
        <v>8365</v>
      </c>
      <c r="E9" s="2137"/>
      <c r="F9" s="44"/>
      <c r="G9" s="449" t="s">
        <v>8366</v>
      </c>
      <c r="H9" s="41"/>
    </row>
    <row r="10" spans="1:8">
      <c r="A10" s="9"/>
      <c r="B10" s="449" t="s">
        <v>8367</v>
      </c>
      <c r="C10" s="41"/>
      <c r="D10" s="2289" t="s">
        <v>2145</v>
      </c>
      <c r="E10" s="2137"/>
      <c r="F10" s="44"/>
      <c r="G10" s="449" t="s">
        <v>8368</v>
      </c>
      <c r="H10" s="41"/>
    </row>
    <row r="11" spans="1:8" ht="25.5">
      <c r="A11" s="9"/>
      <c r="B11" s="449" t="s">
        <v>8369</v>
      </c>
      <c r="C11" s="41"/>
      <c r="D11" s="2289" t="s">
        <v>8370</v>
      </c>
      <c r="E11" s="2137"/>
      <c r="F11" s="44"/>
      <c r="G11" s="449" t="s">
        <v>8371</v>
      </c>
      <c r="H11" s="41"/>
    </row>
    <row r="12" spans="1:8">
      <c r="A12" s="9"/>
      <c r="B12" s="449" t="s">
        <v>8372</v>
      </c>
      <c r="C12" s="41"/>
      <c r="D12" s="2289" t="s">
        <v>8373</v>
      </c>
      <c r="E12" s="2137"/>
      <c r="F12" s="44"/>
      <c r="G12" s="449" t="s">
        <v>8374</v>
      </c>
      <c r="H12" s="41"/>
    </row>
    <row r="13" spans="1:8">
      <c r="A13" s="9"/>
      <c r="B13" s="449" t="s">
        <v>8375</v>
      </c>
      <c r="C13" s="41"/>
      <c r="D13" s="2289" t="s">
        <v>4884</v>
      </c>
      <c r="E13" s="2137"/>
      <c r="F13" s="44"/>
      <c r="G13" s="449"/>
      <c r="H13" s="41"/>
    </row>
    <row r="14" spans="1:8">
      <c r="A14" s="9"/>
      <c r="B14" s="449" t="s">
        <v>8376</v>
      </c>
      <c r="C14" s="41"/>
      <c r="D14" s="2289" t="s">
        <v>8377</v>
      </c>
      <c r="E14" s="2137"/>
      <c r="F14" s="1424"/>
      <c r="G14" s="1531" t="s">
        <v>8378</v>
      </c>
      <c r="H14" s="41"/>
    </row>
    <row r="15" spans="1:8">
      <c r="A15" s="9"/>
      <c r="B15" s="449" t="s">
        <v>8379</v>
      </c>
      <c r="C15" s="41"/>
      <c r="D15" s="2289" t="s">
        <v>8380</v>
      </c>
      <c r="E15" s="2137"/>
      <c r="F15" s="44"/>
      <c r="G15" s="449" t="s">
        <v>8381</v>
      </c>
      <c r="H15" s="41"/>
    </row>
    <row r="16" spans="1:8">
      <c r="A16" s="9"/>
      <c r="B16" s="449" t="s">
        <v>8373</v>
      </c>
      <c r="C16" s="41"/>
      <c r="D16" s="2289" t="s">
        <v>8382</v>
      </c>
      <c r="E16" s="2137"/>
      <c r="F16" s="44"/>
      <c r="G16" s="1532" t="s">
        <v>8383</v>
      </c>
      <c r="H16" s="41"/>
    </row>
    <row r="17" spans="1:8">
      <c r="A17" s="9"/>
      <c r="B17" s="449" t="s">
        <v>8384</v>
      </c>
      <c r="C17" s="41"/>
      <c r="D17" s="2289" t="s">
        <v>8385</v>
      </c>
      <c r="E17" s="2137"/>
      <c r="G17" s="1229"/>
    </row>
    <row r="18" spans="1:8">
      <c r="B18" s="449"/>
      <c r="C18" s="41"/>
      <c r="D18" s="2289" t="s">
        <v>8386</v>
      </c>
      <c r="E18" s="2137"/>
      <c r="F18" s="1424"/>
      <c r="G18" s="1530" t="s">
        <v>8387</v>
      </c>
      <c r="H18" s="41"/>
    </row>
    <row r="19" spans="1:8">
      <c r="A19" s="578"/>
      <c r="B19" s="1531" t="s">
        <v>8378</v>
      </c>
      <c r="C19" s="41"/>
      <c r="D19" s="2289" t="s">
        <v>8388</v>
      </c>
      <c r="E19" s="2137"/>
      <c r="F19" s="44"/>
      <c r="G19" s="449" t="s">
        <v>8389</v>
      </c>
      <c r="H19" s="41"/>
    </row>
    <row r="20" spans="1:8">
      <c r="A20" s="9"/>
      <c r="B20" s="449" t="s">
        <v>8390</v>
      </c>
      <c r="C20" s="41"/>
      <c r="D20" s="2289" t="s">
        <v>8391</v>
      </c>
      <c r="E20" s="2137"/>
      <c r="F20" s="44"/>
      <c r="G20" s="449" t="s">
        <v>8392</v>
      </c>
      <c r="H20" s="41"/>
    </row>
    <row r="21" spans="1:8">
      <c r="A21" s="9"/>
      <c r="B21" s="449" t="s">
        <v>8393</v>
      </c>
      <c r="C21" s="41"/>
      <c r="D21" s="2289" t="s">
        <v>8394</v>
      </c>
      <c r="E21" s="2137"/>
      <c r="F21" s="44"/>
      <c r="G21" s="449" t="s">
        <v>8395</v>
      </c>
      <c r="H21" s="41"/>
    </row>
    <row r="22" spans="1:8">
      <c r="A22" s="578"/>
      <c r="B22" s="1533" t="s">
        <v>8396</v>
      </c>
      <c r="C22" s="41"/>
      <c r="D22" s="2289" t="s">
        <v>8397</v>
      </c>
      <c r="E22" s="2137"/>
      <c r="F22" s="44"/>
      <c r="G22" s="449" t="s">
        <v>8398</v>
      </c>
      <c r="H22" s="41"/>
    </row>
    <row r="23" spans="1:8">
      <c r="A23" s="9"/>
      <c r="B23" s="449" t="s">
        <v>8399</v>
      </c>
      <c r="C23" s="41"/>
      <c r="F23" s="44"/>
      <c r="G23" s="449" t="s">
        <v>8400</v>
      </c>
      <c r="H23" s="41"/>
    </row>
    <row r="24" spans="1:8">
      <c r="A24" s="9"/>
      <c r="B24" s="449" t="s">
        <v>8401</v>
      </c>
      <c r="C24" s="1531"/>
      <c r="D24" s="2288" t="s">
        <v>8378</v>
      </c>
      <c r="E24" s="2095"/>
      <c r="F24" s="449"/>
      <c r="G24" s="449" t="s">
        <v>8402</v>
      </c>
      <c r="H24" s="41"/>
    </row>
    <row r="25" spans="1:8">
      <c r="A25" s="9"/>
      <c r="B25" s="449" t="s">
        <v>8403</v>
      </c>
      <c r="C25" s="449"/>
      <c r="D25" s="449" t="s">
        <v>8404</v>
      </c>
      <c r="E25" s="449" t="s">
        <v>8405</v>
      </c>
      <c r="F25" s="449"/>
      <c r="G25" s="1534" t="s">
        <v>8406</v>
      </c>
      <c r="H25" s="41"/>
    </row>
    <row r="26" spans="1:8">
      <c r="A26" s="9"/>
      <c r="B26" s="449" t="s">
        <v>8407</v>
      </c>
      <c r="C26" s="449"/>
      <c r="D26" s="449" t="s">
        <v>8408</v>
      </c>
      <c r="E26" s="449" t="s">
        <v>8409</v>
      </c>
      <c r="F26" s="449"/>
      <c r="G26" s="449" t="s">
        <v>8410</v>
      </c>
      <c r="H26" s="41"/>
    </row>
    <row r="27" spans="1:8">
      <c r="A27" s="9"/>
      <c r="B27" s="449" t="s">
        <v>8411</v>
      </c>
      <c r="C27" s="449"/>
      <c r="D27" s="449" t="s">
        <v>8412</v>
      </c>
      <c r="E27" s="449" t="s">
        <v>8413</v>
      </c>
      <c r="F27" s="449"/>
      <c r="G27" s="449" t="s">
        <v>8414</v>
      </c>
      <c r="H27" s="41"/>
    </row>
    <row r="28" spans="1:8">
      <c r="A28" s="9"/>
      <c r="B28" s="1532" t="s">
        <v>8415</v>
      </c>
      <c r="C28" s="449"/>
      <c r="D28" s="449" t="s">
        <v>8416</v>
      </c>
      <c r="E28" s="449" t="s">
        <v>8417</v>
      </c>
      <c r="F28" s="449"/>
      <c r="G28" s="449" t="s">
        <v>8418</v>
      </c>
      <c r="H28" s="41"/>
    </row>
    <row r="29" spans="1:8">
      <c r="A29" s="9"/>
      <c r="B29" s="1535" t="s">
        <v>8419</v>
      </c>
      <c r="C29" s="449"/>
      <c r="D29" s="41" t="s">
        <v>8420</v>
      </c>
      <c r="E29" s="449" t="s">
        <v>8421</v>
      </c>
      <c r="F29" s="44"/>
      <c r="G29" s="449" t="s">
        <v>8422</v>
      </c>
      <c r="H29" s="41"/>
    </row>
    <row r="30" spans="1:8">
      <c r="A30" s="9"/>
      <c r="B30" s="1536" t="s">
        <v>8423</v>
      </c>
      <c r="C30" s="449"/>
      <c r="D30" s="449" t="s">
        <v>8424</v>
      </c>
      <c r="E30" s="1425" t="s">
        <v>8425</v>
      </c>
      <c r="F30" s="449"/>
      <c r="G30" s="449" t="s">
        <v>8426</v>
      </c>
      <c r="H30" s="41"/>
    </row>
    <row r="31" spans="1:8">
      <c r="B31" s="1536" t="s">
        <v>8427</v>
      </c>
      <c r="C31" s="44"/>
      <c r="D31" s="449" t="s">
        <v>8428</v>
      </c>
      <c r="E31" s="1425" t="s">
        <v>8417</v>
      </c>
      <c r="F31" s="449"/>
      <c r="G31" s="1534" t="s">
        <v>8429</v>
      </c>
      <c r="H31" s="41"/>
    </row>
    <row r="32" spans="1:8">
      <c r="A32" s="1537"/>
      <c r="B32" s="1538" t="s">
        <v>8430</v>
      </c>
      <c r="C32" s="44"/>
      <c r="D32" s="449" t="s">
        <v>8431</v>
      </c>
      <c r="E32" s="1425" t="s">
        <v>8432</v>
      </c>
      <c r="F32" s="41"/>
      <c r="G32" s="449" t="s">
        <v>8433</v>
      </c>
    </row>
    <row r="33" spans="1:11">
      <c r="A33" s="1425"/>
      <c r="B33" s="1539"/>
      <c r="C33" s="44"/>
      <c r="E33" s="1540" t="s">
        <v>8434</v>
      </c>
      <c r="F33" s="449"/>
      <c r="G33" s="449" t="s">
        <v>8435</v>
      </c>
      <c r="H33" s="41"/>
    </row>
    <row r="34" spans="1:11">
      <c r="A34" s="1425"/>
      <c r="C34" s="44"/>
      <c r="E34" s="449"/>
      <c r="F34" s="449"/>
      <c r="G34" s="1532" t="s">
        <v>8436</v>
      </c>
      <c r="H34" s="41"/>
    </row>
    <row r="35" spans="1:11">
      <c r="A35" s="1425"/>
      <c r="C35" s="44"/>
      <c r="E35" s="449"/>
      <c r="F35" s="449"/>
      <c r="H35" s="41"/>
    </row>
    <row r="36" spans="1:11">
      <c r="A36" s="1425"/>
      <c r="C36" s="44"/>
      <c r="E36" s="449"/>
      <c r="F36" s="449"/>
      <c r="H36" s="41"/>
    </row>
    <row r="37" spans="1:11">
      <c r="A37" s="44"/>
      <c r="C37" s="44"/>
      <c r="E37" s="1532"/>
      <c r="F37" s="1532"/>
      <c r="G37" s="932"/>
      <c r="H37" s="41"/>
    </row>
    <row r="38" spans="1:11">
      <c r="B38" s="38"/>
      <c r="D38" s="38"/>
      <c r="E38" s="38"/>
      <c r="F38" s="38"/>
      <c r="G38" s="38"/>
    </row>
    <row r="41" spans="1:11" ht="27.75">
      <c r="B41" s="2290" t="s">
        <v>8437</v>
      </c>
      <c r="C41" s="2094"/>
      <c r="D41" s="2094"/>
      <c r="E41" s="2094"/>
      <c r="F41" s="2094"/>
      <c r="G41" s="2095"/>
      <c r="H41" s="69" t="s">
        <v>326</v>
      </c>
      <c r="I41" s="69" t="s">
        <v>8438</v>
      </c>
      <c r="J41" s="69" t="s">
        <v>8439</v>
      </c>
      <c r="K41" s="69" t="s">
        <v>8440</v>
      </c>
    </row>
    <row r="42" spans="1:11">
      <c r="B42" s="47" t="s">
        <v>8441</v>
      </c>
      <c r="D42" s="3" t="s">
        <v>7683</v>
      </c>
      <c r="E42" s="3" t="s">
        <v>7684</v>
      </c>
      <c r="G42" s="142" t="s">
        <v>8442</v>
      </c>
      <c r="H42" s="9"/>
    </row>
    <row r="43" spans="1:11">
      <c r="B43" s="41" t="s">
        <v>8443</v>
      </c>
      <c r="D43" s="9" t="s">
        <v>8444</v>
      </c>
      <c r="E43" s="9" t="s">
        <v>8445</v>
      </c>
      <c r="G43" s="44" t="s">
        <v>8446</v>
      </c>
      <c r="H43" s="9">
        <v>3</v>
      </c>
      <c r="I43" s="9">
        <v>14</v>
      </c>
      <c r="J43" s="9">
        <v>2</v>
      </c>
      <c r="K43" s="9">
        <v>2</v>
      </c>
    </row>
    <row r="44" spans="1:11">
      <c r="B44" s="41" t="s">
        <v>8447</v>
      </c>
      <c r="D44" s="9" t="s">
        <v>8448</v>
      </c>
      <c r="E44" s="9" t="s">
        <v>8449</v>
      </c>
      <c r="G44" s="44" t="s">
        <v>8450</v>
      </c>
      <c r="H44" s="9">
        <v>0</v>
      </c>
      <c r="I44" s="9">
        <v>10</v>
      </c>
      <c r="J44" s="9">
        <v>2</v>
      </c>
      <c r="K44" s="9">
        <v>20</v>
      </c>
    </row>
    <row r="45" spans="1:11">
      <c r="B45" s="1304" t="s">
        <v>8451</v>
      </c>
      <c r="D45" s="9" t="s">
        <v>8452</v>
      </c>
      <c r="E45" s="9" t="s">
        <v>8453</v>
      </c>
      <c r="G45" s="44" t="s">
        <v>8454</v>
      </c>
      <c r="H45" s="9">
        <v>7</v>
      </c>
      <c r="I45" s="9">
        <v>3</v>
      </c>
      <c r="J45" s="9">
        <v>2</v>
      </c>
      <c r="K45" s="9">
        <v>5</v>
      </c>
    </row>
    <row r="46" spans="1:11" ht="25.5">
      <c r="B46" s="1304" t="s">
        <v>8455</v>
      </c>
      <c r="D46" s="3" t="s">
        <v>8456</v>
      </c>
      <c r="E46" s="9" t="s">
        <v>8457</v>
      </c>
      <c r="G46" s="44" t="s">
        <v>8458</v>
      </c>
      <c r="H46" s="9">
        <v>7</v>
      </c>
      <c r="J46" s="9">
        <v>5</v>
      </c>
    </row>
    <row r="47" spans="1:11" ht="25.5">
      <c r="B47" s="1304" t="s">
        <v>8459</v>
      </c>
      <c r="D47" s="9" t="s">
        <v>8460</v>
      </c>
      <c r="E47" s="9" t="s">
        <v>8461</v>
      </c>
      <c r="G47" s="44" t="s">
        <v>8462</v>
      </c>
      <c r="H47" s="9">
        <v>4</v>
      </c>
      <c r="I47" s="9">
        <v>18</v>
      </c>
      <c r="K47" s="9">
        <v>1</v>
      </c>
    </row>
    <row r="48" spans="1:11">
      <c r="B48" s="1304" t="s">
        <v>8463</v>
      </c>
      <c r="D48" s="9" t="s">
        <v>8464</v>
      </c>
      <c r="E48" s="9" t="s">
        <v>8465</v>
      </c>
      <c r="G48" s="44" t="s">
        <v>8466</v>
      </c>
      <c r="H48" s="9">
        <v>3</v>
      </c>
      <c r="I48" s="9">
        <v>18</v>
      </c>
      <c r="K48" s="9">
        <v>8</v>
      </c>
    </row>
    <row r="49" spans="2:11" ht="25.5">
      <c r="B49" s="1304" t="s">
        <v>8467</v>
      </c>
      <c r="D49" s="9" t="s">
        <v>8468</v>
      </c>
      <c r="E49" s="9" t="s">
        <v>8469</v>
      </c>
      <c r="G49" s="44" t="s">
        <v>8470</v>
      </c>
      <c r="H49" s="9">
        <v>5</v>
      </c>
      <c r="I49" s="9">
        <v>5</v>
      </c>
      <c r="K49" s="9">
        <v>10</v>
      </c>
    </row>
    <row r="50" spans="2:11">
      <c r="B50" s="1304" t="s">
        <v>8471</v>
      </c>
      <c r="D50" s="9" t="s">
        <v>8472</v>
      </c>
      <c r="E50" s="9"/>
      <c r="G50" s="44" t="s">
        <v>8473</v>
      </c>
      <c r="I50" s="9">
        <v>5</v>
      </c>
      <c r="K50" s="9"/>
    </row>
    <row r="51" spans="2:11" ht="25.5">
      <c r="B51" s="41"/>
      <c r="D51" s="9" t="s">
        <v>8474</v>
      </c>
      <c r="E51" s="9" t="s">
        <v>8475</v>
      </c>
      <c r="G51" s="44" t="s">
        <v>8476</v>
      </c>
      <c r="H51" s="9">
        <v>10</v>
      </c>
      <c r="I51" s="9">
        <v>1</v>
      </c>
      <c r="J51" s="9">
        <v>10</v>
      </c>
      <c r="K51" s="9">
        <v>5</v>
      </c>
    </row>
    <row r="52" spans="2:11">
      <c r="B52" s="47" t="s">
        <v>7685</v>
      </c>
      <c r="D52" s="9" t="s">
        <v>8477</v>
      </c>
      <c r="E52" s="9" t="s">
        <v>8478</v>
      </c>
      <c r="G52" s="44" t="s">
        <v>8479</v>
      </c>
      <c r="I52" s="9">
        <v>0</v>
      </c>
    </row>
    <row r="53" spans="2:11" ht="25.5">
      <c r="B53" s="41" t="s">
        <v>8480</v>
      </c>
      <c r="D53" s="9" t="s">
        <v>8481</v>
      </c>
      <c r="E53" s="9" t="s">
        <v>8482</v>
      </c>
      <c r="G53" s="44" t="s">
        <v>8483</v>
      </c>
      <c r="H53" s="9">
        <v>10</v>
      </c>
      <c r="I53" s="9">
        <v>0</v>
      </c>
      <c r="K53" s="9">
        <v>5</v>
      </c>
    </row>
    <row r="54" spans="2:11">
      <c r="B54" s="41" t="s">
        <v>8484</v>
      </c>
      <c r="D54" s="9" t="s">
        <v>8485</v>
      </c>
      <c r="G54" s="44" t="s">
        <v>8486</v>
      </c>
      <c r="H54" s="9">
        <v>2</v>
      </c>
      <c r="I54" s="9">
        <v>10</v>
      </c>
    </row>
    <row r="55" spans="2:11" ht="25.5">
      <c r="B55" s="41" t="s">
        <v>8487</v>
      </c>
      <c r="D55" s="9" t="s">
        <v>8488</v>
      </c>
      <c r="G55" s="44" t="s">
        <v>8489</v>
      </c>
      <c r="H55" s="9">
        <v>1</v>
      </c>
      <c r="K55" s="9">
        <v>5</v>
      </c>
    </row>
    <row r="56" spans="2:11">
      <c r="B56" s="41" t="s">
        <v>8490</v>
      </c>
      <c r="D56" s="9" t="s">
        <v>8491</v>
      </c>
      <c r="G56" s="44"/>
      <c r="H56" s="9">
        <v>3</v>
      </c>
    </row>
    <row r="57" spans="2:11">
      <c r="B57" s="41" t="s">
        <v>8492</v>
      </c>
      <c r="G57" s="44"/>
      <c r="H57" s="9">
        <v>5</v>
      </c>
    </row>
    <row r="58" spans="2:11">
      <c r="B58" s="1304"/>
      <c r="G58" s="44"/>
    </row>
    <row r="59" spans="2:11">
      <c r="B59" s="77"/>
      <c r="C59" s="133"/>
      <c r="D59" s="133"/>
      <c r="E59" s="133"/>
      <c r="F59" s="133"/>
      <c r="G59" s="884"/>
    </row>
    <row r="60" spans="2:11">
      <c r="B60" s="610"/>
      <c r="H60" s="9">
        <f>SUM(H43:H59)</f>
        <v>60</v>
      </c>
      <c r="I60" s="9">
        <f>SUM(I43:I59)</f>
        <v>84</v>
      </c>
      <c r="J60" s="9">
        <f>SUM(J43:J59)</f>
        <v>21</v>
      </c>
      <c r="K60" s="9">
        <f>SUM(K43:K59)</f>
        <v>61</v>
      </c>
    </row>
    <row r="61" spans="2:11">
      <c r="B61" s="610" t="s">
        <v>8493</v>
      </c>
    </row>
    <row r="62" spans="2:11">
      <c r="B62" s="610"/>
      <c r="K62" s="9">
        <f>H60+I60+J60+K60</f>
        <v>226</v>
      </c>
    </row>
    <row r="63" spans="2:11">
      <c r="B63" s="610"/>
    </row>
    <row r="64" spans="2:11">
      <c r="B64" s="610"/>
    </row>
    <row r="65" spans="1:7" ht="18">
      <c r="A65" s="791"/>
      <c r="B65" s="2287" t="s">
        <v>8494</v>
      </c>
      <c r="C65" s="2102"/>
      <c r="D65" s="2102"/>
      <c r="E65" s="2102"/>
      <c r="F65" s="2102"/>
      <c r="G65" s="2103"/>
    </row>
    <row r="66" spans="1:7">
      <c r="A66" s="578"/>
      <c r="B66" s="449" t="s">
        <v>8355</v>
      </c>
      <c r="C66" s="1530"/>
      <c r="D66" s="2289" t="s">
        <v>8350</v>
      </c>
      <c r="E66" s="2087"/>
      <c r="F66" s="1530"/>
      <c r="G66" s="1530" t="s">
        <v>8495</v>
      </c>
    </row>
    <row r="67" spans="1:7">
      <c r="A67" s="578"/>
      <c r="B67" s="449" t="s">
        <v>8496</v>
      </c>
      <c r="C67" s="1531"/>
      <c r="D67" s="2289" t="s">
        <v>8497</v>
      </c>
      <c r="E67" s="2087"/>
      <c r="F67" s="1531"/>
      <c r="G67" s="449" t="s">
        <v>8354</v>
      </c>
    </row>
    <row r="68" spans="1:7" ht="25.5">
      <c r="A68" s="9"/>
      <c r="B68" s="449" t="s">
        <v>8369</v>
      </c>
      <c r="C68" s="41"/>
      <c r="D68" s="2289" t="s">
        <v>8356</v>
      </c>
      <c r="E68" s="2087"/>
      <c r="F68" s="449"/>
      <c r="G68" s="449" t="s">
        <v>8360</v>
      </c>
    </row>
    <row r="69" spans="1:7">
      <c r="A69" s="9"/>
      <c r="B69" s="449" t="s">
        <v>8376</v>
      </c>
      <c r="C69" s="41"/>
      <c r="D69" s="2289" t="s">
        <v>8359</v>
      </c>
      <c r="E69" s="2087"/>
      <c r="F69" s="449"/>
      <c r="G69" s="449" t="s">
        <v>8363</v>
      </c>
    </row>
    <row r="70" spans="1:7">
      <c r="A70" s="9"/>
      <c r="B70" s="449" t="s">
        <v>8373</v>
      </c>
      <c r="C70" s="41"/>
      <c r="D70" s="2289" t="s">
        <v>8365</v>
      </c>
      <c r="E70" s="2087"/>
      <c r="F70" s="449"/>
      <c r="G70" s="449" t="s">
        <v>8366</v>
      </c>
    </row>
    <row r="71" spans="1:7">
      <c r="A71" s="9"/>
      <c r="B71" s="449" t="s">
        <v>8393</v>
      </c>
      <c r="C71" s="41"/>
      <c r="D71" s="2289" t="s">
        <v>2145</v>
      </c>
      <c r="E71" s="2087"/>
      <c r="F71" s="449"/>
      <c r="G71" s="449" t="s">
        <v>8381</v>
      </c>
    </row>
    <row r="72" spans="1:7">
      <c r="A72" s="9"/>
      <c r="B72" s="449" t="s">
        <v>8399</v>
      </c>
      <c r="C72" s="41"/>
      <c r="D72" s="2289" t="s">
        <v>8380</v>
      </c>
      <c r="E72" s="2087"/>
      <c r="F72" s="449"/>
      <c r="G72" s="1532" t="s">
        <v>8383</v>
      </c>
    </row>
    <row r="73" spans="1:7">
      <c r="A73" s="9"/>
      <c r="B73" s="449" t="s">
        <v>8403</v>
      </c>
      <c r="C73" s="41"/>
      <c r="D73" s="2289" t="s">
        <v>8382</v>
      </c>
      <c r="E73" s="2087"/>
      <c r="F73" s="449"/>
      <c r="G73" s="449"/>
    </row>
    <row r="74" spans="1:7">
      <c r="A74" s="9"/>
      <c r="B74" s="449" t="s">
        <v>8411</v>
      </c>
      <c r="C74" s="41"/>
      <c r="D74" s="2289" t="s">
        <v>8385</v>
      </c>
      <c r="E74" s="2087"/>
      <c r="F74" s="449"/>
      <c r="G74" s="1530" t="s">
        <v>8387</v>
      </c>
    </row>
    <row r="75" spans="1:7">
      <c r="A75" s="9"/>
      <c r="B75" s="449" t="s">
        <v>8415</v>
      </c>
      <c r="C75" s="41"/>
      <c r="D75" s="2289" t="s">
        <v>8386</v>
      </c>
      <c r="E75" s="2087"/>
      <c r="F75" s="449"/>
      <c r="G75" s="449" t="s">
        <v>8389</v>
      </c>
    </row>
    <row r="76" spans="1:7">
      <c r="A76" s="9"/>
      <c r="B76" s="449" t="s">
        <v>8397</v>
      </c>
      <c r="C76" s="41"/>
      <c r="D76" s="2289" t="s">
        <v>8388</v>
      </c>
      <c r="E76" s="2137"/>
      <c r="F76" s="44"/>
      <c r="G76" s="449" t="s">
        <v>8392</v>
      </c>
    </row>
    <row r="77" spans="1:7">
      <c r="A77" s="9"/>
      <c r="B77" s="38"/>
      <c r="C77" s="9"/>
      <c r="D77" s="2289" t="s">
        <v>8391</v>
      </c>
      <c r="E77" s="2137"/>
      <c r="F77" s="44"/>
      <c r="G77" s="449" t="s">
        <v>8395</v>
      </c>
    </row>
    <row r="78" spans="1:7">
      <c r="A78" s="9"/>
      <c r="C78" s="9"/>
      <c r="D78" s="449" t="s">
        <v>8404</v>
      </c>
      <c r="E78" s="449" t="s">
        <v>8405</v>
      </c>
      <c r="F78" s="1424"/>
      <c r="G78" s="449" t="s">
        <v>8398</v>
      </c>
    </row>
    <row r="79" spans="1:7">
      <c r="A79" s="9"/>
      <c r="C79" s="9"/>
      <c r="D79" s="449" t="s">
        <v>8408</v>
      </c>
      <c r="E79" s="449" t="s">
        <v>8409</v>
      </c>
      <c r="F79" s="44"/>
      <c r="G79" s="449" t="s">
        <v>8400</v>
      </c>
    </row>
    <row r="80" spans="1:7">
      <c r="A80" s="9"/>
      <c r="C80" s="9"/>
      <c r="D80" s="449" t="s">
        <v>8412</v>
      </c>
      <c r="E80" s="449" t="s">
        <v>8413</v>
      </c>
      <c r="F80" s="44"/>
      <c r="G80" s="449" t="s">
        <v>8402</v>
      </c>
    </row>
    <row r="81" spans="1:7">
      <c r="A81" s="9"/>
      <c r="C81" s="9"/>
      <c r="D81" s="449" t="s">
        <v>8498</v>
      </c>
      <c r="E81" s="449" t="s">
        <v>8417</v>
      </c>
      <c r="G81" s="449" t="s">
        <v>8406</v>
      </c>
    </row>
    <row r="82" spans="1:7">
      <c r="C82" s="9"/>
      <c r="D82" s="41" t="s">
        <v>8420</v>
      </c>
      <c r="E82" s="449" t="s">
        <v>8421</v>
      </c>
      <c r="F82" s="1424"/>
      <c r="G82" s="449" t="s">
        <v>8410</v>
      </c>
    </row>
    <row r="83" spans="1:7">
      <c r="A83" s="578"/>
      <c r="C83" s="9"/>
      <c r="D83" s="449" t="s">
        <v>8424</v>
      </c>
      <c r="E83" s="1541" t="s">
        <v>8434</v>
      </c>
      <c r="F83" s="44"/>
      <c r="G83" s="449" t="s">
        <v>8414</v>
      </c>
    </row>
    <row r="84" spans="1:7">
      <c r="A84" s="9"/>
      <c r="C84" s="9"/>
      <c r="D84" s="449" t="s">
        <v>8428</v>
      </c>
      <c r="E84" s="19" t="s">
        <v>8499</v>
      </c>
      <c r="F84" s="44"/>
      <c r="G84" s="449" t="s">
        <v>8418</v>
      </c>
    </row>
    <row r="85" spans="1:7">
      <c r="A85" s="9"/>
      <c r="C85" s="9"/>
      <c r="D85" s="1532" t="s">
        <v>8431</v>
      </c>
      <c r="E85" s="1542"/>
      <c r="F85" s="44"/>
      <c r="G85" s="449" t="s">
        <v>8422</v>
      </c>
    </row>
    <row r="86" spans="1:7">
      <c r="A86" s="578"/>
      <c r="C86" s="9"/>
      <c r="F86" s="44"/>
      <c r="G86" s="449" t="s">
        <v>8426</v>
      </c>
    </row>
    <row r="87" spans="1:7">
      <c r="A87" s="9"/>
      <c r="F87" s="44"/>
      <c r="G87" s="449" t="s">
        <v>8429</v>
      </c>
    </row>
    <row r="88" spans="1:7">
      <c r="A88" s="9"/>
      <c r="C88" s="578"/>
      <c r="F88" s="44"/>
      <c r="G88" s="449" t="s">
        <v>8433</v>
      </c>
    </row>
    <row r="89" spans="1:7">
      <c r="A89" s="9"/>
      <c r="C89" s="9"/>
      <c r="F89" s="44"/>
      <c r="G89" s="449" t="s">
        <v>8435</v>
      </c>
    </row>
    <row r="90" spans="1:7">
      <c r="A90" s="9"/>
      <c r="C90" s="9"/>
      <c r="F90" s="44"/>
      <c r="G90" s="1532" t="s">
        <v>8436</v>
      </c>
    </row>
    <row r="91" spans="1:7">
      <c r="A91" s="9"/>
      <c r="C91" s="9"/>
      <c r="F91" s="9"/>
    </row>
    <row r="92" spans="1:7">
      <c r="A92" s="9"/>
      <c r="B92" s="2101" t="s">
        <v>8500</v>
      </c>
      <c r="C92" s="2102"/>
      <c r="D92" s="2102"/>
      <c r="E92" s="2103"/>
      <c r="F92" s="9"/>
    </row>
    <row r="93" spans="1:7">
      <c r="A93" s="9"/>
      <c r="B93" s="41" t="s">
        <v>8355</v>
      </c>
      <c r="C93" s="578"/>
      <c r="D93" s="2291" t="s">
        <v>8394</v>
      </c>
      <c r="E93" s="2137"/>
      <c r="F93" s="578"/>
      <c r="G93" s="578"/>
    </row>
    <row r="94" spans="1:7">
      <c r="A94" s="9"/>
      <c r="B94" s="41" t="s">
        <v>8361</v>
      </c>
      <c r="C94" s="9"/>
      <c r="D94" s="2291" t="s">
        <v>8404</v>
      </c>
      <c r="E94" s="2137"/>
      <c r="F94" s="9"/>
      <c r="G94" s="9"/>
    </row>
    <row r="95" spans="1:7">
      <c r="B95" s="41" t="s">
        <v>8364</v>
      </c>
      <c r="C95" s="9"/>
      <c r="D95" s="2291" t="s">
        <v>8501</v>
      </c>
      <c r="E95" s="2137"/>
      <c r="F95" s="9"/>
      <c r="G95" s="9"/>
    </row>
    <row r="96" spans="1:7">
      <c r="A96" s="1537"/>
      <c r="B96" s="41" t="s">
        <v>8502</v>
      </c>
      <c r="C96" s="9"/>
      <c r="D96" s="2291" t="s">
        <v>8412</v>
      </c>
      <c r="E96" s="2137"/>
      <c r="F96" s="9"/>
      <c r="G96" s="9"/>
    </row>
    <row r="97" spans="1:7">
      <c r="A97" s="82"/>
      <c r="B97" s="41" t="s">
        <v>8376</v>
      </c>
      <c r="C97" s="9"/>
      <c r="D97" s="2291" t="s">
        <v>8416</v>
      </c>
      <c r="E97" s="2137"/>
      <c r="F97" s="9"/>
    </row>
    <row r="98" spans="1:7">
      <c r="A98" s="82"/>
      <c r="B98" s="41" t="s">
        <v>8393</v>
      </c>
      <c r="C98" s="9"/>
      <c r="D98" s="2291" t="s">
        <v>8420</v>
      </c>
      <c r="E98" s="2137"/>
      <c r="F98" s="9"/>
    </row>
    <row r="99" spans="1:7">
      <c r="A99" s="82"/>
      <c r="B99" s="41" t="s">
        <v>8399</v>
      </c>
      <c r="C99" s="9"/>
      <c r="D99" s="2291" t="s">
        <v>8424</v>
      </c>
      <c r="E99" s="2137"/>
      <c r="F99" s="9"/>
    </row>
    <row r="100" spans="1:7">
      <c r="A100" s="82"/>
      <c r="B100" s="41" t="s">
        <v>8403</v>
      </c>
      <c r="C100" s="9"/>
      <c r="D100" s="2291" t="s">
        <v>8405</v>
      </c>
      <c r="E100" s="2137"/>
      <c r="F100" s="9"/>
      <c r="G100" s="9"/>
    </row>
    <row r="101" spans="1:7">
      <c r="B101" s="41" t="s">
        <v>8407</v>
      </c>
      <c r="C101" s="9"/>
      <c r="D101" s="2291" t="s">
        <v>8409</v>
      </c>
      <c r="E101" s="2137"/>
      <c r="F101" s="9"/>
      <c r="G101" s="9"/>
    </row>
    <row r="102" spans="1:7">
      <c r="B102" s="41" t="s">
        <v>8415</v>
      </c>
      <c r="C102" s="9"/>
      <c r="D102" s="2291" t="s">
        <v>8413</v>
      </c>
      <c r="E102" s="2137"/>
      <c r="F102" s="9"/>
      <c r="G102" s="9"/>
    </row>
    <row r="103" spans="1:7">
      <c r="B103" s="2289" t="s">
        <v>8350</v>
      </c>
      <c r="C103" s="2087"/>
      <c r="D103" s="2291" t="s">
        <v>8417</v>
      </c>
      <c r="E103" s="2137"/>
    </row>
    <row r="104" spans="1:7">
      <c r="B104" s="2289" t="s">
        <v>8353</v>
      </c>
      <c r="C104" s="2087"/>
      <c r="D104" s="2291" t="s">
        <v>8434</v>
      </c>
      <c r="E104" s="2137"/>
      <c r="F104" s="578"/>
      <c r="G104" s="578"/>
    </row>
    <row r="105" spans="1:7">
      <c r="B105" s="2289" t="s">
        <v>8356</v>
      </c>
      <c r="C105" s="2087"/>
      <c r="D105" s="2291" t="s">
        <v>8360</v>
      </c>
      <c r="E105" s="2137"/>
      <c r="F105" s="9"/>
      <c r="G105" s="9"/>
    </row>
    <row r="106" spans="1:7">
      <c r="B106" s="2289" t="s">
        <v>8365</v>
      </c>
      <c r="C106" s="2087"/>
      <c r="D106" s="2291" t="s">
        <v>8363</v>
      </c>
      <c r="E106" s="2137"/>
      <c r="F106" s="9"/>
      <c r="G106" s="9"/>
    </row>
    <row r="107" spans="1:7">
      <c r="B107" s="2289" t="s">
        <v>2145</v>
      </c>
      <c r="C107" s="2087"/>
      <c r="D107" s="2291" t="s">
        <v>8366</v>
      </c>
      <c r="E107" s="2137"/>
    </row>
    <row r="108" spans="1:7">
      <c r="B108" s="2289" t="s">
        <v>8380</v>
      </c>
      <c r="C108" s="2087"/>
      <c r="E108" s="44"/>
      <c r="F108" s="578"/>
      <c r="G108" s="578"/>
    </row>
    <row r="109" spans="1:7">
      <c r="B109" s="2289" t="s">
        <v>8382</v>
      </c>
      <c r="C109" s="2087"/>
      <c r="D109" s="2291"/>
      <c r="E109" s="2137"/>
      <c r="F109" s="9"/>
      <c r="G109" s="9"/>
    </row>
    <row r="110" spans="1:7">
      <c r="B110" s="2289" t="s">
        <v>8385</v>
      </c>
      <c r="C110" s="2087"/>
      <c r="D110" s="2291" t="s">
        <v>8503</v>
      </c>
      <c r="E110" s="2137"/>
      <c r="F110" s="9"/>
      <c r="G110" s="9"/>
    </row>
    <row r="111" spans="1:7">
      <c r="B111" s="2289" t="s">
        <v>8386</v>
      </c>
      <c r="C111" s="2087"/>
      <c r="E111" s="44"/>
      <c r="F111" s="9"/>
      <c r="G111" s="9"/>
    </row>
    <row r="112" spans="1:7">
      <c r="B112" s="1543" t="s">
        <v>8504</v>
      </c>
      <c r="C112" s="133"/>
      <c r="D112" s="133"/>
      <c r="E112" s="884"/>
      <c r="F112" s="9"/>
      <c r="G112" s="9"/>
    </row>
    <row r="113" spans="6:7">
      <c r="F113" s="9"/>
      <c r="G113" s="9"/>
    </row>
  </sheetData>
  <mergeCells count="64">
    <mergeCell ref="B110:C110"/>
    <mergeCell ref="D110:E110"/>
    <mergeCell ref="B111:C111"/>
    <mergeCell ref="B103:C103"/>
    <mergeCell ref="B104:C104"/>
    <mergeCell ref="B105:C105"/>
    <mergeCell ref="B106:C106"/>
    <mergeCell ref="D106:E106"/>
    <mergeCell ref="B107:C107"/>
    <mergeCell ref="D107:E107"/>
    <mergeCell ref="D95:E95"/>
    <mergeCell ref="D96:E96"/>
    <mergeCell ref="B108:C108"/>
    <mergeCell ref="B109:C109"/>
    <mergeCell ref="D109:E109"/>
    <mergeCell ref="D104:E104"/>
    <mergeCell ref="D105:E105"/>
    <mergeCell ref="D97:E97"/>
    <mergeCell ref="D98:E98"/>
    <mergeCell ref="D99:E99"/>
    <mergeCell ref="D100:E100"/>
    <mergeCell ref="D101:E101"/>
    <mergeCell ref="D102:E102"/>
    <mergeCell ref="D103:E103"/>
    <mergeCell ref="D76:E76"/>
    <mergeCell ref="D77:E77"/>
    <mergeCell ref="B92:E92"/>
    <mergeCell ref="D93:E93"/>
    <mergeCell ref="D94:E94"/>
    <mergeCell ref="D71:E71"/>
    <mergeCell ref="D72:E72"/>
    <mergeCell ref="D73:E73"/>
    <mergeCell ref="D74:E74"/>
    <mergeCell ref="D75:E75"/>
    <mergeCell ref="D66:E66"/>
    <mergeCell ref="D67:E67"/>
    <mergeCell ref="D68:E68"/>
    <mergeCell ref="D69:E69"/>
    <mergeCell ref="D70:E70"/>
    <mergeCell ref="D21:E21"/>
    <mergeCell ref="D22:E22"/>
    <mergeCell ref="D24:E24"/>
    <mergeCell ref="B41:G41"/>
    <mergeCell ref="B65:G65"/>
    <mergeCell ref="D16:E16"/>
    <mergeCell ref="D17:E17"/>
    <mergeCell ref="D18:E18"/>
    <mergeCell ref="D19:E19"/>
    <mergeCell ref="D20:E20"/>
    <mergeCell ref="D11:E11"/>
    <mergeCell ref="D12:E12"/>
    <mergeCell ref="D13:E13"/>
    <mergeCell ref="D14:E14"/>
    <mergeCell ref="D15:E15"/>
    <mergeCell ref="D6:E6"/>
    <mergeCell ref="D7:E7"/>
    <mergeCell ref="D8:E8"/>
    <mergeCell ref="D9:E9"/>
    <mergeCell ref="D10:E10"/>
    <mergeCell ref="B1:G1"/>
    <mergeCell ref="D2:E2"/>
    <mergeCell ref="D3:E3"/>
    <mergeCell ref="D4:E4"/>
    <mergeCell ref="D5:E5"/>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outlinePr summaryBelow="0" summaryRight="0"/>
  </sheetPr>
  <dimension ref="A1:Q46"/>
  <sheetViews>
    <sheetView workbookViewId="0"/>
  </sheetViews>
  <sheetFormatPr defaultColWidth="12.7109375" defaultRowHeight="12.75" customHeight="1"/>
  <cols>
    <col min="1" max="1" width="2.140625" customWidth="1"/>
    <col min="2" max="2" width="17.7109375" customWidth="1"/>
    <col min="3" max="3" width="9.85546875" customWidth="1"/>
    <col min="4" max="4" width="10.28515625" customWidth="1"/>
    <col min="5" max="5" width="9.7109375" customWidth="1"/>
    <col min="6" max="6" width="9.140625" customWidth="1"/>
    <col min="7" max="7" width="8.7109375" customWidth="1"/>
    <col min="8" max="8" width="9.140625" customWidth="1"/>
    <col min="9" max="9" width="9" customWidth="1"/>
    <col min="10" max="10" width="8.7109375" customWidth="1"/>
    <col min="11" max="12" width="8.85546875" customWidth="1"/>
    <col min="13" max="13" width="8.7109375" customWidth="1"/>
    <col min="14" max="14" width="9.140625" customWidth="1"/>
    <col min="15" max="15" width="10.140625" customWidth="1"/>
    <col min="16" max="16" width="2.7109375" customWidth="1"/>
    <col min="17" max="20" width="15.140625" customWidth="1"/>
  </cols>
  <sheetData>
    <row r="1" spans="1:17">
      <c r="A1" s="660"/>
      <c r="B1" s="2151" t="s">
        <v>8505</v>
      </c>
      <c r="C1" s="2152"/>
      <c r="D1" s="2152"/>
      <c r="E1" s="2152"/>
      <c r="F1" s="2152"/>
      <c r="G1" s="2152"/>
      <c r="H1" s="2152"/>
      <c r="I1" s="2152"/>
      <c r="J1" s="2152"/>
      <c r="K1" s="2152"/>
      <c r="L1" s="2152"/>
      <c r="M1" s="2152"/>
      <c r="N1" s="2152"/>
      <c r="O1" s="2152"/>
      <c r="P1" s="660"/>
    </row>
    <row r="2" spans="1:17">
      <c r="A2" s="1433"/>
      <c r="B2" s="2283" t="s">
        <v>8021</v>
      </c>
      <c r="C2" s="2284"/>
      <c r="D2" s="2284"/>
      <c r="E2" s="2284"/>
      <c r="F2" s="2284"/>
      <c r="G2" s="2284"/>
      <c r="H2" s="2284"/>
      <c r="I2" s="2284"/>
      <c r="J2" s="2284"/>
      <c r="K2" s="2284"/>
      <c r="L2" s="2284"/>
      <c r="M2" s="2284"/>
      <c r="N2" s="2284"/>
      <c r="O2" s="2285"/>
      <c r="P2" s="1433"/>
      <c r="Q2" s="1406" t="s">
        <v>135</v>
      </c>
    </row>
    <row r="3" spans="1:17">
      <c r="A3" s="1433"/>
      <c r="B3" s="1435" t="s">
        <v>8034</v>
      </c>
      <c r="C3" s="1436" t="s">
        <v>143</v>
      </c>
      <c r="D3" s="1436" t="s">
        <v>26</v>
      </c>
      <c r="E3" s="1436" t="s">
        <v>25</v>
      </c>
      <c r="F3" s="1436" t="s">
        <v>24</v>
      </c>
      <c r="G3" s="1436" t="s">
        <v>23</v>
      </c>
      <c r="H3" s="1436" t="s">
        <v>22</v>
      </c>
      <c r="I3" s="1436" t="s">
        <v>21</v>
      </c>
      <c r="J3" s="1436" t="s">
        <v>20</v>
      </c>
      <c r="K3" s="1436" t="s">
        <v>256</v>
      </c>
      <c r="L3" s="1436" t="s">
        <v>18</v>
      </c>
      <c r="M3" s="1436" t="s">
        <v>17</v>
      </c>
      <c r="N3" s="1436" t="s">
        <v>86</v>
      </c>
      <c r="O3" s="1437" t="s">
        <v>8022</v>
      </c>
      <c r="P3" s="1438"/>
      <c r="Q3" s="1487" t="s">
        <v>135</v>
      </c>
    </row>
    <row r="4" spans="1:17">
      <c r="A4" s="1433"/>
      <c r="B4" s="674" t="s">
        <v>8024</v>
      </c>
      <c r="C4" s="12">
        <f t="shared" ref="C4:N4" si="0">C7-C5-C6</f>
        <v>9484.5</v>
      </c>
      <c r="D4" s="12">
        <f t="shared" si="0"/>
        <v>10849.78</v>
      </c>
      <c r="E4" s="12">
        <f t="shared" si="0"/>
        <v>11500</v>
      </c>
      <c r="F4" s="12">
        <f t="shared" si="0"/>
        <v>11080.720000000001</v>
      </c>
      <c r="G4" s="12">
        <f t="shared" si="0"/>
        <v>10720.070000000002</v>
      </c>
      <c r="H4" s="12">
        <f t="shared" si="0"/>
        <v>13713.85</v>
      </c>
      <c r="I4" s="12">
        <f t="shared" si="0"/>
        <v>10040.000000000002</v>
      </c>
      <c r="J4" s="12">
        <f t="shared" si="0"/>
        <v>10866.35</v>
      </c>
      <c r="K4" s="12">
        <f t="shared" si="0"/>
        <v>10509.1</v>
      </c>
      <c r="L4" s="12">
        <f t="shared" si="0"/>
        <v>8614.8000000000011</v>
      </c>
      <c r="M4" s="12">
        <f t="shared" si="0"/>
        <v>0</v>
      </c>
      <c r="N4" s="12">
        <f t="shared" si="0"/>
        <v>0</v>
      </c>
      <c r="O4" s="1439">
        <f>SUM(C4:N4)</f>
        <v>107379.17000000001</v>
      </c>
      <c r="P4" s="1433"/>
      <c r="Q4" s="1408" t="s">
        <v>135</v>
      </c>
    </row>
    <row r="5" spans="1:17">
      <c r="A5" s="1433"/>
      <c r="B5" s="1440" t="s">
        <v>8025</v>
      </c>
      <c r="C5" s="1441">
        <v>2970.22</v>
      </c>
      <c r="D5" s="1441">
        <v>2498.2199999999998</v>
      </c>
      <c r="E5" s="1441">
        <v>2498.2199999999998</v>
      </c>
      <c r="F5" s="1441">
        <v>2498.2199999999998</v>
      </c>
      <c r="G5" s="1441">
        <v>2498.2199999999998</v>
      </c>
      <c r="H5" s="1441">
        <v>2758.22</v>
      </c>
      <c r="I5" s="1441">
        <v>2694.22</v>
      </c>
      <c r="J5" s="1441">
        <f>2439.22-35</f>
        <v>2404.2199999999998</v>
      </c>
      <c r="K5" s="1441">
        <v>2333.2199999999998</v>
      </c>
      <c r="L5" s="1441">
        <f>2118.22-35</f>
        <v>2083.2199999999998</v>
      </c>
      <c r="M5" s="1441"/>
      <c r="N5" s="1441"/>
      <c r="O5" s="1442">
        <f>SUM(C5:N5)</f>
        <v>25236.2</v>
      </c>
      <c r="P5" s="1433"/>
      <c r="Q5" s="1406" t="s">
        <v>135</v>
      </c>
    </row>
    <row r="6" spans="1:17">
      <c r="A6" s="1433"/>
      <c r="B6" s="666" t="s">
        <v>8026</v>
      </c>
      <c r="C6" s="12">
        <v>1633</v>
      </c>
      <c r="D6" s="12">
        <v>300</v>
      </c>
      <c r="E6" s="12">
        <v>1989</v>
      </c>
      <c r="F6" s="12"/>
      <c r="G6" s="12">
        <v>1681</v>
      </c>
      <c r="H6" s="12"/>
      <c r="I6" s="12">
        <v>1813</v>
      </c>
      <c r="J6" s="12"/>
      <c r="K6" s="12">
        <v>2087</v>
      </c>
      <c r="L6" s="12"/>
      <c r="M6" s="12">
        <v>0</v>
      </c>
      <c r="N6" s="12"/>
      <c r="O6" s="1443">
        <f>SUM(C6:N6)</f>
        <v>9503</v>
      </c>
      <c r="P6" s="1433"/>
      <c r="Q6" s="1408" t="s">
        <v>135</v>
      </c>
    </row>
    <row r="7" spans="1:17">
      <c r="A7" s="1433"/>
      <c r="B7" s="666" t="s">
        <v>6847</v>
      </c>
      <c r="C7" s="667">
        <f>2545+2431.5+1619+2201+1520.22+1771+2000</f>
        <v>14087.72</v>
      </c>
      <c r="D7" s="667">
        <f>1435+1000+1025+1000+1451+1707+1709+2341+1980</f>
        <v>13648</v>
      </c>
      <c r="E7" s="667">
        <f>725+825+4435+2204+972+2308+2192.22+1295+280+751</f>
        <v>15987.22</v>
      </c>
      <c r="F7" s="667">
        <f>732.22+3385.5+1085+2083+1799+1130+1832+1532.22</f>
        <v>13578.94</v>
      </c>
      <c r="G7" s="667">
        <f>380+782+450+30+1421+675+122.57+1310+819.22+3269+1000+1161.5+800+679+2000</f>
        <v>14899.29</v>
      </c>
      <c r="H7" s="667">
        <f>2593+1419+1886.85+4238.22+2564+1708+1600+463</f>
        <v>16472.07</v>
      </c>
      <c r="I7" s="667">
        <f>6544.22+4313+1690+2000</f>
        <v>14547.220000000001</v>
      </c>
      <c r="J7" s="667">
        <f>11270.57+2000</f>
        <v>13270.57</v>
      </c>
      <c r="K7" s="667">
        <f>7856.32+2481+592+4000</f>
        <v>14929.32</v>
      </c>
      <c r="L7" s="667">
        <f>5555.02+425+4718</f>
        <v>10698.02</v>
      </c>
      <c r="M7" s="667">
        <v>0</v>
      </c>
      <c r="N7" s="667">
        <v>0</v>
      </c>
      <c r="O7" s="1439">
        <f>SUM(C7:N7)</f>
        <v>142118.37000000002</v>
      </c>
      <c r="P7" s="1444"/>
      <c r="Q7" s="1406" t="s">
        <v>135</v>
      </c>
    </row>
    <row r="8" spans="1:17">
      <c r="A8" s="1433"/>
      <c r="B8" s="666" t="s">
        <v>8054</v>
      </c>
      <c r="C8" s="1446">
        <f t="shared" ref="C8:O8" si="1">C7-C22</f>
        <v>10396.429999999998</v>
      </c>
      <c r="D8" s="1446">
        <f t="shared" si="1"/>
        <v>11224.25</v>
      </c>
      <c r="E8" s="1446">
        <f t="shared" si="1"/>
        <v>10536.829999999998</v>
      </c>
      <c r="F8" s="1446">
        <f t="shared" si="1"/>
        <v>4729.93</v>
      </c>
      <c r="G8" s="1446">
        <f t="shared" si="1"/>
        <v>10505.230000000001</v>
      </c>
      <c r="H8" s="1446">
        <f t="shared" si="1"/>
        <v>15016.49</v>
      </c>
      <c r="I8" s="1446">
        <f t="shared" si="1"/>
        <v>11741.710000000001</v>
      </c>
      <c r="J8" s="1446">
        <f t="shared" si="1"/>
        <v>12206.58</v>
      </c>
      <c r="K8" s="1446">
        <f t="shared" si="1"/>
        <v>10204.51</v>
      </c>
      <c r="L8" s="1446">
        <f t="shared" si="1"/>
        <v>8284.9</v>
      </c>
      <c r="M8" s="1446">
        <f t="shared" si="1"/>
        <v>0</v>
      </c>
      <c r="N8" s="1446">
        <f t="shared" si="1"/>
        <v>0</v>
      </c>
      <c r="O8" s="1447">
        <f t="shared" si="1"/>
        <v>104846.86000000002</v>
      </c>
      <c r="P8" s="1448"/>
      <c r="Q8" s="1406" t="s">
        <v>135</v>
      </c>
    </row>
    <row r="9" spans="1:17">
      <c r="A9" s="1433"/>
      <c r="B9" s="674" t="s">
        <v>8036</v>
      </c>
      <c r="C9" s="675"/>
      <c r="D9" s="675">
        <v>178</v>
      </c>
      <c r="E9" s="675"/>
      <c r="F9" s="675">
        <v>5925.88</v>
      </c>
      <c r="G9" s="675"/>
      <c r="H9" s="675"/>
      <c r="I9" s="675"/>
      <c r="J9" s="675"/>
      <c r="K9" s="675">
        <f>504+115</f>
        <v>619</v>
      </c>
      <c r="L9" s="675">
        <v>115</v>
      </c>
      <c r="M9" s="675"/>
      <c r="N9" s="675"/>
      <c r="O9" s="1449">
        <f t="shared" ref="O9:O21" si="2">SUM(C9:N9)</f>
        <v>6837.88</v>
      </c>
      <c r="P9" s="1448"/>
      <c r="Q9" s="1408" t="s">
        <v>135</v>
      </c>
    </row>
    <row r="10" spans="1:17">
      <c r="A10" s="1433"/>
      <c r="B10" s="674" t="s">
        <v>8027</v>
      </c>
      <c r="C10" s="675">
        <v>2080.54</v>
      </c>
      <c r="D10" s="675"/>
      <c r="E10" s="675">
        <v>2092.2199999999998</v>
      </c>
      <c r="F10" s="675"/>
      <c r="G10" s="675">
        <v>2068.7199999999998</v>
      </c>
      <c r="H10" s="675"/>
      <c r="I10" s="675">
        <v>2126.2199999999998</v>
      </c>
      <c r="J10" s="675"/>
      <c r="K10" s="675">
        <v>2419.4699999999998</v>
      </c>
      <c r="L10" s="675"/>
      <c r="M10" s="675"/>
      <c r="N10" s="1450"/>
      <c r="O10" s="1451">
        <f t="shared" si="2"/>
        <v>10787.169999999998</v>
      </c>
      <c r="P10" s="1448"/>
      <c r="Q10" s="1408"/>
    </row>
    <row r="11" spans="1:17">
      <c r="A11" s="1433"/>
      <c r="B11" s="674" t="s">
        <v>8028</v>
      </c>
      <c r="C11" s="675">
        <v>30.38</v>
      </c>
      <c r="D11" s="675">
        <f>28.28+9.81</f>
        <v>38.090000000000003</v>
      </c>
      <c r="E11" s="675">
        <f>24.26+63.77+42+9.81</f>
        <v>139.84</v>
      </c>
      <c r="F11" s="675">
        <f>16.58+19.75+161.53</f>
        <v>197.86</v>
      </c>
      <c r="G11" s="675">
        <f>654.99+14.58+38.99+116.01</f>
        <v>824.57</v>
      </c>
      <c r="H11" s="675">
        <f>12.86+49.06+68.02+210.65</f>
        <v>340.59000000000003</v>
      </c>
      <c r="I11" s="675">
        <f>11.68+48.8+218.65</f>
        <v>279.13</v>
      </c>
      <c r="J11" s="675">
        <f>43.63+118.41+14.84</f>
        <v>176.88</v>
      </c>
      <c r="K11" s="675">
        <f>48.93+132.58+328.85+70.8+20.95</f>
        <v>602.11</v>
      </c>
      <c r="L11" s="675">
        <f>22.41+71.47+194.73+220.75+42.82</f>
        <v>552.18000000000006</v>
      </c>
      <c r="M11" s="675"/>
      <c r="N11" s="1450"/>
      <c r="O11" s="1452">
        <f t="shared" si="2"/>
        <v>3181.63</v>
      </c>
      <c r="P11" s="1448"/>
      <c r="Q11" s="1408"/>
    </row>
    <row r="12" spans="1:17">
      <c r="A12" s="1433"/>
      <c r="B12" s="674" t="s">
        <v>8029</v>
      </c>
      <c r="C12" s="675">
        <v>1.07</v>
      </c>
      <c r="D12" s="675"/>
      <c r="E12" s="675"/>
      <c r="F12" s="675">
        <v>396.43</v>
      </c>
      <c r="G12" s="675"/>
      <c r="H12" s="675"/>
      <c r="I12" s="675"/>
      <c r="J12" s="675"/>
      <c r="K12" s="675"/>
      <c r="L12" s="675"/>
      <c r="M12" s="675"/>
      <c r="N12" s="1450"/>
      <c r="O12" s="1452">
        <f t="shared" si="2"/>
        <v>397.5</v>
      </c>
      <c r="P12" s="1448"/>
      <c r="Q12" s="1408"/>
    </row>
    <row r="13" spans="1:17">
      <c r="A13" s="1433"/>
      <c r="B13" s="674" t="s">
        <v>7057</v>
      </c>
      <c r="C13" s="675">
        <f>40+60</f>
        <v>100</v>
      </c>
      <c r="D13" s="675">
        <f>40+43.53+21.07+120+105</f>
        <v>329.6</v>
      </c>
      <c r="E13" s="675">
        <f>40</f>
        <v>40</v>
      </c>
      <c r="F13" s="675">
        <f>60+39.21+41.3+39.21</f>
        <v>179.72</v>
      </c>
      <c r="G13" s="675"/>
      <c r="H13" s="675" t="s">
        <v>135</v>
      </c>
      <c r="I13" s="675">
        <v>100.16</v>
      </c>
      <c r="J13" s="675"/>
      <c r="K13" s="675" t="s">
        <v>135</v>
      </c>
      <c r="L13" s="675">
        <v>82.14</v>
      </c>
      <c r="M13" s="675"/>
      <c r="N13" s="1450" t="s">
        <v>135</v>
      </c>
      <c r="O13" s="1453">
        <f t="shared" si="2"/>
        <v>831.62</v>
      </c>
      <c r="P13" s="1448"/>
      <c r="Q13" s="1408"/>
    </row>
    <row r="14" spans="1:17">
      <c r="A14" s="1433"/>
      <c r="B14" s="674" t="s">
        <v>8037</v>
      </c>
      <c r="C14" s="675">
        <v>500</v>
      </c>
      <c r="D14" s="675">
        <v>500</v>
      </c>
      <c r="E14" s="675">
        <v>600</v>
      </c>
      <c r="F14" s="675">
        <f>600+139.99+1</f>
        <v>740.99</v>
      </c>
      <c r="G14" s="675">
        <v>600</v>
      </c>
      <c r="H14" s="675">
        <f>30.97+7.99+300</f>
        <v>338.96</v>
      </c>
      <c r="I14" s="675">
        <v>300</v>
      </c>
      <c r="J14" s="675">
        <f>99+300</f>
        <v>399</v>
      </c>
      <c r="K14" s="675">
        <v>300</v>
      </c>
      <c r="L14" s="675">
        <v>300</v>
      </c>
      <c r="M14" s="675"/>
      <c r="N14" s="675"/>
      <c r="O14" s="1454">
        <f t="shared" si="2"/>
        <v>4578.95</v>
      </c>
      <c r="P14" s="1448"/>
      <c r="Q14" s="1408" t="s">
        <v>135</v>
      </c>
    </row>
    <row r="15" spans="1:17">
      <c r="A15" s="1433"/>
      <c r="B15" s="674" t="s">
        <v>3313</v>
      </c>
      <c r="C15" s="675">
        <v>45.96</v>
      </c>
      <c r="D15" s="675">
        <f>33.86+15.73+60+149.85</f>
        <v>259.44</v>
      </c>
      <c r="E15" s="675">
        <v>149</v>
      </c>
      <c r="F15" s="675"/>
      <c r="G15" s="675">
        <f>31.68+32.52+4.62</f>
        <v>68.820000000000007</v>
      </c>
      <c r="H15" s="675"/>
      <c r="I15" s="675"/>
      <c r="J15" s="675"/>
      <c r="K15" s="675"/>
      <c r="L15" s="675"/>
      <c r="M15" s="675"/>
      <c r="N15" s="675"/>
      <c r="O15" s="1443">
        <f t="shared" si="2"/>
        <v>523.22</v>
      </c>
      <c r="P15" s="1448"/>
      <c r="Q15" s="1408"/>
    </row>
    <row r="16" spans="1:17">
      <c r="A16" s="1433"/>
      <c r="B16" s="674" t="s">
        <v>5684</v>
      </c>
      <c r="C16" s="687"/>
      <c r="D16" s="687"/>
      <c r="E16" s="687"/>
      <c r="F16" s="687"/>
      <c r="G16" s="687"/>
      <c r="H16" s="687"/>
      <c r="I16" s="687"/>
      <c r="J16" s="687"/>
      <c r="K16" s="687"/>
      <c r="L16" s="687"/>
      <c r="M16" s="687"/>
      <c r="N16" s="687"/>
      <c r="O16" s="1449">
        <f t="shared" si="2"/>
        <v>0</v>
      </c>
      <c r="P16" s="1448"/>
      <c r="Q16" s="1408"/>
    </row>
    <row r="17" spans="1:17">
      <c r="A17" s="1433"/>
      <c r="B17" s="674" t="s">
        <v>8030</v>
      </c>
      <c r="C17" s="945">
        <v>117.73</v>
      </c>
      <c r="D17" s="945"/>
      <c r="E17" s="945">
        <f>2323.86-1500</f>
        <v>823.86000000000013</v>
      </c>
      <c r="F17" s="945"/>
      <c r="G17" s="945">
        <v>159.94999999999999</v>
      </c>
      <c r="H17" s="945">
        <v>376.03</v>
      </c>
      <c r="I17" s="945"/>
      <c r="J17" s="945">
        <v>216.34</v>
      </c>
      <c r="K17" s="945">
        <v>159.22999999999999</v>
      </c>
      <c r="L17" s="945">
        <f>2063.8-1200</f>
        <v>863.80000000000018</v>
      </c>
      <c r="M17" s="945"/>
      <c r="N17" s="1461"/>
      <c r="O17" s="1451">
        <f t="shared" si="2"/>
        <v>2716.9400000000005</v>
      </c>
      <c r="P17" s="1448"/>
      <c r="Q17" s="1408"/>
    </row>
    <row r="18" spans="1:17">
      <c r="A18" s="1433"/>
      <c r="B18" s="674" t="s">
        <v>8038</v>
      </c>
      <c r="C18" s="675"/>
      <c r="D18" s="675"/>
      <c r="E18" s="675"/>
      <c r="F18" s="675"/>
      <c r="G18" s="675"/>
      <c r="H18" s="675"/>
      <c r="I18" s="675"/>
      <c r="J18" s="675"/>
      <c r="K18" s="675"/>
      <c r="L18" s="675"/>
      <c r="M18" s="675"/>
      <c r="N18" s="1450"/>
      <c r="O18" s="1452">
        <f t="shared" si="2"/>
        <v>0</v>
      </c>
      <c r="P18" s="1448"/>
      <c r="Q18" s="1408"/>
    </row>
    <row r="19" spans="1:17">
      <c r="A19" s="1433"/>
      <c r="B19" s="674" t="s">
        <v>8039</v>
      </c>
      <c r="C19" s="675">
        <f>200+100+40+44+41.61+70+80+120</f>
        <v>695.61</v>
      </c>
      <c r="D19" s="675">
        <f>200+120+1398.77+378+183.19+66.14+145+65+269.97+250+40+400+150+515+420+150+30+172+402+615.71+30.96+74.18+42.7-5000</f>
        <v>1118.6199999999999</v>
      </c>
      <c r="E19" s="675">
        <f>490+210+180+213.47+494+318+438+75+546+60-2000</f>
        <v>1024.4700000000003</v>
      </c>
      <c r="F19" s="675">
        <f>362+170+360+751.13+360+224+50+52+79-1000</f>
        <v>1408.13</v>
      </c>
      <c r="G19" s="675">
        <f>100+150+350+20+52</f>
        <v>672</v>
      </c>
      <c r="H19" s="675">
        <f>130+200+30+30+10</f>
        <v>400</v>
      </c>
      <c r="I19" s="675">
        <v>0</v>
      </c>
      <c r="J19" s="675">
        <v>33.770000000000003</v>
      </c>
      <c r="K19" s="675">
        <f>500</f>
        <v>500</v>
      </c>
      <c r="L19" s="675">
        <v>500</v>
      </c>
      <c r="M19" s="675"/>
      <c r="N19" s="1450"/>
      <c r="O19" s="1452">
        <f t="shared" si="2"/>
        <v>6352.6</v>
      </c>
      <c r="P19" s="1448"/>
      <c r="Q19" s="1408" t="s">
        <v>135</v>
      </c>
    </row>
    <row r="20" spans="1:17">
      <c r="A20" s="1433"/>
      <c r="B20" s="674" t="s">
        <v>8040</v>
      </c>
      <c r="C20" s="675">
        <v>120</v>
      </c>
      <c r="D20" s="675"/>
      <c r="E20" s="675">
        <f>377+129+75</f>
        <v>581</v>
      </c>
      <c r="F20" s="675"/>
      <c r="G20" s="675"/>
      <c r="H20" s="675"/>
      <c r="I20" s="675"/>
      <c r="J20" s="675">
        <v>238</v>
      </c>
      <c r="K20" s="675">
        <v>125</v>
      </c>
      <c r="L20" s="675"/>
      <c r="M20" s="675"/>
      <c r="N20" s="1450"/>
      <c r="O20" s="1453">
        <f t="shared" si="2"/>
        <v>1064</v>
      </c>
      <c r="P20" s="1448"/>
      <c r="Q20" s="1408" t="s">
        <v>135</v>
      </c>
    </row>
    <row r="21" spans="1:17">
      <c r="A21" s="1433"/>
      <c r="B21" s="666" t="s">
        <v>6323</v>
      </c>
      <c r="C21" s="677" t="e">
        <f t="shared" ref="C21:N21" si="3">C17+C18+C19+C20+""</f>
        <v>#VALUE!</v>
      </c>
      <c r="D21" s="677" t="e">
        <f t="shared" si="3"/>
        <v>#VALUE!</v>
      </c>
      <c r="E21" s="677" t="e">
        <f t="shared" si="3"/>
        <v>#VALUE!</v>
      </c>
      <c r="F21" s="677" t="e">
        <f t="shared" si="3"/>
        <v>#VALUE!</v>
      </c>
      <c r="G21" s="677" t="e">
        <f t="shared" si="3"/>
        <v>#VALUE!</v>
      </c>
      <c r="H21" s="677" t="e">
        <f t="shared" si="3"/>
        <v>#VALUE!</v>
      </c>
      <c r="I21" s="677" t="e">
        <f t="shared" si="3"/>
        <v>#VALUE!</v>
      </c>
      <c r="J21" s="677" t="e">
        <f t="shared" si="3"/>
        <v>#VALUE!</v>
      </c>
      <c r="K21" s="677" t="e">
        <f t="shared" si="3"/>
        <v>#VALUE!</v>
      </c>
      <c r="L21" s="677" t="e">
        <f t="shared" si="3"/>
        <v>#VALUE!</v>
      </c>
      <c r="M21" s="677" t="e">
        <f t="shared" si="3"/>
        <v>#VALUE!</v>
      </c>
      <c r="N21" s="677" t="e">
        <f t="shared" si="3"/>
        <v>#VALUE!</v>
      </c>
      <c r="O21" s="1462" t="e">
        <f t="shared" si="2"/>
        <v>#VALUE!</v>
      </c>
      <c r="P21" s="1444"/>
      <c r="Q21" s="1408"/>
    </row>
    <row r="22" spans="1:17">
      <c r="A22" s="661"/>
      <c r="B22" s="1455" t="s">
        <v>1126</v>
      </c>
      <c r="C22" s="1456">
        <f t="shared" ref="C22:O22" si="4">SUM(C9:C20)</f>
        <v>3691.2900000000004</v>
      </c>
      <c r="D22" s="1456">
        <f t="shared" si="4"/>
        <v>2423.75</v>
      </c>
      <c r="E22" s="1456">
        <f t="shared" si="4"/>
        <v>5450.39</v>
      </c>
      <c r="F22" s="1456">
        <f t="shared" si="4"/>
        <v>8849.01</v>
      </c>
      <c r="G22" s="1456">
        <f t="shared" si="4"/>
        <v>4394.0599999999995</v>
      </c>
      <c r="H22" s="1456">
        <f t="shared" si="4"/>
        <v>1455.58</v>
      </c>
      <c r="I22" s="1456">
        <f t="shared" si="4"/>
        <v>2805.5099999999998</v>
      </c>
      <c r="J22" s="1456">
        <f t="shared" si="4"/>
        <v>1063.99</v>
      </c>
      <c r="K22" s="1456">
        <f t="shared" si="4"/>
        <v>4724.8099999999995</v>
      </c>
      <c r="L22" s="1456">
        <f t="shared" si="4"/>
        <v>2413.1200000000003</v>
      </c>
      <c r="M22" s="1456">
        <f t="shared" si="4"/>
        <v>0</v>
      </c>
      <c r="N22" s="1456">
        <f t="shared" si="4"/>
        <v>0</v>
      </c>
      <c r="O22" s="1457">
        <f t="shared" si="4"/>
        <v>37271.51</v>
      </c>
      <c r="P22" s="1458"/>
      <c r="Q22" s="1408"/>
    </row>
    <row r="25" spans="1:17">
      <c r="A25" s="660"/>
      <c r="B25" s="660"/>
      <c r="C25" s="660"/>
      <c r="D25" s="660"/>
      <c r="E25" s="660"/>
      <c r="F25" s="660"/>
      <c r="G25" s="660"/>
      <c r="H25" s="660"/>
      <c r="I25" s="660"/>
      <c r="J25" s="660"/>
      <c r="K25" s="660"/>
      <c r="L25" s="660"/>
      <c r="M25" s="660"/>
      <c r="N25" s="660"/>
      <c r="O25" s="660"/>
      <c r="P25" s="660"/>
    </row>
    <row r="26" spans="1:17">
      <c r="A26" s="1433"/>
      <c r="B26" s="2283" t="s">
        <v>8021</v>
      </c>
      <c r="C26" s="2284"/>
      <c r="D26" s="2284"/>
      <c r="E26" s="2284"/>
      <c r="F26" s="2284"/>
      <c r="G26" s="2284"/>
      <c r="H26" s="2284"/>
      <c r="I26" s="2284"/>
      <c r="J26" s="2284"/>
      <c r="K26" s="2284"/>
      <c r="L26" s="2284"/>
      <c r="M26" s="2284"/>
      <c r="N26" s="2284"/>
      <c r="O26" s="2285"/>
      <c r="P26" s="1433"/>
      <c r="Q26" s="1406"/>
    </row>
    <row r="27" spans="1:17">
      <c r="A27" s="1433"/>
      <c r="B27" s="1435" t="s">
        <v>8121</v>
      </c>
      <c r="C27" s="1436" t="s">
        <v>143</v>
      </c>
      <c r="D27" s="1436" t="s">
        <v>26</v>
      </c>
      <c r="E27" s="1436" t="s">
        <v>25</v>
      </c>
      <c r="F27" s="1436" t="s">
        <v>24</v>
      </c>
      <c r="G27" s="1436" t="s">
        <v>23</v>
      </c>
      <c r="H27" s="1436" t="s">
        <v>22</v>
      </c>
      <c r="I27" s="1436" t="s">
        <v>21</v>
      </c>
      <c r="J27" s="1436" t="s">
        <v>20</v>
      </c>
      <c r="K27" s="1436" t="s">
        <v>256</v>
      </c>
      <c r="L27" s="1436" t="s">
        <v>18</v>
      </c>
      <c r="M27" s="1436" t="s">
        <v>17</v>
      </c>
      <c r="N27" s="1436" t="s">
        <v>86</v>
      </c>
      <c r="O27" s="1437" t="s">
        <v>8022</v>
      </c>
      <c r="P27" s="1438"/>
      <c r="Q27" s="1406"/>
    </row>
    <row r="28" spans="1:17">
      <c r="A28" s="1433"/>
      <c r="B28" s="674" t="s">
        <v>8024</v>
      </c>
      <c r="C28" s="12">
        <f t="shared" ref="C28:N28" si="5">C31-C29-C30</f>
        <v>9812</v>
      </c>
      <c r="D28" s="12">
        <f t="shared" si="5"/>
        <v>14160.000000000002</v>
      </c>
      <c r="E28" s="12">
        <f t="shared" si="5"/>
        <v>10062.5</v>
      </c>
      <c r="F28" s="12">
        <f t="shared" si="5"/>
        <v>9767</v>
      </c>
      <c r="G28" s="12">
        <f t="shared" si="5"/>
        <v>8539.5</v>
      </c>
      <c r="H28" s="12">
        <f t="shared" si="5"/>
        <v>14268.000000000002</v>
      </c>
      <c r="I28" s="12">
        <f t="shared" si="5"/>
        <v>8779.5</v>
      </c>
      <c r="J28" s="12">
        <f t="shared" si="5"/>
        <v>11550.5</v>
      </c>
      <c r="K28" s="12">
        <f t="shared" si="5"/>
        <v>11982.5</v>
      </c>
      <c r="L28" s="12">
        <f t="shared" si="5"/>
        <v>10766.000000000002</v>
      </c>
      <c r="M28" s="12">
        <f t="shared" si="5"/>
        <v>11215.23</v>
      </c>
      <c r="N28" s="12">
        <f t="shared" si="5"/>
        <v>8191.0000000000018</v>
      </c>
      <c r="O28" s="1439">
        <f>SUM(C28:N28)</f>
        <v>129093.73</v>
      </c>
      <c r="P28" s="1433"/>
      <c r="Q28" s="1406"/>
    </row>
    <row r="29" spans="1:17">
      <c r="A29" s="1433"/>
      <c r="B29" s="1440" t="s">
        <v>8025</v>
      </c>
      <c r="C29" s="1441">
        <v>3378.22</v>
      </c>
      <c r="D29" s="1441">
        <v>3388.22</v>
      </c>
      <c r="E29" s="1441">
        <v>3388.22</v>
      </c>
      <c r="F29" s="1441">
        <v>3388.22</v>
      </c>
      <c r="G29" s="1441">
        <v>3383.22</v>
      </c>
      <c r="H29" s="1441">
        <v>2978.22</v>
      </c>
      <c r="I29" s="1441">
        <v>3253.22</v>
      </c>
      <c r="J29" s="1441">
        <v>3253.22</v>
      </c>
      <c r="K29" s="1441">
        <f>3253.22+100</f>
        <v>3353.22</v>
      </c>
      <c r="L29" s="1441">
        <v>3353.22</v>
      </c>
      <c r="M29" s="1441">
        <v>3335.22</v>
      </c>
      <c r="N29" s="1441">
        <v>3335.22</v>
      </c>
      <c r="O29" s="1442">
        <f>SUM(C29:N29)</f>
        <v>39787.640000000007</v>
      </c>
      <c r="P29" s="1433"/>
      <c r="Q29" s="1406"/>
    </row>
    <row r="30" spans="1:17">
      <c r="A30" s="1433"/>
      <c r="B30" s="666" t="s">
        <v>8026</v>
      </c>
      <c r="C30" s="12">
        <v>1780</v>
      </c>
      <c r="D30" s="12"/>
      <c r="E30" s="12">
        <v>1658</v>
      </c>
      <c r="F30" s="12"/>
      <c r="G30" s="12">
        <v>2415</v>
      </c>
      <c r="H30" s="12"/>
      <c r="I30" s="12">
        <v>2160</v>
      </c>
      <c r="J30" s="12"/>
      <c r="K30" s="12">
        <v>0</v>
      </c>
      <c r="L30" s="12"/>
      <c r="M30" s="12">
        <v>1281</v>
      </c>
      <c r="N30" s="12"/>
      <c r="O30" s="1443">
        <f>SUM(C30:N30)</f>
        <v>9294</v>
      </c>
      <c r="P30" s="1433"/>
      <c r="Q30" s="1406"/>
    </row>
    <row r="31" spans="1:17">
      <c r="A31" s="1433"/>
      <c r="B31" s="666" t="s">
        <v>6847</v>
      </c>
      <c r="C31" s="667">
        <v>14970.22</v>
      </c>
      <c r="D31" s="667">
        <v>17548.22</v>
      </c>
      <c r="E31" s="667">
        <v>15108.72</v>
      </c>
      <c r="F31" s="667">
        <v>13155.22</v>
      </c>
      <c r="G31" s="667">
        <f>11337.72+3000</f>
        <v>14337.72</v>
      </c>
      <c r="H31" s="667">
        <v>17246.22</v>
      </c>
      <c r="I31" s="667">
        <f>13192.72+1000</f>
        <v>14192.72</v>
      </c>
      <c r="J31" s="667">
        <f>2518+3416.5+3644.22+675+2050+810+890+800</f>
        <v>14803.72</v>
      </c>
      <c r="K31" s="667">
        <f>1235+4185.5+1417+2497.22+2400+607+1710+1284</f>
        <v>15335.72</v>
      </c>
      <c r="L31" s="667">
        <f>1284+1752+400+1512.22+3259+1957+765+3190</f>
        <v>14119.220000000001</v>
      </c>
      <c r="M31" s="667">
        <f>1326+936+1355+2568+2034.22+802+765+1000.23+665+1380+3000</f>
        <v>15831.449999999999</v>
      </c>
      <c r="N31" s="667">
        <f>2789+2065+732.22+2940+3000</f>
        <v>11526.220000000001</v>
      </c>
      <c r="O31" s="1439">
        <f>SUM(C31:N31)</f>
        <v>178175.37000000002</v>
      </c>
      <c r="P31" s="1444"/>
      <c r="Q31" s="1406"/>
    </row>
    <row r="32" spans="1:17">
      <c r="A32" s="1433"/>
      <c r="B32" s="666" t="s">
        <v>8054</v>
      </c>
      <c r="C32" s="1446">
        <f t="shared" ref="C32:O32" si="6">C31-C46</f>
        <v>12308.599999999999</v>
      </c>
      <c r="D32" s="1446">
        <f t="shared" si="6"/>
        <v>16266.18</v>
      </c>
      <c r="E32" s="1446">
        <f t="shared" si="6"/>
        <v>11139.39</v>
      </c>
      <c r="F32" s="1446">
        <f t="shared" si="6"/>
        <v>11853.58</v>
      </c>
      <c r="G32" s="1446">
        <f t="shared" si="6"/>
        <v>4900.3299999999981</v>
      </c>
      <c r="H32" s="1446">
        <f t="shared" si="6"/>
        <v>15223.640000000001</v>
      </c>
      <c r="I32" s="1446">
        <f t="shared" si="6"/>
        <v>9084.06</v>
      </c>
      <c r="J32" s="1446">
        <f t="shared" si="6"/>
        <v>13681.06</v>
      </c>
      <c r="K32" s="1446">
        <f t="shared" si="6"/>
        <v>12217.47</v>
      </c>
      <c r="L32" s="1446">
        <f t="shared" si="6"/>
        <v>9871.3900000000012</v>
      </c>
      <c r="M32" s="1446">
        <f t="shared" si="6"/>
        <v>7543.6900000000005</v>
      </c>
      <c r="N32" s="1446">
        <f t="shared" si="6"/>
        <v>4734.1900000000014</v>
      </c>
      <c r="O32" s="1447">
        <f t="shared" si="6"/>
        <v>128823.58000000002</v>
      </c>
      <c r="P32" s="1448"/>
      <c r="Q32" s="1406"/>
    </row>
    <row r="33" spans="1:17">
      <c r="A33" s="1433"/>
      <c r="B33" s="674" t="s">
        <v>8036</v>
      </c>
      <c r="C33" s="675" t="s">
        <v>135</v>
      </c>
      <c r="D33" s="675"/>
      <c r="E33" s="675"/>
      <c r="F33" s="675" t="s">
        <v>135</v>
      </c>
      <c r="G33" s="675">
        <f>5687.88+100</f>
        <v>5787.88</v>
      </c>
      <c r="H33" s="675">
        <v>197</v>
      </c>
      <c r="I33" s="675"/>
      <c r="J33" s="675">
        <v>0</v>
      </c>
      <c r="K33" s="675">
        <f>111.01+504+115</f>
        <v>730.01</v>
      </c>
      <c r="L33" s="675">
        <f>392+115</f>
        <v>507</v>
      </c>
      <c r="M33" s="675" t="s">
        <v>135</v>
      </c>
      <c r="N33" s="675">
        <f>128.22+556.19+5241.47</f>
        <v>5925.88</v>
      </c>
      <c r="O33" s="1449">
        <f t="shared" ref="O33:O45" si="7">SUM(C33:N33)</f>
        <v>13147.77</v>
      </c>
      <c r="P33" s="1448"/>
      <c r="Q33" s="1406"/>
    </row>
    <row r="34" spans="1:17">
      <c r="A34" s="1433"/>
      <c r="B34" s="674" t="s">
        <v>8027</v>
      </c>
      <c r="C34" s="675">
        <v>1902.45</v>
      </c>
      <c r="D34" s="675"/>
      <c r="E34" s="675">
        <v>2626.25</v>
      </c>
      <c r="F34" s="675"/>
      <c r="G34" s="675">
        <v>2457.25</v>
      </c>
      <c r="H34" s="675" t="s">
        <v>135</v>
      </c>
      <c r="I34" s="675">
        <v>3003.25</v>
      </c>
      <c r="J34" s="675"/>
      <c r="K34" s="675">
        <v>0</v>
      </c>
      <c r="L34" s="675"/>
      <c r="M34" s="675">
        <v>1359.25</v>
      </c>
      <c r="N34" s="1450"/>
      <c r="O34" s="1451">
        <f t="shared" si="7"/>
        <v>11348.45</v>
      </c>
      <c r="P34" s="1448"/>
      <c r="Q34" s="1406"/>
    </row>
    <row r="35" spans="1:17">
      <c r="A35" s="1433"/>
      <c r="B35" s="674" t="s">
        <v>8028</v>
      </c>
      <c r="C35" s="675" t="s">
        <v>135</v>
      </c>
      <c r="D35" s="675" t="s">
        <v>135</v>
      </c>
      <c r="E35" s="675" t="s">
        <v>135</v>
      </c>
      <c r="F35" s="675" t="s">
        <v>135</v>
      </c>
      <c r="G35" s="675">
        <v>20.6</v>
      </c>
      <c r="H35" s="675">
        <f>38.75+20.6+252.01</f>
        <v>311.36</v>
      </c>
      <c r="I35" s="675">
        <v>38.75</v>
      </c>
      <c r="J35" s="675">
        <v>36.94</v>
      </c>
      <c r="K35" s="675">
        <v>24.46</v>
      </c>
      <c r="L35" s="675">
        <v>23.56</v>
      </c>
      <c r="M35" s="675">
        <v>24.85</v>
      </c>
      <c r="N35" s="1450"/>
      <c r="O35" s="1452">
        <f t="shared" si="7"/>
        <v>480.52000000000004</v>
      </c>
      <c r="P35" s="1448"/>
      <c r="Q35" s="1406"/>
    </row>
    <row r="36" spans="1:17">
      <c r="A36" s="1433"/>
      <c r="B36" s="674" t="s">
        <v>8124</v>
      </c>
      <c r="C36" s="675"/>
      <c r="D36" s="675"/>
      <c r="E36" s="675"/>
      <c r="F36" s="675"/>
      <c r="G36" s="675"/>
      <c r="H36" s="675"/>
      <c r="I36" s="675"/>
      <c r="J36" s="675"/>
      <c r="K36" s="675"/>
      <c r="L36" s="675">
        <v>105.5</v>
      </c>
      <c r="M36" s="675" t="s">
        <v>135</v>
      </c>
      <c r="N36" s="1450"/>
      <c r="O36" s="1452">
        <f t="shared" si="7"/>
        <v>105.5</v>
      </c>
      <c r="P36" s="1448"/>
      <c r="Q36" s="1406"/>
    </row>
    <row r="37" spans="1:17">
      <c r="A37" s="1433"/>
      <c r="B37" s="674" t="s">
        <v>7057</v>
      </c>
      <c r="C37" s="675">
        <v>38.58</v>
      </c>
      <c r="D37" s="675" t="s">
        <v>135</v>
      </c>
      <c r="E37" s="675" t="s">
        <v>135</v>
      </c>
      <c r="F37" s="675">
        <v>199.41</v>
      </c>
      <c r="G37" s="675">
        <v>80</v>
      </c>
      <c r="H37" s="675" t="s">
        <v>135</v>
      </c>
      <c r="I37" s="675">
        <v>41.74</v>
      </c>
      <c r="J37" s="675"/>
      <c r="K37" s="675"/>
      <c r="L37" s="675">
        <v>41.24</v>
      </c>
      <c r="M37" s="675">
        <v>60</v>
      </c>
      <c r="N37" s="1450"/>
      <c r="O37" s="1453">
        <f t="shared" si="7"/>
        <v>460.97</v>
      </c>
      <c r="P37" s="1448"/>
      <c r="Q37" s="1406"/>
    </row>
    <row r="38" spans="1:17">
      <c r="A38" s="1433"/>
      <c r="B38" s="674" t="s">
        <v>7294</v>
      </c>
      <c r="C38" s="675">
        <v>538.59</v>
      </c>
      <c r="D38" s="675">
        <v>602.04</v>
      </c>
      <c r="E38" s="675">
        <v>602.04</v>
      </c>
      <c r="F38" s="675">
        <v>521.9</v>
      </c>
      <c r="G38" s="675">
        <f>500+300-300</f>
        <v>500</v>
      </c>
      <c r="H38" s="675">
        <v>500</v>
      </c>
      <c r="I38" s="675">
        <v>632.79999999999995</v>
      </c>
      <c r="J38" s="675">
        <v>500</v>
      </c>
      <c r="K38" s="675">
        <v>523.5</v>
      </c>
      <c r="L38" s="675">
        <v>530.17999999999995</v>
      </c>
      <c r="M38" s="675">
        <v>500</v>
      </c>
      <c r="N38" s="675">
        <v>500</v>
      </c>
      <c r="O38" s="1454">
        <f t="shared" si="7"/>
        <v>6451.05</v>
      </c>
      <c r="P38" s="1448"/>
      <c r="Q38" s="1406"/>
    </row>
    <row r="39" spans="1:17">
      <c r="A39" s="1433"/>
      <c r="B39" s="674" t="s">
        <v>3313</v>
      </c>
      <c r="C39" s="675"/>
      <c r="D39" s="675"/>
      <c r="E39" s="675"/>
      <c r="F39" s="675"/>
      <c r="G39" s="675"/>
      <c r="H39" s="675">
        <v>48.48</v>
      </c>
      <c r="I39" s="675"/>
      <c r="J39" s="675">
        <v>42.6</v>
      </c>
      <c r="K39" s="675"/>
      <c r="L39" s="675"/>
      <c r="M39" s="675"/>
      <c r="N39" s="675"/>
      <c r="O39" s="1443">
        <f t="shared" si="7"/>
        <v>91.08</v>
      </c>
      <c r="P39" s="1448"/>
      <c r="Q39" s="1406"/>
    </row>
    <row r="40" spans="1:17">
      <c r="A40" s="1433"/>
      <c r="B40" s="674" t="s">
        <v>5684</v>
      </c>
      <c r="C40" s="687" t="s">
        <v>135</v>
      </c>
      <c r="D40" s="687"/>
      <c r="E40" s="687">
        <v>131.04</v>
      </c>
      <c r="F40" s="687"/>
      <c r="G40" s="687"/>
      <c r="H40" s="687"/>
      <c r="I40" s="687"/>
      <c r="J40" s="687">
        <v>23.75</v>
      </c>
      <c r="K40" s="687"/>
      <c r="L40" s="687">
        <v>2655.13</v>
      </c>
      <c r="M40" s="687">
        <v>6211.2</v>
      </c>
      <c r="N40" s="687"/>
      <c r="O40" s="1449">
        <f t="shared" si="7"/>
        <v>9021.119999999999</v>
      </c>
      <c r="P40" s="1448"/>
      <c r="Q40" s="1406"/>
    </row>
    <row r="41" spans="1:17">
      <c r="A41" s="1433"/>
      <c r="B41" s="674" t="s">
        <v>8030</v>
      </c>
      <c r="C41" s="945" t="s">
        <v>135</v>
      </c>
      <c r="D41" s="945" t="s">
        <v>135</v>
      </c>
      <c r="E41" s="945" t="s">
        <v>135</v>
      </c>
      <c r="F41" s="945" t="s">
        <v>135</v>
      </c>
      <c r="G41" s="945" t="s">
        <v>135</v>
      </c>
      <c r="H41" s="945">
        <v>608.54</v>
      </c>
      <c r="I41" s="945">
        <v>242.12</v>
      </c>
      <c r="J41" s="945">
        <v>24.37</v>
      </c>
      <c r="K41" s="945">
        <v>78.78</v>
      </c>
      <c r="L41" s="945">
        <v>25.22</v>
      </c>
      <c r="M41" s="945">
        <v>92.46</v>
      </c>
      <c r="N41" s="1461" t="s">
        <v>135</v>
      </c>
      <c r="O41" s="1451">
        <f t="shared" si="7"/>
        <v>1071.49</v>
      </c>
      <c r="P41" s="1448"/>
      <c r="Q41" s="1406"/>
    </row>
    <row r="42" spans="1:17">
      <c r="A42" s="1433"/>
      <c r="B42" s="674" t="s">
        <v>8038</v>
      </c>
      <c r="C42" s="675"/>
      <c r="D42" s="675">
        <v>400</v>
      </c>
      <c r="E42" s="675"/>
      <c r="F42" s="675">
        <v>315</v>
      </c>
      <c r="G42" s="675"/>
      <c r="H42" s="675"/>
      <c r="I42" s="675"/>
      <c r="J42" s="675"/>
      <c r="K42" s="675"/>
      <c r="L42" s="675"/>
      <c r="M42" s="675"/>
      <c r="N42" s="1450">
        <v>360</v>
      </c>
      <c r="O42" s="1452">
        <f t="shared" si="7"/>
        <v>1075</v>
      </c>
      <c r="P42" s="1448"/>
      <c r="Q42" s="1406"/>
    </row>
    <row r="43" spans="1:17">
      <c r="A43" s="1433"/>
      <c r="B43" s="674" t="s">
        <v>8039</v>
      </c>
      <c r="C43" s="675">
        <f>420.58-38.58-200</f>
        <v>182</v>
      </c>
      <c r="D43" s="675">
        <f>680-400</f>
        <v>280</v>
      </c>
      <c r="E43" s="675">
        <v>610</v>
      </c>
      <c r="F43" s="675">
        <f>1464.74-199.41-1000</f>
        <v>265.32999999999993</v>
      </c>
      <c r="G43" s="675">
        <f>1671.66-1260-80</f>
        <v>331.66000000000008</v>
      </c>
      <c r="H43" s="675">
        <f>790.47-188.79-196-48.48-125</f>
        <v>232.20000000000005</v>
      </c>
      <c r="I43" s="675">
        <f>1191.74-410-41.74</f>
        <v>740</v>
      </c>
      <c r="J43" s="675">
        <f>40+120+45+80+60</f>
        <v>345</v>
      </c>
      <c r="K43" s="675"/>
      <c r="L43" s="675">
        <f>45+75+60+180</f>
        <v>360</v>
      </c>
      <c r="M43" s="675">
        <v>40</v>
      </c>
      <c r="N43" s="1450">
        <v>6.15</v>
      </c>
      <c r="O43" s="1452">
        <f t="shared" si="7"/>
        <v>3392.34</v>
      </c>
      <c r="P43" s="1448"/>
      <c r="Q43" s="1406"/>
    </row>
    <row r="44" spans="1:17">
      <c r="A44" s="1433"/>
      <c r="B44" s="674" t="s">
        <v>8040</v>
      </c>
      <c r="C44" s="675"/>
      <c r="D44" s="675"/>
      <c r="E44" s="675"/>
      <c r="F44" s="675"/>
      <c r="G44" s="675">
        <f>1260-1000</f>
        <v>260</v>
      </c>
      <c r="H44" s="675">
        <v>125</v>
      </c>
      <c r="I44" s="675">
        <v>410</v>
      </c>
      <c r="J44" s="675">
        <v>150</v>
      </c>
      <c r="K44" s="675">
        <v>1761.5</v>
      </c>
      <c r="L44" s="675"/>
      <c r="M44" s="675"/>
      <c r="N44" s="1450"/>
      <c r="O44" s="1453">
        <f t="shared" si="7"/>
        <v>2706.5</v>
      </c>
      <c r="P44" s="1448"/>
      <c r="Q44" s="1406"/>
    </row>
    <row r="45" spans="1:17">
      <c r="A45" s="1433"/>
      <c r="B45" s="666" t="s">
        <v>6323</v>
      </c>
      <c r="C45" s="677">
        <f t="shared" ref="C45:N45" si="8">SUM(C41:C44)</f>
        <v>182</v>
      </c>
      <c r="D45" s="677">
        <f t="shared" si="8"/>
        <v>680</v>
      </c>
      <c r="E45" s="677">
        <f t="shared" si="8"/>
        <v>610</v>
      </c>
      <c r="F45" s="677">
        <f t="shared" si="8"/>
        <v>580.32999999999993</v>
      </c>
      <c r="G45" s="677">
        <f t="shared" si="8"/>
        <v>591.66000000000008</v>
      </c>
      <c r="H45" s="677">
        <f t="shared" si="8"/>
        <v>965.74</v>
      </c>
      <c r="I45" s="677">
        <f t="shared" si="8"/>
        <v>1392.12</v>
      </c>
      <c r="J45" s="677">
        <f t="shared" si="8"/>
        <v>519.37</v>
      </c>
      <c r="K45" s="677">
        <f t="shared" si="8"/>
        <v>1840.28</v>
      </c>
      <c r="L45" s="677">
        <f t="shared" si="8"/>
        <v>385.22</v>
      </c>
      <c r="M45" s="677">
        <f t="shared" si="8"/>
        <v>132.45999999999998</v>
      </c>
      <c r="N45" s="677">
        <f t="shared" si="8"/>
        <v>366.15</v>
      </c>
      <c r="O45" s="1462">
        <f t="shared" si="7"/>
        <v>8245.33</v>
      </c>
      <c r="P45" s="1444"/>
      <c r="Q45" s="1406"/>
    </row>
    <row r="46" spans="1:17">
      <c r="A46" s="661"/>
      <c r="B46" s="1455" t="s">
        <v>1126</v>
      </c>
      <c r="C46" s="1456">
        <f t="shared" ref="C46:O46" si="9">SUM(C33:C44)</f>
        <v>2661.62</v>
      </c>
      <c r="D46" s="1456">
        <f t="shared" si="9"/>
        <v>1282.04</v>
      </c>
      <c r="E46" s="1456">
        <f t="shared" si="9"/>
        <v>3969.33</v>
      </c>
      <c r="F46" s="1456">
        <f t="shared" si="9"/>
        <v>1301.6399999999999</v>
      </c>
      <c r="G46" s="1456">
        <f t="shared" si="9"/>
        <v>9437.3900000000012</v>
      </c>
      <c r="H46" s="1456">
        <f t="shared" si="9"/>
        <v>2022.58</v>
      </c>
      <c r="I46" s="1456">
        <f t="shared" si="9"/>
        <v>5108.66</v>
      </c>
      <c r="J46" s="1456">
        <f t="shared" si="9"/>
        <v>1122.6600000000001</v>
      </c>
      <c r="K46" s="1456">
        <f t="shared" si="9"/>
        <v>3118.25</v>
      </c>
      <c r="L46" s="1456">
        <f t="shared" si="9"/>
        <v>4247.83</v>
      </c>
      <c r="M46" s="1456">
        <f t="shared" si="9"/>
        <v>8287.7599999999984</v>
      </c>
      <c r="N46" s="1456">
        <f t="shared" si="9"/>
        <v>6792.03</v>
      </c>
      <c r="O46" s="1457">
        <f t="shared" si="9"/>
        <v>49351.790000000008</v>
      </c>
      <c r="P46" s="1458"/>
      <c r="Q46" s="1406"/>
    </row>
  </sheetData>
  <mergeCells count="3">
    <mergeCell ref="B1:O1"/>
    <mergeCell ref="B2:O2"/>
    <mergeCell ref="B26:O26"/>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outlinePr summaryBelow="0" summaryRight="0"/>
  </sheetPr>
  <dimension ref="A1:AD261"/>
  <sheetViews>
    <sheetView workbookViewId="0"/>
  </sheetViews>
  <sheetFormatPr defaultColWidth="12.7109375" defaultRowHeight="12.75" customHeight="1"/>
  <cols>
    <col min="1" max="1" width="4.7109375" customWidth="1"/>
    <col min="2" max="2" width="25" customWidth="1"/>
    <col min="3" max="3" width="11.28515625" customWidth="1"/>
    <col min="4" max="4" width="12.140625" customWidth="1"/>
    <col min="5" max="5" width="2.42578125" customWidth="1"/>
    <col min="6" max="6" width="9.140625" customWidth="1"/>
    <col min="7" max="7" width="9.42578125" customWidth="1"/>
    <col min="8" max="8" width="2.28515625" customWidth="1"/>
    <col min="9" max="9" width="7.85546875" customWidth="1"/>
    <col min="10" max="11" width="8.7109375" customWidth="1"/>
    <col min="12" max="12" width="12.42578125" customWidth="1"/>
    <col min="13" max="13" width="9.28515625" customWidth="1"/>
    <col min="14" max="14" width="8.85546875" customWidth="1"/>
    <col min="15" max="15" width="7.28515625" customWidth="1"/>
    <col min="16" max="16" width="8.28515625" customWidth="1"/>
    <col min="17" max="17" width="7.28515625" customWidth="1"/>
    <col min="18" max="18" width="6.28515625" customWidth="1"/>
    <col min="19" max="19" width="5.7109375" customWidth="1"/>
    <col min="20" max="20" width="6.42578125" customWidth="1"/>
    <col min="21" max="21" width="6.7109375" customWidth="1"/>
    <col min="22" max="22" width="7.42578125" customWidth="1"/>
    <col min="23" max="23" width="9.140625" customWidth="1"/>
    <col min="24" max="24" width="6.85546875" customWidth="1"/>
    <col min="25" max="25" width="6.28515625" customWidth="1"/>
    <col min="26" max="26" width="5.7109375" customWidth="1"/>
    <col min="27" max="27" width="6.85546875" customWidth="1"/>
    <col min="28" max="28" width="6.42578125" customWidth="1"/>
    <col min="29" max="30" width="4.7109375" customWidth="1"/>
    <col min="31" max="31" width="15.140625" customWidth="1"/>
  </cols>
  <sheetData>
    <row r="1" spans="1:30" ht="12.75" customHeight="1">
      <c r="A1" s="44"/>
      <c r="B1" s="2292" t="s">
        <v>8506</v>
      </c>
      <c r="C1" s="2102"/>
      <c r="D1" s="2103"/>
      <c r="E1" s="1544"/>
      <c r="F1" s="2292" t="s">
        <v>8507</v>
      </c>
      <c r="G1" s="2102"/>
      <c r="H1" s="1545"/>
      <c r="I1" s="2292" t="s">
        <v>8508</v>
      </c>
      <c r="J1" s="2102"/>
      <c r="K1" s="82"/>
      <c r="M1" s="2088" t="s">
        <v>8509</v>
      </c>
      <c r="N1" s="2087"/>
    </row>
    <row r="2" spans="1:30" ht="12.75" customHeight="1">
      <c r="A2" s="44"/>
      <c r="B2" s="1546" t="s">
        <v>8510</v>
      </c>
      <c r="C2" s="2293" t="s">
        <v>8511</v>
      </c>
      <c r="D2" s="2103"/>
      <c r="E2" s="1547"/>
      <c r="F2" s="2293"/>
      <c r="G2" s="2103"/>
      <c r="H2" s="1548"/>
      <c r="I2" s="2293"/>
      <c r="J2" s="2103"/>
      <c r="K2" s="450"/>
      <c r="L2" s="578" t="s">
        <v>3278</v>
      </c>
      <c r="M2" s="888" t="s">
        <v>8512</v>
      </c>
      <c r="N2" s="888" t="s">
        <v>8513</v>
      </c>
      <c r="O2" s="888" t="s">
        <v>16</v>
      </c>
      <c r="P2" s="888" t="s">
        <v>8514</v>
      </c>
      <c r="Q2" s="888" t="s">
        <v>8515</v>
      </c>
      <c r="R2" s="888" t="s">
        <v>70</v>
      </c>
      <c r="S2" s="888" t="s">
        <v>8516</v>
      </c>
      <c r="T2" s="888" t="s">
        <v>262</v>
      </c>
      <c r="U2" s="888" t="s">
        <v>8517</v>
      </c>
      <c r="V2" s="888" t="s">
        <v>8518</v>
      </c>
      <c r="W2" s="888" t="s">
        <v>8519</v>
      </c>
      <c r="X2" s="888" t="s">
        <v>3289</v>
      </c>
      <c r="Y2" s="888" t="s">
        <v>8520</v>
      </c>
      <c r="Z2" s="888" t="s">
        <v>8521</v>
      </c>
      <c r="AA2" s="888" t="s">
        <v>8522</v>
      </c>
      <c r="AB2" s="888" t="s">
        <v>8523</v>
      </c>
      <c r="AC2" s="888" t="s">
        <v>8524</v>
      </c>
      <c r="AD2" s="888" t="s">
        <v>82</v>
      </c>
    </row>
    <row r="3" spans="1:30" ht="15">
      <c r="A3" s="44"/>
      <c r="B3" s="1549" t="s">
        <v>8525</v>
      </c>
      <c r="C3" s="1550">
        <v>375000</v>
      </c>
      <c r="D3" s="1551" t="s">
        <v>8526</v>
      </c>
      <c r="E3" s="1549" t="s">
        <v>135</v>
      </c>
      <c r="F3" s="1550">
        <f>C3</f>
        <v>375000</v>
      </c>
      <c r="G3" s="1551" t="s">
        <v>8526</v>
      </c>
      <c r="H3" s="449"/>
      <c r="I3" s="1550">
        <f>C3</f>
        <v>375000</v>
      </c>
      <c r="J3" s="1551" t="s">
        <v>8526</v>
      </c>
      <c r="K3" s="82"/>
      <c r="L3" s="9" t="s">
        <v>8527</v>
      </c>
      <c r="M3" s="16">
        <v>129000</v>
      </c>
      <c r="N3" s="16">
        <v>122000</v>
      </c>
      <c r="O3" s="16">
        <f>750*4</f>
        <v>3000</v>
      </c>
      <c r="P3" s="16">
        <f>N3/4*3</f>
        <v>91500</v>
      </c>
      <c r="Q3" s="16">
        <v>491</v>
      </c>
      <c r="R3" s="16">
        <v>200</v>
      </c>
      <c r="S3" s="16">
        <v>100</v>
      </c>
      <c r="T3" s="16">
        <v>300</v>
      </c>
      <c r="U3" s="16">
        <f>Q3+R3+S3+T3</f>
        <v>1091</v>
      </c>
      <c r="V3" s="16">
        <f>O3-U3</f>
        <v>1909</v>
      </c>
      <c r="W3" s="16">
        <f>V3*12</f>
        <v>22908</v>
      </c>
      <c r="X3" s="16">
        <f>N3/4</f>
        <v>30500</v>
      </c>
      <c r="Y3" s="16">
        <v>8000</v>
      </c>
      <c r="Z3" s="16">
        <v>3000</v>
      </c>
      <c r="AA3" s="16">
        <f>X3+Y3+Z3</f>
        <v>41500</v>
      </c>
      <c r="AB3" s="909">
        <f>N3/(O3*12)</f>
        <v>3.3888888888888888</v>
      </c>
      <c r="AC3" s="36">
        <f>(W3/N3)</f>
        <v>0.18777049180327868</v>
      </c>
      <c r="AD3" s="36">
        <f>W3/AA3</f>
        <v>0.55200000000000005</v>
      </c>
    </row>
    <row r="4" spans="1:30" ht="15">
      <c r="A4" s="44"/>
      <c r="B4" s="1549" t="s">
        <v>8528</v>
      </c>
      <c r="C4" s="1550">
        <v>375000</v>
      </c>
      <c r="D4" s="1552">
        <f>C4/C3</f>
        <v>1</v>
      </c>
      <c r="E4" s="1549" t="s">
        <v>135</v>
      </c>
      <c r="F4" s="1550">
        <f>C4</f>
        <v>375000</v>
      </c>
      <c r="G4" s="1552">
        <f>F4/F3</f>
        <v>1</v>
      </c>
      <c r="H4" s="449"/>
      <c r="I4" s="1550">
        <f>C4</f>
        <v>375000</v>
      </c>
      <c r="J4" s="1552">
        <f>I4/I3</f>
        <v>1</v>
      </c>
      <c r="K4" s="82"/>
      <c r="L4" s="9" t="s">
        <v>8529</v>
      </c>
      <c r="M4" s="16">
        <v>87000</v>
      </c>
      <c r="N4" s="16">
        <v>87000</v>
      </c>
      <c r="O4" s="16">
        <v>1000</v>
      </c>
      <c r="P4" s="16">
        <f>N4/5*4</f>
        <v>69600</v>
      </c>
      <c r="Q4" s="9">
        <v>333</v>
      </c>
      <c r="R4" s="9">
        <v>50</v>
      </c>
      <c r="S4" s="9">
        <v>75</v>
      </c>
      <c r="U4" s="16">
        <f>Q4+R4+S4+T4</f>
        <v>458</v>
      </c>
      <c r="V4" s="16">
        <f>O4-U4</f>
        <v>542</v>
      </c>
      <c r="W4" s="16">
        <f>V4*12</f>
        <v>6504</v>
      </c>
      <c r="X4" s="16">
        <f>N4-P4</f>
        <v>17400</v>
      </c>
      <c r="Y4" s="16">
        <v>2000</v>
      </c>
      <c r="Z4" s="16">
        <v>3000</v>
      </c>
      <c r="AA4" s="16">
        <f>X4+Y4+Z4</f>
        <v>22400</v>
      </c>
      <c r="AB4" s="909">
        <f>N4/(O4*12)</f>
        <v>7.25</v>
      </c>
      <c r="AC4" s="36">
        <f>(W4/N4)</f>
        <v>7.4758620689655178E-2</v>
      </c>
      <c r="AD4" s="36">
        <f>W4/AA4</f>
        <v>0.29035714285714287</v>
      </c>
    </row>
    <row r="5" spans="1:30" ht="15">
      <c r="A5" s="44"/>
      <c r="B5" s="1549" t="s">
        <v>8530</v>
      </c>
      <c r="C5" s="1550">
        <v>5000</v>
      </c>
      <c r="D5" s="1553"/>
      <c r="E5" s="1549"/>
      <c r="F5" s="1550">
        <f>C5</f>
        <v>5000</v>
      </c>
      <c r="G5" s="1553"/>
      <c r="H5" s="449"/>
      <c r="I5" s="1550">
        <f>C5</f>
        <v>5000</v>
      </c>
      <c r="J5" s="1553"/>
      <c r="K5" s="82"/>
      <c r="L5" s="9" t="s">
        <v>8531</v>
      </c>
      <c r="M5" s="16">
        <v>2700000</v>
      </c>
      <c r="N5" s="16">
        <v>2500000</v>
      </c>
      <c r="O5" s="16">
        <f>385361/12</f>
        <v>32113.416666666668</v>
      </c>
      <c r="P5" s="16">
        <f>N5/5*4</f>
        <v>2000000</v>
      </c>
      <c r="Q5" s="16">
        <v>10736</v>
      </c>
      <c r="R5" s="16">
        <f>34214/12</f>
        <v>2851.1666666666665</v>
      </c>
      <c r="S5" s="16">
        <f>17531/12</f>
        <v>1460.9166666666667</v>
      </c>
      <c r="T5" s="16">
        <v>5000</v>
      </c>
      <c r="U5" s="16">
        <f>Q5+R5+S5+T5</f>
        <v>20048.083333333332</v>
      </c>
      <c r="V5" s="16">
        <f>O5-U5</f>
        <v>12065.333333333336</v>
      </c>
      <c r="W5" s="16">
        <f>V5*12</f>
        <v>144784.00000000003</v>
      </c>
      <c r="X5" s="16">
        <f>N5-P5</f>
        <v>500000</v>
      </c>
      <c r="Y5" s="16">
        <v>0</v>
      </c>
      <c r="Z5" s="16">
        <v>8000</v>
      </c>
      <c r="AA5" s="16">
        <f>X5+Y5+Z5</f>
        <v>508000</v>
      </c>
      <c r="AB5" s="909">
        <f>N5/(O5*12)</f>
        <v>6.4874234808400431</v>
      </c>
      <c r="AC5" s="36">
        <f>(W5/N5)</f>
        <v>5.791360000000001E-2</v>
      </c>
      <c r="AD5" s="36">
        <f>W5/AA5</f>
        <v>0.28500787401574806</v>
      </c>
    </row>
    <row r="6" spans="1:30" ht="15">
      <c r="A6" s="44"/>
      <c r="B6" s="1549" t="s">
        <v>8532</v>
      </c>
      <c r="C6" s="1552">
        <v>1</v>
      </c>
      <c r="D6" s="1550">
        <f>C4*C6</f>
        <v>375000</v>
      </c>
      <c r="E6" s="1549" t="s">
        <v>135</v>
      </c>
      <c r="F6" s="1552">
        <v>0.06</v>
      </c>
      <c r="G6" s="1550">
        <f>F4*F7</f>
        <v>0</v>
      </c>
      <c r="H6" s="449"/>
      <c r="I6" s="1552" t="s">
        <v>135</v>
      </c>
      <c r="J6" s="1550" t="s">
        <v>135</v>
      </c>
      <c r="K6" s="41"/>
      <c r="L6" s="9" t="s">
        <v>8533</v>
      </c>
      <c r="M6" s="9">
        <v>530000</v>
      </c>
      <c r="N6" s="9">
        <v>500000</v>
      </c>
      <c r="O6" s="9">
        <f>68400/12</f>
        <v>5700</v>
      </c>
      <c r="P6" s="16">
        <f>N6/5*4</f>
        <v>400000</v>
      </c>
      <c r="Q6" s="16">
        <v>2147</v>
      </c>
      <c r="R6" s="16">
        <f>4289/12</f>
        <v>357.41666666666669</v>
      </c>
      <c r="S6" s="16">
        <f>2200/12</f>
        <v>183.33333333333334</v>
      </c>
      <c r="T6" s="16">
        <v>1747</v>
      </c>
      <c r="U6" s="16">
        <f>Q6+R6+S6+T6</f>
        <v>4434.75</v>
      </c>
      <c r="V6" s="16">
        <f>O6-U6</f>
        <v>1265.25</v>
      </c>
      <c r="W6" s="16">
        <f>V6*12</f>
        <v>15183</v>
      </c>
      <c r="X6" s="16">
        <f>N6-P6</f>
        <v>100000</v>
      </c>
      <c r="Y6" s="16">
        <v>0</v>
      </c>
      <c r="Z6" s="16">
        <v>8000</v>
      </c>
      <c r="AA6" s="16">
        <f>X6+Y6+Z6</f>
        <v>108000</v>
      </c>
      <c r="AB6" s="909">
        <f>N6/(O6*12)</f>
        <v>7.3099415204678362</v>
      </c>
    </row>
    <row r="7" spans="1:30" ht="15">
      <c r="A7" s="44"/>
      <c r="B7" s="1549" t="s">
        <v>8534</v>
      </c>
      <c r="C7" s="1554">
        <v>0</v>
      </c>
      <c r="D7" s="1550">
        <f>(C3*C7)+C5</f>
        <v>5000</v>
      </c>
      <c r="E7" s="1549" t="s">
        <v>135</v>
      </c>
      <c r="F7" s="1554">
        <v>0</v>
      </c>
      <c r="G7" s="1550">
        <f>(F4*F7)+F5</f>
        <v>5000</v>
      </c>
      <c r="H7" s="449"/>
      <c r="I7" s="1554" t="s">
        <v>135</v>
      </c>
      <c r="J7" s="1550" t="s">
        <v>135</v>
      </c>
      <c r="K7" s="41"/>
      <c r="L7" s="13">
        <v>0.05</v>
      </c>
      <c r="N7" s="16">
        <v>2500000</v>
      </c>
      <c r="O7" s="16">
        <v>36300</v>
      </c>
      <c r="P7" s="16">
        <v>2000000</v>
      </c>
      <c r="Q7" s="16">
        <v>10736</v>
      </c>
      <c r="R7" s="16">
        <v>2851</v>
      </c>
      <c r="S7" s="16">
        <v>1461</v>
      </c>
      <c r="T7" s="16">
        <v>5000</v>
      </c>
      <c r="U7" s="711">
        <f>Q7+R7+S7+T7</f>
        <v>20048</v>
      </c>
      <c r="V7" s="16">
        <f>O7-U7</f>
        <v>16252</v>
      </c>
      <c r="W7" s="16">
        <f>V7*12</f>
        <v>195024</v>
      </c>
      <c r="X7" s="16">
        <v>500000</v>
      </c>
      <c r="Y7" s="16">
        <v>0</v>
      </c>
      <c r="Z7" s="16">
        <v>8000</v>
      </c>
      <c r="AA7" s="16">
        <f>X7+Y7+Z7</f>
        <v>508000</v>
      </c>
      <c r="AB7" s="909">
        <f>N7/(O7*12)</f>
        <v>5.7392102846648303</v>
      </c>
    </row>
    <row r="8" spans="1:30" ht="12.75" customHeight="1">
      <c r="A8" s="44"/>
      <c r="B8" s="1549" t="s">
        <v>8535</v>
      </c>
      <c r="C8" s="1550">
        <v>1000</v>
      </c>
      <c r="D8" s="1555">
        <f>D6+C8</f>
        <v>376000</v>
      </c>
      <c r="E8" s="1549"/>
      <c r="F8" s="1550">
        <f>C8</f>
        <v>1000</v>
      </c>
      <c r="G8" s="1555">
        <f>G7+F8</f>
        <v>6000</v>
      </c>
      <c r="H8" s="449"/>
      <c r="I8" s="1550" t="s">
        <v>135</v>
      </c>
      <c r="J8" s="1556">
        <f>I5+I4</f>
        <v>380000</v>
      </c>
      <c r="K8" s="41"/>
    </row>
    <row r="9" spans="1:30" ht="25.5">
      <c r="A9" s="44"/>
      <c r="B9" s="1557" t="s">
        <v>8536</v>
      </c>
      <c r="C9" s="1558">
        <v>0</v>
      </c>
      <c r="D9" s="1559">
        <v>0</v>
      </c>
      <c r="E9" s="1549"/>
      <c r="F9" s="1558">
        <f>C9</f>
        <v>0</v>
      </c>
      <c r="G9" s="1559">
        <v>0</v>
      </c>
      <c r="H9" s="449"/>
      <c r="I9" s="1558">
        <v>0</v>
      </c>
      <c r="J9" s="1559">
        <v>0</v>
      </c>
      <c r="K9" s="41"/>
      <c r="M9" s="888" t="s">
        <v>116</v>
      </c>
      <c r="N9" s="888" t="s">
        <v>44</v>
      </c>
      <c r="O9" s="888" t="s">
        <v>8537</v>
      </c>
    </row>
    <row r="10" spans="1:30" ht="15">
      <c r="A10" s="44"/>
      <c r="B10" s="1557" t="s">
        <v>7878</v>
      </c>
      <c r="C10" s="1558">
        <f>D10*12</f>
        <v>3750</v>
      </c>
      <c r="D10" s="1559">
        <f>C4*1/100/12</f>
        <v>312.5</v>
      </c>
      <c r="E10" s="1549" t="s">
        <v>135</v>
      </c>
      <c r="F10" s="1558">
        <f>C10</f>
        <v>3750</v>
      </c>
      <c r="G10" s="1559">
        <f>F10/12</f>
        <v>312.5</v>
      </c>
      <c r="H10" s="449"/>
      <c r="I10" s="1558">
        <f>C10</f>
        <v>3750</v>
      </c>
      <c r="J10" s="1559">
        <f>I10/12</f>
        <v>312.5</v>
      </c>
      <c r="K10" s="41"/>
      <c r="L10" s="578" t="s">
        <v>16</v>
      </c>
      <c r="M10" s="16">
        <v>32113</v>
      </c>
      <c r="N10" s="16">
        <f>M10*12</f>
        <v>385356</v>
      </c>
    </row>
    <row r="11" spans="1:30" ht="15">
      <c r="A11" s="44"/>
      <c r="B11" s="1557" t="s">
        <v>4822</v>
      </c>
      <c r="C11" s="1560">
        <f>D11*12</f>
        <v>2400</v>
      </c>
      <c r="D11" s="1559">
        <v>200</v>
      </c>
      <c r="E11" s="1549" t="s">
        <v>135</v>
      </c>
      <c r="F11" s="1561">
        <f>C11</f>
        <v>2400</v>
      </c>
      <c r="G11" s="1559">
        <f>F11/12</f>
        <v>200</v>
      </c>
      <c r="H11" s="449"/>
      <c r="I11" s="1560">
        <f>C11</f>
        <v>2400</v>
      </c>
      <c r="J11" s="1559">
        <f>I11/12</f>
        <v>200</v>
      </c>
      <c r="K11" s="41"/>
      <c r="M11" s="16"/>
      <c r="N11" s="16"/>
      <c r="Q11" s="13">
        <v>0.01</v>
      </c>
      <c r="R11" s="13">
        <v>0.02</v>
      </c>
      <c r="S11" s="13">
        <v>0.03</v>
      </c>
      <c r="T11" s="13">
        <v>0.04</v>
      </c>
      <c r="U11" s="13">
        <v>0.05</v>
      </c>
    </row>
    <row r="12" spans="1:30" ht="30">
      <c r="A12" s="44"/>
      <c r="B12" s="1557" t="s">
        <v>8538</v>
      </c>
      <c r="C12" s="1561">
        <v>0</v>
      </c>
      <c r="D12" s="1559">
        <v>200</v>
      </c>
      <c r="E12" s="1549" t="s">
        <v>135</v>
      </c>
      <c r="F12" s="1561">
        <v>0</v>
      </c>
      <c r="G12" s="1559">
        <f>F12</f>
        <v>0</v>
      </c>
      <c r="H12" s="449"/>
      <c r="I12" s="1561">
        <f>C12</f>
        <v>0</v>
      </c>
      <c r="J12" s="1559">
        <v>200</v>
      </c>
      <c r="K12" s="41"/>
      <c r="L12" s="578" t="s">
        <v>8539</v>
      </c>
      <c r="M12" s="16"/>
      <c r="N12" s="16"/>
      <c r="P12" s="16">
        <v>789000</v>
      </c>
      <c r="Q12" s="16">
        <f>P12*Q11/12</f>
        <v>657.5</v>
      </c>
      <c r="R12" s="16">
        <f>P12*R11/12</f>
        <v>1315</v>
      </c>
      <c r="S12" s="16">
        <f>P12*S11/12</f>
        <v>1972.5</v>
      </c>
      <c r="T12" s="16">
        <f>P12*T11/12</f>
        <v>2630</v>
      </c>
      <c r="U12" s="16">
        <f>P12*U11/12</f>
        <v>3287.5</v>
      </c>
    </row>
    <row r="13" spans="1:30" ht="15">
      <c r="A13" s="44"/>
      <c r="B13" s="1557" t="s">
        <v>7294</v>
      </c>
      <c r="C13" s="1561">
        <v>0</v>
      </c>
      <c r="D13" s="1559">
        <v>200</v>
      </c>
      <c r="E13" s="1549"/>
      <c r="F13" s="1561"/>
      <c r="G13" s="1559">
        <f>C13</f>
        <v>0</v>
      </c>
      <c r="H13" s="449"/>
      <c r="I13" s="1561">
        <f>C13</f>
        <v>0</v>
      </c>
      <c r="J13" s="1559">
        <v>200</v>
      </c>
      <c r="K13" s="41"/>
      <c r="L13" s="9"/>
      <c r="M13" s="16"/>
      <c r="N13" s="16"/>
      <c r="O13" s="16"/>
      <c r="P13" s="16"/>
      <c r="Q13" s="16"/>
      <c r="R13" s="16"/>
      <c r="S13" s="16"/>
      <c r="T13" s="16"/>
      <c r="U13" s="16"/>
    </row>
    <row r="14" spans="1:30" ht="30">
      <c r="A14" s="44"/>
      <c r="B14" s="1557" t="s">
        <v>8540</v>
      </c>
      <c r="C14" s="1561">
        <v>0</v>
      </c>
      <c r="D14" s="1559">
        <v>100</v>
      </c>
      <c r="E14" s="1549"/>
      <c r="F14" s="1561">
        <v>0</v>
      </c>
      <c r="G14" s="1559">
        <f>F14</f>
        <v>0</v>
      </c>
      <c r="H14" s="449"/>
      <c r="I14" s="1561">
        <v>0</v>
      </c>
      <c r="J14" s="1559">
        <v>200</v>
      </c>
      <c r="K14" s="41"/>
      <c r="L14" s="9" t="s">
        <v>70</v>
      </c>
      <c r="M14" s="16">
        <f t="shared" ref="M14:M22" si="0">N14/12</f>
        <v>2851.1666666666665</v>
      </c>
      <c r="N14" s="16">
        <v>34214</v>
      </c>
      <c r="O14" s="16">
        <f t="shared" ref="O14:O23" si="1">M14/72</f>
        <v>39.599537037037038</v>
      </c>
      <c r="P14" s="16"/>
      <c r="Q14" s="16" t="s">
        <v>135</v>
      </c>
      <c r="R14" s="16" t="s">
        <v>135</v>
      </c>
      <c r="S14" s="16" t="s">
        <v>135</v>
      </c>
      <c r="T14" s="16" t="s">
        <v>135</v>
      </c>
      <c r="U14" s="16" t="s">
        <v>135</v>
      </c>
    </row>
    <row r="15" spans="1:30" ht="12.75" customHeight="1">
      <c r="A15" s="44"/>
      <c r="B15" s="1562" t="s">
        <v>8541</v>
      </c>
      <c r="C15" s="1563">
        <f>C9+C10+C11+C12+C14</f>
        <v>6150</v>
      </c>
      <c r="D15" s="1564">
        <f>D9+D10+D11+D12+D14</f>
        <v>812.5</v>
      </c>
      <c r="E15" s="1549" t="s">
        <v>135</v>
      </c>
      <c r="F15" s="1565"/>
      <c r="G15" s="1564">
        <f>G9+G10+G11+G12+G14</f>
        <v>512.5</v>
      </c>
      <c r="H15" s="449"/>
      <c r="I15" s="1565"/>
      <c r="J15" s="1564">
        <f>J9+J10+J11+J12+J14</f>
        <v>912.5</v>
      </c>
      <c r="K15" s="41"/>
      <c r="L15" s="9" t="s">
        <v>8516</v>
      </c>
      <c r="M15" s="16">
        <f t="shared" si="0"/>
        <v>1460.9166666666667</v>
      </c>
      <c r="N15" s="16">
        <v>17531</v>
      </c>
      <c r="O15" s="16">
        <f t="shared" si="1"/>
        <v>20.29050925925926</v>
      </c>
      <c r="P15" s="16">
        <v>527000</v>
      </c>
      <c r="Q15" s="16">
        <f>P15*Q11/12</f>
        <v>439.16666666666669</v>
      </c>
      <c r="R15" s="16">
        <f>P15*R11/12</f>
        <v>878.33333333333337</v>
      </c>
      <c r="S15" s="16">
        <f>P15*S11/12</f>
        <v>1317.5</v>
      </c>
      <c r="T15" s="16">
        <f>P15*T11/12</f>
        <v>1756.6666666666667</v>
      </c>
      <c r="U15" s="16">
        <f>P15*U11/12</f>
        <v>2195.8333333333335</v>
      </c>
    </row>
    <row r="16" spans="1:30" ht="12.75" customHeight="1">
      <c r="A16" s="44"/>
      <c r="B16" s="1566" t="s">
        <v>8542</v>
      </c>
      <c r="C16" s="1567">
        <f>D16*12</f>
        <v>24000</v>
      </c>
      <c r="D16" s="1568">
        <v>2000</v>
      </c>
      <c r="E16" s="1547"/>
      <c r="F16" s="1567">
        <f>C16</f>
        <v>24000</v>
      </c>
      <c r="G16" s="1568">
        <f>D16</f>
        <v>2000</v>
      </c>
      <c r="H16" s="449"/>
      <c r="I16" s="1567">
        <f>C16</f>
        <v>24000</v>
      </c>
      <c r="J16" s="1568">
        <v>2500</v>
      </c>
      <c r="K16" s="41"/>
      <c r="L16" s="9" t="s">
        <v>8543</v>
      </c>
      <c r="M16" s="16">
        <f t="shared" si="0"/>
        <v>1400</v>
      </c>
      <c r="N16" s="16">
        <v>16800</v>
      </c>
      <c r="O16" s="16">
        <f t="shared" si="1"/>
        <v>19.444444444444443</v>
      </c>
    </row>
    <row r="17" spans="1:22" ht="12.75" customHeight="1">
      <c r="A17" s="1569"/>
      <c r="B17" s="1570" t="s">
        <v>8544</v>
      </c>
      <c r="C17" s="1571">
        <f>C16-C15</f>
        <v>17850</v>
      </c>
      <c r="D17" s="1571">
        <f>D16-D15</f>
        <v>1187.5</v>
      </c>
      <c r="E17" s="1572" t="s">
        <v>135</v>
      </c>
      <c r="F17" s="1573" t="s">
        <v>135</v>
      </c>
      <c r="G17" s="1571">
        <f>G16-G15</f>
        <v>1487.5</v>
      </c>
      <c r="H17" s="449"/>
      <c r="I17" s="1573">
        <f>J17*12</f>
        <v>19050</v>
      </c>
      <c r="J17" s="1571">
        <f>J16-J15</f>
        <v>1587.5</v>
      </c>
      <c r="K17" s="41"/>
      <c r="L17" s="9" t="s">
        <v>8545</v>
      </c>
      <c r="M17" s="16">
        <f t="shared" si="0"/>
        <v>1500</v>
      </c>
      <c r="N17" s="16">
        <v>18000</v>
      </c>
      <c r="O17" s="16">
        <f t="shared" si="1"/>
        <v>20.833333333333332</v>
      </c>
    </row>
    <row r="18" spans="1:22" ht="12.75" customHeight="1">
      <c r="A18" s="44"/>
      <c r="B18" s="1574" t="s">
        <v>8546</v>
      </c>
      <c r="C18" s="1575">
        <f>D8/D17</f>
        <v>316.63157894736844</v>
      </c>
      <c r="D18" s="1576">
        <f>D17*12/D8</f>
        <v>3.7898936170212769E-2</v>
      </c>
      <c r="E18" s="1547" t="s">
        <v>135</v>
      </c>
      <c r="F18" s="1575">
        <f>G8/G17</f>
        <v>4.0336134453781511</v>
      </c>
      <c r="G18" s="1576">
        <f>G17*12/G8</f>
        <v>2.9750000000000001</v>
      </c>
      <c r="H18" s="449"/>
      <c r="I18" s="1575">
        <f>J8/J17</f>
        <v>239.37007874015748</v>
      </c>
      <c r="J18" s="1576">
        <f>J17*12/J8</f>
        <v>5.0131578947368423E-2</v>
      </c>
      <c r="K18" s="41"/>
      <c r="L18" s="9" t="s">
        <v>7295</v>
      </c>
      <c r="M18" s="16">
        <f t="shared" si="0"/>
        <v>1325</v>
      </c>
      <c r="N18" s="16">
        <v>15900</v>
      </c>
      <c r="O18" s="16">
        <f t="shared" si="1"/>
        <v>18.402777777777779</v>
      </c>
      <c r="T18" s="9" t="s">
        <v>8547</v>
      </c>
      <c r="U18" s="16">
        <f>1400000/4</f>
        <v>350000</v>
      </c>
      <c r="V18" s="16"/>
    </row>
    <row r="19" spans="1:22" ht="15">
      <c r="A19" s="1577"/>
      <c r="B19" s="1549" t="s">
        <v>8548</v>
      </c>
      <c r="C19" s="1553">
        <v>0</v>
      </c>
      <c r="D19" s="1551">
        <f>D17-C19</f>
        <v>1187.5</v>
      </c>
      <c r="E19" s="1578"/>
      <c r="F19" s="1553">
        <f>C19</f>
        <v>0</v>
      </c>
      <c r="G19" s="1551">
        <f>G17-F19</f>
        <v>1487.5</v>
      </c>
      <c r="H19" s="449"/>
      <c r="I19" s="1553" t="s">
        <v>135</v>
      </c>
      <c r="J19" s="1551" t="s">
        <v>135</v>
      </c>
      <c r="K19" s="41"/>
      <c r="L19" s="9" t="s">
        <v>8549</v>
      </c>
      <c r="M19" s="16">
        <f t="shared" si="0"/>
        <v>1433.3333333333333</v>
      </c>
      <c r="N19" s="16">
        <v>17200</v>
      </c>
      <c r="O19" s="16">
        <f t="shared" si="1"/>
        <v>19.907407407407405</v>
      </c>
      <c r="T19" s="9" t="s">
        <v>8550</v>
      </c>
      <c r="U19" s="16">
        <v>135600</v>
      </c>
      <c r="V19" s="16">
        <f>U19/12</f>
        <v>11300</v>
      </c>
    </row>
    <row r="20" spans="1:22">
      <c r="B20" s="38"/>
      <c r="C20" s="38"/>
      <c r="D20" s="38"/>
      <c r="F20" s="38"/>
      <c r="G20" s="38"/>
      <c r="I20" s="38"/>
      <c r="J20" s="38"/>
      <c r="L20" s="9" t="s">
        <v>7880</v>
      </c>
      <c r="M20" s="16">
        <f t="shared" si="0"/>
        <v>1566.6666666666667</v>
      </c>
      <c r="N20" s="16">
        <v>18800</v>
      </c>
      <c r="O20" s="16">
        <f t="shared" si="1"/>
        <v>21.75925925925926</v>
      </c>
      <c r="T20" s="9" t="s">
        <v>8515</v>
      </c>
      <c r="U20" s="16"/>
      <c r="V20" s="16">
        <v>5636</v>
      </c>
    </row>
    <row r="21" spans="1:22">
      <c r="F21" s="9" t="s">
        <v>8551</v>
      </c>
      <c r="K21" s="9">
        <f>4*916</f>
        <v>3664</v>
      </c>
      <c r="L21" s="9" t="s">
        <v>8552</v>
      </c>
      <c r="M21" s="16">
        <f t="shared" si="0"/>
        <v>5184</v>
      </c>
      <c r="N21" s="16">
        <v>62208</v>
      </c>
      <c r="O21" s="16">
        <f t="shared" si="1"/>
        <v>72</v>
      </c>
      <c r="T21" s="9" t="s">
        <v>59</v>
      </c>
      <c r="U21" s="16"/>
      <c r="V21" s="16">
        <f>V19-V20</f>
        <v>5664</v>
      </c>
    </row>
    <row r="22" spans="1:22">
      <c r="B22" s="9" t="s">
        <v>8553</v>
      </c>
      <c r="C22" s="9">
        <v>123.88</v>
      </c>
      <c r="L22" s="9" t="s">
        <v>106</v>
      </c>
      <c r="M22" s="16">
        <f t="shared" si="0"/>
        <v>132.5</v>
      </c>
      <c r="N22" s="16">
        <v>1590</v>
      </c>
      <c r="O22" s="16">
        <f t="shared" si="1"/>
        <v>1.8402777777777777</v>
      </c>
    </row>
    <row r="23" spans="1:22">
      <c r="B23" s="133" t="s">
        <v>7685</v>
      </c>
      <c r="C23" s="133"/>
      <c r="D23" s="133"/>
      <c r="F23" s="133"/>
      <c r="G23" s="133"/>
      <c r="H23" s="133"/>
      <c r="I23" s="133"/>
      <c r="J23" s="133"/>
      <c r="L23" s="578" t="s">
        <v>61</v>
      </c>
      <c r="M23" s="711">
        <f>SUM(M14:M22)</f>
        <v>16853.583333333332</v>
      </c>
      <c r="N23" s="711">
        <f>M23*12</f>
        <v>202243</v>
      </c>
      <c r="O23" s="711">
        <f t="shared" si="1"/>
        <v>234.07754629629628</v>
      </c>
    </row>
    <row r="24" spans="1:22" ht="12.75" customHeight="1">
      <c r="A24" s="44"/>
      <c r="B24" s="2292" t="s">
        <v>8506</v>
      </c>
      <c r="C24" s="2102"/>
      <c r="D24" s="2103"/>
      <c r="E24" s="1544"/>
      <c r="F24" s="2292" t="s">
        <v>8507</v>
      </c>
      <c r="G24" s="2102"/>
      <c r="H24" s="1545"/>
      <c r="I24" s="2292" t="s">
        <v>8508</v>
      </c>
      <c r="J24" s="2102"/>
      <c r="M24" s="16"/>
      <c r="N24" s="16"/>
      <c r="O24" s="16" t="s">
        <v>135</v>
      </c>
    </row>
    <row r="25" spans="1:22" ht="12.75" customHeight="1">
      <c r="A25" s="44"/>
      <c r="B25" s="1546" t="s">
        <v>3278</v>
      </c>
      <c r="C25" s="2293" t="s">
        <v>8554</v>
      </c>
      <c r="D25" s="2103"/>
      <c r="E25" s="1547"/>
      <c r="F25" s="2293"/>
      <c r="G25" s="2103"/>
      <c r="H25" s="1548"/>
      <c r="I25" s="2293"/>
      <c r="J25" s="2103"/>
      <c r="K25" s="41"/>
      <c r="L25" s="578" t="s">
        <v>8555</v>
      </c>
      <c r="M25" s="711">
        <f>M10-M23</f>
        <v>15259.416666666668</v>
      </c>
      <c r="N25" s="711">
        <f>N10-N23</f>
        <v>183113</v>
      </c>
      <c r="O25" s="711">
        <f>M25/72</f>
        <v>211.93634259259261</v>
      </c>
    </row>
    <row r="26" spans="1:22" ht="15">
      <c r="A26" s="44"/>
      <c r="B26" s="1549" t="s">
        <v>8525</v>
      </c>
      <c r="C26" s="1550">
        <v>45000</v>
      </c>
      <c r="D26" s="1551" t="s">
        <v>8526</v>
      </c>
      <c r="E26" s="1549" t="s">
        <v>135</v>
      </c>
      <c r="F26" s="1550">
        <f>C26</f>
        <v>45000</v>
      </c>
      <c r="G26" s="1551" t="s">
        <v>8526</v>
      </c>
      <c r="H26" s="449"/>
      <c r="I26" s="1550">
        <f>C26</f>
        <v>45000</v>
      </c>
      <c r="J26" s="1551" t="s">
        <v>8526</v>
      </c>
      <c r="K26" s="41"/>
      <c r="O26" s="16" t="s">
        <v>135</v>
      </c>
    </row>
    <row r="27" spans="1:22" ht="15">
      <c r="A27" s="44"/>
      <c r="B27" s="1549" t="s">
        <v>8528</v>
      </c>
      <c r="C27" s="1550">
        <v>37000</v>
      </c>
      <c r="D27" s="1552">
        <f>C27/C26</f>
        <v>0.82222222222222219</v>
      </c>
      <c r="E27" s="1549" t="s">
        <v>135</v>
      </c>
      <c r="F27" s="1550">
        <f>C27</f>
        <v>37000</v>
      </c>
      <c r="G27" s="1552">
        <f>F27/F26</f>
        <v>0.82222222222222219</v>
      </c>
      <c r="H27" s="449"/>
      <c r="I27" s="1550">
        <f>C27</f>
        <v>37000</v>
      </c>
      <c r="J27" s="1552">
        <f>I27/I26</f>
        <v>0.82222222222222219</v>
      </c>
      <c r="K27" s="41"/>
      <c r="L27" s="9" t="s">
        <v>46</v>
      </c>
      <c r="M27" s="16">
        <f>-PMT(L7/12,30*12,P7)</f>
        <v>10736.432460242781</v>
      </c>
      <c r="N27" s="16">
        <v>10736</v>
      </c>
      <c r="O27" s="16">
        <f>M27/72</f>
        <v>149.11711750337196</v>
      </c>
    </row>
    <row r="28" spans="1:22" ht="15">
      <c r="A28" s="44"/>
      <c r="B28" s="1549" t="s">
        <v>8530</v>
      </c>
      <c r="C28" s="1550">
        <v>2000</v>
      </c>
      <c r="D28" s="1553"/>
      <c r="E28" s="1549"/>
      <c r="F28" s="1550">
        <f>C28</f>
        <v>2000</v>
      </c>
      <c r="G28" s="1553"/>
      <c r="H28" s="449"/>
      <c r="I28" s="1550">
        <f>C28</f>
        <v>2000</v>
      </c>
      <c r="J28" s="1553"/>
      <c r="K28" s="41"/>
      <c r="O28" s="16" t="s">
        <v>135</v>
      </c>
    </row>
    <row r="29" spans="1:22" ht="15">
      <c r="A29" s="44"/>
      <c r="B29" s="1549" t="s">
        <v>8532</v>
      </c>
      <c r="C29" s="1552">
        <v>0.05</v>
      </c>
      <c r="D29" s="1550">
        <f>C27*C30</f>
        <v>0</v>
      </c>
      <c r="E29" s="1549" t="s">
        <v>135</v>
      </c>
      <c r="F29" s="1552">
        <v>0.06</v>
      </c>
      <c r="G29" s="1550">
        <f>F27*F30</f>
        <v>0</v>
      </c>
      <c r="H29" s="449"/>
      <c r="I29" s="1552" t="s">
        <v>135</v>
      </c>
      <c r="J29" s="1550" t="s">
        <v>135</v>
      </c>
      <c r="K29" s="41"/>
      <c r="L29" s="578" t="s">
        <v>8556</v>
      </c>
      <c r="M29" s="711">
        <f>M25-M27</f>
        <v>4522.9842064238874</v>
      </c>
      <c r="N29" s="711">
        <f>N25-N27</f>
        <v>172377</v>
      </c>
      <c r="O29" s="711">
        <f>M29/72</f>
        <v>62.819225089220659</v>
      </c>
    </row>
    <row r="30" spans="1:22" ht="15">
      <c r="A30" s="44"/>
      <c r="B30" s="1549" t="s">
        <v>8534</v>
      </c>
      <c r="C30" s="1554">
        <v>0</v>
      </c>
      <c r="D30" s="1550">
        <f>(C27*C30)+C28</f>
        <v>2000</v>
      </c>
      <c r="E30" s="1549" t="s">
        <v>135</v>
      </c>
      <c r="F30" s="1554">
        <v>0</v>
      </c>
      <c r="G30" s="1550">
        <f>(F27*F30)+F28</f>
        <v>2000</v>
      </c>
      <c r="H30" s="449"/>
      <c r="I30" s="1554" t="s">
        <v>135</v>
      </c>
      <c r="J30" s="1550" t="s">
        <v>135</v>
      </c>
      <c r="K30" s="41"/>
    </row>
    <row r="31" spans="1:22" ht="12.75" customHeight="1">
      <c r="A31" s="44"/>
      <c r="B31" s="1549" t="s">
        <v>8535</v>
      </c>
      <c r="C31" s="1550">
        <v>1000</v>
      </c>
      <c r="D31" s="1555">
        <f>D30+C31</f>
        <v>3000</v>
      </c>
      <c r="E31" s="1549"/>
      <c r="F31" s="1550">
        <f>C31</f>
        <v>1000</v>
      </c>
      <c r="G31" s="1555">
        <f>G30+F31</f>
        <v>3000</v>
      </c>
      <c r="H31" s="449"/>
      <c r="I31" s="1550" t="s">
        <v>135</v>
      </c>
      <c r="J31" s="1556">
        <f>I28+I27</f>
        <v>39000</v>
      </c>
      <c r="K31" s="41"/>
    </row>
    <row r="32" spans="1:22" ht="15">
      <c r="A32" s="44"/>
      <c r="B32" s="1557" t="s">
        <v>8536</v>
      </c>
      <c r="C32" s="1558">
        <v>37000</v>
      </c>
      <c r="D32" s="1559">
        <v>177</v>
      </c>
      <c r="E32" s="1549"/>
      <c r="F32" s="1558">
        <f>C32</f>
        <v>37000</v>
      </c>
      <c r="G32" s="1559">
        <v>274</v>
      </c>
      <c r="H32" s="449"/>
      <c r="I32" s="1558">
        <v>0</v>
      </c>
      <c r="J32" s="1559">
        <v>0</v>
      </c>
      <c r="K32" s="41"/>
      <c r="L32" s="9">
        <f>-PMT(C83/12,30*12,C86)</f>
        <v>146.88213268692846</v>
      </c>
    </row>
    <row r="33" spans="1:11" ht="15">
      <c r="A33" s="44"/>
      <c r="B33" s="1557" t="s">
        <v>7878</v>
      </c>
      <c r="C33" s="1558">
        <v>710</v>
      </c>
      <c r="D33" s="1559">
        <f>C33/12</f>
        <v>59.166666666666664</v>
      </c>
      <c r="E33" s="1549" t="s">
        <v>135</v>
      </c>
      <c r="F33" s="1558">
        <f>C33</f>
        <v>710</v>
      </c>
      <c r="G33" s="1559">
        <f>F33/12</f>
        <v>59.166666666666664</v>
      </c>
      <c r="H33" s="449"/>
      <c r="I33" s="1558">
        <f>C33</f>
        <v>710</v>
      </c>
      <c r="J33" s="1559">
        <f>I33/12</f>
        <v>59.166666666666664</v>
      </c>
      <c r="K33" s="41"/>
    </row>
    <row r="34" spans="1:11" ht="15">
      <c r="A34" s="44"/>
      <c r="B34" s="1557" t="s">
        <v>4822</v>
      </c>
      <c r="C34" s="1561">
        <v>511</v>
      </c>
      <c r="D34" s="1559">
        <f>C34/12</f>
        <v>42.583333333333336</v>
      </c>
      <c r="E34" s="1549" t="s">
        <v>135</v>
      </c>
      <c r="F34" s="1561">
        <f>C34</f>
        <v>511</v>
      </c>
      <c r="G34" s="1559">
        <f>F34/12</f>
        <v>42.583333333333336</v>
      </c>
      <c r="H34" s="449"/>
      <c r="I34" s="1561">
        <f>C34</f>
        <v>511</v>
      </c>
      <c r="J34" s="1559">
        <f>I34/12</f>
        <v>42.583333333333336</v>
      </c>
      <c r="K34" s="41"/>
    </row>
    <row r="35" spans="1:11" ht="30">
      <c r="A35" s="44"/>
      <c r="B35" s="1557" t="s">
        <v>8538</v>
      </c>
      <c r="C35" s="1561">
        <v>0</v>
      </c>
      <c r="D35" s="1559">
        <f>C35</f>
        <v>0</v>
      </c>
      <c r="E35" s="1549" t="s">
        <v>135</v>
      </c>
      <c r="F35" s="1561">
        <v>0</v>
      </c>
      <c r="G35" s="1559">
        <f>F35</f>
        <v>0</v>
      </c>
      <c r="H35" s="449"/>
      <c r="I35" s="1561">
        <v>0</v>
      </c>
      <c r="J35" s="1559">
        <f>I35</f>
        <v>0</v>
      </c>
      <c r="K35" s="41"/>
    </row>
    <row r="36" spans="1:11" ht="15">
      <c r="A36" s="44"/>
      <c r="B36" s="1557" t="s">
        <v>7887</v>
      </c>
      <c r="C36" s="1561">
        <v>150</v>
      </c>
      <c r="D36" s="1559">
        <f>C36</f>
        <v>150</v>
      </c>
      <c r="E36" s="1549"/>
      <c r="F36" s="1561">
        <v>150</v>
      </c>
      <c r="G36" s="1559">
        <f>F36</f>
        <v>150</v>
      </c>
      <c r="H36" s="449"/>
      <c r="I36" s="1561">
        <v>150</v>
      </c>
      <c r="J36" s="1559">
        <f>I36</f>
        <v>150</v>
      </c>
      <c r="K36" s="41"/>
    </row>
    <row r="37" spans="1:11" ht="15.75">
      <c r="A37" s="44"/>
      <c r="B37" s="1562" t="s">
        <v>8541</v>
      </c>
      <c r="C37" s="1564">
        <f>C27/(C38*12)</f>
        <v>3.425925925925926</v>
      </c>
      <c r="D37" s="1564">
        <f>D32+D33+D34+D35+D36</f>
        <v>428.75</v>
      </c>
      <c r="E37" s="1549" t="s">
        <v>135</v>
      </c>
      <c r="F37" s="1565"/>
      <c r="G37" s="1564">
        <f>G32+G33+G34+G35+G36</f>
        <v>525.75</v>
      </c>
      <c r="H37" s="449"/>
      <c r="I37" s="1565"/>
      <c r="J37" s="1564">
        <f>J32+J33+J34+J35+J36</f>
        <v>251.75</v>
      </c>
      <c r="K37" s="41"/>
    </row>
    <row r="38" spans="1:11" ht="15.75">
      <c r="A38" s="44"/>
      <c r="B38" s="1566" t="s">
        <v>8542</v>
      </c>
      <c r="C38" s="1567">
        <v>900</v>
      </c>
      <c r="D38" s="1568">
        <f>C38</f>
        <v>900</v>
      </c>
      <c r="E38" s="1547"/>
      <c r="F38" s="1567">
        <f>C38</f>
        <v>900</v>
      </c>
      <c r="G38" s="1568">
        <f>F38</f>
        <v>900</v>
      </c>
      <c r="H38" s="449"/>
      <c r="I38" s="1567">
        <f>C38</f>
        <v>900</v>
      </c>
      <c r="J38" s="1568">
        <f>I38</f>
        <v>900</v>
      </c>
      <c r="K38" s="41"/>
    </row>
    <row r="39" spans="1:11" ht="31.5">
      <c r="A39" s="1569"/>
      <c r="B39" s="1570" t="s">
        <v>8544</v>
      </c>
      <c r="C39" s="1571" t="s">
        <v>135</v>
      </c>
      <c r="D39" s="1571">
        <f>D38-D37</f>
        <v>471.25</v>
      </c>
      <c r="E39" s="1572" t="s">
        <v>135</v>
      </c>
      <c r="F39" s="1573" t="s">
        <v>135</v>
      </c>
      <c r="G39" s="1571">
        <f>G38-G37</f>
        <v>374.25</v>
      </c>
      <c r="H39" s="449"/>
      <c r="I39" s="1573" t="s">
        <v>135</v>
      </c>
      <c r="J39" s="1571">
        <f>J38-J37</f>
        <v>648.25</v>
      </c>
      <c r="K39" s="41"/>
    </row>
    <row r="40" spans="1:11" ht="30.75">
      <c r="A40" s="44"/>
      <c r="B40" s="1574" t="s">
        <v>8546</v>
      </c>
      <c r="C40" s="1575">
        <f>D31/D39</f>
        <v>6.3660477453580899</v>
      </c>
      <c r="D40" s="1576">
        <f>D39*12/D31</f>
        <v>1.885</v>
      </c>
      <c r="E40" s="1547" t="s">
        <v>135</v>
      </c>
      <c r="F40" s="1575">
        <f>G31/G39</f>
        <v>8.0160320641282556</v>
      </c>
      <c r="G40" s="1576">
        <f>G39*12/G31</f>
        <v>1.4970000000000001</v>
      </c>
      <c r="H40" s="449"/>
      <c r="I40" s="1575">
        <f>J31/J39</f>
        <v>60.161974546856925</v>
      </c>
      <c r="J40" s="1576">
        <f>J39*12/J31</f>
        <v>0.19946153846153847</v>
      </c>
      <c r="K40" s="41"/>
    </row>
    <row r="41" spans="1:11" ht="15">
      <c r="A41" s="1577"/>
      <c r="B41" s="1549" t="s">
        <v>8548</v>
      </c>
      <c r="C41" s="1553">
        <v>0</v>
      </c>
      <c r="D41" s="1551">
        <f>D39-C41</f>
        <v>471.25</v>
      </c>
      <c r="E41" s="1578"/>
      <c r="F41" s="1553">
        <f>C41</f>
        <v>0</v>
      </c>
      <c r="G41" s="1551">
        <f>G39-F41</f>
        <v>374.25</v>
      </c>
      <c r="H41" s="449"/>
      <c r="I41" s="1553" t="s">
        <v>135</v>
      </c>
      <c r="J41" s="1551" t="s">
        <v>135</v>
      </c>
      <c r="K41" s="41"/>
    </row>
    <row r="42" spans="1:11">
      <c r="B42" s="38"/>
      <c r="C42" s="38"/>
      <c r="D42" s="38"/>
      <c r="F42" s="38"/>
      <c r="G42" s="38"/>
      <c r="I42" s="38"/>
      <c r="J42" s="38"/>
    </row>
    <row r="49" spans="1:11">
      <c r="B49" s="133"/>
      <c r="C49" s="133"/>
      <c r="D49" s="133"/>
      <c r="F49" s="133"/>
      <c r="G49" s="133"/>
      <c r="H49" s="133"/>
      <c r="I49" s="133"/>
      <c r="J49" s="133"/>
    </row>
    <row r="50" spans="1:11" ht="15.75">
      <c r="A50" s="44"/>
      <c r="B50" s="2292" t="s">
        <v>8506</v>
      </c>
      <c r="C50" s="2102"/>
      <c r="D50" s="2103"/>
      <c r="E50" s="1544"/>
      <c r="F50" s="2292" t="s">
        <v>8507</v>
      </c>
      <c r="G50" s="2102"/>
      <c r="H50" s="1545"/>
      <c r="I50" s="2292" t="s">
        <v>8508</v>
      </c>
      <c r="J50" s="2102"/>
    </row>
    <row r="51" spans="1:11" ht="15.75">
      <c r="A51" s="44"/>
      <c r="B51" s="1546" t="s">
        <v>3278</v>
      </c>
      <c r="C51" s="2293" t="s">
        <v>7269</v>
      </c>
      <c r="D51" s="2103"/>
      <c r="E51" s="1547"/>
      <c r="F51" s="2293"/>
      <c r="G51" s="2103"/>
      <c r="H51" s="1548"/>
      <c r="I51" s="2293"/>
      <c r="J51" s="2103"/>
      <c r="K51" s="41"/>
    </row>
    <row r="52" spans="1:11" ht="15">
      <c r="A52" s="44"/>
      <c r="B52" s="1549" t="s">
        <v>8525</v>
      </c>
      <c r="C52" s="1550">
        <v>129900</v>
      </c>
      <c r="D52" s="1551" t="s">
        <v>8526</v>
      </c>
      <c r="E52" s="1549" t="s">
        <v>135</v>
      </c>
      <c r="F52" s="1550">
        <f>C52</f>
        <v>129900</v>
      </c>
      <c r="G52" s="1551" t="s">
        <v>8526</v>
      </c>
      <c r="H52" s="449"/>
      <c r="I52" s="1550">
        <f>C52</f>
        <v>129900</v>
      </c>
      <c r="J52" s="1551" t="s">
        <v>8526</v>
      </c>
      <c r="K52" s="41"/>
    </row>
    <row r="53" spans="1:11" ht="15">
      <c r="A53" s="44"/>
      <c r="B53" s="1549" t="s">
        <v>8528</v>
      </c>
      <c r="C53" s="1550">
        <v>122000</v>
      </c>
      <c r="D53" s="1552">
        <f>C53/C52</f>
        <v>0.93918398768283295</v>
      </c>
      <c r="E53" s="1549" t="s">
        <v>135</v>
      </c>
      <c r="F53" s="1550">
        <f>C53</f>
        <v>122000</v>
      </c>
      <c r="G53" s="1552">
        <f>F53/F52</f>
        <v>0.93918398768283295</v>
      </c>
      <c r="H53" s="449"/>
      <c r="I53" s="1550">
        <f>C53</f>
        <v>122000</v>
      </c>
      <c r="J53" s="1552">
        <f>I53/I52</f>
        <v>0.93918398768283295</v>
      </c>
      <c r="K53" s="41"/>
    </row>
    <row r="54" spans="1:11" ht="15">
      <c r="A54" s="44"/>
      <c r="B54" s="1549" t="s">
        <v>8530</v>
      </c>
      <c r="C54" s="1550">
        <v>8000</v>
      </c>
      <c r="D54" s="1553"/>
      <c r="E54" s="1549"/>
      <c r="F54" s="1550">
        <f>C54</f>
        <v>8000</v>
      </c>
      <c r="G54" s="1553"/>
      <c r="H54" s="449"/>
      <c r="I54" s="1550">
        <f>C54</f>
        <v>8000</v>
      </c>
      <c r="J54" s="1553"/>
      <c r="K54" s="41"/>
    </row>
    <row r="55" spans="1:11" ht="15">
      <c r="A55" s="44"/>
      <c r="B55" s="1549" t="s">
        <v>8532</v>
      </c>
      <c r="C55" s="1552">
        <v>0.04</v>
      </c>
      <c r="D55" s="1550">
        <f>C53*C56</f>
        <v>30500</v>
      </c>
      <c r="E55" s="1549" t="s">
        <v>135</v>
      </c>
      <c r="F55" s="1552">
        <v>0.04</v>
      </c>
      <c r="G55" s="1550">
        <f>F53*F56</f>
        <v>30500</v>
      </c>
      <c r="H55" s="449"/>
      <c r="I55" s="1552" t="s">
        <v>135</v>
      </c>
      <c r="J55" s="1550" t="s">
        <v>135</v>
      </c>
      <c r="K55" s="41"/>
    </row>
    <row r="56" spans="1:11" ht="15">
      <c r="A56" s="44"/>
      <c r="B56" s="1549" t="s">
        <v>8534</v>
      </c>
      <c r="C56" s="1554">
        <v>0.25</v>
      </c>
      <c r="D56" s="1550">
        <f>(C53*C56)+C54</f>
        <v>38500</v>
      </c>
      <c r="E56" s="1549" t="s">
        <v>135</v>
      </c>
      <c r="F56" s="1554">
        <v>0.25</v>
      </c>
      <c r="G56" s="1550">
        <f>(F53*F56)+F54</f>
        <v>38500</v>
      </c>
      <c r="H56" s="449"/>
      <c r="I56" s="1554" t="s">
        <v>135</v>
      </c>
      <c r="J56" s="1550" t="s">
        <v>135</v>
      </c>
      <c r="K56" s="41"/>
    </row>
    <row r="57" spans="1:11" ht="30.75">
      <c r="A57" s="44"/>
      <c r="B57" s="1549" t="s">
        <v>8535</v>
      </c>
      <c r="C57" s="1550">
        <v>1000</v>
      </c>
      <c r="D57" s="1555">
        <f>D56+C57</f>
        <v>39500</v>
      </c>
      <c r="E57" s="1549"/>
      <c r="F57" s="1550">
        <f>C57</f>
        <v>1000</v>
      </c>
      <c r="G57" s="1555">
        <f>G56+F57</f>
        <v>39500</v>
      </c>
      <c r="H57" s="449"/>
      <c r="I57" s="1550" t="s">
        <v>135</v>
      </c>
      <c r="J57" s="1556">
        <f>I54+I53</f>
        <v>130000</v>
      </c>
      <c r="K57" s="41"/>
    </row>
    <row r="58" spans="1:11" ht="15">
      <c r="A58" s="44"/>
      <c r="B58" s="1557" t="s">
        <v>8536</v>
      </c>
      <c r="C58" s="1558">
        <f>C53-D55</f>
        <v>91500</v>
      </c>
      <c r="D58" s="1559">
        <v>475</v>
      </c>
      <c r="E58" s="1549"/>
      <c r="F58" s="1558">
        <f>C58</f>
        <v>91500</v>
      </c>
      <c r="G58" s="1559">
        <v>565</v>
      </c>
      <c r="H58" s="449"/>
      <c r="I58" s="1558">
        <v>0</v>
      </c>
      <c r="J58" s="1559">
        <v>0</v>
      </c>
      <c r="K58" s="41"/>
    </row>
    <row r="59" spans="1:11" ht="15">
      <c r="A59" s="44"/>
      <c r="B59" s="1557" t="s">
        <v>7878</v>
      </c>
      <c r="C59" s="1558">
        <v>0</v>
      </c>
      <c r="D59" s="1559">
        <f>C59/12</f>
        <v>0</v>
      </c>
      <c r="E59" s="1549" t="s">
        <v>135</v>
      </c>
      <c r="F59" s="1558">
        <f>C59</f>
        <v>0</v>
      </c>
      <c r="G59" s="1559">
        <f>F59/12</f>
        <v>0</v>
      </c>
      <c r="H59" s="449"/>
      <c r="I59" s="1558">
        <f>C59</f>
        <v>0</v>
      </c>
      <c r="J59" s="1559">
        <f>I59/12</f>
        <v>0</v>
      </c>
      <c r="K59" s="41"/>
    </row>
    <row r="60" spans="1:11" ht="15">
      <c r="A60" s="44"/>
      <c r="B60" s="1557" t="s">
        <v>4822</v>
      </c>
      <c r="C60" s="1561">
        <v>800</v>
      </c>
      <c r="D60" s="1559">
        <f>C60/12</f>
        <v>66.666666666666671</v>
      </c>
      <c r="E60" s="1549" t="s">
        <v>135</v>
      </c>
      <c r="F60" s="1561">
        <f>C60</f>
        <v>800</v>
      </c>
      <c r="G60" s="1559">
        <f>F60/12</f>
        <v>66.666666666666671</v>
      </c>
      <c r="H60" s="449"/>
      <c r="I60" s="1561">
        <f>C60</f>
        <v>800</v>
      </c>
      <c r="J60" s="1559">
        <f>I60/12</f>
        <v>66.666666666666671</v>
      </c>
      <c r="K60" s="41"/>
    </row>
    <row r="61" spans="1:11" ht="30">
      <c r="A61" s="44"/>
      <c r="B61" s="1557" t="s">
        <v>8538</v>
      </c>
      <c r="C61" s="1561">
        <v>0</v>
      </c>
      <c r="D61" s="1559">
        <f>C61</f>
        <v>0</v>
      </c>
      <c r="E61" s="1549" t="s">
        <v>135</v>
      </c>
      <c r="F61" s="1561">
        <v>0</v>
      </c>
      <c r="G61" s="1559">
        <f>F61</f>
        <v>0</v>
      </c>
      <c r="H61" s="449"/>
      <c r="I61" s="1561">
        <v>0</v>
      </c>
      <c r="J61" s="1559">
        <f>I61</f>
        <v>0</v>
      </c>
      <c r="K61" s="41"/>
    </row>
    <row r="62" spans="1:11" ht="15">
      <c r="A62" s="44"/>
      <c r="B62" s="1557" t="s">
        <v>7887</v>
      </c>
      <c r="C62" s="1561">
        <v>368</v>
      </c>
      <c r="D62" s="1559">
        <f>C62</f>
        <v>368</v>
      </c>
      <c r="E62" s="1549"/>
      <c r="F62" s="1561">
        <f>C62</f>
        <v>368</v>
      </c>
      <c r="G62" s="1559">
        <f>F62</f>
        <v>368</v>
      </c>
      <c r="H62" s="449"/>
      <c r="I62" s="1561">
        <v>0</v>
      </c>
      <c r="J62" s="1559">
        <f>I62</f>
        <v>0</v>
      </c>
      <c r="K62" s="41"/>
    </row>
    <row r="63" spans="1:11" ht="15.75">
      <c r="A63" s="44"/>
      <c r="B63" s="1562" t="s">
        <v>8541</v>
      </c>
      <c r="C63" s="1564">
        <f>C53/(C64*12)</f>
        <v>3.6309523809523809</v>
      </c>
      <c r="D63" s="1564">
        <f>D58+D59+D60+D61+D62</f>
        <v>909.66666666666663</v>
      </c>
      <c r="E63" s="1549" t="s">
        <v>135</v>
      </c>
      <c r="F63" s="1564">
        <f>C63</f>
        <v>3.6309523809523809</v>
      </c>
      <c r="G63" s="1564">
        <f>G58+G59+G60+G61+G62</f>
        <v>999.66666666666663</v>
      </c>
      <c r="H63" s="449"/>
      <c r="I63" s="1565"/>
      <c r="J63" s="1564">
        <f>J58+J59+J60+J61+J62</f>
        <v>66.666666666666671</v>
      </c>
      <c r="K63" s="41"/>
    </row>
    <row r="64" spans="1:11" ht="15.75">
      <c r="A64" s="44"/>
      <c r="B64" s="1566" t="s">
        <v>8542</v>
      </c>
      <c r="C64" s="1579">
        <v>2800</v>
      </c>
      <c r="D64" s="1568">
        <f>C64</f>
        <v>2800</v>
      </c>
      <c r="E64" s="1547"/>
      <c r="F64" s="1579">
        <f>C64</f>
        <v>2800</v>
      </c>
      <c r="G64" s="1568">
        <f>F64</f>
        <v>2800</v>
      </c>
      <c r="H64" s="449"/>
      <c r="I64" s="1579">
        <f>C64</f>
        <v>2800</v>
      </c>
      <c r="J64" s="1568">
        <f>I64</f>
        <v>2800</v>
      </c>
      <c r="K64" s="41"/>
    </row>
    <row r="65" spans="1:24" ht="31.5">
      <c r="A65" s="1569"/>
      <c r="B65" s="1570" t="s">
        <v>8544</v>
      </c>
      <c r="C65" s="1571" t="s">
        <v>135</v>
      </c>
      <c r="D65" s="1571">
        <f>D64-D63</f>
        <v>1890.3333333333335</v>
      </c>
      <c r="E65" s="1572" t="s">
        <v>135</v>
      </c>
      <c r="F65" s="1573" t="s">
        <v>135</v>
      </c>
      <c r="G65" s="1571">
        <f>G64-G63</f>
        <v>1800.3333333333335</v>
      </c>
      <c r="H65" s="449"/>
      <c r="I65" s="1573" t="s">
        <v>135</v>
      </c>
      <c r="J65" s="1571">
        <f>J64-J63</f>
        <v>2733.3333333333335</v>
      </c>
      <c r="K65" s="41"/>
    </row>
    <row r="66" spans="1:24" ht="30.75">
      <c r="A66" s="44"/>
      <c r="B66" s="1574" t="s">
        <v>8546</v>
      </c>
      <c r="C66" s="1575">
        <f>D57/D65</f>
        <v>20.895785575736198</v>
      </c>
      <c r="D66" s="1576">
        <f>D65*12/D57</f>
        <v>0.57427848101265822</v>
      </c>
      <c r="E66" s="1547" t="s">
        <v>135</v>
      </c>
      <c r="F66" s="1575">
        <f>G57/G65</f>
        <v>21.940381410849842</v>
      </c>
      <c r="G66" s="1576">
        <f>G65*12/G57</f>
        <v>0.54693670886075951</v>
      </c>
      <c r="H66" s="449"/>
      <c r="I66" s="1575">
        <f>J57/J65</f>
        <v>47.560975609756092</v>
      </c>
      <c r="J66" s="1576">
        <f>J65*12/J57</f>
        <v>0.25230769230769229</v>
      </c>
      <c r="K66" s="41"/>
    </row>
    <row r="67" spans="1:24" ht="15">
      <c r="A67" s="1577"/>
      <c r="B67" s="1549" t="s">
        <v>8548</v>
      </c>
      <c r="C67" s="1553">
        <v>0</v>
      </c>
      <c r="D67" s="1551">
        <f>D65-C67</f>
        <v>1890.3333333333335</v>
      </c>
      <c r="E67" s="1578"/>
      <c r="F67" s="1553">
        <f>C67</f>
        <v>0</v>
      </c>
      <c r="G67" s="1551">
        <f>G65-F67</f>
        <v>1800.3333333333335</v>
      </c>
      <c r="H67" s="449"/>
      <c r="I67" s="1553" t="s">
        <v>135</v>
      </c>
      <c r="J67" s="1551" t="s">
        <v>135</v>
      </c>
      <c r="K67" s="41"/>
    </row>
    <row r="68" spans="1:24">
      <c r="B68" s="38"/>
      <c r="C68" s="38"/>
      <c r="D68" s="38"/>
      <c r="F68" s="38"/>
      <c r="G68" s="38"/>
      <c r="I68" s="38"/>
      <c r="J68" s="38"/>
    </row>
    <row r="77" spans="1:24">
      <c r="B77" s="133"/>
      <c r="C77" s="133"/>
      <c r="D77" s="133"/>
      <c r="F77" s="133"/>
      <c r="G77" s="133"/>
      <c r="H77" s="133"/>
      <c r="I77" s="133"/>
      <c r="J77" s="133"/>
    </row>
    <row r="78" spans="1:24" ht="15.75">
      <c r="A78" s="44"/>
      <c r="B78" s="2292" t="s">
        <v>8506</v>
      </c>
      <c r="C78" s="2102"/>
      <c r="D78" s="2103"/>
      <c r="E78" s="1544"/>
      <c r="F78" s="2292" t="s">
        <v>8507</v>
      </c>
      <c r="G78" s="2102"/>
      <c r="H78" s="1545"/>
      <c r="I78" s="2292" t="s">
        <v>8508</v>
      </c>
      <c r="J78" s="2102"/>
      <c r="K78" s="578"/>
      <c r="L78" s="1580" t="s">
        <v>8557</v>
      </c>
      <c r="M78" s="1581" t="s">
        <v>8557</v>
      </c>
      <c r="N78" s="1581" t="s">
        <v>8557</v>
      </c>
      <c r="O78" s="1581" t="s">
        <v>8557</v>
      </c>
      <c r="P78" s="1580" t="s">
        <v>8557</v>
      </c>
      <c r="Q78" s="133"/>
      <c r="R78" s="133"/>
      <c r="S78" s="133"/>
      <c r="T78" s="133"/>
      <c r="U78" s="133"/>
      <c r="W78" s="9" t="s">
        <v>8558</v>
      </c>
    </row>
    <row r="79" spans="1:24" ht="15.75">
      <c r="A79" s="44"/>
      <c r="B79" s="1546" t="s">
        <v>3278</v>
      </c>
      <c r="C79" s="2293" t="s">
        <v>8559</v>
      </c>
      <c r="D79" s="2103"/>
      <c r="E79" s="1547"/>
      <c r="F79" s="2293" t="s">
        <v>135</v>
      </c>
      <c r="G79" s="2103"/>
      <c r="H79" s="1548"/>
      <c r="I79" s="2293"/>
      <c r="J79" s="2103"/>
      <c r="K79" s="41"/>
      <c r="L79" s="44"/>
      <c r="M79" s="2292" t="s">
        <v>8506</v>
      </c>
      <c r="N79" s="2102"/>
      <c r="O79" s="2103"/>
      <c r="P79" s="1544"/>
      <c r="Q79" s="2292" t="s">
        <v>8507</v>
      </c>
      <c r="R79" s="2102"/>
      <c r="S79" s="1545"/>
      <c r="T79" s="2292" t="s">
        <v>8508</v>
      </c>
      <c r="U79" s="2102"/>
      <c r="W79" s="9" t="s">
        <v>8560</v>
      </c>
      <c r="X79" s="9">
        <v>180</v>
      </c>
    </row>
    <row r="80" spans="1:24" ht="31.5">
      <c r="A80" s="44"/>
      <c r="B80" s="1549" t="s">
        <v>8525</v>
      </c>
      <c r="C80" s="1550">
        <v>49900</v>
      </c>
      <c r="D80" s="1551" t="s">
        <v>8526</v>
      </c>
      <c r="E80" s="1549" t="s">
        <v>135</v>
      </c>
      <c r="F80" s="1550">
        <f>C80</f>
        <v>49900</v>
      </c>
      <c r="G80" s="1551" t="s">
        <v>8526</v>
      </c>
      <c r="H80" s="449"/>
      <c r="I80" s="1550">
        <f>C80</f>
        <v>49900</v>
      </c>
      <c r="J80" s="1551" t="s">
        <v>8526</v>
      </c>
      <c r="K80" s="41"/>
      <c r="L80" s="44"/>
      <c r="M80" s="1546" t="s">
        <v>3278</v>
      </c>
      <c r="N80" s="2293" t="s">
        <v>8561</v>
      </c>
      <c r="O80" s="2103"/>
      <c r="P80" s="1547"/>
      <c r="Q80" s="2293"/>
      <c r="R80" s="2103"/>
      <c r="S80" s="1548"/>
      <c r="T80" s="2293"/>
      <c r="U80" s="2103"/>
      <c r="V80" s="41"/>
      <c r="W80" s="9" t="s">
        <v>8562</v>
      </c>
      <c r="X80" s="9">
        <v>168</v>
      </c>
    </row>
    <row r="81" spans="1:25" ht="30">
      <c r="A81" s="44"/>
      <c r="B81" s="1549" t="s">
        <v>8528</v>
      </c>
      <c r="C81" s="1550">
        <v>45000</v>
      </c>
      <c r="D81" s="1552">
        <f>C81/C80</f>
        <v>0.90180360721442887</v>
      </c>
      <c r="E81" s="1549" t="s">
        <v>135</v>
      </c>
      <c r="F81" s="1550">
        <f>C81</f>
        <v>45000</v>
      </c>
      <c r="G81" s="1552">
        <f>F81/F80</f>
        <v>0.90180360721442887</v>
      </c>
      <c r="H81" s="449"/>
      <c r="I81" s="1550">
        <f>C81</f>
        <v>45000</v>
      </c>
      <c r="J81" s="1552">
        <f>I81/I80</f>
        <v>0.90180360721442887</v>
      </c>
      <c r="K81" s="41"/>
      <c r="L81" s="44"/>
      <c r="M81" s="1549" t="s">
        <v>8525</v>
      </c>
      <c r="N81" s="1550">
        <v>50000</v>
      </c>
      <c r="O81" s="1551" t="s">
        <v>8526</v>
      </c>
      <c r="P81" s="1549" t="s">
        <v>135</v>
      </c>
      <c r="Q81" s="1550">
        <f>N81</f>
        <v>50000</v>
      </c>
      <c r="R81" s="1551" t="s">
        <v>8526</v>
      </c>
      <c r="S81" s="449"/>
      <c r="T81" s="1550">
        <f>N81</f>
        <v>50000</v>
      </c>
      <c r="U81" s="1551" t="s">
        <v>8526</v>
      </c>
      <c r="V81" s="41"/>
      <c r="W81" s="9" t="s">
        <v>25</v>
      </c>
      <c r="X81" s="9">
        <v>165</v>
      </c>
    </row>
    <row r="82" spans="1:25" ht="60">
      <c r="A82" s="44"/>
      <c r="B82" s="1549" t="s">
        <v>8530</v>
      </c>
      <c r="C82" s="1550">
        <v>2300</v>
      </c>
      <c r="D82" s="1553"/>
      <c r="E82" s="1549"/>
      <c r="F82" s="1550">
        <f>C82</f>
        <v>2300</v>
      </c>
      <c r="G82" s="1553"/>
      <c r="H82" s="449"/>
      <c r="I82" s="1550">
        <f>C82</f>
        <v>2300</v>
      </c>
      <c r="J82" s="1553"/>
      <c r="K82" s="41"/>
      <c r="L82" s="44"/>
      <c r="M82" s="1549" t="s">
        <v>8528</v>
      </c>
      <c r="N82" s="1550">
        <v>42500</v>
      </c>
      <c r="O82" s="1552">
        <f>N82/N81</f>
        <v>0.85</v>
      </c>
      <c r="P82" s="1549" t="s">
        <v>135</v>
      </c>
      <c r="Q82" s="1550">
        <f>N82</f>
        <v>42500</v>
      </c>
      <c r="R82" s="1552">
        <f>Q82/Q81</f>
        <v>0.85</v>
      </c>
      <c r="S82" s="449"/>
      <c r="T82" s="1550">
        <f>N82</f>
        <v>42500</v>
      </c>
      <c r="U82" s="1552">
        <f>T82/T81</f>
        <v>0.85</v>
      </c>
      <c r="V82" s="41"/>
      <c r="W82" s="9" t="s">
        <v>24</v>
      </c>
      <c r="X82" s="9">
        <v>152</v>
      </c>
    </row>
    <row r="83" spans="1:25" ht="30.75">
      <c r="A83" s="44"/>
      <c r="B83" s="1549" t="s">
        <v>8532</v>
      </c>
      <c r="C83" s="1582">
        <v>3.2500000000000001E-2</v>
      </c>
      <c r="D83" s="1550">
        <f>C81*C84</f>
        <v>11250</v>
      </c>
      <c r="E83" s="1549" t="s">
        <v>135</v>
      </c>
      <c r="F83" s="1552">
        <v>0.03</v>
      </c>
      <c r="G83" s="1550">
        <f>F81*F84</f>
        <v>11250</v>
      </c>
      <c r="H83" s="449"/>
      <c r="I83" s="1552" t="s">
        <v>135</v>
      </c>
      <c r="J83" s="1550" t="s">
        <v>135</v>
      </c>
      <c r="K83" s="41"/>
      <c r="L83" s="44"/>
      <c r="M83" s="1549" t="s">
        <v>8530</v>
      </c>
      <c r="N83" s="1550">
        <v>3000</v>
      </c>
      <c r="O83" s="1553"/>
      <c r="P83" s="1549"/>
      <c r="Q83" s="1550">
        <f>N83</f>
        <v>3000</v>
      </c>
      <c r="R83" s="1553"/>
      <c r="S83" s="449"/>
      <c r="T83" s="1550">
        <f>N83</f>
        <v>3000</v>
      </c>
      <c r="U83" s="1553"/>
      <c r="V83" s="41"/>
      <c r="W83" s="9" t="s">
        <v>23</v>
      </c>
      <c r="X83" s="9">
        <v>128</v>
      </c>
    </row>
    <row r="84" spans="1:25" ht="45">
      <c r="A84" s="44"/>
      <c r="B84" s="1549" t="s">
        <v>8534</v>
      </c>
      <c r="C84" s="1554">
        <v>0.25</v>
      </c>
      <c r="D84" s="1550">
        <f>(C81*C84)+C82</f>
        <v>13550</v>
      </c>
      <c r="E84" s="1549" t="s">
        <v>135</v>
      </c>
      <c r="F84" s="1554">
        <v>0.25</v>
      </c>
      <c r="G84" s="1550">
        <f>(F81*F84)+F82</f>
        <v>13550</v>
      </c>
      <c r="H84" s="449"/>
      <c r="I84" s="1554" t="s">
        <v>135</v>
      </c>
      <c r="J84" s="1550" t="s">
        <v>135</v>
      </c>
      <c r="K84" s="41"/>
      <c r="L84" s="44"/>
      <c r="M84" s="1549" t="s">
        <v>8532</v>
      </c>
      <c r="N84" s="1552">
        <v>0.06</v>
      </c>
      <c r="O84" s="1550">
        <f>N82*N85</f>
        <v>0</v>
      </c>
      <c r="P84" s="1549" t="s">
        <v>135</v>
      </c>
      <c r="Q84" s="1552">
        <v>0.06</v>
      </c>
      <c r="R84" s="1550">
        <f>Q82*Q85</f>
        <v>0</v>
      </c>
      <c r="S84" s="449"/>
      <c r="T84" s="1552" t="s">
        <v>135</v>
      </c>
      <c r="U84" s="1550" t="s">
        <v>135</v>
      </c>
      <c r="V84" s="41"/>
      <c r="W84" s="9" t="s">
        <v>22</v>
      </c>
      <c r="X84" s="9">
        <v>137</v>
      </c>
    </row>
    <row r="85" spans="1:25" ht="60.75">
      <c r="A85" s="44"/>
      <c r="B85" s="1549" t="s">
        <v>8535</v>
      </c>
      <c r="C85" s="1550">
        <v>3870</v>
      </c>
      <c r="D85" s="1555">
        <f>D84+C85</f>
        <v>17420</v>
      </c>
      <c r="E85" s="1549"/>
      <c r="F85" s="1550">
        <f>C85</f>
        <v>3870</v>
      </c>
      <c r="G85" s="1555">
        <f>G84+F85</f>
        <v>17420</v>
      </c>
      <c r="H85" s="449"/>
      <c r="I85" s="1550" t="s">
        <v>135</v>
      </c>
      <c r="J85" s="1556">
        <f>I82+I81</f>
        <v>47300</v>
      </c>
      <c r="K85" s="41"/>
      <c r="L85" s="44"/>
      <c r="M85" s="1549" t="s">
        <v>8534</v>
      </c>
      <c r="N85" s="1554">
        <v>0</v>
      </c>
      <c r="O85" s="1550">
        <f>(N82*N85)+N83</f>
        <v>3000</v>
      </c>
      <c r="P85" s="1549" t="s">
        <v>135</v>
      </c>
      <c r="Q85" s="1554">
        <v>0</v>
      </c>
      <c r="R85" s="1550">
        <f>(Q82*Q85)+Q83</f>
        <v>3000</v>
      </c>
      <c r="S85" s="449"/>
      <c r="T85" s="1554" t="s">
        <v>135</v>
      </c>
      <c r="U85" s="1550" t="s">
        <v>135</v>
      </c>
      <c r="V85" s="41"/>
      <c r="W85" s="9" t="s">
        <v>21</v>
      </c>
      <c r="X85" s="9">
        <v>151</v>
      </c>
    </row>
    <row r="86" spans="1:25" ht="75.75">
      <c r="A86" s="44"/>
      <c r="B86" s="1557" t="s">
        <v>8536</v>
      </c>
      <c r="C86" s="1558">
        <f>C81-D83</f>
        <v>33750</v>
      </c>
      <c r="D86" s="1559">
        <f>-PMT(C83/12,30*12,C86)</f>
        <v>146.88213268692846</v>
      </c>
      <c r="E86" s="1549"/>
      <c r="F86" s="1558">
        <f>C86</f>
        <v>33750</v>
      </c>
      <c r="G86" s="1559">
        <f>-PMT(F83/12,15*12,F86)</f>
        <v>233.07130359382165</v>
      </c>
      <c r="H86" s="449"/>
      <c r="I86" s="1558">
        <v>0</v>
      </c>
      <c r="J86" s="1559">
        <v>0</v>
      </c>
      <c r="K86" s="41"/>
      <c r="L86" s="44"/>
      <c r="M86" s="1549" t="s">
        <v>8535</v>
      </c>
      <c r="N86" s="1550">
        <v>3500</v>
      </c>
      <c r="O86" s="1555">
        <f>O85+N86</f>
        <v>6500</v>
      </c>
      <c r="P86" s="1549"/>
      <c r="Q86" s="1550">
        <f>N86</f>
        <v>3500</v>
      </c>
      <c r="R86" s="1555">
        <f>R85+Q86</f>
        <v>6500</v>
      </c>
      <c r="S86" s="449"/>
      <c r="T86" s="1550" t="s">
        <v>135</v>
      </c>
      <c r="U86" s="1556">
        <f>T83+T82</f>
        <v>45500</v>
      </c>
      <c r="V86" s="41"/>
      <c r="W86" s="9" t="s">
        <v>20</v>
      </c>
      <c r="X86" s="9">
        <v>145</v>
      </c>
    </row>
    <row r="87" spans="1:25" ht="60">
      <c r="A87" s="44"/>
      <c r="B87" s="1557" t="s">
        <v>7878</v>
      </c>
      <c r="C87" s="1558">
        <v>861</v>
      </c>
      <c r="D87" s="1559">
        <f>C87/12</f>
        <v>71.75</v>
      </c>
      <c r="E87" s="1549" t="s">
        <v>135</v>
      </c>
      <c r="F87" s="1558">
        <f>C87</f>
        <v>861</v>
      </c>
      <c r="G87" s="1559">
        <f>F87/12</f>
        <v>71.75</v>
      </c>
      <c r="H87" s="449"/>
      <c r="I87" s="1558">
        <f>C87</f>
        <v>861</v>
      </c>
      <c r="J87" s="1559">
        <f>I87/12</f>
        <v>71.75</v>
      </c>
      <c r="K87" s="41"/>
      <c r="L87" s="44"/>
      <c r="M87" s="1557" t="s">
        <v>8536</v>
      </c>
      <c r="N87" s="1558">
        <v>43636</v>
      </c>
      <c r="O87" s="1559">
        <v>262</v>
      </c>
      <c r="P87" s="1549"/>
      <c r="Q87" s="1558">
        <f>N87</f>
        <v>43636</v>
      </c>
      <c r="R87" s="1559">
        <v>379.74</v>
      </c>
      <c r="S87" s="449"/>
      <c r="T87" s="1558">
        <v>0</v>
      </c>
      <c r="U87" s="1559">
        <v>0</v>
      </c>
      <c r="V87" s="41"/>
      <c r="W87" s="9" t="s">
        <v>256</v>
      </c>
      <c r="X87" s="9">
        <v>138</v>
      </c>
    </row>
    <row r="88" spans="1:25" ht="30">
      <c r="A88" s="44"/>
      <c r="B88" s="1557" t="s">
        <v>4822</v>
      </c>
      <c r="C88" s="1561">
        <v>397</v>
      </c>
      <c r="D88" s="1559">
        <f>C88/12</f>
        <v>33.083333333333336</v>
      </c>
      <c r="E88" s="1549" t="s">
        <v>135</v>
      </c>
      <c r="F88" s="1561">
        <f>C88</f>
        <v>397</v>
      </c>
      <c r="G88" s="1559">
        <f>F88/12</f>
        <v>33.083333333333336</v>
      </c>
      <c r="H88" s="449"/>
      <c r="I88" s="1561">
        <f>C88</f>
        <v>397</v>
      </c>
      <c r="J88" s="1559">
        <f>I88/12</f>
        <v>33.083333333333336</v>
      </c>
      <c r="K88" s="41"/>
      <c r="L88" s="44"/>
      <c r="M88" s="1557" t="s">
        <v>7878</v>
      </c>
      <c r="N88" s="1558">
        <v>1607</v>
      </c>
      <c r="O88" s="1559">
        <f>N88/12</f>
        <v>133.91666666666666</v>
      </c>
      <c r="P88" s="1549" t="s">
        <v>135</v>
      </c>
      <c r="Q88" s="1558">
        <f>N88</f>
        <v>1607</v>
      </c>
      <c r="R88" s="1559">
        <f>Q88/12</f>
        <v>133.91666666666666</v>
      </c>
      <c r="S88" s="449"/>
      <c r="T88" s="1558">
        <f>N88</f>
        <v>1607</v>
      </c>
      <c r="U88" s="1559">
        <f>T88/12</f>
        <v>133.91666666666666</v>
      </c>
      <c r="V88" s="41"/>
      <c r="W88" s="9" t="s">
        <v>18</v>
      </c>
      <c r="X88" s="9">
        <v>118</v>
      </c>
    </row>
    <row r="89" spans="1:25" ht="30">
      <c r="A89" s="44"/>
      <c r="B89" s="1557" t="s">
        <v>8538</v>
      </c>
      <c r="C89" s="1561">
        <v>0</v>
      </c>
      <c r="D89" s="1559">
        <f>C89</f>
        <v>0</v>
      </c>
      <c r="E89" s="1549" t="s">
        <v>135</v>
      </c>
      <c r="F89" s="1561">
        <v>0</v>
      </c>
      <c r="G89" s="1559">
        <f>F89</f>
        <v>0</v>
      </c>
      <c r="H89" s="449"/>
      <c r="I89" s="1561">
        <v>0</v>
      </c>
      <c r="J89" s="1559">
        <f>I89</f>
        <v>0</v>
      </c>
      <c r="K89" s="41"/>
      <c r="L89" s="44"/>
      <c r="M89" s="1557" t="s">
        <v>4822</v>
      </c>
      <c r="N89" s="1561">
        <v>400</v>
      </c>
      <c r="O89" s="1559">
        <f>N89/12</f>
        <v>33.333333333333336</v>
      </c>
      <c r="P89" s="1549" t="s">
        <v>135</v>
      </c>
      <c r="Q89" s="1561">
        <f>N89</f>
        <v>400</v>
      </c>
      <c r="R89" s="1559">
        <f>Q89/12</f>
        <v>33.333333333333336</v>
      </c>
      <c r="S89" s="449"/>
      <c r="T89" s="1561">
        <f>N89</f>
        <v>400</v>
      </c>
      <c r="U89" s="1559">
        <f>T89/12</f>
        <v>33.333333333333336</v>
      </c>
      <c r="V89" s="41"/>
      <c r="W89" s="9" t="s">
        <v>17</v>
      </c>
      <c r="X89" s="9">
        <v>146</v>
      </c>
    </row>
    <row r="90" spans="1:25" ht="60">
      <c r="A90" s="44"/>
      <c r="B90" s="1557" t="s">
        <v>7887</v>
      </c>
      <c r="C90" s="1561">
        <v>0</v>
      </c>
      <c r="D90" s="1559">
        <f>C90</f>
        <v>0</v>
      </c>
      <c r="E90" s="1549"/>
      <c r="F90" s="1561">
        <v>0</v>
      </c>
      <c r="G90" s="1559">
        <f>F90</f>
        <v>0</v>
      </c>
      <c r="H90" s="449"/>
      <c r="I90" s="1561">
        <v>0</v>
      </c>
      <c r="J90" s="1559">
        <f>I90</f>
        <v>0</v>
      </c>
      <c r="K90" s="41"/>
      <c r="L90" s="44"/>
      <c r="M90" s="1557" t="s">
        <v>8538</v>
      </c>
      <c r="N90" s="1561">
        <v>0</v>
      </c>
      <c r="O90" s="1559">
        <f>N90</f>
        <v>0</v>
      </c>
      <c r="P90" s="1549" t="s">
        <v>135</v>
      </c>
      <c r="Q90" s="1561">
        <v>0</v>
      </c>
      <c r="R90" s="1559">
        <f>Q90</f>
        <v>0</v>
      </c>
      <c r="S90" s="449"/>
      <c r="T90" s="1561">
        <v>0</v>
      </c>
      <c r="U90" s="1559">
        <f>T90</f>
        <v>0</v>
      </c>
      <c r="V90" s="41"/>
      <c r="W90" s="9" t="s">
        <v>86</v>
      </c>
      <c r="X90" s="9">
        <v>178</v>
      </c>
    </row>
    <row r="91" spans="1:25" ht="15.75">
      <c r="A91" s="44"/>
      <c r="B91" s="1562" t="s">
        <v>8541</v>
      </c>
      <c r="C91" s="1564">
        <f>C81/(C92*12)</f>
        <v>4.8076923076923075</v>
      </c>
      <c r="D91" s="1564">
        <f>D86+D87+D88+D89+D90</f>
        <v>251.7154660202618</v>
      </c>
      <c r="E91" s="1549" t="s">
        <v>135</v>
      </c>
      <c r="F91" s="1565"/>
      <c r="G91" s="1564">
        <f>G86+G87+G88+G89+G90</f>
        <v>337.90463692715497</v>
      </c>
      <c r="H91" s="449"/>
      <c r="I91" s="1565"/>
      <c r="J91" s="1564">
        <f>J86+J87+J88+J89+J90</f>
        <v>104.83333333333334</v>
      </c>
      <c r="K91" s="41"/>
      <c r="L91" s="44"/>
      <c r="M91" s="1557" t="s">
        <v>7887</v>
      </c>
      <c r="N91" s="1561">
        <v>0</v>
      </c>
      <c r="O91" s="1559">
        <f>N91</f>
        <v>0</v>
      </c>
      <c r="P91" s="1549"/>
      <c r="Q91" s="1561">
        <v>0</v>
      </c>
      <c r="R91" s="1559">
        <f>Q91</f>
        <v>0</v>
      </c>
      <c r="S91" s="449"/>
      <c r="T91" s="1561">
        <v>0</v>
      </c>
      <c r="U91" s="1559">
        <f>T91</f>
        <v>0</v>
      </c>
      <c r="V91" s="41"/>
      <c r="W91" s="9" t="s">
        <v>4392</v>
      </c>
      <c r="X91" s="9">
        <f>AVERAGE(X79:X90)</f>
        <v>150.5</v>
      </c>
    </row>
    <row r="92" spans="1:25" ht="63">
      <c r="A92" s="44"/>
      <c r="B92" s="1566" t="s">
        <v>8542</v>
      </c>
      <c r="C92" s="1567">
        <v>780</v>
      </c>
      <c r="D92" s="1568">
        <f>C92</f>
        <v>780</v>
      </c>
      <c r="E92" s="1547"/>
      <c r="F92" s="1567">
        <f>C92</f>
        <v>780</v>
      </c>
      <c r="G92" s="1568">
        <f>F92</f>
        <v>780</v>
      </c>
      <c r="H92" s="449"/>
      <c r="I92" s="1567">
        <f>C92</f>
        <v>780</v>
      </c>
      <c r="J92" s="1568">
        <f>I92</f>
        <v>780</v>
      </c>
      <c r="K92" s="41"/>
      <c r="L92" s="44"/>
      <c r="M92" s="1562" t="s">
        <v>8541</v>
      </c>
      <c r="N92" s="1564">
        <f>N82/(N93*12)</f>
        <v>3.0141843971631204</v>
      </c>
      <c r="O92" s="1564">
        <f>O87+O88+O89+O90+O91</f>
        <v>429.24999999999994</v>
      </c>
      <c r="P92" s="1549" t="s">
        <v>135</v>
      </c>
      <c r="Q92" s="1565"/>
      <c r="R92" s="1564">
        <f>R87+R88+R89+R90+R91</f>
        <v>546.99</v>
      </c>
      <c r="S92" s="449"/>
      <c r="T92" s="1565"/>
      <c r="U92" s="1564">
        <f>U87+U88+U89+U90+U91</f>
        <v>167.25</v>
      </c>
      <c r="V92" s="41"/>
      <c r="W92" s="9" t="s">
        <v>135</v>
      </c>
      <c r="X92" s="9">
        <v>110</v>
      </c>
      <c r="Y92" s="9">
        <v>60</v>
      </c>
    </row>
    <row r="93" spans="1:25" ht="60.75">
      <c r="A93" s="1569"/>
      <c r="B93" s="1570" t="s">
        <v>8544</v>
      </c>
      <c r="C93" s="1573" t="s">
        <v>135</v>
      </c>
      <c r="D93" s="1571">
        <f>D92-D91</f>
        <v>528.28453397973817</v>
      </c>
      <c r="E93" s="1572" t="s">
        <v>135</v>
      </c>
      <c r="F93" s="1573" t="s">
        <v>135</v>
      </c>
      <c r="G93" s="1571">
        <f>G92-G91</f>
        <v>442.09536307284503</v>
      </c>
      <c r="H93" s="449"/>
      <c r="I93" s="1573" t="s">
        <v>135</v>
      </c>
      <c r="J93" s="1571">
        <f>J92-J91</f>
        <v>675.16666666666663</v>
      </c>
      <c r="K93" s="41"/>
      <c r="L93" s="44"/>
      <c r="M93" s="1566" t="s">
        <v>8542</v>
      </c>
      <c r="N93" s="1567">
        <v>1175</v>
      </c>
      <c r="O93" s="1568">
        <f>N93</f>
        <v>1175</v>
      </c>
      <c r="P93" s="1547"/>
      <c r="Q93" s="1567">
        <f>N93</f>
        <v>1175</v>
      </c>
      <c r="R93" s="1568">
        <f>Q93</f>
        <v>1175</v>
      </c>
      <c r="S93" s="449"/>
      <c r="T93" s="1567">
        <f>N93</f>
        <v>1175</v>
      </c>
      <c r="U93" s="1568">
        <f>T93</f>
        <v>1175</v>
      </c>
      <c r="V93" s="41"/>
      <c r="W93" s="9" t="s">
        <v>8552</v>
      </c>
      <c r="X93" s="9" t="s">
        <v>8563</v>
      </c>
      <c r="Y93" s="9">
        <v>120</v>
      </c>
    </row>
    <row r="94" spans="1:25" ht="63">
      <c r="A94" s="44"/>
      <c r="B94" s="1574" t="s">
        <v>8546</v>
      </c>
      <c r="C94" s="1575">
        <f>D85/D93</f>
        <v>32.974654527115355</v>
      </c>
      <c r="D94" s="1576">
        <f>D93*12/D85</f>
        <v>0.36391586726503206</v>
      </c>
      <c r="E94" s="1547" t="s">
        <v>135</v>
      </c>
      <c r="F94" s="1575">
        <f>G85/G93</f>
        <v>39.403263311607425</v>
      </c>
      <c r="G94" s="1576">
        <f>G93*12/G85</f>
        <v>0.30454330406854996</v>
      </c>
      <c r="H94" s="449"/>
      <c r="I94" s="1575">
        <f>J85/J93</f>
        <v>70.056776104665516</v>
      </c>
      <c r="J94" s="1576">
        <f>J93*12/J85</f>
        <v>0.17128964059196616</v>
      </c>
      <c r="K94" s="41"/>
      <c r="L94" s="1569"/>
      <c r="M94" s="1570" t="s">
        <v>8544</v>
      </c>
      <c r="N94" s="1571" t="s">
        <v>135</v>
      </c>
      <c r="O94" s="1571">
        <f>O93-O92</f>
        <v>745.75</v>
      </c>
      <c r="P94" s="1572" t="s">
        <v>135</v>
      </c>
      <c r="Q94" s="1573" t="s">
        <v>135</v>
      </c>
      <c r="R94" s="1571">
        <f>R93-R92</f>
        <v>628.01</v>
      </c>
      <c r="S94" s="449"/>
      <c r="T94" s="1573" t="s">
        <v>135</v>
      </c>
      <c r="U94" s="1571">
        <f>U93-U92</f>
        <v>1007.75</v>
      </c>
      <c r="V94" s="41"/>
      <c r="X94" s="9">
        <v>60</v>
      </c>
      <c r="Y94" s="9">
        <v>40</v>
      </c>
    </row>
    <row r="95" spans="1:25" ht="60.75">
      <c r="A95" s="1583"/>
      <c r="B95" s="1584" t="s">
        <v>8564</v>
      </c>
      <c r="C95" s="1585">
        <v>0</v>
      </c>
      <c r="D95" s="1586">
        <f>D92*C95</f>
        <v>0</v>
      </c>
      <c r="E95" s="1574" t="s">
        <v>135</v>
      </c>
      <c r="F95" s="1585">
        <f>C95</f>
        <v>0</v>
      </c>
      <c r="G95" s="1586">
        <f>G92*F95</f>
        <v>0</v>
      </c>
      <c r="H95" s="449"/>
      <c r="I95" s="1585">
        <f>C95</f>
        <v>0</v>
      </c>
      <c r="J95" s="1586">
        <f>J92*I95</f>
        <v>0</v>
      </c>
      <c r="K95" s="1587"/>
      <c r="L95" s="44"/>
      <c r="M95" s="1574" t="s">
        <v>8546</v>
      </c>
      <c r="N95" s="1575">
        <f>O86/O94</f>
        <v>8.7160576600737514</v>
      </c>
      <c r="O95" s="1576">
        <f>O94*12/O86</f>
        <v>1.3767692307692307</v>
      </c>
      <c r="P95" s="1547" t="s">
        <v>135</v>
      </c>
      <c r="Q95" s="1575">
        <f>R86/R94</f>
        <v>10.350153659973568</v>
      </c>
      <c r="R95" s="1576">
        <f>R94*12/R86</f>
        <v>1.159403076923077</v>
      </c>
      <c r="S95" s="449"/>
      <c r="T95" s="1575">
        <f>U86/U94</f>
        <v>45.15008682709005</v>
      </c>
      <c r="U95" s="1576">
        <f>U94*12/U86</f>
        <v>0.26578021978021976</v>
      </c>
      <c r="V95" s="41"/>
      <c r="X95" s="9">
        <v>170</v>
      </c>
      <c r="Y95" s="9">
        <v>100</v>
      </c>
    </row>
    <row r="96" spans="1:25" ht="60">
      <c r="A96" s="1577"/>
      <c r="B96" s="1549" t="s">
        <v>8548</v>
      </c>
      <c r="C96" s="1551">
        <v>0</v>
      </c>
      <c r="D96" s="1551">
        <f>D93-C96</f>
        <v>528.28453397973817</v>
      </c>
      <c r="E96" s="1578"/>
      <c r="F96" s="1551">
        <f>C96</f>
        <v>0</v>
      </c>
      <c r="G96" s="1551">
        <f>G93-F96</f>
        <v>442.09536307284503</v>
      </c>
      <c r="H96" s="449"/>
      <c r="I96" s="1553" t="s">
        <v>135</v>
      </c>
      <c r="J96" s="1551" t="s">
        <v>135</v>
      </c>
      <c r="K96" s="41"/>
      <c r="L96" s="1577"/>
      <c r="M96" s="1549" t="s">
        <v>8548</v>
      </c>
      <c r="N96" s="1553">
        <v>0</v>
      </c>
      <c r="O96" s="1551">
        <f>O94-N96</f>
        <v>745.75</v>
      </c>
      <c r="P96" s="1578"/>
      <c r="Q96" s="1553">
        <f>N96</f>
        <v>0</v>
      </c>
      <c r="R96" s="1551">
        <f>R94-Q96</f>
        <v>628.01</v>
      </c>
      <c r="S96" s="449"/>
      <c r="T96" s="1553" t="s">
        <v>135</v>
      </c>
      <c r="U96" s="1551" t="s">
        <v>135</v>
      </c>
      <c r="V96" s="41"/>
    </row>
    <row r="97" spans="2:21" ht="15">
      <c r="B97" s="38" t="s">
        <v>8565</v>
      </c>
      <c r="C97" s="38"/>
      <c r="D97" s="38"/>
      <c r="E97" s="1588" t="s">
        <v>135</v>
      </c>
      <c r="F97" s="38"/>
      <c r="G97" s="38"/>
      <c r="I97" s="38"/>
      <c r="J97" s="38"/>
      <c r="M97" s="38"/>
      <c r="N97" s="38"/>
      <c r="O97" s="38"/>
      <c r="P97" s="1588" t="s">
        <v>135</v>
      </c>
      <c r="Q97" s="38"/>
      <c r="R97" s="38"/>
      <c r="T97" s="38"/>
      <c r="U97" s="38"/>
    </row>
    <row r="99" spans="2:21" ht="25.5">
      <c r="B99" s="1589" t="s">
        <v>8566</v>
      </c>
      <c r="C99" s="1590" t="s">
        <v>284</v>
      </c>
      <c r="D99" s="1590" t="s">
        <v>8567</v>
      </c>
      <c r="E99" s="1590"/>
      <c r="F99" s="1590" t="s">
        <v>41</v>
      </c>
      <c r="G99" s="888" t="s">
        <v>8568</v>
      </c>
      <c r="J99" s="9" t="s">
        <v>135</v>
      </c>
      <c r="K99" s="578"/>
      <c r="M99" s="1589" t="s">
        <v>8566</v>
      </c>
      <c r="N99" s="1590" t="s">
        <v>284</v>
      </c>
      <c r="O99" s="1590" t="s">
        <v>8567</v>
      </c>
      <c r="P99" s="1590"/>
      <c r="Q99" s="1590" t="s">
        <v>41</v>
      </c>
      <c r="R99" s="888" t="s">
        <v>8568</v>
      </c>
    </row>
    <row r="100" spans="2:21">
      <c r="B100" s="40" t="s">
        <v>8569</v>
      </c>
      <c r="C100" s="82">
        <v>2.2999999999999998</v>
      </c>
      <c r="D100" s="82">
        <v>150</v>
      </c>
      <c r="F100" s="46">
        <f t="shared" ref="F100:F117" si="2">C100*D100</f>
        <v>345</v>
      </c>
      <c r="G100" s="12">
        <f>299.69+11+29.58</f>
        <v>340.27</v>
      </c>
      <c r="I100" s="9" t="s">
        <v>8570</v>
      </c>
      <c r="M100" s="40" t="s">
        <v>8569</v>
      </c>
      <c r="N100" s="82">
        <v>0</v>
      </c>
      <c r="O100" s="82">
        <v>140</v>
      </c>
      <c r="Q100" s="46">
        <f t="shared" ref="Q100:Q119" si="3">N100*O100</f>
        <v>0</v>
      </c>
      <c r="R100" s="12">
        <v>0</v>
      </c>
    </row>
    <row r="101" spans="2:21">
      <c r="B101" s="40" t="s">
        <v>8571</v>
      </c>
      <c r="C101" s="82">
        <v>0</v>
      </c>
      <c r="D101" s="82">
        <v>300</v>
      </c>
      <c r="F101" s="46">
        <f t="shared" si="2"/>
        <v>0</v>
      </c>
      <c r="G101" s="12"/>
      <c r="M101" s="40" t="s">
        <v>8571</v>
      </c>
      <c r="N101" s="82">
        <v>0</v>
      </c>
      <c r="O101" s="82">
        <v>300</v>
      </c>
      <c r="Q101" s="46">
        <f t="shared" si="3"/>
        <v>0</v>
      </c>
      <c r="R101" s="12"/>
      <c r="T101" s="888" t="s">
        <v>135</v>
      </c>
    </row>
    <row r="102" spans="2:21" ht="25.5">
      <c r="B102" s="40" t="s">
        <v>8572</v>
      </c>
      <c r="C102" s="82">
        <v>0</v>
      </c>
      <c r="D102" s="82">
        <v>100</v>
      </c>
      <c r="F102" s="46">
        <f t="shared" si="2"/>
        <v>0</v>
      </c>
      <c r="G102" s="12" t="s">
        <v>135</v>
      </c>
      <c r="M102" s="40" t="s">
        <v>8572</v>
      </c>
      <c r="N102" s="82">
        <v>1240</v>
      </c>
      <c r="O102" s="82">
        <v>0.69</v>
      </c>
      <c r="Q102" s="46">
        <f t="shared" si="3"/>
        <v>855.59999999999991</v>
      </c>
      <c r="R102" s="12">
        <f>4.49+15.96+230.72</f>
        <v>251.17000000000002</v>
      </c>
      <c r="T102" s="9" t="s">
        <v>135</v>
      </c>
    </row>
    <row r="103" spans="2:21" ht="25.5">
      <c r="B103" s="40" t="s">
        <v>8573</v>
      </c>
      <c r="C103" s="82">
        <v>430</v>
      </c>
      <c r="D103" s="82">
        <v>0.69</v>
      </c>
      <c r="F103" s="46">
        <f t="shared" si="2"/>
        <v>296.7</v>
      </c>
      <c r="G103" s="12">
        <v>296.64999999999998</v>
      </c>
      <c r="M103" s="40" t="s">
        <v>8573</v>
      </c>
      <c r="N103" s="82">
        <v>200</v>
      </c>
      <c r="O103" s="82">
        <v>0.69</v>
      </c>
      <c r="Q103" s="46">
        <f t="shared" si="3"/>
        <v>138</v>
      </c>
      <c r="R103" s="12">
        <v>0</v>
      </c>
      <c r="T103" s="9" t="s">
        <v>135</v>
      </c>
    </row>
    <row r="104" spans="2:21" ht="25.5">
      <c r="B104" s="40" t="s">
        <v>8574</v>
      </c>
      <c r="C104" s="82">
        <v>0</v>
      </c>
      <c r="D104" s="82">
        <v>100</v>
      </c>
      <c r="F104" s="46">
        <f t="shared" si="2"/>
        <v>0</v>
      </c>
      <c r="G104" s="12" t="s">
        <v>135</v>
      </c>
      <c r="J104" s="16" t="s">
        <v>135</v>
      </c>
      <c r="M104" s="40" t="s">
        <v>8574</v>
      </c>
      <c r="N104" s="82">
        <v>0</v>
      </c>
      <c r="O104" s="82">
        <v>100</v>
      </c>
      <c r="Q104" s="46">
        <f t="shared" si="3"/>
        <v>0</v>
      </c>
      <c r="R104" s="12" t="s">
        <v>135</v>
      </c>
      <c r="T104" s="9" t="s">
        <v>135</v>
      </c>
      <c r="U104" s="16"/>
    </row>
    <row r="105" spans="2:21">
      <c r="B105" s="40" t="s">
        <v>2380</v>
      </c>
      <c r="C105" s="82">
        <v>1</v>
      </c>
      <c r="D105" s="82">
        <v>15</v>
      </c>
      <c r="F105" s="46">
        <f t="shared" si="2"/>
        <v>15</v>
      </c>
      <c r="G105" s="12"/>
      <c r="I105" s="9" t="s">
        <v>8575</v>
      </c>
      <c r="J105" s="9" t="s">
        <v>3341</v>
      </c>
      <c r="M105" s="40" t="s">
        <v>2380</v>
      </c>
      <c r="N105" s="82">
        <v>0</v>
      </c>
      <c r="O105" s="82">
        <v>15</v>
      </c>
      <c r="Q105" s="46">
        <f t="shared" si="3"/>
        <v>0</v>
      </c>
      <c r="R105" s="12"/>
    </row>
    <row r="106" spans="2:21">
      <c r="B106" s="40" t="s">
        <v>8441</v>
      </c>
      <c r="C106" s="82">
        <v>0</v>
      </c>
      <c r="D106" s="82">
        <v>100</v>
      </c>
      <c r="F106" s="46">
        <f t="shared" si="2"/>
        <v>0</v>
      </c>
      <c r="G106" s="12" t="s">
        <v>135</v>
      </c>
      <c r="I106" s="9" t="s">
        <v>135</v>
      </c>
      <c r="J106" s="9" t="s">
        <v>135</v>
      </c>
      <c r="M106" s="40" t="s">
        <v>8441</v>
      </c>
      <c r="N106" s="82">
        <v>0</v>
      </c>
      <c r="O106" s="82">
        <v>100</v>
      </c>
      <c r="Q106" s="46">
        <f t="shared" si="3"/>
        <v>0</v>
      </c>
      <c r="R106" s="12" t="s">
        <v>135</v>
      </c>
    </row>
    <row r="107" spans="2:21" ht="25.5">
      <c r="B107" s="40" t="s">
        <v>7685</v>
      </c>
      <c r="C107" s="82">
        <v>19</v>
      </c>
      <c r="D107" s="82">
        <v>35</v>
      </c>
      <c r="F107" s="46">
        <f t="shared" si="2"/>
        <v>665</v>
      </c>
      <c r="G107" s="12">
        <f>247.26+260+150</f>
        <v>657.26</v>
      </c>
      <c r="M107" s="40" t="s">
        <v>8576</v>
      </c>
      <c r="N107" s="82">
        <v>2</v>
      </c>
      <c r="O107" s="82">
        <v>200</v>
      </c>
      <c r="Q107" s="46">
        <f t="shared" si="3"/>
        <v>400</v>
      </c>
      <c r="R107" s="12">
        <f>7.43+2.67+3.58+126.49</f>
        <v>140.16999999999999</v>
      </c>
    </row>
    <row r="108" spans="2:21" ht="25.5">
      <c r="B108" s="40" t="s">
        <v>8577</v>
      </c>
      <c r="C108" s="82">
        <v>0</v>
      </c>
      <c r="D108" s="82">
        <v>10</v>
      </c>
      <c r="F108" s="46">
        <f t="shared" si="2"/>
        <v>0</v>
      </c>
      <c r="G108" s="12"/>
      <c r="M108" s="40" t="s">
        <v>8577</v>
      </c>
      <c r="N108" s="82">
        <v>2</v>
      </c>
      <c r="O108" s="82">
        <v>10</v>
      </c>
      <c r="Q108" s="46">
        <f t="shared" si="3"/>
        <v>20</v>
      </c>
      <c r="R108" s="12"/>
    </row>
    <row r="109" spans="2:21" ht="25.5">
      <c r="B109" s="40" t="s">
        <v>8578</v>
      </c>
      <c r="C109" s="82">
        <v>0</v>
      </c>
      <c r="D109" s="82">
        <v>18</v>
      </c>
      <c r="F109" s="46">
        <f t="shared" si="2"/>
        <v>0</v>
      </c>
      <c r="G109" s="12"/>
      <c r="M109" s="40" t="s">
        <v>8578</v>
      </c>
      <c r="N109" s="82">
        <v>0</v>
      </c>
      <c r="O109" s="82">
        <v>18</v>
      </c>
      <c r="Q109" s="46">
        <f t="shared" si="3"/>
        <v>0</v>
      </c>
      <c r="R109" s="12"/>
    </row>
    <row r="110" spans="2:21" ht="38.25">
      <c r="B110" s="40" t="s">
        <v>8579</v>
      </c>
      <c r="C110" s="82">
        <v>2</v>
      </c>
      <c r="D110" s="82">
        <v>120</v>
      </c>
      <c r="F110" s="46">
        <f t="shared" si="2"/>
        <v>240</v>
      </c>
      <c r="G110" s="12">
        <v>220</v>
      </c>
      <c r="I110" s="115" t="s">
        <v>8580</v>
      </c>
      <c r="J110" s="115" t="s">
        <v>8581</v>
      </c>
      <c r="M110" s="40" t="s">
        <v>8579</v>
      </c>
      <c r="N110" s="82">
        <v>2</v>
      </c>
      <c r="O110" s="82">
        <v>120</v>
      </c>
      <c r="Q110" s="46">
        <f t="shared" si="3"/>
        <v>240</v>
      </c>
      <c r="R110" s="12">
        <v>230</v>
      </c>
      <c r="U110" s="16"/>
    </row>
    <row r="111" spans="2:21">
      <c r="B111" s="40" t="s">
        <v>8582</v>
      </c>
      <c r="C111" s="82">
        <v>4</v>
      </c>
      <c r="D111" s="82">
        <v>10</v>
      </c>
      <c r="F111" s="46">
        <f t="shared" si="2"/>
        <v>40</v>
      </c>
      <c r="G111" s="12">
        <f>9.98+22.08</f>
        <v>32.06</v>
      </c>
      <c r="J111" s="16" t="s">
        <v>135</v>
      </c>
      <c r="M111" s="40" t="s">
        <v>8582</v>
      </c>
      <c r="N111" s="82">
        <v>4</v>
      </c>
      <c r="O111" s="82">
        <v>10</v>
      </c>
      <c r="Q111" s="46">
        <f t="shared" si="3"/>
        <v>40</v>
      </c>
      <c r="R111" s="12">
        <v>0</v>
      </c>
    </row>
    <row r="112" spans="2:21" ht="25.5">
      <c r="B112" s="40" t="s">
        <v>8583</v>
      </c>
      <c r="C112" s="82">
        <v>1</v>
      </c>
      <c r="D112" s="82">
        <v>10</v>
      </c>
      <c r="F112" s="46">
        <f t="shared" si="2"/>
        <v>10</v>
      </c>
      <c r="G112" s="12">
        <f>9.48</f>
        <v>9.48</v>
      </c>
      <c r="M112" s="40" t="s">
        <v>8583</v>
      </c>
      <c r="N112" s="82">
        <v>4</v>
      </c>
      <c r="O112" s="82">
        <v>10</v>
      </c>
      <c r="Q112" s="46">
        <f t="shared" si="3"/>
        <v>40</v>
      </c>
      <c r="R112" s="12">
        <v>0</v>
      </c>
    </row>
    <row r="113" spans="1:20" ht="63.75">
      <c r="B113" s="40" t="s">
        <v>8584</v>
      </c>
      <c r="C113" s="82">
        <v>1</v>
      </c>
      <c r="D113" s="82">
        <v>20</v>
      </c>
      <c r="F113" s="46">
        <f t="shared" si="2"/>
        <v>20</v>
      </c>
      <c r="G113" s="12" t="s">
        <v>8585</v>
      </c>
      <c r="I113" s="9" t="s">
        <v>8586</v>
      </c>
      <c r="J113" s="9" t="s">
        <v>6445</v>
      </c>
      <c r="M113" s="40" t="s">
        <v>8587</v>
      </c>
      <c r="N113" s="82">
        <v>2</v>
      </c>
      <c r="O113" s="82">
        <v>20</v>
      </c>
      <c r="Q113" s="46">
        <f t="shared" si="3"/>
        <v>40</v>
      </c>
      <c r="R113" s="12">
        <f>26.98+3.98+3.8</f>
        <v>34.76</v>
      </c>
    </row>
    <row r="114" spans="1:20" ht="38.25">
      <c r="B114" s="40" t="s">
        <v>8588</v>
      </c>
      <c r="C114" s="82">
        <v>0</v>
      </c>
      <c r="D114" s="82">
        <v>20</v>
      </c>
      <c r="F114" s="46">
        <f t="shared" si="2"/>
        <v>0</v>
      </c>
      <c r="G114" s="12"/>
      <c r="M114" s="40" t="s">
        <v>8588</v>
      </c>
      <c r="N114" s="82">
        <v>0</v>
      </c>
      <c r="O114" s="82">
        <v>20</v>
      </c>
      <c r="Q114" s="46">
        <f t="shared" si="3"/>
        <v>0</v>
      </c>
      <c r="R114" s="12"/>
    </row>
    <row r="115" spans="1:20" ht="25.5">
      <c r="B115" s="40" t="s">
        <v>8589</v>
      </c>
      <c r="C115" s="82">
        <v>1</v>
      </c>
      <c r="D115" s="82">
        <v>100</v>
      </c>
      <c r="F115" s="46">
        <f t="shared" si="2"/>
        <v>100</v>
      </c>
      <c r="G115" s="12">
        <f>45.74</f>
        <v>45.74</v>
      </c>
      <c r="M115" s="40" t="s">
        <v>8590</v>
      </c>
      <c r="N115" s="82">
        <v>4</v>
      </c>
      <c r="O115" s="82">
        <v>100</v>
      </c>
      <c r="Q115" s="46">
        <f t="shared" si="3"/>
        <v>400</v>
      </c>
      <c r="R115" s="12">
        <v>100</v>
      </c>
    </row>
    <row r="116" spans="1:20" ht="38.25">
      <c r="B116" s="40" t="s">
        <v>8591</v>
      </c>
      <c r="C116" s="82">
        <v>1.5</v>
      </c>
      <c r="D116" s="82">
        <v>100</v>
      </c>
      <c r="F116" s="46">
        <f t="shared" si="2"/>
        <v>150</v>
      </c>
      <c r="G116" s="12">
        <f>37.8+18</f>
        <v>55.8</v>
      </c>
      <c r="M116" s="40" t="s">
        <v>8592</v>
      </c>
      <c r="N116" s="82">
        <v>5</v>
      </c>
      <c r="O116" s="82">
        <v>100</v>
      </c>
      <c r="Q116" s="46">
        <f t="shared" si="3"/>
        <v>500</v>
      </c>
      <c r="R116" s="12">
        <v>0</v>
      </c>
    </row>
    <row r="117" spans="1:20" ht="25.5">
      <c r="B117" s="40" t="s">
        <v>8593</v>
      </c>
      <c r="C117" s="82">
        <v>11</v>
      </c>
      <c r="D117" s="82">
        <v>10</v>
      </c>
      <c r="F117" s="46">
        <f t="shared" si="2"/>
        <v>110</v>
      </c>
      <c r="G117" s="12">
        <v>107.34</v>
      </c>
      <c r="M117" s="40" t="s">
        <v>8591</v>
      </c>
      <c r="N117" s="82">
        <v>1.5</v>
      </c>
      <c r="O117" s="82">
        <v>100</v>
      </c>
      <c r="Q117" s="46">
        <f t="shared" si="3"/>
        <v>150</v>
      </c>
      <c r="R117" s="12">
        <f>5.83+15.96</f>
        <v>21.79</v>
      </c>
    </row>
    <row r="118" spans="1:20" ht="25.5">
      <c r="B118" s="1589" t="s">
        <v>8594</v>
      </c>
      <c r="C118" s="481"/>
      <c r="D118" s="481"/>
      <c r="F118" s="1591">
        <f>SUM(F100:F117)</f>
        <v>1991.7</v>
      </c>
      <c r="G118" s="1591">
        <f>SUM(G100:G117)</f>
        <v>1764.5999999999997</v>
      </c>
      <c r="M118" s="40" t="s">
        <v>8595</v>
      </c>
      <c r="N118" s="82">
        <v>25</v>
      </c>
      <c r="O118" s="82">
        <v>1</v>
      </c>
      <c r="Q118" s="46">
        <f t="shared" si="3"/>
        <v>25</v>
      </c>
      <c r="R118" s="12"/>
    </row>
    <row r="119" spans="1:20" ht="38.25">
      <c r="A119" s="715"/>
      <c r="B119" s="1592"/>
      <c r="C119" s="715"/>
      <c r="D119" s="715"/>
      <c r="E119" s="715"/>
      <c r="F119" s="1593"/>
      <c r="G119" s="715"/>
      <c r="H119" s="715"/>
      <c r="I119" s="715"/>
      <c r="M119" s="40" t="s">
        <v>8596</v>
      </c>
      <c r="N119" s="82">
        <v>1</v>
      </c>
      <c r="O119" s="82">
        <v>100</v>
      </c>
      <c r="Q119" s="46">
        <f t="shared" si="3"/>
        <v>100</v>
      </c>
      <c r="R119" s="12">
        <v>0</v>
      </c>
    </row>
    <row r="120" spans="1:20" ht="25.5">
      <c r="A120" s="578" t="s">
        <v>3281</v>
      </c>
      <c r="B120" s="578" t="s">
        <v>1127</v>
      </c>
      <c r="C120" s="888" t="s">
        <v>3315</v>
      </c>
      <c r="D120" s="578" t="s">
        <v>7981</v>
      </c>
      <c r="E120" s="9" t="s">
        <v>135</v>
      </c>
      <c r="F120" s="888" t="s">
        <v>8568</v>
      </c>
      <c r="I120" s="888" t="s">
        <v>67</v>
      </c>
      <c r="M120" s="1589" t="s">
        <v>8594</v>
      </c>
      <c r="N120" s="481"/>
      <c r="O120" s="481"/>
      <c r="Q120" s="1591">
        <f>SUM(Q100:Q119)</f>
        <v>2948.6</v>
      </c>
      <c r="R120" s="1591">
        <f>SUM(R100:R119)</f>
        <v>777.89</v>
      </c>
    </row>
    <row r="121" spans="1:20">
      <c r="A121" s="443">
        <v>41149</v>
      </c>
      <c r="B121" s="9" t="s">
        <v>8597</v>
      </c>
      <c r="C121" s="9">
        <v>161.51</v>
      </c>
      <c r="D121" s="9" t="s">
        <v>135</v>
      </c>
      <c r="F121" s="12"/>
      <c r="I121" s="12">
        <f>C121</f>
        <v>161.51</v>
      </c>
    </row>
    <row r="122" spans="1:20">
      <c r="A122" s="443">
        <v>41148</v>
      </c>
      <c r="B122" s="9" t="s">
        <v>8598</v>
      </c>
      <c r="C122" s="9">
        <v>140</v>
      </c>
      <c r="F122" s="12">
        <v>0</v>
      </c>
      <c r="G122" s="9" t="s">
        <v>135</v>
      </c>
      <c r="I122" s="12">
        <f>I121+C122+F122</f>
        <v>301.51</v>
      </c>
    </row>
    <row r="123" spans="1:20">
      <c r="B123" s="578" t="s">
        <v>8599</v>
      </c>
      <c r="C123" s="578">
        <f>SUM(C121:C122)</f>
        <v>301.51</v>
      </c>
      <c r="D123" s="578" t="s">
        <v>135</v>
      </c>
      <c r="E123" s="578"/>
      <c r="F123" s="667">
        <f>SUM(F121:F122)</f>
        <v>0</v>
      </c>
      <c r="G123" s="667">
        <f>F122</f>
        <v>0</v>
      </c>
      <c r="I123" s="12" t="s">
        <v>135</v>
      </c>
      <c r="L123" s="715"/>
      <c r="M123" s="1592"/>
      <c r="N123" s="715"/>
      <c r="O123" s="715"/>
      <c r="P123" s="715"/>
      <c r="Q123" s="1593"/>
      <c r="R123" s="715"/>
      <c r="S123" s="715"/>
      <c r="T123" s="715"/>
    </row>
    <row r="124" spans="1:20" ht="25.5">
      <c r="F124" s="12"/>
      <c r="I124" s="12"/>
      <c r="L124" s="578" t="s">
        <v>3364</v>
      </c>
      <c r="M124" s="578" t="s">
        <v>1127</v>
      </c>
      <c r="N124" s="888" t="s">
        <v>3315</v>
      </c>
      <c r="O124" s="578" t="s">
        <v>7981</v>
      </c>
      <c r="P124" s="9" t="s">
        <v>135</v>
      </c>
      <c r="Q124" s="888" t="s">
        <v>8568</v>
      </c>
      <c r="R124" s="82" t="s">
        <v>67</v>
      </c>
      <c r="T124" s="888" t="s">
        <v>67</v>
      </c>
    </row>
    <row r="125" spans="1:20" ht="51">
      <c r="A125" s="443">
        <v>41153</v>
      </c>
      <c r="B125" s="9" t="s">
        <v>8600</v>
      </c>
      <c r="C125" s="9">
        <v>66.489999999999995</v>
      </c>
      <c r="F125" s="12"/>
      <c r="I125" s="12">
        <f>I122+C125+F125</f>
        <v>368</v>
      </c>
      <c r="L125" s="443">
        <v>41218</v>
      </c>
      <c r="M125" s="9" t="s">
        <v>8601</v>
      </c>
      <c r="N125" s="12"/>
      <c r="O125" s="9">
        <v>2500</v>
      </c>
      <c r="Q125" s="12">
        <v>0</v>
      </c>
      <c r="R125" s="12">
        <f>N125+Q125</f>
        <v>0</v>
      </c>
      <c r="T125" s="12">
        <f>Q125</f>
        <v>0</v>
      </c>
    </row>
    <row r="126" spans="1:20" ht="25.5">
      <c r="A126" s="443">
        <v>41153</v>
      </c>
      <c r="B126" s="9" t="s">
        <v>8602</v>
      </c>
      <c r="C126" s="9">
        <v>2.73</v>
      </c>
      <c r="F126" s="12"/>
      <c r="I126" s="12">
        <f t="shared" ref="I126:I142" si="4">I125+C126+F126</f>
        <v>370.73</v>
      </c>
      <c r="L126" s="443">
        <v>41234</v>
      </c>
      <c r="M126" s="9" t="s">
        <v>8603</v>
      </c>
      <c r="N126" s="12"/>
      <c r="Q126" s="12">
        <v>100</v>
      </c>
      <c r="R126" s="12">
        <f>R125+N126+Q126</f>
        <v>100</v>
      </c>
      <c r="T126" s="12">
        <f>T125+N126+Q126</f>
        <v>100</v>
      </c>
    </row>
    <row r="127" spans="1:20" ht="51">
      <c r="A127" s="443">
        <v>41154</v>
      </c>
      <c r="B127" s="9" t="s">
        <v>8600</v>
      </c>
      <c r="C127" s="9">
        <v>90.86</v>
      </c>
      <c r="F127" s="12"/>
      <c r="I127" s="12">
        <f t="shared" si="4"/>
        <v>461.59000000000003</v>
      </c>
      <c r="L127" s="443">
        <v>41236</v>
      </c>
      <c r="M127" s="9" t="s">
        <v>8604</v>
      </c>
      <c r="N127" s="12">
        <v>88.72</v>
      </c>
      <c r="Q127" s="12"/>
      <c r="R127" s="12">
        <f>R126+N127+Q127</f>
        <v>188.72</v>
      </c>
      <c r="T127" s="12">
        <f>T126+N127+Q127</f>
        <v>188.72</v>
      </c>
    </row>
    <row r="128" spans="1:20" ht="51">
      <c r="A128" s="443">
        <v>41157</v>
      </c>
      <c r="B128" s="578" t="s">
        <v>8605</v>
      </c>
      <c r="C128" s="9">
        <v>0</v>
      </c>
      <c r="D128" s="12">
        <v>1000</v>
      </c>
      <c r="F128" s="12">
        <v>0</v>
      </c>
      <c r="I128" s="12">
        <f t="shared" si="4"/>
        <v>461.59000000000003</v>
      </c>
      <c r="L128" s="443">
        <v>41236</v>
      </c>
      <c r="M128" s="9" t="s">
        <v>8606</v>
      </c>
      <c r="N128" s="12">
        <v>16.190000000000001</v>
      </c>
      <c r="Q128" s="12"/>
      <c r="R128" s="12">
        <f>R127+N128+Q128</f>
        <v>204.91</v>
      </c>
      <c r="T128" s="12">
        <f>T127+N128+Q128</f>
        <v>204.91</v>
      </c>
    </row>
    <row r="129" spans="1:21" ht="25.5">
      <c r="A129" s="443">
        <v>41162</v>
      </c>
      <c r="B129" s="578" t="s">
        <v>8607</v>
      </c>
      <c r="F129" s="12">
        <v>50</v>
      </c>
      <c r="I129" s="12">
        <f t="shared" si="4"/>
        <v>511.59000000000003</v>
      </c>
      <c r="L129" s="443">
        <v>41236</v>
      </c>
      <c r="M129" s="9" t="s">
        <v>8608</v>
      </c>
      <c r="N129" s="12">
        <v>11</v>
      </c>
      <c r="Q129" s="12"/>
      <c r="R129" s="12"/>
      <c r="T129" s="12"/>
    </row>
    <row r="130" spans="1:21">
      <c r="A130" s="443">
        <v>41163</v>
      </c>
      <c r="B130" s="9" t="s">
        <v>8609</v>
      </c>
      <c r="C130" s="9">
        <v>179</v>
      </c>
      <c r="F130" s="12"/>
      <c r="I130" s="12">
        <f t="shared" si="4"/>
        <v>690.59</v>
      </c>
      <c r="L130" s="443">
        <v>41238</v>
      </c>
      <c r="M130" s="9" t="s">
        <v>8610</v>
      </c>
      <c r="N130" s="12">
        <v>2.97</v>
      </c>
      <c r="Q130" s="12"/>
      <c r="R130" s="12">
        <f>R128+N130+Q130</f>
        <v>207.88</v>
      </c>
      <c r="T130" s="12">
        <f>T128+N130+Q130</f>
        <v>207.88</v>
      </c>
    </row>
    <row r="131" spans="1:21" ht="25.5">
      <c r="A131" s="443">
        <v>41164</v>
      </c>
      <c r="B131" s="9" t="s">
        <v>8611</v>
      </c>
      <c r="C131" s="9">
        <f>67.91</f>
        <v>67.91</v>
      </c>
      <c r="F131" s="12">
        <v>0</v>
      </c>
      <c r="I131" s="12">
        <f t="shared" si="4"/>
        <v>758.5</v>
      </c>
      <c r="L131" s="443">
        <v>41239</v>
      </c>
      <c r="M131" s="9" t="s">
        <v>8612</v>
      </c>
      <c r="N131" s="12"/>
      <c r="Q131" s="12">
        <v>57.98</v>
      </c>
      <c r="R131" s="12">
        <f t="shared" ref="R131:R142" si="5">R130+N131+Q131</f>
        <v>265.86</v>
      </c>
      <c r="T131" s="12">
        <f t="shared" ref="T131:T142" si="6">T130+N131+Q131</f>
        <v>265.86</v>
      </c>
    </row>
    <row r="132" spans="1:21" ht="25.5">
      <c r="A132" s="443">
        <v>41164</v>
      </c>
      <c r="B132" s="9" t="s">
        <v>8613</v>
      </c>
      <c r="C132" s="9">
        <v>51.97</v>
      </c>
      <c r="F132" s="12"/>
      <c r="I132" s="12">
        <f t="shared" si="4"/>
        <v>810.47</v>
      </c>
      <c r="L132" s="443">
        <v>41239</v>
      </c>
      <c r="M132" s="9" t="s">
        <v>8614</v>
      </c>
      <c r="N132" s="12"/>
      <c r="Q132" s="12">
        <v>126.49</v>
      </c>
      <c r="R132" s="12">
        <f t="shared" si="5"/>
        <v>392.35</v>
      </c>
      <c r="T132" s="12">
        <f t="shared" si="6"/>
        <v>392.35</v>
      </c>
    </row>
    <row r="133" spans="1:21" ht="63.75">
      <c r="A133" s="443">
        <v>41165</v>
      </c>
      <c r="B133" s="9" t="s">
        <v>8615</v>
      </c>
      <c r="C133" s="9">
        <v>47.31</v>
      </c>
      <c r="F133" s="12"/>
      <c r="I133" s="12">
        <f t="shared" si="4"/>
        <v>857.78</v>
      </c>
      <c r="L133" s="443">
        <v>41239</v>
      </c>
      <c r="M133" s="9" t="s">
        <v>8616</v>
      </c>
      <c r="N133" s="12"/>
      <c r="Q133" s="12">
        <v>35.96</v>
      </c>
      <c r="R133" s="12">
        <f t="shared" si="5"/>
        <v>428.31</v>
      </c>
      <c r="T133" s="12">
        <f t="shared" si="6"/>
        <v>428.31</v>
      </c>
    </row>
    <row r="134" spans="1:21">
      <c r="A134" s="443">
        <v>41170</v>
      </c>
      <c r="B134" s="9" t="s">
        <v>8617</v>
      </c>
      <c r="F134" s="12">
        <v>13.17</v>
      </c>
      <c r="I134" s="12">
        <f t="shared" si="4"/>
        <v>870.94999999999993</v>
      </c>
      <c r="L134" s="443">
        <v>41240</v>
      </c>
      <c r="M134" s="9" t="s">
        <v>8618</v>
      </c>
      <c r="N134" s="12"/>
      <c r="Q134" s="12">
        <v>11</v>
      </c>
      <c r="R134" s="12">
        <f t="shared" si="5"/>
        <v>439.31</v>
      </c>
      <c r="T134" s="12">
        <f t="shared" si="6"/>
        <v>439.31</v>
      </c>
    </row>
    <row r="135" spans="1:21" ht="38.25">
      <c r="A135" s="443">
        <v>41170</v>
      </c>
      <c r="B135" s="9" t="s">
        <v>8619</v>
      </c>
      <c r="C135" s="12">
        <v>68.91</v>
      </c>
      <c r="F135" s="12"/>
      <c r="I135" s="12">
        <f t="shared" si="4"/>
        <v>939.8599999999999</v>
      </c>
      <c r="L135" s="443">
        <v>41240</v>
      </c>
      <c r="M135" s="9" t="s">
        <v>8620</v>
      </c>
      <c r="N135" s="12"/>
      <c r="Q135" s="12">
        <v>54.61</v>
      </c>
      <c r="R135" s="12">
        <f t="shared" si="5"/>
        <v>493.92</v>
      </c>
      <c r="T135" s="12">
        <f t="shared" si="6"/>
        <v>493.92</v>
      </c>
    </row>
    <row r="136" spans="1:21" ht="63.75">
      <c r="A136" s="443">
        <v>41171</v>
      </c>
      <c r="B136" s="9" t="s">
        <v>8621</v>
      </c>
      <c r="C136" s="12"/>
      <c r="F136" s="12">
        <v>33.76</v>
      </c>
      <c r="I136" s="12">
        <f t="shared" si="4"/>
        <v>973.61999999999989</v>
      </c>
      <c r="L136" s="443">
        <v>41241</v>
      </c>
      <c r="M136" s="9" t="s">
        <v>8622</v>
      </c>
      <c r="N136" s="12">
        <v>69.84</v>
      </c>
      <c r="Q136" s="12">
        <f>230.72+230</f>
        <v>460.72</v>
      </c>
      <c r="R136" s="12">
        <f t="shared" si="5"/>
        <v>1024.48</v>
      </c>
      <c r="T136" s="12">
        <f t="shared" si="6"/>
        <v>1024.48</v>
      </c>
    </row>
    <row r="137" spans="1:21" ht="25.5">
      <c r="A137" s="443">
        <v>41177</v>
      </c>
      <c r="B137" s="9" t="s">
        <v>8623</v>
      </c>
      <c r="C137" s="12">
        <v>80.959999999999994</v>
      </c>
      <c r="F137" s="12"/>
      <c r="I137" s="12">
        <f t="shared" si="4"/>
        <v>1054.58</v>
      </c>
      <c r="L137" s="443">
        <v>41241</v>
      </c>
      <c r="M137" s="9" t="s">
        <v>8624</v>
      </c>
      <c r="N137" s="12">
        <v>0</v>
      </c>
      <c r="O137" s="9" t="s">
        <v>135</v>
      </c>
      <c r="Q137" s="12">
        <v>100</v>
      </c>
      <c r="R137" s="12">
        <f t="shared" si="5"/>
        <v>1124.48</v>
      </c>
      <c r="T137" s="12">
        <f t="shared" si="6"/>
        <v>1124.48</v>
      </c>
    </row>
    <row r="138" spans="1:21" ht="51">
      <c r="A138" s="443">
        <v>41177</v>
      </c>
      <c r="B138" s="9" t="s">
        <v>8625</v>
      </c>
      <c r="C138" s="12">
        <v>52.5</v>
      </c>
      <c r="F138" s="12"/>
      <c r="I138" s="12">
        <f t="shared" si="4"/>
        <v>1107.08</v>
      </c>
      <c r="L138" s="443">
        <v>41242</v>
      </c>
      <c r="M138" s="9" t="s">
        <v>8626</v>
      </c>
      <c r="N138" s="12"/>
      <c r="Q138" s="12">
        <v>-120.01</v>
      </c>
      <c r="R138" s="12">
        <f t="shared" si="5"/>
        <v>1004.47</v>
      </c>
      <c r="T138" s="12">
        <f t="shared" si="6"/>
        <v>1004.47</v>
      </c>
    </row>
    <row r="139" spans="1:21" ht="51">
      <c r="A139" s="443">
        <v>41178</v>
      </c>
      <c r="B139" s="9" t="s">
        <v>8627</v>
      </c>
      <c r="C139" s="12">
        <v>267.3</v>
      </c>
      <c r="F139" s="12"/>
      <c r="I139" s="12">
        <f t="shared" si="4"/>
        <v>1374.3799999999999</v>
      </c>
      <c r="L139" s="443">
        <v>41243</v>
      </c>
      <c r="M139" s="9" t="s">
        <v>8628</v>
      </c>
      <c r="N139" s="12"/>
      <c r="Q139" s="12">
        <f>9.98*2</f>
        <v>19.96</v>
      </c>
      <c r="R139" s="12">
        <f t="shared" si="5"/>
        <v>1024.43</v>
      </c>
      <c r="T139" s="12">
        <f t="shared" si="6"/>
        <v>1024.43</v>
      </c>
    </row>
    <row r="140" spans="1:21" ht="38.25">
      <c r="A140" s="443">
        <v>41180</v>
      </c>
      <c r="B140" s="9" t="s">
        <v>8629</v>
      </c>
      <c r="C140" s="12">
        <f>6.99+3.99</f>
        <v>10.98</v>
      </c>
      <c r="F140" s="12"/>
      <c r="I140" s="12">
        <f t="shared" si="4"/>
        <v>1385.36</v>
      </c>
      <c r="L140" s="443">
        <v>41243</v>
      </c>
      <c r="M140" s="9" t="s">
        <v>8630</v>
      </c>
      <c r="N140" s="12"/>
      <c r="Q140" s="12">
        <v>1.5</v>
      </c>
      <c r="R140" s="12">
        <f t="shared" si="5"/>
        <v>1025.93</v>
      </c>
      <c r="T140" s="12">
        <f t="shared" si="6"/>
        <v>1025.93</v>
      </c>
    </row>
    <row r="141" spans="1:21">
      <c r="A141" s="443">
        <v>41180</v>
      </c>
      <c r="B141" s="9" t="s">
        <v>8631</v>
      </c>
      <c r="C141" s="12">
        <v>120</v>
      </c>
      <c r="F141" s="12"/>
      <c r="I141" s="12">
        <f t="shared" si="4"/>
        <v>1505.36</v>
      </c>
      <c r="N141" s="12"/>
      <c r="Q141" s="12"/>
      <c r="R141" s="12">
        <f t="shared" si="5"/>
        <v>1025.93</v>
      </c>
      <c r="T141" s="12">
        <f t="shared" si="6"/>
        <v>1025.93</v>
      </c>
    </row>
    <row r="142" spans="1:21">
      <c r="A142" s="443">
        <v>41182</v>
      </c>
      <c r="B142" s="9" t="s">
        <v>8632</v>
      </c>
      <c r="C142" s="12">
        <v>185.5</v>
      </c>
      <c r="F142" s="12"/>
      <c r="I142" s="12">
        <f t="shared" si="4"/>
        <v>1690.86</v>
      </c>
      <c r="L142" s="9" t="s">
        <v>135</v>
      </c>
      <c r="M142" s="9" t="s">
        <v>135</v>
      </c>
      <c r="N142" s="12">
        <v>0</v>
      </c>
      <c r="Q142" s="12">
        <v>0</v>
      </c>
      <c r="R142" s="12">
        <f t="shared" si="5"/>
        <v>1025.93</v>
      </c>
      <c r="T142" s="12">
        <f t="shared" si="6"/>
        <v>1025.93</v>
      </c>
    </row>
    <row r="143" spans="1:21" ht="38.25">
      <c r="B143" s="578" t="s">
        <v>8633</v>
      </c>
      <c r="C143" s="667">
        <f>SUM(C125:C142)</f>
        <v>1292.42</v>
      </c>
      <c r="D143" s="667">
        <f>SUM(D125:D142)</f>
        <v>1000</v>
      </c>
      <c r="F143" s="667">
        <f>SUM(F125:F142)</f>
        <v>96.93</v>
      </c>
      <c r="G143" s="9">
        <f>F143</f>
        <v>96.93</v>
      </c>
      <c r="I143" s="667">
        <f>C143+F143</f>
        <v>1389.3500000000001</v>
      </c>
      <c r="M143" s="578" t="s">
        <v>8634</v>
      </c>
      <c r="N143" s="667">
        <f>SUM(N125:N142)</f>
        <v>188.72</v>
      </c>
      <c r="O143" s="578" t="s">
        <v>135</v>
      </c>
      <c r="P143" s="578"/>
      <c r="Q143" s="667">
        <f>SUM(Q125:Q142)</f>
        <v>848.21</v>
      </c>
      <c r="R143" s="12">
        <v>0</v>
      </c>
      <c r="T143" s="667">
        <f>N143+Q143</f>
        <v>1036.93</v>
      </c>
      <c r="U143" s="9" t="s">
        <v>135</v>
      </c>
    </row>
    <row r="144" spans="1:21">
      <c r="F144" s="578"/>
      <c r="I144" s="12"/>
    </row>
    <row r="145" spans="1:18" ht="51">
      <c r="A145" s="443">
        <v>41184</v>
      </c>
      <c r="B145" s="9" t="s">
        <v>8635</v>
      </c>
      <c r="C145" s="9">
        <v>106.2</v>
      </c>
      <c r="F145" s="578"/>
      <c r="I145" s="12">
        <f>I142+C145+F145</f>
        <v>1797.06</v>
      </c>
      <c r="L145" s="443">
        <v>41244</v>
      </c>
      <c r="M145" s="9" t="s">
        <v>8636</v>
      </c>
      <c r="Q145" s="12">
        <v>75</v>
      </c>
      <c r="R145" s="12">
        <f t="shared" ref="R145:R166" si="7">R144+N145+Q145</f>
        <v>75</v>
      </c>
    </row>
    <row r="146" spans="1:18">
      <c r="A146" s="443">
        <v>41184</v>
      </c>
      <c r="B146" s="9" t="s">
        <v>8637</v>
      </c>
      <c r="C146" s="9">
        <v>14.29</v>
      </c>
      <c r="I146" s="12">
        <f t="shared" ref="I146:I175" si="8">I145+C146+F146</f>
        <v>1811.35</v>
      </c>
      <c r="L146" s="443">
        <v>41247</v>
      </c>
      <c r="M146" s="9" t="s">
        <v>8638</v>
      </c>
      <c r="Q146" s="12">
        <v>334.98</v>
      </c>
      <c r="R146" s="12">
        <f t="shared" si="7"/>
        <v>409.98</v>
      </c>
    </row>
    <row r="147" spans="1:18" ht="25.5">
      <c r="A147" s="443">
        <v>41186</v>
      </c>
      <c r="B147" s="9" t="s">
        <v>8639</v>
      </c>
      <c r="C147" s="9">
        <v>120.16</v>
      </c>
      <c r="I147" s="12">
        <f t="shared" si="8"/>
        <v>1931.51</v>
      </c>
      <c r="L147" s="443">
        <v>41248</v>
      </c>
      <c r="M147" s="9" t="s">
        <v>8640</v>
      </c>
      <c r="Q147" s="12">
        <v>145</v>
      </c>
      <c r="R147" s="12">
        <f t="shared" si="7"/>
        <v>554.98</v>
      </c>
    </row>
    <row r="148" spans="1:18" ht="38.25">
      <c r="A148" s="443">
        <v>41186</v>
      </c>
      <c r="B148" s="9" t="s">
        <v>8641</v>
      </c>
      <c r="F148" s="12">
        <v>75.44</v>
      </c>
      <c r="I148" s="12">
        <f t="shared" si="8"/>
        <v>2006.95</v>
      </c>
      <c r="L148" s="443">
        <v>41248</v>
      </c>
      <c r="M148" s="9" t="s">
        <v>8642</v>
      </c>
      <c r="Q148" s="12">
        <v>-400</v>
      </c>
      <c r="R148" s="12">
        <f t="shared" si="7"/>
        <v>154.98000000000002</v>
      </c>
    </row>
    <row r="149" spans="1:18" ht="38.25">
      <c r="A149" s="443">
        <v>41190</v>
      </c>
      <c r="B149" s="9" t="s">
        <v>8643</v>
      </c>
      <c r="F149" s="12">
        <v>277.86</v>
      </c>
      <c r="I149" s="12">
        <f t="shared" si="8"/>
        <v>2284.81</v>
      </c>
      <c r="L149" s="443">
        <v>41248</v>
      </c>
      <c r="M149" s="9" t="s">
        <v>8644</v>
      </c>
      <c r="Q149" s="12">
        <v>2</v>
      </c>
      <c r="R149" s="12">
        <f t="shared" si="7"/>
        <v>156.98000000000002</v>
      </c>
    </row>
    <row r="150" spans="1:18" ht="25.5">
      <c r="A150" s="443">
        <v>41191</v>
      </c>
      <c r="B150" s="9" t="s">
        <v>8645</v>
      </c>
      <c r="F150" s="12">
        <v>15</v>
      </c>
      <c r="I150" s="12">
        <f t="shared" si="8"/>
        <v>2299.81</v>
      </c>
      <c r="L150" s="443">
        <v>41248</v>
      </c>
      <c r="M150" s="9" t="s">
        <v>8646</v>
      </c>
      <c r="Q150" s="12">
        <v>32.75</v>
      </c>
      <c r="R150" s="12">
        <f t="shared" si="7"/>
        <v>189.73000000000002</v>
      </c>
    </row>
    <row r="151" spans="1:18">
      <c r="A151" s="443">
        <v>41192</v>
      </c>
      <c r="B151" s="9" t="s">
        <v>8647</v>
      </c>
      <c r="F151" s="12">
        <v>312.19</v>
      </c>
      <c r="I151" s="12">
        <f t="shared" si="8"/>
        <v>2612</v>
      </c>
      <c r="L151" s="443">
        <v>41248</v>
      </c>
      <c r="M151" s="9" t="s">
        <v>8648</v>
      </c>
      <c r="Q151" s="12">
        <v>24.74</v>
      </c>
      <c r="R151" s="12">
        <f t="shared" si="7"/>
        <v>214.47000000000003</v>
      </c>
    </row>
    <row r="152" spans="1:18" ht="51">
      <c r="A152" s="443">
        <v>41193</v>
      </c>
      <c r="B152" s="9" t="s">
        <v>8649</v>
      </c>
      <c r="D152" s="12">
        <v>15021.57</v>
      </c>
      <c r="F152" s="12">
        <v>0</v>
      </c>
      <c r="I152" s="12">
        <f t="shared" si="8"/>
        <v>2612</v>
      </c>
      <c r="L152" s="443">
        <v>41249</v>
      </c>
      <c r="M152" s="9" t="s">
        <v>8650</v>
      </c>
      <c r="Q152" s="12">
        <v>89</v>
      </c>
      <c r="R152" s="12">
        <f t="shared" si="7"/>
        <v>303.47000000000003</v>
      </c>
    </row>
    <row r="153" spans="1:18" ht="25.5">
      <c r="A153" s="443">
        <v>41194</v>
      </c>
      <c r="B153" s="9" t="s">
        <v>8651</v>
      </c>
      <c r="F153" s="12">
        <v>25</v>
      </c>
      <c r="I153" s="12">
        <f t="shared" si="8"/>
        <v>2637</v>
      </c>
      <c r="L153" s="443">
        <v>41249</v>
      </c>
      <c r="M153" s="9" t="s">
        <v>8652</v>
      </c>
      <c r="Q153" s="12">
        <v>235.6</v>
      </c>
      <c r="R153" s="12">
        <f t="shared" si="7"/>
        <v>539.07000000000005</v>
      </c>
    </row>
    <row r="154" spans="1:18" ht="38.25">
      <c r="A154" s="443">
        <v>41195</v>
      </c>
      <c r="B154" s="9" t="s">
        <v>8653</v>
      </c>
      <c r="C154" s="9">
        <v>17.98</v>
      </c>
      <c r="F154" s="12">
        <f>12.38+17.55</f>
        <v>29.93</v>
      </c>
      <c r="I154" s="12">
        <f t="shared" si="8"/>
        <v>2684.91</v>
      </c>
      <c r="L154" s="443">
        <v>41253</v>
      </c>
      <c r="M154" s="9" t="s">
        <v>8654</v>
      </c>
      <c r="Q154" s="12">
        <v>246.5</v>
      </c>
      <c r="R154" s="12">
        <f t="shared" si="7"/>
        <v>785.57</v>
      </c>
    </row>
    <row r="155" spans="1:18" ht="25.5">
      <c r="A155" s="443">
        <v>41195</v>
      </c>
      <c r="B155" s="9" t="s">
        <v>8655</v>
      </c>
      <c r="F155" s="12">
        <f>0.92*2</f>
        <v>1.84</v>
      </c>
      <c r="I155" s="12">
        <f t="shared" si="8"/>
        <v>2686.75</v>
      </c>
      <c r="L155" s="443">
        <v>41255</v>
      </c>
      <c r="M155" s="9" t="s">
        <v>8572</v>
      </c>
      <c r="Q155" s="12">
        <v>434.6</v>
      </c>
      <c r="R155" s="12">
        <f t="shared" si="7"/>
        <v>1220.17</v>
      </c>
    </row>
    <row r="156" spans="1:18" ht="38.25">
      <c r="A156" s="443">
        <v>41197</v>
      </c>
      <c r="B156" s="9" t="s">
        <v>8656</v>
      </c>
      <c r="F156" s="12">
        <v>83.28</v>
      </c>
      <c r="I156" s="12">
        <f t="shared" si="8"/>
        <v>2770.03</v>
      </c>
      <c r="L156" s="443">
        <v>41255</v>
      </c>
      <c r="M156" s="9" t="s">
        <v>8657</v>
      </c>
      <c r="Q156" s="12">
        <v>88.8</v>
      </c>
      <c r="R156" s="12">
        <f t="shared" si="7"/>
        <v>1308.97</v>
      </c>
    </row>
    <row r="157" spans="1:18" ht="25.5">
      <c r="A157" s="443">
        <v>41199</v>
      </c>
      <c r="B157" s="9" t="s">
        <v>8658</v>
      </c>
      <c r="C157" s="9">
        <f>117+72</f>
        <v>189</v>
      </c>
      <c r="D157" s="9" t="s">
        <v>8526</v>
      </c>
      <c r="F157" s="12">
        <f>440.91-C157</f>
        <v>251.91000000000003</v>
      </c>
      <c r="G157" s="9" t="s">
        <v>135</v>
      </c>
      <c r="I157" s="12">
        <f t="shared" si="8"/>
        <v>3210.94</v>
      </c>
      <c r="L157" s="443">
        <v>41259</v>
      </c>
      <c r="M157" s="9" t="s">
        <v>8659</v>
      </c>
      <c r="Q157" s="12">
        <v>36.24</v>
      </c>
      <c r="R157" s="12">
        <f t="shared" si="7"/>
        <v>1345.21</v>
      </c>
    </row>
    <row r="158" spans="1:18" ht="51">
      <c r="A158" s="443">
        <v>41199</v>
      </c>
      <c r="B158" s="9" t="s">
        <v>8660</v>
      </c>
      <c r="F158" s="12">
        <v>130.77000000000001</v>
      </c>
      <c r="G158" s="9" t="s">
        <v>135</v>
      </c>
      <c r="I158" s="12">
        <f t="shared" si="8"/>
        <v>3341.71</v>
      </c>
      <c r="L158" s="443">
        <v>41261</v>
      </c>
      <c r="M158" s="9" t="s">
        <v>8661</v>
      </c>
      <c r="Q158" s="12">
        <v>115.22</v>
      </c>
      <c r="R158" s="12">
        <f t="shared" si="7"/>
        <v>1460.43</v>
      </c>
    </row>
    <row r="159" spans="1:18" ht="51">
      <c r="A159" s="443">
        <v>41201</v>
      </c>
      <c r="B159" s="9" t="s">
        <v>8660</v>
      </c>
      <c r="F159" s="12">
        <v>130.77000000000001</v>
      </c>
      <c r="I159" s="12">
        <f t="shared" si="8"/>
        <v>3472.48</v>
      </c>
      <c r="L159" s="443">
        <v>41261</v>
      </c>
      <c r="M159" s="9" t="s">
        <v>8662</v>
      </c>
      <c r="Q159" s="12">
        <v>11</v>
      </c>
      <c r="R159" s="12">
        <f t="shared" si="7"/>
        <v>1471.43</v>
      </c>
    </row>
    <row r="160" spans="1:18" ht="38.25">
      <c r="A160" s="443">
        <v>41567</v>
      </c>
      <c r="B160" s="9" t="s">
        <v>8663</v>
      </c>
      <c r="F160" s="12">
        <v>11</v>
      </c>
      <c r="I160" s="12">
        <f t="shared" si="8"/>
        <v>3483.48</v>
      </c>
      <c r="L160" s="443">
        <v>41261</v>
      </c>
      <c r="M160" s="9" t="s">
        <v>8664</v>
      </c>
      <c r="Q160" s="12">
        <v>200</v>
      </c>
      <c r="R160" s="12">
        <f t="shared" si="7"/>
        <v>1671.43</v>
      </c>
    </row>
    <row r="161" spans="1:25" ht="51">
      <c r="A161" s="443">
        <v>41203</v>
      </c>
      <c r="B161" s="9" t="s">
        <v>8665</v>
      </c>
      <c r="F161" s="12">
        <v>209.46</v>
      </c>
      <c r="G161" s="9" t="s">
        <v>135</v>
      </c>
      <c r="I161" s="12">
        <f t="shared" si="8"/>
        <v>3692.94</v>
      </c>
      <c r="L161" s="443">
        <v>41262</v>
      </c>
      <c r="M161" s="9" t="s">
        <v>8661</v>
      </c>
      <c r="Q161" s="12">
        <v>95.17</v>
      </c>
      <c r="R161" s="12">
        <f t="shared" si="7"/>
        <v>1766.6000000000001</v>
      </c>
    </row>
    <row r="162" spans="1:25" ht="25.5">
      <c r="A162" s="443">
        <v>41203</v>
      </c>
      <c r="B162" s="9" t="s">
        <v>8666</v>
      </c>
      <c r="F162" s="12">
        <v>334.78</v>
      </c>
      <c r="I162" s="12">
        <f t="shared" si="8"/>
        <v>4027.7200000000003</v>
      </c>
      <c r="L162" s="443">
        <v>41264</v>
      </c>
      <c r="M162" s="9" t="s">
        <v>8667</v>
      </c>
      <c r="Q162" s="12">
        <v>69.36</v>
      </c>
      <c r="R162" s="12">
        <f t="shared" si="7"/>
        <v>1835.96</v>
      </c>
    </row>
    <row r="163" spans="1:25" ht="25.5">
      <c r="A163" s="443">
        <v>41205</v>
      </c>
      <c r="B163" s="9" t="s">
        <v>8668</v>
      </c>
      <c r="F163" s="12">
        <v>11.69</v>
      </c>
      <c r="I163" s="12">
        <f t="shared" si="8"/>
        <v>4039.4100000000003</v>
      </c>
      <c r="L163" s="443">
        <v>41264</v>
      </c>
      <c r="M163" s="9" t="s">
        <v>8669</v>
      </c>
      <c r="Q163" s="12">
        <v>1</v>
      </c>
      <c r="R163" s="12">
        <f t="shared" si="7"/>
        <v>1836.96</v>
      </c>
    </row>
    <row r="164" spans="1:25" ht="38.25">
      <c r="A164" s="443">
        <v>41205</v>
      </c>
      <c r="B164" s="9" t="s">
        <v>8670</v>
      </c>
      <c r="F164" s="12">
        <v>51.66</v>
      </c>
      <c r="I164" s="12">
        <f t="shared" si="8"/>
        <v>4091.07</v>
      </c>
      <c r="L164" s="443">
        <v>41270</v>
      </c>
      <c r="M164" s="9" t="s">
        <v>8671</v>
      </c>
      <c r="Q164" s="12">
        <v>133.24</v>
      </c>
      <c r="R164" s="12">
        <f t="shared" si="7"/>
        <v>1970.2</v>
      </c>
    </row>
    <row r="165" spans="1:25" ht="25.5">
      <c r="A165" s="443">
        <v>41207</v>
      </c>
      <c r="B165" s="9" t="s">
        <v>8672</v>
      </c>
      <c r="F165" s="12">
        <v>150.84</v>
      </c>
      <c r="I165" s="12">
        <f t="shared" si="8"/>
        <v>4241.91</v>
      </c>
      <c r="L165" s="443">
        <v>41639</v>
      </c>
      <c r="M165" s="9" t="s">
        <v>8673</v>
      </c>
      <c r="Q165" s="12">
        <v>135</v>
      </c>
      <c r="R165" s="12">
        <f t="shared" si="7"/>
        <v>2105.1999999999998</v>
      </c>
    </row>
    <row r="166" spans="1:25">
      <c r="A166" s="443">
        <v>41208</v>
      </c>
      <c r="B166" s="9" t="s">
        <v>8674</v>
      </c>
      <c r="F166" s="12">
        <v>240.97</v>
      </c>
      <c r="I166" s="12">
        <f t="shared" si="8"/>
        <v>4482.88</v>
      </c>
      <c r="Q166" s="12"/>
      <c r="R166" s="12">
        <f t="shared" si="7"/>
        <v>2105.1999999999998</v>
      </c>
    </row>
    <row r="167" spans="1:25">
      <c r="A167" s="443">
        <v>41209</v>
      </c>
      <c r="B167" s="9" t="s">
        <v>8675</v>
      </c>
      <c r="F167" s="12">
        <v>72</v>
      </c>
      <c r="I167" s="12">
        <f t="shared" si="8"/>
        <v>4554.88</v>
      </c>
      <c r="Q167" s="12"/>
    </row>
    <row r="168" spans="1:25" ht="25.5">
      <c r="A168" s="443">
        <v>41209</v>
      </c>
      <c r="B168" s="9" t="s">
        <v>8676</v>
      </c>
      <c r="C168" s="578"/>
      <c r="F168" s="12">
        <v>80.3</v>
      </c>
      <c r="I168" s="12">
        <f t="shared" si="8"/>
        <v>4635.18</v>
      </c>
      <c r="L168" s="578"/>
      <c r="M168" s="578" t="s">
        <v>8677</v>
      </c>
      <c r="N168" s="578">
        <f>SUM(O167)</f>
        <v>0</v>
      </c>
      <c r="O168" s="578"/>
      <c r="P168" s="578"/>
      <c r="Q168" s="578">
        <f>SUM(Q145:Q167)</f>
        <v>2105.1999999999998</v>
      </c>
      <c r="R168" s="578"/>
      <c r="S168" s="578"/>
      <c r="T168" s="578"/>
      <c r="U168" s="578"/>
      <c r="V168" s="578"/>
      <c r="W168" s="578"/>
      <c r="X168" s="578"/>
      <c r="Y168" s="578"/>
    </row>
    <row r="169" spans="1:25">
      <c r="A169" s="443">
        <v>41209</v>
      </c>
      <c r="B169" s="9" t="s">
        <v>8678</v>
      </c>
      <c r="C169" s="578"/>
      <c r="F169" s="12">
        <v>100</v>
      </c>
      <c r="I169" s="12">
        <f t="shared" si="8"/>
        <v>4735.18</v>
      </c>
    </row>
    <row r="170" spans="1:25" ht="38.25">
      <c r="A170" s="443">
        <v>41212</v>
      </c>
      <c r="B170" s="9" t="s">
        <v>8679</v>
      </c>
      <c r="C170" s="578"/>
      <c r="F170" s="12">
        <v>-208.8</v>
      </c>
      <c r="I170" s="12">
        <f t="shared" si="8"/>
        <v>4526.38</v>
      </c>
      <c r="L170" s="443">
        <v>41275</v>
      </c>
      <c r="M170" s="9" t="s">
        <v>8680</v>
      </c>
      <c r="Q170" s="9">
        <v>2.84</v>
      </c>
      <c r="R170" s="12">
        <f t="shared" ref="R170:R184" si="9">R169+N170+Q170</f>
        <v>2.84</v>
      </c>
    </row>
    <row r="171" spans="1:25" ht="51">
      <c r="A171" s="443">
        <v>41212</v>
      </c>
      <c r="B171" s="9" t="s">
        <v>8681</v>
      </c>
      <c r="F171" s="9">
        <v>256.14999999999998</v>
      </c>
      <c r="I171" s="12">
        <f t="shared" si="8"/>
        <v>4782.53</v>
      </c>
      <c r="L171" s="443">
        <v>41275</v>
      </c>
      <c r="M171" s="9" t="s">
        <v>8682</v>
      </c>
      <c r="N171" s="9">
        <v>149.99</v>
      </c>
      <c r="Q171" s="9">
        <v>0</v>
      </c>
      <c r="R171" s="12">
        <f t="shared" si="9"/>
        <v>152.83000000000001</v>
      </c>
    </row>
    <row r="172" spans="1:25" ht="25.5">
      <c r="A172" s="443">
        <v>41212</v>
      </c>
      <c r="B172" s="9" t="s">
        <v>8683</v>
      </c>
      <c r="F172" s="9">
        <v>68.81</v>
      </c>
      <c r="I172" s="12">
        <f t="shared" si="8"/>
        <v>4851.34</v>
      </c>
      <c r="L172" s="443">
        <v>41276</v>
      </c>
      <c r="M172" s="9" t="s">
        <v>8684</v>
      </c>
      <c r="Q172" s="9">
        <v>9.34</v>
      </c>
      <c r="R172" s="12">
        <f t="shared" si="9"/>
        <v>162.17000000000002</v>
      </c>
    </row>
    <row r="173" spans="1:25" ht="25.5">
      <c r="A173" s="443">
        <v>41213</v>
      </c>
      <c r="B173" s="9" t="s">
        <v>8685</v>
      </c>
      <c r="C173" s="578"/>
      <c r="F173" s="12">
        <f>185+30</f>
        <v>215</v>
      </c>
      <c r="I173" s="12">
        <f t="shared" si="8"/>
        <v>5066.34</v>
      </c>
      <c r="L173" s="443">
        <v>41277</v>
      </c>
      <c r="M173" s="9" t="s">
        <v>8686</v>
      </c>
      <c r="Q173" s="9">
        <v>19.37</v>
      </c>
      <c r="R173" s="12">
        <f t="shared" si="9"/>
        <v>181.54000000000002</v>
      </c>
    </row>
    <row r="174" spans="1:25">
      <c r="A174" s="443">
        <v>41213</v>
      </c>
      <c r="B174" s="9" t="s">
        <v>8687</v>
      </c>
      <c r="C174" s="578"/>
      <c r="F174" s="12">
        <v>301.47000000000003</v>
      </c>
      <c r="G174" s="9" t="s">
        <v>135</v>
      </c>
      <c r="I174" s="12">
        <f t="shared" si="8"/>
        <v>5367.81</v>
      </c>
      <c r="L174" s="443">
        <v>41277</v>
      </c>
      <c r="M174" s="9" t="s">
        <v>8688</v>
      </c>
      <c r="N174" s="9">
        <f>14.86+1.77+27.87+21.97</f>
        <v>66.47</v>
      </c>
      <c r="Q174" s="9">
        <f>336.64-N174</f>
        <v>270.16999999999996</v>
      </c>
      <c r="R174" s="12">
        <f t="shared" si="9"/>
        <v>518.17999999999995</v>
      </c>
    </row>
    <row r="175" spans="1:25" ht="25.5">
      <c r="C175" s="578"/>
      <c r="F175" s="667"/>
      <c r="I175" s="12">
        <f t="shared" si="8"/>
        <v>5367.81</v>
      </c>
      <c r="L175" s="443">
        <v>41278</v>
      </c>
      <c r="M175" s="9" t="s">
        <v>8689</v>
      </c>
      <c r="Q175" s="9">
        <v>9.9700000000000006</v>
      </c>
      <c r="R175" s="12">
        <f t="shared" si="9"/>
        <v>528.15</v>
      </c>
    </row>
    <row r="176" spans="1:25" ht="25.5">
      <c r="B176" s="578" t="s">
        <v>8690</v>
      </c>
      <c r="C176" s="578">
        <f>SUM(C145:C175)</f>
        <v>447.63</v>
      </c>
      <c r="D176" s="578">
        <f>SUM(D145:D175)</f>
        <v>15021.57</v>
      </c>
      <c r="F176" s="667">
        <f>SUM(F145:F175)</f>
        <v>3229.3199999999997</v>
      </c>
      <c r="G176" s="12">
        <f>F176</f>
        <v>3229.3199999999997</v>
      </c>
      <c r="I176" s="667">
        <f>C176+F176</f>
        <v>3676.95</v>
      </c>
      <c r="L176" s="443">
        <v>41281</v>
      </c>
      <c r="M176" s="9" t="s">
        <v>8691</v>
      </c>
      <c r="N176" s="9">
        <v>16.989999999999998</v>
      </c>
      <c r="R176" s="12">
        <f t="shared" si="9"/>
        <v>545.14</v>
      </c>
    </row>
    <row r="177" spans="1:25" ht="25.5">
      <c r="F177" s="578"/>
      <c r="G177" s="667">
        <f>SUM(G121:G176)</f>
        <v>3326.2499999999995</v>
      </c>
      <c r="L177" s="443">
        <v>41281</v>
      </c>
      <c r="M177" s="9" t="s">
        <v>8692</v>
      </c>
      <c r="N177" s="578"/>
      <c r="Q177" s="9">
        <v>138.07</v>
      </c>
      <c r="R177" s="12">
        <f t="shared" si="9"/>
        <v>683.21</v>
      </c>
    </row>
    <row r="178" spans="1:25" ht="25.5">
      <c r="A178" s="443">
        <v>41214</v>
      </c>
      <c r="B178" s="9" t="s">
        <v>8693</v>
      </c>
      <c r="F178" s="9">
        <v>99.76</v>
      </c>
      <c r="G178" s="667">
        <f t="shared" ref="G178:G183" si="10">G177+C178+F178</f>
        <v>3426.0099999999998</v>
      </c>
      <c r="L178" s="443">
        <v>41284</v>
      </c>
      <c r="M178" s="9" t="s">
        <v>8694</v>
      </c>
      <c r="N178" s="9">
        <v>36.51</v>
      </c>
      <c r="R178" s="12">
        <f t="shared" si="9"/>
        <v>719.72</v>
      </c>
    </row>
    <row r="179" spans="1:25" ht="25.5">
      <c r="A179" s="443">
        <v>41214</v>
      </c>
      <c r="B179" s="9" t="s">
        <v>8695</v>
      </c>
      <c r="F179" s="9">
        <v>-266.99</v>
      </c>
      <c r="G179" s="667">
        <f t="shared" si="10"/>
        <v>3159.0199999999995</v>
      </c>
      <c r="L179" s="443">
        <v>41291</v>
      </c>
      <c r="M179" s="9" t="s">
        <v>8696</v>
      </c>
      <c r="N179" s="9">
        <f>94.31-34.56</f>
        <v>59.75</v>
      </c>
      <c r="Q179" s="9">
        <v>34.56</v>
      </c>
      <c r="R179" s="12">
        <f t="shared" si="9"/>
        <v>814.03</v>
      </c>
    </row>
    <row r="180" spans="1:25" ht="25.5">
      <c r="A180" s="443">
        <v>41219</v>
      </c>
      <c r="B180" s="9" t="s">
        <v>8697</v>
      </c>
      <c r="C180" s="9">
        <v>25.23</v>
      </c>
      <c r="F180" s="12"/>
      <c r="G180" s="667">
        <f t="shared" si="10"/>
        <v>3184.2499999999995</v>
      </c>
      <c r="L180" s="443">
        <v>41296</v>
      </c>
      <c r="M180" s="9" t="s">
        <v>8659</v>
      </c>
      <c r="Q180" s="9">
        <v>44.28</v>
      </c>
      <c r="R180" s="12">
        <f t="shared" si="9"/>
        <v>858.31</v>
      </c>
      <c r="S180" s="578"/>
      <c r="T180" s="578"/>
      <c r="U180" s="578"/>
      <c r="V180" s="578"/>
      <c r="W180" s="578"/>
      <c r="X180" s="578"/>
      <c r="Y180" s="578"/>
    </row>
    <row r="181" spans="1:25" ht="25.5">
      <c r="A181" s="443">
        <v>41221</v>
      </c>
      <c r="B181" s="9" t="s">
        <v>8698</v>
      </c>
      <c r="C181" s="9">
        <v>383.52</v>
      </c>
      <c r="F181" s="12"/>
      <c r="G181" s="667">
        <f t="shared" si="10"/>
        <v>3567.7699999999995</v>
      </c>
      <c r="L181" s="443">
        <v>41298</v>
      </c>
      <c r="M181" s="9" t="s">
        <v>8699</v>
      </c>
      <c r="N181" s="9">
        <v>60.98</v>
      </c>
      <c r="R181" s="12">
        <f t="shared" si="9"/>
        <v>919.29</v>
      </c>
    </row>
    <row r="182" spans="1:25" ht="25.5">
      <c r="A182" s="443">
        <v>41222</v>
      </c>
      <c r="B182" s="9" t="s">
        <v>8700</v>
      </c>
      <c r="C182" s="9">
        <v>18.61</v>
      </c>
      <c r="F182" s="12"/>
      <c r="G182" s="667">
        <f t="shared" si="10"/>
        <v>3586.3799999999997</v>
      </c>
      <c r="L182" s="443">
        <v>41298</v>
      </c>
      <c r="M182" s="9" t="s">
        <v>8701</v>
      </c>
      <c r="N182" s="9">
        <v>55.96</v>
      </c>
      <c r="R182" s="12">
        <f t="shared" si="9"/>
        <v>975.25</v>
      </c>
    </row>
    <row r="183" spans="1:25" ht="25.5">
      <c r="A183" s="443">
        <v>41225</v>
      </c>
      <c r="B183" s="9" t="s">
        <v>8702</v>
      </c>
      <c r="C183" s="9">
        <v>91.83</v>
      </c>
      <c r="F183" s="12"/>
      <c r="G183" s="667">
        <f t="shared" si="10"/>
        <v>3678.2099999999996</v>
      </c>
      <c r="L183" s="443">
        <v>41300</v>
      </c>
      <c r="M183" s="9" t="s">
        <v>8703</v>
      </c>
      <c r="N183" s="9">
        <v>38.380000000000003</v>
      </c>
      <c r="R183" s="12">
        <f t="shared" si="9"/>
        <v>1013.63</v>
      </c>
    </row>
    <row r="184" spans="1:25" ht="25.5">
      <c r="A184" s="443">
        <v>41227</v>
      </c>
      <c r="B184" s="9" t="s">
        <v>8704</v>
      </c>
      <c r="C184" s="12">
        <v>11</v>
      </c>
      <c r="F184" s="12"/>
      <c r="G184" s="667"/>
      <c r="L184" s="443">
        <v>41300</v>
      </c>
      <c r="M184" s="9" t="s">
        <v>8705</v>
      </c>
      <c r="N184" s="9">
        <v>60.29</v>
      </c>
      <c r="R184" s="12">
        <f t="shared" si="9"/>
        <v>1073.92</v>
      </c>
    </row>
    <row r="185" spans="1:25" ht="25.5">
      <c r="A185" s="443">
        <v>41227</v>
      </c>
      <c r="B185" s="9" t="s">
        <v>8706</v>
      </c>
      <c r="C185" s="9">
        <v>102.17</v>
      </c>
      <c r="F185" s="12"/>
      <c r="G185" s="667">
        <f>G183+C185+F185</f>
        <v>3780.3799999999997</v>
      </c>
      <c r="L185" s="443">
        <v>41303</v>
      </c>
      <c r="M185" s="9" t="s">
        <v>8707</v>
      </c>
      <c r="N185" s="9">
        <v>3.67</v>
      </c>
      <c r="R185" s="12"/>
    </row>
    <row r="186" spans="1:25" ht="25.5">
      <c r="A186" s="443">
        <v>41227</v>
      </c>
      <c r="B186" s="9" t="s">
        <v>8708</v>
      </c>
      <c r="C186" s="12">
        <v>19.2</v>
      </c>
      <c r="F186" s="12"/>
      <c r="G186" s="667">
        <f t="shared" ref="G186:G191" si="11">G185+C186+F186</f>
        <v>3799.5799999999995</v>
      </c>
      <c r="L186" s="443">
        <v>41303</v>
      </c>
      <c r="M186" s="9" t="s">
        <v>8707</v>
      </c>
      <c r="N186" s="9">
        <v>1.89</v>
      </c>
      <c r="R186" s="12"/>
    </row>
    <row r="187" spans="1:25" ht="25.5">
      <c r="A187" s="443">
        <v>41230</v>
      </c>
      <c r="B187" s="9" t="s">
        <v>8709</v>
      </c>
      <c r="C187" s="9">
        <v>213.93</v>
      </c>
      <c r="F187" s="12"/>
      <c r="G187" s="667">
        <f t="shared" si="11"/>
        <v>4013.5099999999993</v>
      </c>
      <c r="L187" s="443">
        <v>41303</v>
      </c>
      <c r="M187" s="9" t="s">
        <v>8707</v>
      </c>
      <c r="N187" s="9">
        <v>15.34</v>
      </c>
      <c r="R187" s="12">
        <f>R184+N187+Q187</f>
        <v>1089.26</v>
      </c>
    </row>
    <row r="188" spans="1:25" ht="25.5">
      <c r="A188" s="443">
        <v>41231</v>
      </c>
      <c r="B188" s="9" t="s">
        <v>8710</v>
      </c>
      <c r="C188" s="12">
        <v>53.26</v>
      </c>
      <c r="F188" s="12">
        <v>0</v>
      </c>
      <c r="G188" s="667">
        <f t="shared" si="11"/>
        <v>4066.7699999999995</v>
      </c>
      <c r="L188" s="578"/>
      <c r="M188" s="578" t="s">
        <v>8711</v>
      </c>
      <c r="N188" s="578">
        <f>SUM(N170:N187)</f>
        <v>566.22</v>
      </c>
      <c r="O188" s="578"/>
      <c r="P188" s="578"/>
      <c r="Q188" s="578">
        <f>SUM(Q170:Q187)</f>
        <v>528.6</v>
      </c>
    </row>
    <row r="189" spans="1:25">
      <c r="A189" s="443">
        <v>41236</v>
      </c>
      <c r="B189" s="9" t="s">
        <v>8712</v>
      </c>
      <c r="C189" s="12">
        <v>0</v>
      </c>
      <c r="F189" s="12">
        <v>29.84</v>
      </c>
      <c r="G189" s="667">
        <f t="shared" si="11"/>
        <v>4096.6099999999997</v>
      </c>
    </row>
    <row r="190" spans="1:25">
      <c r="A190" s="443">
        <v>41243</v>
      </c>
      <c r="B190" s="9" t="s">
        <v>8713</v>
      </c>
      <c r="C190" s="12"/>
      <c r="F190" s="12">
        <v>-862</v>
      </c>
      <c r="G190" s="667">
        <f t="shared" si="11"/>
        <v>3234.6099999999997</v>
      </c>
      <c r="L190" s="443">
        <v>41309</v>
      </c>
      <c r="M190" s="9" t="s">
        <v>8714</v>
      </c>
      <c r="Q190" s="9">
        <v>74.180000000000007</v>
      </c>
    </row>
    <row r="191" spans="1:25" ht="25.5">
      <c r="F191" s="667"/>
      <c r="G191" s="667">
        <f t="shared" si="11"/>
        <v>3234.6099999999997</v>
      </c>
      <c r="L191" s="443">
        <v>41310</v>
      </c>
      <c r="M191" s="9" t="s">
        <v>8715</v>
      </c>
      <c r="Q191" s="9">
        <v>42.7</v>
      </c>
    </row>
    <row r="192" spans="1:25">
      <c r="B192" s="578" t="s">
        <v>8716</v>
      </c>
      <c r="C192" s="578">
        <f>SUM(C178:C191)</f>
        <v>918.75</v>
      </c>
      <c r="F192" s="578">
        <f>SUM(F178:F191)</f>
        <v>-999.39</v>
      </c>
      <c r="G192" s="578"/>
      <c r="I192" s="578">
        <f>C192+F178+F189</f>
        <v>1048.3499999999999</v>
      </c>
    </row>
    <row r="193" spans="1:17" ht="38.25">
      <c r="C193" s="578"/>
      <c r="F193" s="578"/>
      <c r="G193" s="578"/>
      <c r="L193" s="443">
        <v>41310</v>
      </c>
      <c r="M193" s="9" t="s">
        <v>8717</v>
      </c>
      <c r="N193" s="9">
        <v>161.97</v>
      </c>
    </row>
    <row r="194" spans="1:17" ht="25.5">
      <c r="C194" s="578"/>
      <c r="F194" s="578"/>
      <c r="G194" s="578"/>
      <c r="L194" s="443">
        <v>41315</v>
      </c>
      <c r="M194" s="9" t="s">
        <v>8718</v>
      </c>
      <c r="N194" s="9">
        <v>20.11</v>
      </c>
    </row>
    <row r="195" spans="1:17" ht="25.5">
      <c r="C195" s="888"/>
      <c r="D195" s="888"/>
      <c r="E195" s="888"/>
      <c r="F195" s="888"/>
      <c r="G195" s="578"/>
      <c r="H195" s="578"/>
      <c r="I195" s="888"/>
      <c r="J195" s="888"/>
      <c r="L195" s="443">
        <v>41315</v>
      </c>
      <c r="M195" s="9" t="s">
        <v>8719</v>
      </c>
      <c r="N195" s="9">
        <v>121.45</v>
      </c>
    </row>
    <row r="196" spans="1:17" ht="25.5">
      <c r="L196" s="443">
        <v>41315</v>
      </c>
      <c r="M196" s="9" t="s">
        <v>8720</v>
      </c>
      <c r="N196" s="9">
        <v>6.28</v>
      </c>
    </row>
    <row r="197" spans="1:17" ht="38.25">
      <c r="G197" s="12"/>
      <c r="L197" s="443">
        <v>41320</v>
      </c>
      <c r="M197" s="9" t="s">
        <v>8721</v>
      </c>
      <c r="Q197" s="9">
        <v>60</v>
      </c>
    </row>
    <row r="198" spans="1:17" ht="25.5">
      <c r="A198" s="443">
        <v>41272</v>
      </c>
      <c r="B198" s="9" t="s">
        <v>1724</v>
      </c>
      <c r="C198" s="9">
        <v>133.24</v>
      </c>
      <c r="L198" s="443">
        <v>41324</v>
      </c>
      <c r="M198" s="9" t="s">
        <v>8722</v>
      </c>
      <c r="Q198" s="9">
        <v>40</v>
      </c>
    </row>
    <row r="199" spans="1:17" ht="25.5">
      <c r="A199" s="443">
        <v>41253</v>
      </c>
      <c r="B199" s="9" t="s">
        <v>8723</v>
      </c>
      <c r="F199" s="9">
        <v>5.75</v>
      </c>
      <c r="L199" s="443">
        <v>41326</v>
      </c>
      <c r="M199" s="9" t="s">
        <v>8724</v>
      </c>
      <c r="N199" s="9">
        <v>16.989999999999998</v>
      </c>
    </row>
    <row r="201" spans="1:17">
      <c r="B201" s="578" t="s">
        <v>8725</v>
      </c>
      <c r="C201" s="578">
        <f>SUM(C196:C199)</f>
        <v>133.24</v>
      </c>
      <c r="D201" s="578"/>
      <c r="E201" s="578"/>
      <c r="F201" s="578">
        <f>SUM(F196:F199)</f>
        <v>5.75</v>
      </c>
    </row>
    <row r="203" spans="1:17">
      <c r="A203" s="443">
        <v>41277</v>
      </c>
      <c r="B203" s="9" t="s">
        <v>8726</v>
      </c>
      <c r="C203" s="9">
        <v>9.34</v>
      </c>
    </row>
    <row r="204" spans="1:17">
      <c r="A204" s="443">
        <v>41279</v>
      </c>
      <c r="B204" s="9" t="s">
        <v>1724</v>
      </c>
      <c r="C204" s="9">
        <v>336.64</v>
      </c>
    </row>
    <row r="205" spans="1:17">
      <c r="A205" s="443">
        <v>41279</v>
      </c>
      <c r="B205" s="9" t="s">
        <v>8727</v>
      </c>
      <c r="C205" s="9">
        <v>19.37</v>
      </c>
    </row>
    <row r="206" spans="1:17">
      <c r="A206" s="443">
        <v>41286</v>
      </c>
      <c r="B206" s="9" t="s">
        <v>1724</v>
      </c>
      <c r="C206" s="9">
        <v>36.51</v>
      </c>
    </row>
    <row r="207" spans="1:17">
      <c r="A207" s="443">
        <v>41292</v>
      </c>
      <c r="B207" s="9" t="s">
        <v>8728</v>
      </c>
      <c r="F207" s="9">
        <v>17.75</v>
      </c>
    </row>
    <row r="208" spans="1:17">
      <c r="A208" s="443">
        <v>41293</v>
      </c>
      <c r="B208" s="9" t="s">
        <v>1724</v>
      </c>
      <c r="C208" s="9">
        <v>94.31</v>
      </c>
    </row>
    <row r="209" spans="1:17">
      <c r="A209" s="443">
        <v>41298</v>
      </c>
      <c r="B209" s="9" t="s">
        <v>1724</v>
      </c>
      <c r="C209" s="9">
        <v>44.28</v>
      </c>
    </row>
    <row r="210" spans="1:17">
      <c r="A210" s="443">
        <v>41300</v>
      </c>
      <c r="B210" s="9" t="s">
        <v>8729</v>
      </c>
      <c r="C210" s="9">
        <v>55.96</v>
      </c>
    </row>
    <row r="211" spans="1:17">
      <c r="A211" s="443">
        <v>41304</v>
      </c>
      <c r="B211" s="9" t="s">
        <v>8726</v>
      </c>
      <c r="C211" s="9">
        <v>1.89</v>
      </c>
    </row>
    <row r="212" spans="1:17">
      <c r="A212" s="443">
        <v>41304</v>
      </c>
      <c r="B212" s="9" t="s">
        <v>8730</v>
      </c>
      <c r="C212" s="9">
        <v>3.67</v>
      </c>
    </row>
    <row r="213" spans="1:17" ht="25.5">
      <c r="A213" s="443">
        <v>41305</v>
      </c>
      <c r="B213" s="9" t="s">
        <v>8729</v>
      </c>
      <c r="C213" s="9">
        <v>15.34</v>
      </c>
      <c r="M213" s="578" t="s">
        <v>8731</v>
      </c>
      <c r="N213" s="578">
        <f>SUM(N190:N212)</f>
        <v>326.79999999999995</v>
      </c>
      <c r="Q213" s="578">
        <f>SUM(Q190:Q212)</f>
        <v>216.88</v>
      </c>
    </row>
    <row r="215" spans="1:17" ht="38.25">
      <c r="B215" s="578" t="s">
        <v>8711</v>
      </c>
      <c r="C215" s="578">
        <f>SUM(C203:C213)</f>
        <v>617.30999999999995</v>
      </c>
      <c r="D215" s="578"/>
      <c r="E215" s="578"/>
      <c r="F215" s="578">
        <f>SUM(F203:F213)</f>
        <v>17.75</v>
      </c>
      <c r="M215" s="578" t="s">
        <v>8732</v>
      </c>
      <c r="N215" s="578"/>
      <c r="O215" s="578"/>
      <c r="P215" s="578"/>
      <c r="Q215" s="667">
        <f>Q143+Q168+Q188</f>
        <v>3482.0099999999998</v>
      </c>
    </row>
    <row r="216" spans="1:17" ht="25.5">
      <c r="J216" s="578" t="s">
        <v>6381</v>
      </c>
    </row>
    <row r="217" spans="1:17">
      <c r="A217" s="443">
        <v>41307</v>
      </c>
      <c r="B217" s="9" t="s">
        <v>8733</v>
      </c>
      <c r="J217" s="9">
        <v>615.71</v>
      </c>
    </row>
    <row r="218" spans="1:17">
      <c r="A218" s="443">
        <v>41307</v>
      </c>
      <c r="B218" s="9" t="s">
        <v>8733</v>
      </c>
      <c r="J218" s="9">
        <v>30.96</v>
      </c>
    </row>
    <row r="219" spans="1:17">
      <c r="A219" s="443">
        <v>41311</v>
      </c>
      <c r="B219" s="9" t="s">
        <v>1724</v>
      </c>
      <c r="C219" s="9">
        <v>74.180000000000007</v>
      </c>
    </row>
    <row r="220" spans="1:17">
      <c r="A220" s="443">
        <v>41316</v>
      </c>
      <c r="B220" s="9" t="s">
        <v>8734</v>
      </c>
      <c r="F220" s="9">
        <v>235.6</v>
      </c>
    </row>
    <row r="221" spans="1:17">
      <c r="A221" s="443">
        <v>41317</v>
      </c>
      <c r="B221" s="9" t="s">
        <v>1724</v>
      </c>
      <c r="C221" s="9">
        <v>20.11</v>
      </c>
    </row>
    <row r="222" spans="1:17">
      <c r="A222" s="443">
        <v>41317</v>
      </c>
      <c r="B222" s="9" t="s">
        <v>1724</v>
      </c>
      <c r="C222" s="9">
        <v>121.45</v>
      </c>
    </row>
    <row r="223" spans="1:17">
      <c r="A223" s="443">
        <v>41317</v>
      </c>
      <c r="B223" s="9" t="s">
        <v>1724</v>
      </c>
      <c r="C223" s="9">
        <v>6.28</v>
      </c>
    </row>
    <row r="224" spans="1:17">
      <c r="A224" s="443">
        <v>41318</v>
      </c>
      <c r="B224" s="9" t="s">
        <v>8735</v>
      </c>
      <c r="C224" s="9">
        <v>13.28</v>
      </c>
    </row>
    <row r="225" spans="1:12">
      <c r="A225" s="443">
        <v>41318</v>
      </c>
      <c r="B225" s="9" t="s">
        <v>8735</v>
      </c>
      <c r="C225" s="9">
        <v>12.46</v>
      </c>
    </row>
    <row r="226" spans="1:12">
      <c r="A226" s="443">
        <v>41319</v>
      </c>
      <c r="B226" s="9" t="s">
        <v>8727</v>
      </c>
      <c r="C226" s="9">
        <v>17.96</v>
      </c>
    </row>
    <row r="227" spans="1:12">
      <c r="A227" s="443">
        <v>41323</v>
      </c>
      <c r="B227" s="9" t="s">
        <v>1724</v>
      </c>
      <c r="C227" s="9">
        <v>61.69</v>
      </c>
    </row>
    <row r="228" spans="1:12">
      <c r="A228" s="443">
        <v>41324</v>
      </c>
      <c r="B228" s="9" t="s">
        <v>8729</v>
      </c>
      <c r="C228" s="9">
        <v>5.0999999999999996</v>
      </c>
    </row>
    <row r="229" spans="1:12">
      <c r="A229" s="443">
        <v>41324</v>
      </c>
      <c r="B229" s="9" t="s">
        <v>8736</v>
      </c>
      <c r="J229" s="9">
        <v>91.35</v>
      </c>
    </row>
    <row r="230" spans="1:12">
      <c r="A230" s="443">
        <v>41325</v>
      </c>
      <c r="B230" s="9" t="s">
        <v>1724</v>
      </c>
      <c r="J230" s="9">
        <v>10.210000000000001</v>
      </c>
    </row>
    <row r="231" spans="1:12">
      <c r="A231" s="443">
        <v>41326</v>
      </c>
      <c r="B231" s="9" t="s">
        <v>8737</v>
      </c>
      <c r="J231" s="9">
        <v>149.85</v>
      </c>
    </row>
    <row r="232" spans="1:12">
      <c r="A232" s="443">
        <v>41327</v>
      </c>
      <c r="B232" s="9" t="s">
        <v>8738</v>
      </c>
      <c r="J232" s="9">
        <v>16.989999999999998</v>
      </c>
    </row>
    <row r="233" spans="1:12">
      <c r="A233" s="443">
        <v>41333</v>
      </c>
      <c r="B233" s="9" t="s">
        <v>8738</v>
      </c>
      <c r="D233" s="578"/>
      <c r="E233" s="578"/>
      <c r="F233" s="578"/>
      <c r="J233" s="9">
        <v>10.24</v>
      </c>
    </row>
    <row r="235" spans="1:12">
      <c r="B235" s="578" t="s">
        <v>8739</v>
      </c>
      <c r="C235" s="578">
        <f>SUM(C217:C233)</f>
        <v>332.51000000000005</v>
      </c>
      <c r="D235" s="578"/>
      <c r="E235" s="578"/>
      <c r="F235" s="578">
        <f>SUM(F217:F233)</f>
        <v>235.6</v>
      </c>
      <c r="G235" s="578"/>
      <c r="H235" s="578"/>
      <c r="I235" s="578"/>
      <c r="J235" s="578">
        <f>SUM(J217:J233)</f>
        <v>925.31000000000017</v>
      </c>
      <c r="L235" s="578"/>
    </row>
    <row r="237" spans="1:12">
      <c r="A237" s="443">
        <v>41334</v>
      </c>
      <c r="B237" s="9" t="s">
        <v>8729</v>
      </c>
      <c r="C237" s="9">
        <v>35.07</v>
      </c>
    </row>
    <row r="238" spans="1:12">
      <c r="A238" s="443">
        <v>41335</v>
      </c>
      <c r="B238" s="9" t="s">
        <v>8738</v>
      </c>
      <c r="C238" s="9">
        <v>17.190000000000001</v>
      </c>
    </row>
    <row r="239" spans="1:12">
      <c r="A239" s="443">
        <v>41338</v>
      </c>
      <c r="B239" s="9" t="s">
        <v>8734</v>
      </c>
      <c r="C239" s="888">
        <v>28.54</v>
      </c>
      <c r="D239" s="888"/>
      <c r="E239" s="888"/>
      <c r="F239" s="888"/>
      <c r="G239" s="578"/>
      <c r="H239" s="578"/>
      <c r="I239" s="888"/>
      <c r="J239" s="888"/>
    </row>
    <row r="240" spans="1:12">
      <c r="A240" s="443">
        <v>41342</v>
      </c>
      <c r="B240" s="9" t="s">
        <v>8740</v>
      </c>
      <c r="C240" s="9">
        <v>20</v>
      </c>
      <c r="I240" s="888"/>
    </row>
    <row r="241" spans="1:9">
      <c r="A241" s="443">
        <v>41346</v>
      </c>
      <c r="B241" s="9" t="s">
        <v>8741</v>
      </c>
      <c r="C241" s="9">
        <v>7.67</v>
      </c>
      <c r="I241" s="888"/>
    </row>
    <row r="242" spans="1:9">
      <c r="A242" s="443">
        <v>41349</v>
      </c>
      <c r="B242" s="9" t="s">
        <v>1724</v>
      </c>
      <c r="C242" s="9">
        <v>154.82</v>
      </c>
    </row>
    <row r="243" spans="1:9">
      <c r="A243" s="443">
        <v>41355</v>
      </c>
      <c r="B243" s="9" t="s">
        <v>8742</v>
      </c>
      <c r="F243" s="9">
        <v>13.03</v>
      </c>
    </row>
    <row r="245" spans="1:9">
      <c r="B245" s="578" t="s">
        <v>8743</v>
      </c>
      <c r="C245" s="578">
        <f>SUM(C237:C243)</f>
        <v>263.29000000000002</v>
      </c>
      <c r="D245" s="578"/>
      <c r="E245" s="578"/>
      <c r="F245" s="578">
        <f>SUM(F237:F243)</f>
        <v>13.03</v>
      </c>
    </row>
    <row r="247" spans="1:9">
      <c r="A247" s="443">
        <v>41372</v>
      </c>
      <c r="B247" s="9" t="s">
        <v>8744</v>
      </c>
      <c r="C247" s="9">
        <v>38.200000000000003</v>
      </c>
    </row>
    <row r="248" spans="1:9">
      <c r="A248" s="443">
        <v>41380</v>
      </c>
      <c r="B248" s="9" t="s">
        <v>8742</v>
      </c>
      <c r="F248" s="9">
        <v>23.99</v>
      </c>
    </row>
    <row r="249" spans="1:9">
      <c r="A249" s="443">
        <v>41384</v>
      </c>
      <c r="B249" s="9" t="s">
        <v>8745</v>
      </c>
      <c r="C249" s="9">
        <v>139.99</v>
      </c>
    </row>
    <row r="250" spans="1:9">
      <c r="A250" s="443">
        <v>41384</v>
      </c>
      <c r="B250" s="9" t="s">
        <v>8746</v>
      </c>
      <c r="C250" s="9">
        <v>965.95</v>
      </c>
    </row>
    <row r="251" spans="1:9">
      <c r="A251" s="443">
        <v>41389</v>
      </c>
      <c r="B251" s="9" t="s">
        <v>1724</v>
      </c>
      <c r="C251" s="9">
        <v>35.89</v>
      </c>
    </row>
    <row r="252" spans="1:9">
      <c r="B252" s="9" t="s">
        <v>135</v>
      </c>
    </row>
    <row r="253" spans="1:9">
      <c r="B253" s="578" t="s">
        <v>8747</v>
      </c>
      <c r="C253" s="578">
        <f>SUM(C247:C251)</f>
        <v>1180.0300000000002</v>
      </c>
      <c r="D253" s="578"/>
      <c r="E253" s="578"/>
      <c r="F253" s="578">
        <f>SUM(F247:F251)</f>
        <v>23.99</v>
      </c>
    </row>
    <row r="254" spans="1:9">
      <c r="B254" s="9" t="s">
        <v>135</v>
      </c>
    </row>
    <row r="255" spans="1:9">
      <c r="A255" s="443">
        <v>41407</v>
      </c>
      <c r="B255" s="9" t="s">
        <v>8729</v>
      </c>
      <c r="C255" s="9">
        <v>67.98</v>
      </c>
    </row>
    <row r="256" spans="1:9">
      <c r="A256" s="443">
        <v>41409</v>
      </c>
      <c r="B256" s="9" t="s">
        <v>8741</v>
      </c>
      <c r="C256" s="9">
        <v>66.45</v>
      </c>
    </row>
    <row r="257" spans="1:10">
      <c r="A257" s="443">
        <v>41410</v>
      </c>
      <c r="B257" s="9" t="s">
        <v>1724</v>
      </c>
      <c r="C257" s="9">
        <v>73.66</v>
      </c>
    </row>
    <row r="258" spans="1:10">
      <c r="A258" s="443">
        <v>41411</v>
      </c>
      <c r="B258" s="9" t="s">
        <v>8748</v>
      </c>
      <c r="J258" s="9">
        <v>18.899999999999999</v>
      </c>
    </row>
    <row r="259" spans="1:10">
      <c r="A259" s="443">
        <v>41412</v>
      </c>
      <c r="B259" s="9" t="s">
        <v>8749</v>
      </c>
      <c r="C259" s="9" t="s">
        <v>135</v>
      </c>
      <c r="J259" s="9">
        <v>31.68</v>
      </c>
    </row>
    <row r="260" spans="1:10">
      <c r="A260" s="443">
        <v>41412</v>
      </c>
      <c r="B260" s="9" t="s">
        <v>8749</v>
      </c>
      <c r="J260" s="9">
        <v>32.520000000000003</v>
      </c>
    </row>
    <row r="261" spans="1:10">
      <c r="A261" s="443">
        <v>41414</v>
      </c>
      <c r="B261" s="9" t="s">
        <v>1724</v>
      </c>
      <c r="J261" s="9">
        <v>89.97</v>
      </c>
    </row>
  </sheetData>
  <mergeCells count="31">
    <mergeCell ref="N80:O80"/>
    <mergeCell ref="Q80:R80"/>
    <mergeCell ref="T80:U80"/>
    <mergeCell ref="C51:D51"/>
    <mergeCell ref="F51:G51"/>
    <mergeCell ref="I51:J51"/>
    <mergeCell ref="B78:D78"/>
    <mergeCell ref="F78:G78"/>
    <mergeCell ref="C79:D79"/>
    <mergeCell ref="F79:G79"/>
    <mergeCell ref="I78:J78"/>
    <mergeCell ref="I79:J79"/>
    <mergeCell ref="M79:O79"/>
    <mergeCell ref="Q79:R79"/>
    <mergeCell ref="T79:U79"/>
    <mergeCell ref="F50:G50"/>
    <mergeCell ref="I50:J50"/>
    <mergeCell ref="B24:D24"/>
    <mergeCell ref="F24:G24"/>
    <mergeCell ref="I24:J24"/>
    <mergeCell ref="C25:D25"/>
    <mergeCell ref="F25:G25"/>
    <mergeCell ref="I25:J25"/>
    <mergeCell ref="B50:D50"/>
    <mergeCell ref="B1:D1"/>
    <mergeCell ref="F1:G1"/>
    <mergeCell ref="I1:J1"/>
    <mergeCell ref="M1:N1"/>
    <mergeCell ref="C2:D2"/>
    <mergeCell ref="F2:G2"/>
    <mergeCell ref="I2:J2"/>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outlinePr summaryBelow="0" summaryRight="0"/>
  </sheetPr>
  <dimension ref="A1:T40"/>
  <sheetViews>
    <sheetView workbookViewId="0"/>
  </sheetViews>
  <sheetFormatPr defaultColWidth="12.7109375" defaultRowHeight="12.75" customHeight="1"/>
  <cols>
    <col min="1" max="20" width="15.140625" customWidth="1"/>
  </cols>
  <sheetData>
    <row r="1" spans="1:20">
      <c r="A1" s="578">
        <v>2010</v>
      </c>
      <c r="B1" s="888" t="s">
        <v>7013</v>
      </c>
      <c r="C1" s="888" t="s">
        <v>8750</v>
      </c>
      <c r="D1" s="888" t="s">
        <v>8751</v>
      </c>
      <c r="E1" s="578"/>
      <c r="F1" s="578"/>
      <c r="G1" s="578"/>
      <c r="H1" s="578"/>
      <c r="I1" s="578"/>
      <c r="J1" s="578"/>
      <c r="K1" s="578"/>
      <c r="L1" s="578"/>
      <c r="M1" s="578"/>
      <c r="N1" s="578"/>
      <c r="O1" s="578"/>
      <c r="P1" s="578"/>
      <c r="Q1" s="578"/>
      <c r="R1" s="578"/>
      <c r="S1" s="578"/>
      <c r="T1" s="578"/>
    </row>
    <row r="2" spans="1:20">
      <c r="A2" s="578" t="s">
        <v>38</v>
      </c>
      <c r="B2" s="9">
        <v>0</v>
      </c>
      <c r="C2" s="9">
        <v>0</v>
      </c>
      <c r="D2" s="9">
        <v>0</v>
      </c>
    </row>
    <row r="4" spans="1:20">
      <c r="A4" s="578" t="s">
        <v>270</v>
      </c>
    </row>
    <row r="5" spans="1:20">
      <c r="A5" s="9" t="s">
        <v>3313</v>
      </c>
      <c r="C5" s="9">
        <v>50</v>
      </c>
      <c r="D5" s="9">
        <v>300</v>
      </c>
    </row>
    <row r="6" spans="1:20">
      <c r="A6" s="9" t="s">
        <v>5750</v>
      </c>
      <c r="B6" s="9">
        <v>0</v>
      </c>
    </row>
    <row r="7" spans="1:20">
      <c r="A7" s="9" t="s">
        <v>8752</v>
      </c>
      <c r="B7" s="9">
        <v>0</v>
      </c>
      <c r="C7" s="9">
        <v>50</v>
      </c>
    </row>
    <row r="8" spans="1:20">
      <c r="A8" s="9" t="s">
        <v>8753</v>
      </c>
    </row>
    <row r="9" spans="1:20">
      <c r="A9" s="9" t="s">
        <v>8754</v>
      </c>
    </row>
    <row r="10" spans="1:20">
      <c r="A10" s="9" t="s">
        <v>4822</v>
      </c>
    </row>
    <row r="11" spans="1:20">
      <c r="A11" s="9" t="s">
        <v>8755</v>
      </c>
    </row>
    <row r="12" spans="1:20">
      <c r="A12" s="9" t="s">
        <v>8756</v>
      </c>
      <c r="B12" s="9">
        <v>100</v>
      </c>
    </row>
    <row r="13" spans="1:20">
      <c r="A13" s="9" t="s">
        <v>7392</v>
      </c>
      <c r="B13" s="9">
        <v>120</v>
      </c>
      <c r="C13" s="9">
        <v>120</v>
      </c>
      <c r="D13" s="9">
        <v>50</v>
      </c>
    </row>
    <row r="14" spans="1:20">
      <c r="A14" s="9" t="s">
        <v>8757</v>
      </c>
      <c r="B14" s="9">
        <v>50</v>
      </c>
    </row>
    <row r="15" spans="1:20">
      <c r="A15" s="9" t="s">
        <v>7298</v>
      </c>
      <c r="B15" s="9">
        <v>50</v>
      </c>
      <c r="C15" s="9">
        <v>50</v>
      </c>
      <c r="D15" s="9">
        <v>200</v>
      </c>
    </row>
    <row r="16" spans="1:20">
      <c r="A16" s="9" t="s">
        <v>8758</v>
      </c>
    </row>
    <row r="17" spans="1:5">
      <c r="A17" s="9" t="s">
        <v>8759</v>
      </c>
      <c r="B17" s="9">
        <v>100</v>
      </c>
      <c r="C17" s="9">
        <v>55</v>
      </c>
    </row>
    <row r="18" spans="1:5">
      <c r="A18" s="9" t="s">
        <v>7887</v>
      </c>
    </row>
    <row r="19" spans="1:5">
      <c r="A19" s="9" t="s">
        <v>3315</v>
      </c>
      <c r="B19" s="9">
        <v>120</v>
      </c>
      <c r="C19" s="9">
        <v>2270</v>
      </c>
    </row>
    <row r="20" spans="1:5">
      <c r="A20" s="578" t="s">
        <v>1126</v>
      </c>
      <c r="B20" s="578">
        <f>SUM(B5:B19)</f>
        <v>540</v>
      </c>
      <c r="C20" s="578">
        <f>SUM(C5:C19)</f>
        <v>2595</v>
      </c>
      <c r="D20" s="578">
        <f>SUM(D2:D19)</f>
        <v>550</v>
      </c>
    </row>
    <row r="22" spans="1:5">
      <c r="A22" s="578" t="s">
        <v>8760</v>
      </c>
      <c r="B22" s="578">
        <f>B2-B20</f>
        <v>-540</v>
      </c>
      <c r="C22" s="578">
        <f>C2-C20</f>
        <v>-2595</v>
      </c>
      <c r="D22" s="578">
        <f>D2-D20</f>
        <v>-550</v>
      </c>
    </row>
    <row r="24" spans="1:5">
      <c r="E24" s="578">
        <f>B22+C22+D22</f>
        <v>-3685</v>
      </c>
    </row>
    <row r="32" spans="1:5">
      <c r="A32" s="578" t="s">
        <v>8761</v>
      </c>
    </row>
    <row r="33" spans="1:2">
      <c r="A33" s="9" t="s">
        <v>8762</v>
      </c>
      <c r="B33" s="9">
        <v>70</v>
      </c>
    </row>
    <row r="34" spans="1:2">
      <c r="A34" s="9" t="s">
        <v>8763</v>
      </c>
      <c r="B34" s="9">
        <v>1200</v>
      </c>
    </row>
    <row r="35" spans="1:2">
      <c r="A35" s="9" t="s">
        <v>8764</v>
      </c>
      <c r="B35" s="9">
        <v>400</v>
      </c>
    </row>
    <row r="36" spans="1:2">
      <c r="A36" s="9" t="s">
        <v>8765</v>
      </c>
      <c r="B36" s="9">
        <v>500</v>
      </c>
    </row>
    <row r="37" spans="1:2">
      <c r="A37" s="9" t="s">
        <v>8766</v>
      </c>
      <c r="B37" s="9">
        <v>100</v>
      </c>
    </row>
    <row r="40" spans="1:2">
      <c r="B40" s="9">
        <f>SUM(B32:B39)</f>
        <v>2270</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outlinePr summaryBelow="0" summaryRight="0"/>
  </sheetPr>
  <dimension ref="A1:T13"/>
  <sheetViews>
    <sheetView workbookViewId="0"/>
  </sheetViews>
  <sheetFormatPr defaultColWidth="12.7109375" defaultRowHeight="12.75" customHeight="1"/>
  <cols>
    <col min="1" max="1" width="18.7109375" customWidth="1"/>
    <col min="2" max="2" width="10.28515625" customWidth="1"/>
    <col min="3" max="5" width="15.140625" customWidth="1"/>
    <col min="6" max="6" width="19.85546875" customWidth="1"/>
    <col min="7" max="7" width="22.7109375" customWidth="1"/>
    <col min="8" max="20" width="15.140625" customWidth="1"/>
  </cols>
  <sheetData>
    <row r="1" spans="1:20">
      <c r="A1" s="578" t="s">
        <v>8767</v>
      </c>
      <c r="B1" s="578" t="s">
        <v>8768</v>
      </c>
      <c r="C1" s="578" t="s">
        <v>3278</v>
      </c>
      <c r="D1" s="578" t="s">
        <v>8769</v>
      </c>
      <c r="E1" s="578" t="s">
        <v>8770</v>
      </c>
      <c r="F1" s="578" t="s">
        <v>6574</v>
      </c>
      <c r="G1" s="578"/>
      <c r="H1" s="578"/>
      <c r="I1" s="578"/>
      <c r="J1" s="578"/>
      <c r="K1" s="578"/>
      <c r="L1" s="578"/>
      <c r="M1" s="578"/>
      <c r="N1" s="578"/>
      <c r="O1" s="578"/>
      <c r="P1" s="578"/>
      <c r="Q1" s="578"/>
      <c r="R1" s="578"/>
      <c r="S1" s="578"/>
      <c r="T1" s="578"/>
    </row>
    <row r="2" spans="1:20">
      <c r="A2" s="9" t="s">
        <v>8771</v>
      </c>
      <c r="B2" s="9" t="s">
        <v>8772</v>
      </c>
      <c r="C2" s="9" t="s">
        <v>8773</v>
      </c>
      <c r="D2" s="9" t="s">
        <v>8774</v>
      </c>
      <c r="F2" s="9" t="s">
        <v>8775</v>
      </c>
    </row>
    <row r="3" spans="1:20">
      <c r="D3" s="9" t="s">
        <v>8776</v>
      </c>
    </row>
    <row r="5" spans="1:20">
      <c r="A5" s="9" t="s">
        <v>8777</v>
      </c>
      <c r="B5" s="9" t="s">
        <v>8778</v>
      </c>
      <c r="C5" s="9" t="s">
        <v>8779</v>
      </c>
      <c r="D5" s="9" t="s">
        <v>8780</v>
      </c>
      <c r="G5" s="9" t="s">
        <v>8781</v>
      </c>
    </row>
    <row r="6" spans="1:20">
      <c r="A6" s="9" t="s">
        <v>8782</v>
      </c>
      <c r="B6" s="9" t="s">
        <v>8783</v>
      </c>
      <c r="C6" s="9" t="s">
        <v>8779</v>
      </c>
      <c r="D6" s="9" t="s">
        <v>8784</v>
      </c>
      <c r="G6" s="9" t="s">
        <v>8785</v>
      </c>
    </row>
    <row r="7" spans="1:20">
      <c r="D7" s="9" t="s">
        <v>8786</v>
      </c>
    </row>
    <row r="9" spans="1:20">
      <c r="A9" s="9" t="s">
        <v>8787</v>
      </c>
      <c r="B9" s="9" t="s">
        <v>8788</v>
      </c>
      <c r="C9" s="9" t="s">
        <v>8789</v>
      </c>
    </row>
    <row r="11" spans="1:20">
      <c r="A11" s="9" t="s">
        <v>8790</v>
      </c>
      <c r="B11" s="9" t="s">
        <v>8791</v>
      </c>
      <c r="C11" s="9" t="s">
        <v>8792</v>
      </c>
    </row>
    <row r="13" spans="1:20">
      <c r="A13" s="9" t="s">
        <v>8793</v>
      </c>
      <c r="B13" s="9" t="s">
        <v>8794</v>
      </c>
      <c r="C13" s="9" t="s">
        <v>8795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pageSetUpPr fitToPage="1"/>
  </sheetPr>
  <dimension ref="A1:Z1029"/>
  <sheetViews>
    <sheetView workbookViewId="0">
      <pane ySplit="1" topLeftCell="A2" activePane="bottomLeft" state="frozen"/>
      <selection pane="bottomLeft" activeCell="A62" sqref="A62:XFD62"/>
    </sheetView>
  </sheetViews>
  <sheetFormatPr defaultColWidth="12.7109375" defaultRowHeight="12.75" customHeight="1"/>
  <cols>
    <col min="1" max="1" width="20.7109375" customWidth="1"/>
    <col min="2" max="2" width="15.28515625" customWidth="1"/>
    <col min="3" max="3" width="14.7109375" customWidth="1"/>
    <col min="4" max="4" width="5.28515625" customWidth="1"/>
    <col min="5" max="5" width="32.28515625" customWidth="1"/>
    <col min="7" max="7" width="14.7109375" customWidth="1"/>
    <col min="8" max="8" width="10.42578125" customWidth="1"/>
    <col min="9" max="9" width="6.7109375" customWidth="1"/>
    <col min="10" max="10" width="7" customWidth="1"/>
    <col min="11" max="11" width="8" customWidth="1"/>
    <col min="12" max="12" width="8.7109375" customWidth="1"/>
    <col min="14" max="14" width="15" customWidth="1"/>
  </cols>
  <sheetData>
    <row r="1" spans="1:26" ht="12.75" customHeight="1">
      <c r="A1" s="546" t="s">
        <v>3534</v>
      </c>
      <c r="B1" s="547" t="s">
        <v>3535</v>
      </c>
      <c r="C1" s="2042">
        <f ca="1">NOW()</f>
        <v>45681.866087962961</v>
      </c>
      <c r="D1" s="549"/>
      <c r="E1" s="548">
        <f ca="1">NOW()</f>
        <v>45681.866087962961</v>
      </c>
      <c r="F1" s="549" t="s">
        <v>3536</v>
      </c>
      <c r="G1" s="549"/>
      <c r="H1" s="549" t="s">
        <v>3537</v>
      </c>
      <c r="I1" s="550" t="s">
        <v>3538</v>
      </c>
      <c r="J1" s="549" t="s">
        <v>3539</v>
      </c>
      <c r="K1" s="549" t="s">
        <v>3540</v>
      </c>
      <c r="L1" s="549" t="s">
        <v>3541</v>
      </c>
      <c r="M1" s="549" t="s">
        <v>3542</v>
      </c>
      <c r="N1" s="551">
        <v>2000000</v>
      </c>
      <c r="O1" s="549"/>
      <c r="P1" s="552" t="s">
        <v>3543</v>
      </c>
      <c r="Q1" s="552" t="s">
        <v>3544</v>
      </c>
      <c r="R1" s="552" t="s">
        <v>3545</v>
      </c>
      <c r="S1" s="549"/>
      <c r="T1" s="549"/>
      <c r="U1" s="549"/>
      <c r="V1" s="549"/>
      <c r="W1" s="549"/>
      <c r="X1" s="549"/>
      <c r="Y1" s="549"/>
      <c r="Z1" s="549"/>
    </row>
    <row r="2" spans="1:26" ht="12.75" customHeight="1">
      <c r="A2" s="553" t="s">
        <v>3546</v>
      </c>
      <c r="B2" s="554">
        <v>31878</v>
      </c>
      <c r="C2" s="555">
        <f t="shared" ref="C2:C10" ca="1" si="0">IF(B2,DATEDIF(B2,TODAY(),"Y"),"")</f>
        <v>37</v>
      </c>
      <c r="D2" s="555"/>
      <c r="E2" s="555" t="str">
        <f ca="1">DATEDIF(B2, TODAY(), "Y") &amp; " years, " &amp; DATEDIF(B2, TODAY(), "YM") &amp; " months, " &amp; DATEDIF(B2, TODAY(), "MD") &amp; " days"</f>
        <v>37 years, 9 months, 13 days</v>
      </c>
      <c r="F2" s="555">
        <v>4</v>
      </c>
      <c r="G2" s="556" t="s">
        <v>3547</v>
      </c>
      <c r="H2" s="555"/>
      <c r="I2" s="557"/>
      <c r="J2" s="555"/>
      <c r="K2" s="555"/>
      <c r="L2" s="555"/>
      <c r="M2" s="555">
        <v>1</v>
      </c>
      <c r="N2" s="558">
        <f>2/14</f>
        <v>0.14285714285714285</v>
      </c>
      <c r="O2" s="558">
        <f>N1/2*N2</f>
        <v>142857.14285714284</v>
      </c>
      <c r="P2" s="558">
        <f>N1/2/7</f>
        <v>142857.14285714287</v>
      </c>
      <c r="Q2" s="558">
        <f>N1*40/100/26</f>
        <v>30769.23076923077</v>
      </c>
      <c r="R2" s="558">
        <f>N1*10/100</f>
        <v>200000</v>
      </c>
      <c r="S2" s="555"/>
      <c r="T2" s="555"/>
      <c r="U2" s="555"/>
      <c r="V2" s="555"/>
      <c r="W2" s="555"/>
      <c r="X2" s="555"/>
      <c r="Y2" s="555"/>
      <c r="Z2" s="555"/>
    </row>
    <row r="3" spans="1:26" ht="12.75" customHeight="1">
      <c r="A3" s="555" t="s">
        <v>3548</v>
      </c>
      <c r="B3" s="554">
        <v>41485</v>
      </c>
      <c r="C3" s="559">
        <f t="shared" ca="1" si="0"/>
        <v>11</v>
      </c>
      <c r="D3" s="555"/>
      <c r="E3" s="555" t="str">
        <f ca="1">DATEDIF(B3, TODAY(), "Y") &amp; " years, " &amp; DATEDIF(B3, TODAY(), "YM") &amp; " months, " &amp; DATEDIF(B3, TODAY(), "MD") &amp; " days"</f>
        <v>11 years, 5 months, 25 days</v>
      </c>
      <c r="F3" s="555"/>
      <c r="G3" s="555" t="s">
        <v>3549</v>
      </c>
      <c r="H3" s="555"/>
      <c r="I3" s="557">
        <v>1</v>
      </c>
      <c r="J3" s="555"/>
      <c r="K3" s="555"/>
      <c r="L3" s="555"/>
      <c r="M3" s="555">
        <v>1</v>
      </c>
      <c r="N3" s="558">
        <f>N1/2/26</f>
        <v>38461.538461538461</v>
      </c>
      <c r="O3" s="555"/>
      <c r="P3" s="555"/>
      <c r="Q3" s="555"/>
      <c r="R3" s="555"/>
      <c r="S3" s="555"/>
      <c r="T3" s="555"/>
      <c r="U3" s="555"/>
      <c r="V3" s="555"/>
      <c r="W3" s="555"/>
      <c r="X3" s="555"/>
      <c r="Y3" s="555"/>
      <c r="Z3" s="555"/>
    </row>
    <row r="4" spans="1:26" ht="15">
      <c r="A4" s="555" t="s">
        <v>3550</v>
      </c>
      <c r="B4" s="554">
        <v>32108</v>
      </c>
      <c r="C4" s="555">
        <f t="shared" ca="1" si="0"/>
        <v>37</v>
      </c>
      <c r="D4" s="555"/>
      <c r="E4" s="555" t="str">
        <f ca="1">DATEDIF(B4, TODAY(), "Y") &amp; " years, " &amp; DATEDIF(B4, TODAY(), "YM") &amp; " months, " &amp; DATEDIF(B4, TODAY(), "MD") &amp; " days"</f>
        <v>37 years, 1 months, 28 days</v>
      </c>
      <c r="F4" s="555"/>
      <c r="G4" s="555"/>
      <c r="H4" s="555"/>
      <c r="I4" s="557"/>
      <c r="J4" s="555"/>
      <c r="K4" s="555"/>
      <c r="L4" s="555"/>
      <c r="M4" s="555">
        <v>1</v>
      </c>
      <c r="N4" s="555"/>
      <c r="O4" s="555"/>
      <c r="P4" s="549"/>
      <c r="Q4" s="549"/>
      <c r="R4" s="549"/>
      <c r="S4" s="549"/>
      <c r="T4" s="549"/>
      <c r="U4" s="549"/>
      <c r="V4" s="549"/>
      <c r="W4" s="549"/>
      <c r="X4" s="549"/>
      <c r="Y4" s="549"/>
      <c r="Z4" s="549"/>
    </row>
    <row r="5" spans="1:26" ht="12.75" customHeight="1">
      <c r="A5" s="560" t="s">
        <v>3551</v>
      </c>
      <c r="B5" s="554">
        <v>40097</v>
      </c>
      <c r="C5" s="555">
        <f t="shared" ca="1" si="0"/>
        <v>15</v>
      </c>
      <c r="D5" s="555"/>
      <c r="E5" s="555" t="str">
        <f ca="1">DATEDIF(B5, TODAY(), "Y") &amp; " years, " &amp; DATEDIF(B5, TODAY(), "YM") &amp; " months, " &amp; DATEDIF(B5, TODAY(), "MD") &amp; " days"</f>
        <v>15 years, 3 months, 13 days</v>
      </c>
      <c r="F5" s="555"/>
      <c r="G5" s="561" t="s">
        <v>3552</v>
      </c>
      <c r="H5" s="555"/>
      <c r="I5" s="557"/>
      <c r="J5" s="555"/>
      <c r="K5" s="555"/>
      <c r="L5" s="555"/>
      <c r="M5" s="555"/>
      <c r="N5" s="555"/>
      <c r="O5" s="555"/>
      <c r="P5" s="549">
        <f>P2*2/100/12</f>
        <v>238.0952380952381</v>
      </c>
      <c r="Q5" s="549"/>
      <c r="R5" s="549"/>
      <c r="S5" s="549"/>
      <c r="T5" s="549"/>
      <c r="U5" s="549"/>
      <c r="V5" s="549"/>
      <c r="W5" s="549"/>
      <c r="X5" s="549"/>
      <c r="Y5" s="549"/>
      <c r="Z5" s="549"/>
    </row>
    <row r="6" spans="1:26" ht="15">
      <c r="A6" s="549"/>
      <c r="B6" s="549"/>
      <c r="C6" s="549" t="str">
        <f t="shared" ca="1" si="0"/>
        <v/>
      </c>
      <c r="D6" s="549"/>
      <c r="E6" s="562"/>
      <c r="F6" s="549"/>
      <c r="G6" s="549"/>
      <c r="H6" s="549"/>
      <c r="I6" s="550"/>
      <c r="J6" s="549"/>
      <c r="K6" s="549">
        <v>0</v>
      </c>
      <c r="L6" s="549"/>
      <c r="M6" s="549"/>
      <c r="N6" s="551"/>
      <c r="O6" s="549"/>
      <c r="P6" s="549"/>
      <c r="Q6" s="549"/>
      <c r="R6" s="549"/>
      <c r="S6" s="549"/>
      <c r="T6" s="549"/>
      <c r="U6" s="549"/>
      <c r="V6" s="549"/>
      <c r="W6" s="549"/>
      <c r="X6" s="549"/>
      <c r="Y6" s="549"/>
      <c r="Z6" s="549"/>
    </row>
    <row r="7" spans="1:26" ht="12.75" customHeight="1">
      <c r="A7" s="553" t="s">
        <v>3553</v>
      </c>
      <c r="B7" s="554">
        <v>32497</v>
      </c>
      <c r="C7" s="555">
        <f t="shared" ca="1" si="0"/>
        <v>36</v>
      </c>
      <c r="D7" s="555"/>
      <c r="E7" s="555" t="str">
        <f ca="1">DATEDIF(B7, TODAY(), "Y") &amp; " years, " &amp; DATEDIF(B7, TODAY(), "YM") &amp; " months, " &amp; DATEDIF(B7, TODAY(), "MD") &amp; " days"</f>
        <v>36 years, 1 months, 4 days</v>
      </c>
      <c r="F7" s="555">
        <v>1</v>
      </c>
      <c r="G7" s="555"/>
      <c r="H7" s="555"/>
      <c r="I7" s="557"/>
      <c r="J7" s="555"/>
      <c r="K7" s="555"/>
      <c r="L7" s="555"/>
      <c r="M7" s="555">
        <v>1</v>
      </c>
      <c r="N7" s="558"/>
      <c r="O7" s="555"/>
      <c r="P7" s="555"/>
      <c r="Q7" s="555"/>
      <c r="R7" s="555"/>
      <c r="S7" s="555"/>
      <c r="T7" s="555"/>
      <c r="U7" s="555"/>
      <c r="V7" s="555"/>
      <c r="W7" s="555"/>
      <c r="X7" s="555"/>
      <c r="Y7" s="555"/>
      <c r="Z7" s="555"/>
    </row>
    <row r="8" spans="1:26" ht="15">
      <c r="A8" s="549"/>
      <c r="B8" s="549"/>
      <c r="C8" s="549" t="str">
        <f t="shared" ca="1" si="0"/>
        <v/>
      </c>
      <c r="D8" s="549"/>
      <c r="E8" s="562"/>
      <c r="F8" s="549"/>
      <c r="G8" s="549"/>
      <c r="H8" s="549"/>
      <c r="I8" s="550"/>
      <c r="J8" s="549"/>
      <c r="K8" s="549"/>
      <c r="L8" s="549"/>
      <c r="M8" s="549"/>
      <c r="N8" s="551"/>
      <c r="O8" s="549"/>
      <c r="P8" s="549"/>
      <c r="Q8" s="549"/>
      <c r="R8" s="549"/>
      <c r="S8" s="549"/>
      <c r="T8" s="549"/>
      <c r="U8" s="549"/>
      <c r="V8" s="549"/>
      <c r="W8" s="549"/>
      <c r="X8" s="549"/>
      <c r="Y8" s="549"/>
      <c r="Z8" s="549"/>
    </row>
    <row r="9" spans="1:26" ht="12.75" customHeight="1">
      <c r="A9" s="563" t="s">
        <v>3554</v>
      </c>
      <c r="B9" s="554">
        <v>32751</v>
      </c>
      <c r="C9" s="555">
        <f t="shared" ca="1" si="0"/>
        <v>35</v>
      </c>
      <c r="D9" s="555"/>
      <c r="E9" s="555" t="str">
        <f ca="1">DATEDIF(B9, TODAY(), "Y") &amp; " years, " &amp; DATEDIF(B9, TODAY(), "YM") &amp; " months, " &amp; DATEDIF(B9, TODAY(), "MD") &amp; " days"</f>
        <v>35 years, 4 months, 24 days</v>
      </c>
      <c r="F9" s="555">
        <v>1</v>
      </c>
      <c r="G9" s="555"/>
      <c r="H9" s="555"/>
      <c r="I9" s="557"/>
      <c r="J9" s="555"/>
      <c r="K9" s="555"/>
      <c r="L9" s="555"/>
      <c r="M9" s="555"/>
      <c r="N9" s="558"/>
      <c r="O9" s="555"/>
      <c r="P9" s="555"/>
      <c r="Q9" s="555"/>
      <c r="R9" s="555"/>
      <c r="S9" s="555"/>
      <c r="T9" s="555"/>
      <c r="U9" s="555"/>
      <c r="V9" s="555"/>
      <c r="W9" s="555"/>
      <c r="X9" s="555"/>
      <c r="Y9" s="555"/>
      <c r="Z9" s="555"/>
    </row>
    <row r="10" spans="1:26" ht="12.75" customHeight="1">
      <c r="A10" s="553"/>
      <c r="B10" s="554"/>
      <c r="C10" s="555" t="str">
        <f t="shared" ca="1" si="0"/>
        <v/>
      </c>
      <c r="D10" s="555"/>
      <c r="E10" s="555"/>
      <c r="F10" s="555"/>
      <c r="G10" s="555"/>
      <c r="H10" s="555"/>
      <c r="I10" s="557"/>
      <c r="J10" s="555"/>
      <c r="K10" s="555"/>
      <c r="L10" s="555"/>
      <c r="M10" s="555"/>
      <c r="N10" s="558"/>
      <c r="O10" s="555"/>
      <c r="P10" s="555"/>
      <c r="Q10" s="555"/>
      <c r="R10" s="555"/>
      <c r="S10" s="555"/>
      <c r="T10" s="555"/>
      <c r="U10" s="555"/>
      <c r="V10" s="555"/>
      <c r="W10" s="555"/>
      <c r="X10" s="555"/>
      <c r="Y10" s="555"/>
      <c r="Z10" s="555"/>
    </row>
    <row r="11" spans="1:26" ht="15">
      <c r="A11" s="549"/>
      <c r="B11" s="549"/>
      <c r="C11" s="562"/>
      <c r="D11" s="549"/>
      <c r="E11" s="562"/>
      <c r="F11" s="549"/>
      <c r="G11" s="549"/>
      <c r="H11" s="549"/>
      <c r="I11" s="550"/>
      <c r="J11" s="549"/>
      <c r="K11" s="549"/>
      <c r="L11" s="549"/>
      <c r="M11" s="549"/>
      <c r="N11" s="551"/>
      <c r="O11" s="549"/>
      <c r="P11" s="549"/>
      <c r="Q11" s="549"/>
      <c r="R11" s="549"/>
      <c r="S11" s="549"/>
      <c r="T11" s="549"/>
      <c r="U11" s="549"/>
      <c r="V11" s="549"/>
      <c r="W11" s="549"/>
      <c r="X11" s="549"/>
      <c r="Y11" s="549"/>
      <c r="Z11" s="549"/>
    </row>
    <row r="12" spans="1:26" ht="12.75" customHeight="1">
      <c r="A12" s="553" t="s">
        <v>3555</v>
      </c>
      <c r="B12" s="554">
        <v>17630</v>
      </c>
      <c r="C12" s="555">
        <f t="shared" ref="C12:C37" ca="1" si="1">IF(B12,DATEDIF(B12,TODAY(),"Y"),"")</f>
        <v>76</v>
      </c>
      <c r="D12" s="555"/>
      <c r="E12" s="555" t="str">
        <f ca="1">DATEDIF(B12, TODAY(), "Y") &amp; " years, " &amp; DATEDIF(B12, TODAY(), "YM") &amp; " months, " &amp; DATEDIF(B12, TODAY(), "MD") &amp; " days"</f>
        <v>76 years, 9 months, 17 days</v>
      </c>
      <c r="F12" s="555"/>
      <c r="G12" s="555"/>
      <c r="H12" s="555">
        <v>1</v>
      </c>
      <c r="I12" s="557"/>
      <c r="J12" s="555"/>
      <c r="K12" s="555"/>
      <c r="L12" s="555"/>
      <c r="M12" s="555"/>
      <c r="N12" s="558"/>
      <c r="O12" s="555"/>
      <c r="P12" s="555"/>
      <c r="Q12" s="555"/>
      <c r="R12" s="555"/>
      <c r="S12" s="555"/>
      <c r="T12" s="555"/>
      <c r="U12" s="555"/>
      <c r="V12" s="555"/>
      <c r="W12" s="555"/>
      <c r="X12" s="555"/>
      <c r="Y12" s="555"/>
      <c r="Z12" s="555"/>
    </row>
    <row r="13" spans="1:26" ht="15">
      <c r="A13" s="549"/>
      <c r="B13" s="549"/>
      <c r="C13" s="562" t="str">
        <f t="shared" ca="1" si="1"/>
        <v/>
      </c>
      <c r="D13" s="549"/>
      <c r="E13" s="562"/>
      <c r="F13" s="549"/>
      <c r="G13" s="549"/>
      <c r="H13" s="549"/>
      <c r="I13" s="550"/>
      <c r="J13" s="549"/>
      <c r="K13" s="549"/>
      <c r="L13" s="549"/>
      <c r="M13" s="549"/>
      <c r="N13" s="551"/>
      <c r="O13" s="549"/>
      <c r="P13" s="549"/>
      <c r="Q13" s="549"/>
      <c r="R13" s="549"/>
      <c r="S13" s="549"/>
      <c r="T13" s="549"/>
      <c r="U13" s="549"/>
      <c r="V13" s="549"/>
      <c r="W13" s="549"/>
      <c r="X13" s="549"/>
      <c r="Y13" s="549"/>
      <c r="Z13" s="549"/>
    </row>
    <row r="14" spans="1:26" ht="12.75" customHeight="1">
      <c r="A14" s="553" t="s">
        <v>3556</v>
      </c>
      <c r="B14" s="564">
        <v>26771</v>
      </c>
      <c r="C14" s="555">
        <f t="shared" ca="1" si="1"/>
        <v>51</v>
      </c>
      <c r="D14" s="555"/>
      <c r="E14" s="555" t="str">
        <f ca="1">DATEDIF(B14, TODAY(), "Y") &amp; " years, " &amp; DATEDIF(B14, TODAY(), "YM") &amp; " months, " &amp; DATEDIF(B14, TODAY(), "MD") &amp; " days"</f>
        <v>51 years, 9 months, 7 days</v>
      </c>
      <c r="F14" s="555"/>
      <c r="G14" s="555"/>
      <c r="H14" s="555">
        <v>4</v>
      </c>
      <c r="I14" s="557"/>
      <c r="J14" s="555"/>
      <c r="K14" s="555">
        <v>1</v>
      </c>
      <c r="L14" s="555"/>
      <c r="M14" s="555"/>
      <c r="N14" s="558"/>
      <c r="O14" s="555"/>
      <c r="P14" s="555"/>
      <c r="Q14" s="555"/>
      <c r="R14" s="555"/>
      <c r="S14" s="555"/>
      <c r="T14" s="555"/>
      <c r="U14" s="555"/>
      <c r="V14" s="555"/>
      <c r="W14" s="555"/>
      <c r="X14" s="555"/>
      <c r="Y14" s="555"/>
      <c r="Z14" s="555"/>
    </row>
    <row r="15" spans="1:26" ht="15">
      <c r="A15" s="555" t="s">
        <v>3557</v>
      </c>
      <c r="B15" s="554">
        <v>26373</v>
      </c>
      <c r="C15" s="555">
        <f t="shared" ca="1" si="1"/>
        <v>52</v>
      </c>
      <c r="D15" s="555"/>
      <c r="E15" s="555" t="str">
        <f ca="1">DATEDIF(B15, TODAY(), "Y") &amp; " years, " &amp; DATEDIF(B15, TODAY(), "YM") &amp; " months, " &amp; DATEDIF(B15, TODAY(), "MD") &amp; " days"</f>
        <v>52 years, 10 months, 9 days</v>
      </c>
      <c r="F15" s="555"/>
      <c r="G15" s="555"/>
      <c r="H15" s="555"/>
      <c r="I15" s="557"/>
      <c r="J15" s="555"/>
      <c r="K15" s="555"/>
      <c r="L15" s="555"/>
      <c r="M15" s="555"/>
      <c r="N15" s="558"/>
      <c r="O15" s="555"/>
      <c r="P15" s="555"/>
      <c r="Q15" s="555"/>
      <c r="R15" s="555"/>
      <c r="S15" s="555"/>
      <c r="T15" s="555"/>
      <c r="U15" s="555"/>
      <c r="V15" s="555"/>
      <c r="W15" s="555"/>
      <c r="X15" s="555"/>
      <c r="Y15" s="555"/>
      <c r="Z15" s="555"/>
    </row>
    <row r="16" spans="1:26" ht="15">
      <c r="A16" s="555" t="s">
        <v>3558</v>
      </c>
      <c r="B16" s="554">
        <v>39963</v>
      </c>
      <c r="C16" s="555">
        <f t="shared" ca="1" si="1"/>
        <v>15</v>
      </c>
      <c r="D16" s="555"/>
      <c r="E16" s="555" t="str">
        <f ca="1">DATEDIF(B16, TODAY(), "Y") &amp; " years, " &amp; DATEDIF(B16, TODAY(), "YM") &amp; " months, " &amp; DATEDIF(B16, TODAY(), "MD") &amp; " days"</f>
        <v>15 years, 7 months, 25 days</v>
      </c>
      <c r="F16" s="555"/>
      <c r="G16" s="555"/>
      <c r="H16" s="555"/>
      <c r="I16" s="557"/>
      <c r="J16" s="555"/>
      <c r="K16" s="555"/>
      <c r="L16" s="555">
        <v>1</v>
      </c>
      <c r="M16" s="555"/>
      <c r="N16" s="558"/>
      <c r="O16" s="555"/>
      <c r="P16" s="555"/>
      <c r="Q16" s="555"/>
      <c r="R16" s="555"/>
      <c r="S16" s="555"/>
      <c r="T16" s="555"/>
      <c r="U16" s="555"/>
      <c r="V16" s="555"/>
      <c r="W16" s="555"/>
      <c r="X16" s="555"/>
      <c r="Y16" s="555"/>
      <c r="Z16" s="555"/>
    </row>
    <row r="17" spans="1:26" ht="15">
      <c r="A17" s="555" t="s">
        <v>3559</v>
      </c>
      <c r="B17" s="554">
        <v>40696</v>
      </c>
      <c r="C17" s="559">
        <f t="shared" ca="1" si="1"/>
        <v>13</v>
      </c>
      <c r="D17" s="555"/>
      <c r="E17" s="555" t="str">
        <f ca="1">DATEDIF(B17, TODAY(), "Y") &amp; " years, " &amp; DATEDIF(B17, TODAY(), "YM") &amp; " months, " &amp; DATEDIF(B17, TODAY(), "MD") &amp; " days"</f>
        <v>13 years, 7 months, 22 days</v>
      </c>
      <c r="F17" s="555"/>
      <c r="G17" s="555"/>
      <c r="H17" s="555"/>
      <c r="I17" s="557"/>
      <c r="J17" s="555"/>
      <c r="K17" s="555"/>
      <c r="L17" s="555">
        <v>1</v>
      </c>
      <c r="M17" s="555"/>
      <c r="N17" s="558"/>
      <c r="O17" s="555"/>
      <c r="P17" s="555"/>
      <c r="Q17" s="555"/>
      <c r="R17" s="555"/>
      <c r="S17" s="555"/>
      <c r="T17" s="555"/>
      <c r="U17" s="555"/>
      <c r="V17" s="555"/>
      <c r="W17" s="555"/>
      <c r="X17" s="555"/>
      <c r="Y17" s="555"/>
      <c r="Z17" s="555"/>
    </row>
    <row r="18" spans="1:26" ht="15">
      <c r="A18" s="549"/>
      <c r="B18" s="549"/>
      <c r="C18" s="549" t="str">
        <f t="shared" ca="1" si="1"/>
        <v/>
      </c>
      <c r="D18" s="549"/>
      <c r="E18" s="562"/>
      <c r="F18" s="549"/>
      <c r="G18" s="549"/>
      <c r="H18" s="549"/>
      <c r="I18" s="550"/>
      <c r="J18" s="549"/>
      <c r="K18" s="549"/>
      <c r="L18" s="549"/>
      <c r="M18" s="549"/>
      <c r="N18" s="551"/>
      <c r="O18" s="549"/>
      <c r="P18" s="549"/>
      <c r="Q18" s="549"/>
      <c r="R18" s="549"/>
      <c r="S18" s="549"/>
      <c r="T18" s="549"/>
      <c r="U18" s="549"/>
      <c r="V18" s="549"/>
      <c r="W18" s="549"/>
      <c r="X18" s="549"/>
      <c r="Y18" s="549"/>
      <c r="Z18" s="549"/>
    </row>
    <row r="19" spans="1:26" ht="12.75" customHeight="1">
      <c r="A19" s="553" t="s">
        <v>3560</v>
      </c>
      <c r="B19" s="554">
        <v>31360</v>
      </c>
      <c r="C19" s="555">
        <f t="shared" ca="1" si="1"/>
        <v>39</v>
      </c>
      <c r="D19" s="555"/>
      <c r="E19" s="555" t="str">
        <f ca="1">DATEDIF(B19, TODAY(), "Y") &amp; " years, " &amp; DATEDIF(B19, TODAY(), "YM") &amp; " months, " &amp; DATEDIF(B19, TODAY(), "MD") &amp; " days"</f>
        <v>39 years, 2 months, 15 days</v>
      </c>
      <c r="F19" s="555"/>
      <c r="G19" s="555"/>
      <c r="H19" s="555">
        <v>2</v>
      </c>
      <c r="I19" s="557"/>
      <c r="J19" s="555"/>
      <c r="K19" s="555">
        <v>1</v>
      </c>
      <c r="L19" s="555"/>
      <c r="M19" s="555"/>
      <c r="N19" s="558"/>
      <c r="O19" s="555"/>
      <c r="P19" s="555"/>
      <c r="Q19" s="555"/>
      <c r="R19" s="555"/>
      <c r="S19" s="555"/>
      <c r="T19" s="555"/>
      <c r="U19" s="555"/>
      <c r="V19" s="555"/>
      <c r="W19" s="555"/>
      <c r="X19" s="555"/>
      <c r="Y19" s="555"/>
      <c r="Z19" s="555"/>
    </row>
    <row r="20" spans="1:26" ht="15">
      <c r="A20" s="555" t="s">
        <v>3561</v>
      </c>
      <c r="B20" s="554">
        <v>30102</v>
      </c>
      <c r="C20" s="555">
        <f t="shared" ca="1" si="1"/>
        <v>42</v>
      </c>
      <c r="D20" s="555"/>
      <c r="E20" s="555"/>
      <c r="F20" s="555"/>
      <c r="G20" s="555"/>
      <c r="H20" s="555"/>
      <c r="I20" s="557"/>
      <c r="J20" s="555"/>
      <c r="K20" s="555"/>
      <c r="L20" s="555"/>
      <c r="M20" s="555"/>
      <c r="N20" s="558"/>
      <c r="O20" s="555"/>
      <c r="P20" s="555"/>
      <c r="Q20" s="555"/>
      <c r="R20" s="555"/>
      <c r="S20" s="555"/>
      <c r="T20" s="555"/>
      <c r="U20" s="555"/>
      <c r="V20" s="555"/>
      <c r="W20" s="555"/>
      <c r="X20" s="555"/>
      <c r="Y20" s="555"/>
      <c r="Z20" s="555"/>
    </row>
    <row r="21" spans="1:26" ht="15">
      <c r="A21" s="555" t="s">
        <v>3562</v>
      </c>
      <c r="B21" s="554">
        <v>44635</v>
      </c>
      <c r="C21" s="555">
        <f t="shared" ca="1" si="1"/>
        <v>2</v>
      </c>
      <c r="D21" s="555"/>
      <c r="E21" s="555" t="str">
        <f ca="1">DATEDIF(B21, TODAY(), "Y") &amp; " years, " &amp; DATEDIF(B21, TODAY(), "YM") &amp; " months, " &amp; DATEDIF(B21, TODAY(), "MD") &amp; " days"</f>
        <v>2 years, 10 months, 9 days</v>
      </c>
      <c r="F21" s="549"/>
      <c r="G21" s="549"/>
      <c r="H21" s="549"/>
      <c r="I21" s="550"/>
      <c r="J21" s="549"/>
      <c r="K21" s="549"/>
      <c r="L21" s="549"/>
      <c r="M21" s="549"/>
      <c r="N21" s="551"/>
      <c r="O21" s="549"/>
      <c r="P21" s="549"/>
      <c r="Q21" s="549"/>
      <c r="R21" s="549"/>
      <c r="S21" s="549"/>
      <c r="T21" s="549"/>
      <c r="U21" s="549"/>
      <c r="V21" s="549"/>
      <c r="W21" s="549"/>
      <c r="X21" s="549"/>
      <c r="Y21" s="549"/>
      <c r="Z21" s="549"/>
    </row>
    <row r="22" spans="1:26" ht="15">
      <c r="A22" s="549"/>
      <c r="B22" s="549"/>
      <c r="C22" s="549" t="str">
        <f t="shared" ca="1" si="1"/>
        <v/>
      </c>
      <c r="D22" s="549"/>
      <c r="E22" s="562"/>
      <c r="F22" s="549"/>
      <c r="G22" s="549"/>
      <c r="H22" s="549"/>
      <c r="I22" s="550"/>
      <c r="J22" s="549"/>
      <c r="K22" s="549"/>
      <c r="L22" s="549"/>
      <c r="M22" s="549"/>
      <c r="N22" s="551"/>
      <c r="O22" s="549"/>
      <c r="P22" s="549"/>
      <c r="Q22" s="549"/>
      <c r="R22" s="549"/>
      <c r="S22" s="549"/>
      <c r="T22" s="549"/>
      <c r="U22" s="549"/>
      <c r="V22" s="549"/>
      <c r="W22" s="549"/>
      <c r="X22" s="549"/>
      <c r="Y22" s="549"/>
      <c r="Z22" s="549"/>
    </row>
    <row r="23" spans="1:26" ht="12.75" customHeight="1">
      <c r="A23" s="553" t="s">
        <v>3563</v>
      </c>
      <c r="B23" s="554">
        <v>27592</v>
      </c>
      <c r="C23" s="555">
        <f t="shared" ca="1" si="1"/>
        <v>49</v>
      </c>
      <c r="D23" s="555"/>
      <c r="E23" s="555" t="str">
        <f t="shared" ref="E23:E29" ca="1" si="2">DATEDIF(B23, TODAY(), "Y") &amp; " years, " &amp; DATEDIF(B23, TODAY(), "YM") &amp; " months, " &amp; DATEDIF(B23, TODAY(), "MD") &amp; " days"</f>
        <v>49 years, 6 months, 7 days</v>
      </c>
      <c r="F23" s="555"/>
      <c r="G23" s="555"/>
      <c r="H23" s="555">
        <v>7</v>
      </c>
      <c r="I23" s="557"/>
      <c r="J23" s="555"/>
      <c r="K23" s="555">
        <v>1</v>
      </c>
      <c r="L23" s="555"/>
      <c r="M23" s="555"/>
      <c r="N23" s="558"/>
      <c r="O23" s="555"/>
      <c r="P23" s="555"/>
      <c r="Q23" s="555"/>
      <c r="R23" s="555"/>
      <c r="S23" s="555"/>
      <c r="T23" s="555"/>
      <c r="U23" s="555"/>
      <c r="V23" s="555"/>
      <c r="W23" s="555"/>
      <c r="X23" s="555"/>
      <c r="Y23" s="555"/>
      <c r="Z23" s="555"/>
    </row>
    <row r="24" spans="1:26" ht="15">
      <c r="A24" s="555" t="s">
        <v>3564</v>
      </c>
      <c r="B24" s="554">
        <v>27607</v>
      </c>
      <c r="C24" s="555">
        <f t="shared" ca="1" si="1"/>
        <v>49</v>
      </c>
      <c r="D24" s="555"/>
      <c r="E24" s="555" t="str">
        <f t="shared" ca="1" si="2"/>
        <v>49 years, 5 months, 23 days</v>
      </c>
      <c r="F24" s="555"/>
      <c r="G24" s="555"/>
      <c r="H24" s="555"/>
      <c r="I24" s="557"/>
      <c r="J24" s="555"/>
      <c r="K24" s="555"/>
      <c r="L24" s="555"/>
      <c r="M24" s="555"/>
      <c r="N24" s="558"/>
      <c r="O24" s="555"/>
      <c r="P24" s="555"/>
      <c r="Q24" s="555"/>
      <c r="R24" s="555"/>
      <c r="S24" s="555"/>
      <c r="T24" s="555"/>
      <c r="U24" s="555"/>
      <c r="V24" s="555"/>
      <c r="W24" s="555"/>
      <c r="X24" s="555"/>
      <c r="Y24" s="555"/>
      <c r="Z24" s="555"/>
    </row>
    <row r="25" spans="1:26" s="1596" customFormat="1" ht="15">
      <c r="A25" s="561" t="s">
        <v>3565</v>
      </c>
      <c r="B25" s="2043">
        <v>38717</v>
      </c>
      <c r="C25" s="561">
        <f t="shared" ca="1" si="1"/>
        <v>19</v>
      </c>
      <c r="D25" s="561"/>
      <c r="E25" s="561" t="str">
        <f t="shared" ca="1" si="2"/>
        <v>19 years, 0 months, 24 days</v>
      </c>
      <c r="F25" s="561"/>
      <c r="G25" s="561"/>
      <c r="H25" s="561"/>
      <c r="I25" s="2044"/>
      <c r="J25" s="561"/>
      <c r="K25" s="561"/>
      <c r="L25" s="561">
        <v>1</v>
      </c>
      <c r="M25" s="561"/>
      <c r="N25" s="2045"/>
      <c r="O25" s="561"/>
      <c r="P25" s="561"/>
      <c r="Q25" s="561"/>
      <c r="R25" s="561"/>
      <c r="S25" s="561"/>
      <c r="T25" s="561"/>
      <c r="U25" s="561"/>
      <c r="V25" s="561"/>
      <c r="W25" s="561"/>
      <c r="X25" s="561"/>
      <c r="Y25" s="561"/>
      <c r="Z25" s="561"/>
    </row>
    <row r="26" spans="1:26" ht="15">
      <c r="A26" s="555" t="s">
        <v>3566</v>
      </c>
      <c r="B26" s="554">
        <v>39344</v>
      </c>
      <c r="C26" s="555">
        <f t="shared" ca="1" si="1"/>
        <v>17</v>
      </c>
      <c r="D26" s="555"/>
      <c r="E26" s="555" t="str">
        <f t="shared" ca="1" si="2"/>
        <v>17 years, 4 months, 5 days</v>
      </c>
      <c r="F26" s="555"/>
      <c r="G26" s="555"/>
      <c r="H26" s="555"/>
      <c r="I26" s="557"/>
      <c r="J26" s="555"/>
      <c r="K26" s="555"/>
      <c r="L26" s="555">
        <v>1</v>
      </c>
      <c r="M26" s="555"/>
      <c r="N26" s="558"/>
      <c r="O26" s="555"/>
      <c r="P26" s="555"/>
      <c r="Q26" s="555"/>
      <c r="R26" s="555"/>
      <c r="S26" s="555"/>
      <c r="T26" s="555"/>
      <c r="U26" s="555"/>
      <c r="V26" s="555"/>
      <c r="W26" s="555"/>
      <c r="X26" s="555"/>
      <c r="Y26" s="555"/>
      <c r="Z26" s="555"/>
    </row>
    <row r="27" spans="1:26" s="1596" customFormat="1" ht="15">
      <c r="A27" s="561" t="s">
        <v>3567</v>
      </c>
      <c r="B27" s="2043">
        <v>40569</v>
      </c>
      <c r="C27" s="2046">
        <f t="shared" ca="1" si="1"/>
        <v>13</v>
      </c>
      <c r="D27" s="561"/>
      <c r="E27" s="561" t="str">
        <f t="shared" ca="1" si="2"/>
        <v>13 years, 11 months, 29 days</v>
      </c>
      <c r="F27" s="561"/>
      <c r="G27" s="561"/>
      <c r="H27" s="561"/>
      <c r="I27" s="2044"/>
      <c r="J27" s="561"/>
      <c r="K27" s="561"/>
      <c r="L27" s="561">
        <v>1</v>
      </c>
      <c r="M27" s="561"/>
      <c r="N27" s="2045"/>
      <c r="O27" s="561"/>
      <c r="P27" s="561"/>
      <c r="Q27" s="561"/>
      <c r="R27" s="561"/>
      <c r="S27" s="561"/>
      <c r="T27" s="561"/>
      <c r="U27" s="561"/>
      <c r="V27" s="561"/>
      <c r="W27" s="561"/>
      <c r="X27" s="561"/>
      <c r="Y27" s="561"/>
      <c r="Z27" s="561"/>
    </row>
    <row r="28" spans="1:26" s="1596" customFormat="1" ht="15">
      <c r="A28" s="561" t="s">
        <v>3568</v>
      </c>
      <c r="B28" s="2043">
        <v>40569</v>
      </c>
      <c r="C28" s="2046">
        <f t="shared" ca="1" si="1"/>
        <v>13</v>
      </c>
      <c r="D28" s="561"/>
      <c r="E28" s="561" t="str">
        <f t="shared" ca="1" si="2"/>
        <v>13 years, 11 months, 29 days</v>
      </c>
      <c r="F28" s="561"/>
      <c r="G28" s="561"/>
      <c r="H28" s="561"/>
      <c r="I28" s="2044"/>
      <c r="J28" s="561"/>
      <c r="K28" s="561"/>
      <c r="L28" s="561">
        <v>1</v>
      </c>
      <c r="M28" s="561"/>
      <c r="N28" s="2045"/>
      <c r="O28" s="561"/>
      <c r="P28" s="561"/>
      <c r="Q28" s="561"/>
      <c r="R28" s="561"/>
      <c r="S28" s="561"/>
      <c r="T28" s="561"/>
      <c r="U28" s="561"/>
      <c r="V28" s="561"/>
      <c r="W28" s="561"/>
      <c r="X28" s="561"/>
      <c r="Y28" s="561"/>
      <c r="Z28" s="561"/>
    </row>
    <row r="29" spans="1:26" s="1596" customFormat="1" ht="15">
      <c r="A29" s="561" t="s">
        <v>3569</v>
      </c>
      <c r="B29" s="2043">
        <v>40569</v>
      </c>
      <c r="C29" s="2046">
        <f t="shared" ca="1" si="1"/>
        <v>13</v>
      </c>
      <c r="D29" s="561"/>
      <c r="E29" s="561" t="str">
        <f t="shared" ca="1" si="2"/>
        <v>13 years, 11 months, 29 days</v>
      </c>
      <c r="F29" s="561"/>
      <c r="G29" s="561"/>
      <c r="H29" s="561"/>
      <c r="I29" s="2044"/>
      <c r="J29" s="561"/>
      <c r="K29" s="561"/>
      <c r="L29" s="561">
        <v>1</v>
      </c>
      <c r="M29" s="561"/>
      <c r="N29" s="2045"/>
      <c r="O29" s="561"/>
      <c r="P29" s="561"/>
      <c r="Q29" s="561"/>
      <c r="R29" s="561"/>
      <c r="S29" s="561"/>
      <c r="T29" s="561"/>
      <c r="U29" s="561"/>
      <c r="V29" s="561"/>
      <c r="W29" s="561"/>
      <c r="X29" s="561"/>
      <c r="Y29" s="561"/>
      <c r="Z29" s="561"/>
    </row>
    <row r="30" spans="1:26" ht="15">
      <c r="A30" s="549"/>
      <c r="B30" s="549"/>
      <c r="C30" s="549" t="str">
        <f t="shared" ca="1" si="1"/>
        <v/>
      </c>
      <c r="D30" s="549"/>
      <c r="E30" s="562"/>
      <c r="F30" s="549"/>
      <c r="G30" s="549"/>
      <c r="H30" s="549"/>
      <c r="I30" s="550"/>
      <c r="J30" s="549"/>
      <c r="K30" s="549"/>
      <c r="L30" s="549"/>
      <c r="M30" s="549"/>
      <c r="N30" s="551"/>
      <c r="O30" s="549"/>
      <c r="P30" s="549"/>
      <c r="Q30" s="549"/>
      <c r="R30" s="549"/>
      <c r="S30" s="549"/>
      <c r="T30" s="549"/>
      <c r="U30" s="549"/>
      <c r="V30" s="549"/>
      <c r="W30" s="549"/>
      <c r="X30" s="549"/>
      <c r="Y30" s="549"/>
      <c r="Z30" s="549"/>
    </row>
    <row r="31" spans="1:26" ht="12.75" customHeight="1">
      <c r="A31" s="553" t="s">
        <v>3570</v>
      </c>
      <c r="B31" s="554">
        <v>18723</v>
      </c>
      <c r="C31" s="555">
        <f t="shared" ca="1" si="1"/>
        <v>73</v>
      </c>
      <c r="D31" s="555"/>
      <c r="E31" s="555" t="str">
        <f ca="1">DATEDIF(B31, TODAY(), "Y") &amp; " years, " &amp; DATEDIF(B31, TODAY(), "YM") &amp; " months, " &amp; DATEDIF(B31, TODAY(), "MD") &amp; " days"</f>
        <v>73 years, 9 months, 19 days</v>
      </c>
      <c r="F31" s="555"/>
      <c r="G31" s="555"/>
      <c r="H31" s="555">
        <v>2</v>
      </c>
      <c r="I31" s="557"/>
      <c r="J31" s="555"/>
      <c r="K31" s="555"/>
      <c r="L31" s="555"/>
      <c r="M31" s="555"/>
      <c r="N31" s="558"/>
      <c r="O31" s="555"/>
      <c r="P31" s="555"/>
      <c r="Q31" s="555"/>
      <c r="R31" s="555"/>
      <c r="S31" s="555"/>
      <c r="T31" s="555"/>
      <c r="U31" s="555"/>
      <c r="V31" s="555"/>
      <c r="W31" s="555"/>
      <c r="X31" s="555"/>
      <c r="Y31" s="555"/>
      <c r="Z31" s="555"/>
    </row>
    <row r="32" spans="1:26" s="1596" customFormat="1" ht="15">
      <c r="A32" s="561" t="s">
        <v>3571</v>
      </c>
      <c r="B32" s="2043">
        <v>19024</v>
      </c>
      <c r="C32" s="561">
        <f t="shared" ca="1" si="1"/>
        <v>72</v>
      </c>
      <c r="D32" s="561"/>
      <c r="E32" s="561" t="str">
        <f ca="1">DATEDIF(B32, TODAY(), "Y") &amp; " years, " &amp; DATEDIF(B32, TODAY(), "YM") &amp; " months, " &amp; DATEDIF(B32, TODAY(), "MD") &amp; " days"</f>
        <v>72 years, 11 months, 24 days</v>
      </c>
      <c r="F32" s="561"/>
      <c r="G32" s="561"/>
      <c r="H32" s="561"/>
      <c r="I32" s="2044"/>
      <c r="J32" s="561"/>
      <c r="K32" s="561"/>
      <c r="L32" s="561"/>
      <c r="M32" s="561"/>
      <c r="N32" s="2045"/>
      <c r="O32" s="561"/>
      <c r="P32" s="561"/>
      <c r="Q32" s="561"/>
      <c r="R32" s="561"/>
      <c r="S32" s="561"/>
      <c r="T32" s="561"/>
      <c r="U32" s="561"/>
      <c r="V32" s="561"/>
      <c r="W32" s="561"/>
      <c r="X32" s="561"/>
      <c r="Y32" s="561"/>
      <c r="Z32" s="561"/>
    </row>
    <row r="33" spans="1:26" ht="15">
      <c r="A33" s="549"/>
      <c r="B33" s="549"/>
      <c r="C33" s="549" t="str">
        <f t="shared" ca="1" si="1"/>
        <v/>
      </c>
      <c r="D33" s="549"/>
      <c r="E33" s="562"/>
      <c r="F33" s="549"/>
      <c r="G33" s="549"/>
      <c r="H33" s="549"/>
      <c r="I33" s="550"/>
      <c r="J33" s="549"/>
      <c r="K33" s="549"/>
      <c r="L33" s="549"/>
      <c r="M33" s="549"/>
      <c r="N33" s="551"/>
      <c r="O33" s="549"/>
      <c r="P33" s="549"/>
      <c r="Q33" s="549"/>
      <c r="R33" s="549"/>
      <c r="S33" s="549"/>
      <c r="T33" s="549"/>
      <c r="U33" s="549"/>
      <c r="V33" s="549"/>
      <c r="W33" s="549"/>
      <c r="X33" s="549"/>
      <c r="Y33" s="549"/>
      <c r="Z33" s="549"/>
    </row>
    <row r="34" spans="1:26" ht="12.75" customHeight="1">
      <c r="A34" s="553" t="s">
        <v>3572</v>
      </c>
      <c r="B34" s="554">
        <v>27795</v>
      </c>
      <c r="C34" s="555">
        <f t="shared" ca="1" si="1"/>
        <v>48</v>
      </c>
      <c r="D34" s="555"/>
      <c r="E34" s="555" t="str">
        <f ca="1">DATEDIF(B32, TODAY(), "Y") &amp; " years, " &amp; DATEDIF(B32, TODAY(), "YM") &amp; " months, " &amp; DATEDIF(B32, TODAY(), "MD") &amp; " days"</f>
        <v>72 years, 11 months, 24 days</v>
      </c>
      <c r="F34" s="555"/>
      <c r="G34" s="555"/>
      <c r="H34" s="555">
        <v>4</v>
      </c>
      <c r="I34" s="557"/>
      <c r="J34" s="555"/>
      <c r="K34" s="555">
        <v>1</v>
      </c>
      <c r="L34" s="555"/>
      <c r="M34" s="555"/>
      <c r="N34" s="558"/>
      <c r="O34" s="555"/>
      <c r="P34" s="555"/>
      <c r="Q34" s="555"/>
      <c r="R34" s="555"/>
      <c r="S34" s="555"/>
      <c r="T34" s="555"/>
      <c r="U34" s="555"/>
      <c r="V34" s="555"/>
      <c r="W34" s="555"/>
      <c r="X34" s="555"/>
      <c r="Y34" s="555"/>
      <c r="Z34" s="555"/>
    </row>
    <row r="35" spans="1:26" s="1596" customFormat="1" ht="15">
      <c r="A35" s="561" t="s">
        <v>3573</v>
      </c>
      <c r="B35" s="2043">
        <v>29923</v>
      </c>
      <c r="C35" s="561">
        <f t="shared" ca="1" si="1"/>
        <v>43</v>
      </c>
      <c r="D35" s="561"/>
      <c r="E35" s="561" t="str">
        <f ca="1">DATEDIF(B33, TODAY(), "Y") &amp; " years, " &amp; DATEDIF(B33, TODAY(), "YM") &amp; " months, " &amp; DATEDIF(B33, TODAY(), "MD") &amp; " days"</f>
        <v>125 years, 0 months, 24 days</v>
      </c>
      <c r="F35" s="561"/>
      <c r="G35" s="561"/>
      <c r="H35" s="561"/>
      <c r="I35" s="2044"/>
      <c r="J35" s="561"/>
      <c r="K35" s="561"/>
      <c r="L35" s="561"/>
      <c r="M35" s="561"/>
      <c r="N35" s="2045"/>
      <c r="O35" s="561"/>
      <c r="P35" s="561"/>
      <c r="Q35" s="561"/>
      <c r="R35" s="561"/>
      <c r="S35" s="561"/>
      <c r="T35" s="561"/>
      <c r="U35" s="561"/>
      <c r="V35" s="561"/>
      <c r="W35" s="561"/>
      <c r="X35" s="561"/>
      <c r="Y35" s="561"/>
      <c r="Z35" s="561"/>
    </row>
    <row r="36" spans="1:26" ht="15">
      <c r="A36" s="555" t="s">
        <v>3574</v>
      </c>
      <c r="B36" s="554">
        <v>41565</v>
      </c>
      <c r="C36" s="555">
        <f t="shared" ca="1" si="1"/>
        <v>11</v>
      </c>
      <c r="D36" s="555"/>
      <c r="E36" s="555" t="str">
        <f ca="1">DATEDIF(B36, TODAY(), "Y") &amp; " years, " &amp; DATEDIF(B36, TODAY(), "YM") &amp; " months, " &amp; DATEDIF(B36, TODAY(), "MD") &amp; " days"</f>
        <v>11 years, 3 months, 6 days</v>
      </c>
      <c r="F36" s="555"/>
      <c r="G36" s="555"/>
      <c r="H36" s="555"/>
      <c r="I36" s="557"/>
      <c r="J36" s="555"/>
      <c r="K36" s="555"/>
      <c r="L36" s="555">
        <v>1</v>
      </c>
      <c r="M36" s="555"/>
      <c r="N36" s="558"/>
      <c r="O36" s="555"/>
      <c r="P36" s="555"/>
      <c r="Q36" s="555"/>
      <c r="R36" s="555"/>
      <c r="S36" s="555"/>
      <c r="T36" s="555"/>
      <c r="U36" s="555"/>
      <c r="V36" s="555"/>
      <c r="W36" s="555"/>
      <c r="X36" s="555"/>
      <c r="Y36" s="555"/>
      <c r="Z36" s="555"/>
    </row>
    <row r="37" spans="1:26" ht="15">
      <c r="A37" s="555" t="s">
        <v>3575</v>
      </c>
      <c r="B37" s="554">
        <v>43311</v>
      </c>
      <c r="C37" s="555">
        <f t="shared" ca="1" si="1"/>
        <v>6</v>
      </c>
      <c r="D37" s="555"/>
      <c r="E37" s="555" t="str">
        <f ca="1">DATEDIF(B37, TODAY(), "Y") &amp; " years, " &amp; DATEDIF(B37, TODAY(), "YM") &amp; " months, " &amp; DATEDIF(B37, TODAY(), "MD") &amp; " days"</f>
        <v>6 years, 5 months, 25 days</v>
      </c>
      <c r="F37" s="555"/>
      <c r="G37" s="555"/>
      <c r="H37" s="555"/>
      <c r="I37" s="557"/>
      <c r="J37" s="555"/>
      <c r="K37" s="555"/>
      <c r="L37" s="555">
        <v>1</v>
      </c>
      <c r="M37" s="555"/>
      <c r="N37" s="551"/>
      <c r="O37" s="549"/>
      <c r="P37" s="549"/>
      <c r="Q37" s="549"/>
      <c r="R37" s="549"/>
      <c r="S37" s="549"/>
      <c r="T37" s="549"/>
      <c r="U37" s="549"/>
      <c r="V37" s="549"/>
      <c r="W37" s="549"/>
      <c r="X37" s="549"/>
      <c r="Y37" s="549"/>
      <c r="Z37" s="549"/>
    </row>
    <row r="38" spans="1:26" ht="15">
      <c r="A38" s="565"/>
      <c r="B38" s="549"/>
      <c r="C38" s="549"/>
      <c r="D38" s="549"/>
      <c r="E38" s="562"/>
      <c r="F38" s="549"/>
      <c r="G38" s="549"/>
      <c r="H38" s="549"/>
      <c r="I38" s="550"/>
      <c r="J38" s="549"/>
      <c r="K38" s="549"/>
      <c r="L38" s="549"/>
      <c r="M38" s="549"/>
      <c r="N38" s="551"/>
      <c r="O38" s="549"/>
      <c r="P38" s="549"/>
      <c r="Q38" s="549"/>
      <c r="R38" s="549"/>
      <c r="S38" s="549"/>
      <c r="T38" s="549"/>
      <c r="U38" s="549"/>
      <c r="V38" s="549"/>
      <c r="W38" s="549"/>
      <c r="X38" s="549"/>
      <c r="Y38" s="549"/>
      <c r="Z38" s="549"/>
    </row>
    <row r="39" spans="1:26" s="1596" customFormat="1" ht="15">
      <c r="A39" s="561" t="s">
        <v>3576</v>
      </c>
      <c r="B39" s="2043">
        <v>11304</v>
      </c>
      <c r="C39" s="561">
        <f t="shared" ref="C39:C67" ca="1" si="3">IF(B39,DATEDIF(B39,TODAY(),"Y"),"")</f>
        <v>94</v>
      </c>
      <c r="D39" s="1182"/>
      <c r="E39" s="561" t="str">
        <f ca="1">DATEDIF(B39, TODAY(), "Y") &amp; " years, " &amp; DATEDIF(B39, TODAY(), "YM") &amp; " months, " &amp; DATEDIF(B39, TODAY(), "MD") &amp; " days"</f>
        <v>94 years, 1 months, 12 days</v>
      </c>
      <c r="F39" s="1182"/>
      <c r="G39" s="1182"/>
      <c r="H39" s="1182">
        <v>1</v>
      </c>
      <c r="I39" s="2047"/>
      <c r="J39" s="1182"/>
      <c r="K39" s="1182"/>
      <c r="L39" s="1182"/>
      <c r="M39" s="1182"/>
      <c r="N39" s="2048"/>
      <c r="O39" s="1182"/>
      <c r="P39" s="1182"/>
      <c r="Q39" s="1182"/>
      <c r="R39" s="1182"/>
      <c r="S39" s="1182"/>
      <c r="T39" s="1182"/>
      <c r="U39" s="1182"/>
      <c r="V39" s="1182"/>
      <c r="W39" s="1182"/>
      <c r="X39" s="1182"/>
      <c r="Y39" s="1182"/>
      <c r="Z39" s="1182"/>
    </row>
    <row r="40" spans="1:26" ht="15">
      <c r="A40" s="549"/>
      <c r="B40" s="549"/>
      <c r="C40" s="549" t="str">
        <f t="shared" ca="1" si="3"/>
        <v/>
      </c>
      <c r="D40" s="549"/>
      <c r="E40" s="562"/>
      <c r="F40" s="549"/>
      <c r="G40" s="549"/>
      <c r="H40" s="549"/>
      <c r="I40" s="550"/>
      <c r="J40" s="549"/>
      <c r="K40" s="549"/>
      <c r="L40" s="549"/>
      <c r="M40" s="549"/>
      <c r="N40" s="551"/>
      <c r="O40" s="549"/>
      <c r="P40" s="549"/>
      <c r="Q40" s="549"/>
      <c r="R40" s="549"/>
      <c r="S40" s="549"/>
      <c r="T40" s="549"/>
      <c r="U40" s="549"/>
      <c r="V40" s="549"/>
      <c r="W40" s="549"/>
      <c r="X40" s="549"/>
      <c r="Y40" s="549"/>
      <c r="Z40" s="549"/>
    </row>
    <row r="41" spans="1:26" ht="15.75">
      <c r="A41" s="553" t="s">
        <v>3577</v>
      </c>
      <c r="B41" s="554">
        <v>21106</v>
      </c>
      <c r="C41" s="555">
        <f t="shared" ca="1" si="3"/>
        <v>67</v>
      </c>
      <c r="D41" s="555"/>
      <c r="E41" s="555" t="str">
        <f ca="1">DATEDIF(B41, TODAY(), "Y") &amp; " years, " &amp; DATEDIF(B41, TODAY(), "YM") &amp; " months, " &amp; DATEDIF(B41, TODAY(), "MD") &amp; " days"</f>
        <v>67 years, 3 months, 11 days</v>
      </c>
      <c r="F41" s="555">
        <v>2</v>
      </c>
      <c r="G41" s="555"/>
      <c r="H41" s="555"/>
      <c r="I41" s="557"/>
      <c r="J41" s="555"/>
      <c r="K41" s="555"/>
      <c r="L41" s="555"/>
      <c r="M41" s="555">
        <v>1</v>
      </c>
      <c r="N41" s="558"/>
      <c r="O41" s="555"/>
      <c r="P41" s="555"/>
      <c r="Q41" s="555"/>
      <c r="R41" s="555"/>
      <c r="S41" s="555"/>
      <c r="T41" s="555"/>
      <c r="U41" s="555"/>
      <c r="V41" s="555"/>
      <c r="W41" s="555"/>
      <c r="X41" s="555"/>
      <c r="Y41" s="555"/>
      <c r="Z41" s="555"/>
    </row>
    <row r="42" spans="1:26" ht="15">
      <c r="A42" s="555" t="s">
        <v>3578</v>
      </c>
      <c r="B42" s="554">
        <v>21560</v>
      </c>
      <c r="C42" s="555">
        <f t="shared" ca="1" si="3"/>
        <v>66</v>
      </c>
      <c r="D42" s="555"/>
      <c r="E42" s="555" t="str">
        <f ca="1">DATEDIF(B42, TODAY(), "Y") &amp; " years, " &amp; DATEDIF(B42, TODAY(), "YM") &amp; " months, " &amp; DATEDIF(B42, TODAY(), "MD") &amp; " days"</f>
        <v>66 years, 0 months, 14 days</v>
      </c>
      <c r="F42" s="555"/>
      <c r="G42" s="555"/>
      <c r="H42" s="555"/>
      <c r="I42" s="557"/>
      <c r="J42" s="555"/>
      <c r="K42" s="555"/>
      <c r="L42" s="555"/>
      <c r="M42" s="555">
        <v>1</v>
      </c>
      <c r="N42" s="558"/>
      <c r="O42" s="555"/>
      <c r="P42" s="555"/>
      <c r="Q42" s="555"/>
      <c r="R42" s="555"/>
      <c r="S42" s="555"/>
      <c r="T42" s="555"/>
      <c r="U42" s="555"/>
      <c r="V42" s="555"/>
      <c r="W42" s="555"/>
      <c r="X42" s="555"/>
      <c r="Y42" s="555"/>
      <c r="Z42" s="555"/>
    </row>
    <row r="43" spans="1:26" ht="15">
      <c r="A43" s="549"/>
      <c r="B43" s="549"/>
      <c r="C43" s="549" t="str">
        <f t="shared" ca="1" si="3"/>
        <v/>
      </c>
      <c r="D43" s="549"/>
      <c r="E43" s="562"/>
      <c r="F43" s="549"/>
      <c r="G43" s="549"/>
      <c r="H43" s="549"/>
      <c r="I43" s="550"/>
      <c r="J43" s="549"/>
      <c r="K43" s="549"/>
      <c r="L43" s="549"/>
      <c r="M43" s="549"/>
      <c r="N43" s="551"/>
      <c r="O43" s="549"/>
      <c r="P43" s="549"/>
      <c r="Q43" s="549"/>
      <c r="R43" s="549"/>
      <c r="S43" s="549"/>
      <c r="T43" s="549"/>
      <c r="U43" s="549"/>
      <c r="V43" s="549"/>
      <c r="W43" s="549"/>
      <c r="X43" s="549"/>
      <c r="Y43" s="549"/>
      <c r="Z43" s="549"/>
    </row>
    <row r="44" spans="1:26" ht="15.75">
      <c r="A44" s="553" t="s">
        <v>3579</v>
      </c>
      <c r="B44" s="554">
        <v>32946</v>
      </c>
      <c r="C44" s="555">
        <f t="shared" ca="1" si="3"/>
        <v>34</v>
      </c>
      <c r="D44" s="555"/>
      <c r="E44" s="555" t="str">
        <f ca="1">DATEDIF(B44, TODAY(), "Y") &amp; " years, " &amp; DATEDIF(B44, TODAY(), "YM") &amp; " months, " &amp; DATEDIF(B44, TODAY(), "MD") &amp; " days"</f>
        <v>34 years, 10 months, 10 days</v>
      </c>
      <c r="F44" s="555">
        <v>4</v>
      </c>
      <c r="G44" s="566" t="s">
        <v>3580</v>
      </c>
      <c r="H44" s="555"/>
      <c r="I44" s="557">
        <v>1</v>
      </c>
      <c r="J44" s="555"/>
      <c r="K44" s="555"/>
      <c r="L44" s="555"/>
      <c r="M44" s="555">
        <v>1</v>
      </c>
      <c r="N44" s="558"/>
      <c r="O44" s="555"/>
      <c r="P44" s="555"/>
      <c r="Q44" s="555"/>
      <c r="R44" s="555"/>
      <c r="S44" s="555"/>
      <c r="T44" s="555"/>
      <c r="U44" s="555"/>
      <c r="V44" s="555"/>
      <c r="W44" s="555"/>
      <c r="X44" s="555"/>
      <c r="Y44" s="555"/>
      <c r="Z44" s="555"/>
    </row>
    <row r="45" spans="1:26" ht="15">
      <c r="A45" s="555" t="s">
        <v>3581</v>
      </c>
      <c r="B45" s="554">
        <v>31707</v>
      </c>
      <c r="C45" s="555">
        <f t="shared" ca="1" si="3"/>
        <v>38</v>
      </c>
      <c r="D45" s="555"/>
      <c r="E45" s="555" t="str">
        <f ca="1">DATEDIF(B45, TODAY(), "Y") &amp; " years, " &amp; DATEDIF(B45, TODAY(), "YM") &amp; " months, " &amp; DATEDIF(B45, TODAY(), "MD") &amp; " days"</f>
        <v>38 years, 3 months, 2 days</v>
      </c>
      <c r="F45" s="555"/>
      <c r="G45" s="566" t="s">
        <v>3582</v>
      </c>
      <c r="H45" s="555"/>
      <c r="I45" s="557" t="s">
        <v>135</v>
      </c>
      <c r="J45" s="555"/>
      <c r="K45" s="555"/>
      <c r="L45" s="555"/>
      <c r="M45" s="555">
        <v>1</v>
      </c>
      <c r="N45" s="558"/>
      <c r="O45" s="555"/>
      <c r="P45" s="555"/>
      <c r="Q45" s="555"/>
      <c r="R45" s="555"/>
      <c r="S45" s="555"/>
      <c r="T45" s="555"/>
      <c r="U45" s="555"/>
      <c r="V45" s="555"/>
      <c r="W45" s="555"/>
      <c r="X45" s="555"/>
      <c r="Y45" s="555"/>
      <c r="Z45" s="555"/>
    </row>
    <row r="46" spans="1:26" ht="15">
      <c r="A46" s="555" t="s">
        <v>3583</v>
      </c>
      <c r="B46" s="554">
        <v>42058</v>
      </c>
      <c r="C46" s="555">
        <f t="shared" ca="1" si="3"/>
        <v>9</v>
      </c>
      <c r="D46" s="555"/>
      <c r="E46" s="555" t="str">
        <f ca="1">DATEDIF(B46, TODAY(), "Y") &amp; " years, " &amp; DATEDIF(B46, TODAY(), "YM") &amp; " months, " &amp; DATEDIF(B46, TODAY(), "MD") &amp; " days"</f>
        <v>9 years, 11 months, 1 days</v>
      </c>
      <c r="F46" s="555"/>
      <c r="G46" s="567"/>
      <c r="H46" s="555"/>
      <c r="I46" s="557" t="s">
        <v>135</v>
      </c>
      <c r="J46" s="555">
        <v>1</v>
      </c>
      <c r="K46" s="555"/>
      <c r="L46" s="555"/>
      <c r="M46" s="555">
        <v>1</v>
      </c>
      <c r="N46" s="558"/>
      <c r="O46" s="555"/>
      <c r="P46" s="555"/>
      <c r="Q46" s="555"/>
      <c r="R46" s="555"/>
      <c r="S46" s="555"/>
      <c r="T46" s="555"/>
      <c r="U46" s="555"/>
      <c r="V46" s="555"/>
      <c r="W46" s="555"/>
      <c r="X46" s="555"/>
      <c r="Y46" s="555"/>
      <c r="Z46" s="555"/>
    </row>
    <row r="47" spans="1:26" ht="15">
      <c r="A47" s="555" t="s">
        <v>3584</v>
      </c>
      <c r="B47" s="554">
        <v>43020</v>
      </c>
      <c r="C47" s="555">
        <f t="shared" ca="1" si="3"/>
        <v>7</v>
      </c>
      <c r="D47" s="555"/>
      <c r="E47" s="555" t="str">
        <f ca="1">DATEDIF(B47, TODAY(), "Y") &amp; " years, " &amp; DATEDIF(B47, TODAY(), "YM") &amp; " months, " &amp; DATEDIF(B47, TODAY(), "MD") &amp; " days"</f>
        <v>7 years, 3 months, 12 days</v>
      </c>
      <c r="F47" s="555"/>
      <c r="G47" s="568">
        <v>44185</v>
      </c>
      <c r="H47" s="555"/>
      <c r="I47" s="557" t="s">
        <v>135</v>
      </c>
      <c r="J47" s="555">
        <v>1</v>
      </c>
      <c r="K47" s="555"/>
      <c r="L47" s="555"/>
      <c r="M47" s="555">
        <v>1</v>
      </c>
      <c r="N47" s="558"/>
      <c r="O47" s="555"/>
      <c r="P47" s="555"/>
      <c r="Q47" s="555"/>
      <c r="R47" s="555"/>
      <c r="S47" s="555"/>
      <c r="T47" s="555"/>
      <c r="U47" s="555"/>
      <c r="V47" s="555"/>
      <c r="W47" s="555"/>
      <c r="X47" s="555"/>
      <c r="Y47" s="555"/>
      <c r="Z47" s="555"/>
    </row>
    <row r="48" spans="1:26" ht="15">
      <c r="A48" s="549"/>
      <c r="B48" s="549"/>
      <c r="C48" s="549" t="str">
        <f t="shared" ca="1" si="3"/>
        <v/>
      </c>
      <c r="D48" s="549"/>
      <c r="E48" s="562"/>
      <c r="F48" s="549"/>
      <c r="G48" s="569"/>
      <c r="H48" s="549"/>
      <c r="I48" s="550"/>
      <c r="J48" s="549"/>
      <c r="K48" s="549"/>
      <c r="L48" s="549"/>
      <c r="M48" s="549"/>
      <c r="N48" s="551"/>
      <c r="O48" s="549"/>
      <c r="P48" s="549"/>
      <c r="Q48" s="549"/>
      <c r="R48" s="549"/>
      <c r="S48" s="549"/>
      <c r="T48" s="549"/>
      <c r="U48" s="549"/>
      <c r="V48" s="549"/>
      <c r="W48" s="549"/>
      <c r="X48" s="549"/>
      <c r="Y48" s="549"/>
      <c r="Z48" s="549"/>
    </row>
    <row r="49" spans="1:26" ht="23.25">
      <c r="A49" s="553" t="s">
        <v>3585</v>
      </c>
      <c r="B49" s="554">
        <v>34131</v>
      </c>
      <c r="C49" s="555">
        <f t="shared" ca="1" si="3"/>
        <v>31</v>
      </c>
      <c r="D49" s="555"/>
      <c r="E49" s="555" t="str">
        <f t="shared" ref="E49:E54" ca="1" si="4">DATEDIF(B49, TODAY(), "Y") &amp; " years, " &amp; DATEDIF(B49, TODAY(), "YM") &amp; " months, " &amp; DATEDIF(B49, TODAY(), "MD") &amp; " days"</f>
        <v>31 years, 7 months, 13 days</v>
      </c>
      <c r="F49" s="555">
        <v>6</v>
      </c>
      <c r="G49" s="566" t="s">
        <v>3586</v>
      </c>
      <c r="H49" s="555" t="s">
        <v>135</v>
      </c>
      <c r="I49" s="557">
        <v>1</v>
      </c>
      <c r="J49" s="555"/>
      <c r="K49" s="555"/>
      <c r="L49" s="555"/>
      <c r="M49" s="555">
        <v>1</v>
      </c>
      <c r="N49" s="558"/>
      <c r="O49" s="555"/>
      <c r="P49" s="555"/>
      <c r="Q49" s="555"/>
      <c r="R49" s="555"/>
      <c r="S49" s="555"/>
      <c r="T49" s="555"/>
      <c r="U49" s="555"/>
      <c r="V49" s="555"/>
      <c r="W49" s="555"/>
      <c r="X49" s="555"/>
      <c r="Y49" s="555"/>
      <c r="Z49" s="555"/>
    </row>
    <row r="50" spans="1:26" s="1596" customFormat="1" ht="15">
      <c r="A50" s="561" t="s">
        <v>3587</v>
      </c>
      <c r="B50" s="2043">
        <v>34001</v>
      </c>
      <c r="C50" s="561">
        <f t="shared" ca="1" si="3"/>
        <v>31</v>
      </c>
      <c r="D50" s="561"/>
      <c r="E50" s="561" t="str">
        <f t="shared" ca="1" si="4"/>
        <v>31 years, 11 months, 23 days</v>
      </c>
      <c r="F50" s="561"/>
      <c r="G50" s="2049" t="s">
        <v>3588</v>
      </c>
      <c r="H50" s="561"/>
      <c r="I50" s="2044"/>
      <c r="J50" s="561"/>
      <c r="K50" s="561"/>
      <c r="L50" s="561"/>
      <c r="M50" s="561">
        <v>1</v>
      </c>
      <c r="N50" s="2045"/>
      <c r="O50" s="561"/>
      <c r="P50" s="561"/>
      <c r="Q50" s="561"/>
      <c r="R50" s="561"/>
      <c r="S50" s="561"/>
      <c r="T50" s="561"/>
      <c r="U50" s="561"/>
      <c r="V50" s="561"/>
      <c r="W50" s="561"/>
      <c r="X50" s="561"/>
      <c r="Y50" s="561"/>
      <c r="Z50" s="561"/>
    </row>
    <row r="51" spans="1:26" s="1596" customFormat="1" ht="15">
      <c r="A51" s="561" t="s">
        <v>3589</v>
      </c>
      <c r="B51" s="2043">
        <v>42301</v>
      </c>
      <c r="C51" s="561">
        <f t="shared" ca="1" si="3"/>
        <v>9</v>
      </c>
      <c r="D51" s="561"/>
      <c r="E51" s="561" t="str">
        <f t="shared" ca="1" si="4"/>
        <v>9 years, 3 months, 0 days</v>
      </c>
      <c r="F51" s="561"/>
      <c r="G51" s="2049" t="s">
        <v>3590</v>
      </c>
      <c r="H51" s="561"/>
      <c r="I51" s="2044"/>
      <c r="J51" s="561">
        <v>1</v>
      </c>
      <c r="K51" s="561"/>
      <c r="L51" s="561"/>
      <c r="M51" s="561">
        <v>1</v>
      </c>
      <c r="N51" s="2045"/>
      <c r="O51" s="561"/>
      <c r="P51" s="561"/>
      <c r="Q51" s="561"/>
      <c r="R51" s="561"/>
      <c r="S51" s="561"/>
      <c r="T51" s="561"/>
      <c r="U51" s="561"/>
      <c r="V51" s="561"/>
      <c r="W51" s="561"/>
      <c r="X51" s="561"/>
      <c r="Y51" s="561"/>
      <c r="Z51" s="561"/>
    </row>
    <row r="52" spans="1:26" ht="15">
      <c r="A52" s="555" t="s">
        <v>3591</v>
      </c>
      <c r="B52" s="554">
        <v>43029</v>
      </c>
      <c r="C52" s="555">
        <f t="shared" ca="1" si="3"/>
        <v>7</v>
      </c>
      <c r="D52" s="555" t="s">
        <v>3592</v>
      </c>
      <c r="E52" s="555" t="str">
        <f t="shared" ca="1" si="4"/>
        <v>7 years, 3 months, 3 days</v>
      </c>
      <c r="F52" s="555"/>
      <c r="G52" s="555"/>
      <c r="H52" s="555"/>
      <c r="I52" s="557"/>
      <c r="J52" s="555">
        <v>1</v>
      </c>
      <c r="K52" s="555"/>
      <c r="L52" s="555"/>
      <c r="M52" s="555">
        <v>1</v>
      </c>
      <c r="N52" s="558"/>
      <c r="O52" s="555"/>
      <c r="P52" s="555"/>
      <c r="Q52" s="555"/>
      <c r="R52" s="555"/>
      <c r="S52" s="555"/>
      <c r="T52" s="555"/>
      <c r="U52" s="555"/>
      <c r="V52" s="555"/>
      <c r="W52" s="555"/>
      <c r="X52" s="555"/>
      <c r="Y52" s="555"/>
      <c r="Z52" s="555"/>
    </row>
    <row r="53" spans="1:26" ht="15">
      <c r="A53" s="555" t="s">
        <v>3593</v>
      </c>
      <c r="B53" s="554">
        <v>43525</v>
      </c>
      <c r="C53" s="555">
        <f t="shared" ca="1" si="3"/>
        <v>5</v>
      </c>
      <c r="D53" s="555"/>
      <c r="E53" s="555" t="str">
        <f t="shared" ca="1" si="4"/>
        <v>5 years, 10 months, 23 days</v>
      </c>
      <c r="F53" s="555"/>
      <c r="G53" s="555"/>
      <c r="H53" s="555"/>
      <c r="I53" s="557"/>
      <c r="J53" s="555">
        <v>1</v>
      </c>
      <c r="K53" s="555"/>
      <c r="L53" s="555"/>
      <c r="M53" s="555">
        <v>1</v>
      </c>
      <c r="N53" s="558"/>
      <c r="O53" s="555"/>
      <c r="P53" s="555"/>
      <c r="Q53" s="555"/>
      <c r="R53" s="555"/>
      <c r="S53" s="555"/>
      <c r="T53" s="555"/>
      <c r="U53" s="555"/>
      <c r="V53" s="555"/>
      <c r="W53" s="555"/>
      <c r="X53" s="555"/>
      <c r="Y53" s="555"/>
      <c r="Z53" s="555"/>
    </row>
    <row r="54" spans="1:26" ht="15">
      <c r="A54" s="555" t="s">
        <v>3594</v>
      </c>
      <c r="B54" s="554">
        <v>44323</v>
      </c>
      <c r="C54" s="555">
        <f t="shared" ca="1" si="3"/>
        <v>3</v>
      </c>
      <c r="D54" s="555"/>
      <c r="E54" s="555" t="str">
        <f t="shared" ca="1" si="4"/>
        <v>3 years, 8 months, 17 days</v>
      </c>
      <c r="F54" s="555"/>
      <c r="G54" s="555"/>
      <c r="H54" s="555"/>
      <c r="I54" s="557"/>
      <c r="J54" s="555">
        <v>1</v>
      </c>
      <c r="K54" s="555"/>
      <c r="L54" s="555"/>
      <c r="M54" s="555">
        <v>1</v>
      </c>
      <c r="N54" s="558"/>
      <c r="O54" s="555"/>
      <c r="P54" s="555"/>
      <c r="Q54" s="555"/>
      <c r="R54" s="555"/>
      <c r="S54" s="555"/>
      <c r="T54" s="555"/>
      <c r="U54" s="555"/>
      <c r="V54" s="555"/>
      <c r="W54" s="555"/>
      <c r="X54" s="555"/>
      <c r="Y54" s="555"/>
      <c r="Z54" s="555"/>
    </row>
    <row r="55" spans="1:26" ht="15">
      <c r="A55" s="549"/>
      <c r="B55" s="549"/>
      <c r="C55" s="549" t="str">
        <f t="shared" ca="1" si="3"/>
        <v/>
      </c>
      <c r="D55" s="549"/>
      <c r="E55" s="562"/>
      <c r="F55" s="549"/>
      <c r="G55" s="549"/>
      <c r="H55" s="549"/>
      <c r="I55" s="550"/>
      <c r="J55" s="549"/>
      <c r="K55" s="549"/>
      <c r="L55" s="549"/>
      <c r="M55" s="549"/>
      <c r="N55" s="551"/>
      <c r="O55" s="549"/>
      <c r="P55" s="549"/>
      <c r="Q55" s="549"/>
      <c r="R55" s="549"/>
      <c r="S55" s="549"/>
      <c r="T55" s="549"/>
      <c r="U55" s="549"/>
      <c r="V55" s="549"/>
      <c r="W55" s="549"/>
      <c r="X55" s="549"/>
      <c r="Y55" s="549"/>
      <c r="Z55" s="549"/>
    </row>
    <row r="56" spans="1:26" ht="15.75">
      <c r="A56" s="553" t="s">
        <v>3595</v>
      </c>
      <c r="B56" s="554">
        <v>21885</v>
      </c>
      <c r="C56" s="555">
        <f t="shared" ca="1" si="3"/>
        <v>65</v>
      </c>
      <c r="D56" s="555"/>
      <c r="E56" s="555" t="str">
        <f ca="1">DATEDIF(B56, TODAY(), "Y") &amp; " years, " &amp; DATEDIF(B56, TODAY(), "YM") &amp; " months, " &amp; DATEDIF(B56, TODAY(), "MD") &amp; " days"</f>
        <v>65 years, 1 months, 23 days</v>
      </c>
      <c r="F56" s="555">
        <v>3</v>
      </c>
      <c r="G56" s="555"/>
      <c r="H56" s="555"/>
      <c r="I56" s="557"/>
      <c r="J56" s="555"/>
      <c r="K56" s="555"/>
      <c r="L56" s="555"/>
      <c r="M56" s="555">
        <v>1</v>
      </c>
      <c r="N56" s="558"/>
      <c r="O56" s="555"/>
      <c r="P56" s="555"/>
      <c r="Q56" s="555"/>
      <c r="R56" s="555"/>
      <c r="S56" s="555"/>
      <c r="T56" s="555"/>
      <c r="U56" s="555"/>
      <c r="V56" s="555"/>
      <c r="W56" s="555"/>
      <c r="X56" s="555"/>
      <c r="Y56" s="555"/>
      <c r="Z56" s="555"/>
    </row>
    <row r="57" spans="1:26" s="1596" customFormat="1" ht="15">
      <c r="A57" s="561" t="s">
        <v>3596</v>
      </c>
      <c r="B57" s="2050">
        <v>21212</v>
      </c>
      <c r="C57" s="561">
        <f t="shared" ca="1" si="3"/>
        <v>66</v>
      </c>
      <c r="D57" s="561"/>
      <c r="E57" s="561" t="str">
        <f ca="1">DATEDIF(B57, TODAY(), "Y") &amp; " years, " &amp; DATEDIF(B57, TODAY(), "YM") &amp; " months, " &amp; DATEDIF(B57, TODAY(), "MD") &amp; " days"</f>
        <v>66 years, 11 months, 28 days</v>
      </c>
      <c r="F57" s="561"/>
      <c r="G57" s="561"/>
      <c r="H57" s="561"/>
      <c r="I57" s="2044" t="s">
        <v>135</v>
      </c>
      <c r="J57" s="561"/>
      <c r="K57" s="561"/>
      <c r="L57" s="561"/>
      <c r="M57" s="561">
        <v>1</v>
      </c>
      <c r="N57" s="2045"/>
      <c r="O57" s="561"/>
      <c r="P57" s="561"/>
      <c r="Q57" s="561"/>
      <c r="R57" s="561"/>
      <c r="S57" s="561"/>
      <c r="T57" s="561"/>
      <c r="U57" s="561"/>
      <c r="V57" s="561"/>
      <c r="W57" s="561"/>
      <c r="X57" s="561"/>
      <c r="Y57" s="561"/>
      <c r="Z57" s="561"/>
    </row>
    <row r="58" spans="1:26" ht="15">
      <c r="A58" s="555" t="s">
        <v>3597</v>
      </c>
      <c r="B58" s="564">
        <v>33723</v>
      </c>
      <c r="C58" s="555">
        <f t="shared" ca="1" si="3"/>
        <v>32</v>
      </c>
      <c r="D58" s="555"/>
      <c r="E58" s="555" t="str">
        <f ca="1">DATEDIF(B58, TODAY(), "Y") &amp; " years, " &amp; DATEDIF(B58, TODAY(), "YM") &amp; " months, " &amp; DATEDIF(B58, TODAY(), "MD") &amp; " days"</f>
        <v>32 years, 8 months, 26 days</v>
      </c>
      <c r="F58" s="555"/>
      <c r="G58" s="555"/>
      <c r="H58" s="555"/>
      <c r="I58" s="557">
        <v>1</v>
      </c>
      <c r="J58" s="555"/>
      <c r="K58" s="555"/>
      <c r="L58" s="555"/>
      <c r="M58" s="555">
        <v>1</v>
      </c>
      <c r="N58" s="558"/>
      <c r="O58" s="555"/>
      <c r="P58" s="555"/>
      <c r="Q58" s="555"/>
      <c r="R58" s="555"/>
      <c r="S58" s="555"/>
      <c r="T58" s="555"/>
      <c r="U58" s="555"/>
      <c r="V58" s="555"/>
      <c r="W58" s="555"/>
      <c r="X58" s="555"/>
      <c r="Y58" s="555"/>
      <c r="Z58" s="555"/>
    </row>
    <row r="59" spans="1:26" ht="15">
      <c r="A59" s="549"/>
      <c r="B59" s="549"/>
      <c r="C59" s="549" t="str">
        <f t="shared" ca="1" si="3"/>
        <v/>
      </c>
      <c r="D59" s="549"/>
      <c r="E59" s="562"/>
      <c r="F59" s="549"/>
      <c r="G59" s="549"/>
      <c r="H59" s="549"/>
      <c r="I59" s="550"/>
      <c r="J59" s="549"/>
      <c r="K59" s="549"/>
      <c r="L59" s="549"/>
      <c r="M59" s="549"/>
      <c r="N59" s="551"/>
      <c r="O59" s="549"/>
      <c r="P59" s="549"/>
      <c r="Q59" s="549"/>
      <c r="R59" s="549"/>
      <c r="S59" s="549"/>
      <c r="T59" s="549"/>
      <c r="U59" s="549"/>
      <c r="V59" s="549"/>
      <c r="W59" s="549"/>
      <c r="X59" s="549"/>
      <c r="Y59" s="549"/>
      <c r="Z59" s="549"/>
    </row>
    <row r="60" spans="1:26" s="1596" customFormat="1" ht="15.75">
      <c r="A60" s="2051" t="s">
        <v>3598</v>
      </c>
      <c r="B60" s="2043">
        <v>32923</v>
      </c>
      <c r="C60" s="561">
        <f t="shared" ca="1" si="3"/>
        <v>34</v>
      </c>
      <c r="D60" s="561"/>
      <c r="E60" s="561" t="str">
        <f ca="1">DATEDIF(B60, TODAY(), "Y") &amp; " years, " &amp; DATEDIF(B60, TODAY(), "YM") &amp; " months, " &amp; DATEDIF(B60, TODAY(), "MD") &amp; " days"</f>
        <v>34 years, 11 months, 5 days</v>
      </c>
      <c r="F60" s="561">
        <v>2</v>
      </c>
      <c r="G60" s="2049" t="s">
        <v>3599</v>
      </c>
      <c r="H60" s="561"/>
      <c r="I60" s="2044">
        <v>1</v>
      </c>
      <c r="J60" s="561"/>
      <c r="K60" s="561"/>
      <c r="L60" s="561"/>
      <c r="M60" s="561">
        <v>1</v>
      </c>
      <c r="N60" s="2045"/>
      <c r="O60" s="561"/>
      <c r="P60" s="561"/>
      <c r="Q60" s="561"/>
      <c r="R60" s="561"/>
      <c r="S60" s="561"/>
      <c r="T60" s="561"/>
      <c r="U60" s="561"/>
      <c r="V60" s="561"/>
      <c r="W60" s="561"/>
      <c r="X60" s="561"/>
      <c r="Y60" s="561"/>
      <c r="Z60" s="561"/>
    </row>
    <row r="61" spans="1:26" s="1596" customFormat="1" ht="15">
      <c r="A61" s="561" t="s">
        <v>3600</v>
      </c>
      <c r="B61" s="2043">
        <v>33274</v>
      </c>
      <c r="C61" s="561">
        <f t="shared" ca="1" si="3"/>
        <v>33</v>
      </c>
      <c r="D61" s="561"/>
      <c r="E61" s="561" t="str">
        <f ca="1">DATEDIF(B61, TODAY(), "Y") &amp; " years, " &amp; DATEDIF(B61, TODAY(), "YM") &amp; " months, " &amp; DATEDIF(B61, TODAY(), "MD") &amp; " days"</f>
        <v>33 years, 11 months, 19 days</v>
      </c>
      <c r="F61" s="561"/>
      <c r="G61" s="2049" t="s">
        <v>3601</v>
      </c>
      <c r="H61" s="561"/>
      <c r="I61" s="2044"/>
      <c r="J61" s="561"/>
      <c r="K61" s="561"/>
      <c r="L61" s="561"/>
      <c r="M61" s="561">
        <v>1</v>
      </c>
      <c r="N61" s="2045"/>
      <c r="O61" s="561"/>
      <c r="P61" s="561"/>
      <c r="Q61" s="561"/>
      <c r="R61" s="561"/>
      <c r="S61" s="561"/>
      <c r="T61" s="561"/>
      <c r="U61" s="561"/>
      <c r="V61" s="561"/>
      <c r="W61" s="561"/>
      <c r="X61" s="561"/>
      <c r="Y61" s="561"/>
      <c r="Z61" s="561"/>
    </row>
    <row r="62" spans="1:26" s="1596" customFormat="1" ht="15">
      <c r="A62" s="561" t="s">
        <v>3602</v>
      </c>
      <c r="B62" s="2043">
        <v>44651</v>
      </c>
      <c r="C62" s="561">
        <f t="shared" ca="1" si="3"/>
        <v>2</v>
      </c>
      <c r="D62" s="561"/>
      <c r="E62" s="561" t="str">
        <f ca="1">DATEDIF(B62, TODAY(), "Y") &amp; " years, " &amp; DATEDIF(B62, TODAY(), "YM") &amp; " months, " &amp; DATEDIF(B62, TODAY(), "MD") &amp; " days"</f>
        <v>2 years, 9 months, 24 days</v>
      </c>
      <c r="F62" s="561"/>
      <c r="G62" s="561" t="s">
        <v>3603</v>
      </c>
      <c r="H62" s="561"/>
      <c r="I62" s="2044"/>
      <c r="J62" s="561">
        <v>1</v>
      </c>
      <c r="K62" s="561"/>
      <c r="L62" s="561"/>
      <c r="M62" s="561">
        <v>1</v>
      </c>
      <c r="N62" s="2045"/>
      <c r="O62" s="561"/>
      <c r="P62" s="561"/>
      <c r="Q62" s="561"/>
      <c r="R62" s="561"/>
      <c r="S62" s="561"/>
      <c r="T62" s="561"/>
      <c r="U62" s="561"/>
      <c r="V62" s="561"/>
      <c r="W62" s="561"/>
      <c r="X62" s="561"/>
      <c r="Y62" s="561"/>
      <c r="Z62" s="561"/>
    </row>
    <row r="63" spans="1:26" ht="15">
      <c r="A63" s="555" t="s">
        <v>3604</v>
      </c>
      <c r="B63" s="554">
        <v>45484</v>
      </c>
      <c r="C63" s="555">
        <f t="shared" ca="1" si="3"/>
        <v>0</v>
      </c>
      <c r="D63" s="555"/>
      <c r="E63" s="555" t="str">
        <f ca="1">DATEDIF(B63, TODAY(), "Y") &amp; " years, " &amp; DATEDIF(B63, TODAY(), "YM") &amp; " months, " &amp; DATEDIF(B63, TODAY(), "MD") &amp; " days"</f>
        <v>0 years, 6 months, 13 days</v>
      </c>
      <c r="F63" s="555"/>
      <c r="G63" s="555"/>
      <c r="H63" s="555"/>
      <c r="I63" s="557"/>
      <c r="J63" s="555">
        <v>1</v>
      </c>
      <c r="K63" s="555"/>
      <c r="L63" s="555"/>
      <c r="M63" s="555">
        <v>1</v>
      </c>
      <c r="N63" s="551"/>
      <c r="O63" s="549"/>
      <c r="P63" s="549"/>
      <c r="Q63" s="549"/>
      <c r="R63" s="549"/>
      <c r="S63" s="549"/>
      <c r="T63" s="549"/>
      <c r="U63" s="549"/>
      <c r="V63" s="549"/>
      <c r="W63" s="549"/>
      <c r="X63" s="549"/>
      <c r="Y63" s="549"/>
      <c r="Z63" s="549"/>
    </row>
    <row r="64" spans="1:26" ht="15">
      <c r="A64" s="549"/>
      <c r="B64" s="549"/>
      <c r="C64" s="549" t="str">
        <f t="shared" ca="1" si="3"/>
        <v/>
      </c>
      <c r="D64" s="549"/>
      <c r="E64" s="562"/>
      <c r="F64" s="549"/>
      <c r="G64" s="549"/>
      <c r="H64" s="549"/>
      <c r="I64" s="550"/>
      <c r="J64" s="549"/>
      <c r="K64" s="549"/>
      <c r="L64" s="549"/>
      <c r="M64" s="549"/>
      <c r="N64" s="551"/>
      <c r="O64" s="549"/>
      <c r="P64" s="549"/>
      <c r="Q64" s="549"/>
      <c r="R64" s="549"/>
      <c r="S64" s="549"/>
      <c r="T64" s="549"/>
      <c r="U64" s="549"/>
      <c r="V64" s="549"/>
      <c r="W64" s="549"/>
      <c r="X64" s="549"/>
      <c r="Y64" s="549"/>
      <c r="Z64" s="549"/>
    </row>
    <row r="65" spans="1:26" ht="15.75">
      <c r="A65" s="553" t="s">
        <v>3605</v>
      </c>
      <c r="B65" s="564">
        <v>22816</v>
      </c>
      <c r="C65" s="555">
        <f t="shared" ca="1" si="3"/>
        <v>62</v>
      </c>
      <c r="D65" s="555"/>
      <c r="E65" s="555" t="str">
        <f ca="1">DATEDIF(B65, TODAY(), "Y") &amp; " years, " &amp; DATEDIF(B65, TODAY(), "YM") &amp; " months, " &amp; DATEDIF(B65, TODAY(), "MD") &amp; " days"</f>
        <v>62 years, 7 months, 5 days</v>
      </c>
      <c r="F65" s="555">
        <v>7</v>
      </c>
      <c r="G65" s="555"/>
      <c r="H65" s="555"/>
      <c r="I65" s="557"/>
      <c r="J65" s="555"/>
      <c r="K65" s="555"/>
      <c r="L65" s="555"/>
      <c r="M65" s="555">
        <v>1</v>
      </c>
      <c r="N65" s="558"/>
      <c r="O65" s="555"/>
      <c r="P65" s="555"/>
      <c r="Q65" s="555"/>
      <c r="R65" s="555"/>
      <c r="S65" s="555"/>
      <c r="T65" s="555"/>
      <c r="U65" s="555"/>
      <c r="V65" s="555"/>
      <c r="W65" s="555"/>
      <c r="X65" s="555"/>
      <c r="Y65" s="555"/>
      <c r="Z65" s="555"/>
    </row>
    <row r="66" spans="1:26" ht="15">
      <c r="A66" s="555" t="s">
        <v>3606</v>
      </c>
      <c r="B66" s="564">
        <v>22547</v>
      </c>
      <c r="C66" s="555">
        <f t="shared" ca="1" si="3"/>
        <v>63</v>
      </c>
      <c r="D66" s="555"/>
      <c r="E66" s="555" t="str">
        <f ca="1">DATEDIF(B66, TODAY(), "Y") &amp; " years, " &amp; DATEDIF(B66, TODAY(), "YM") &amp; " months, " &amp; DATEDIF(B66, TODAY(), "MD") &amp; " days"</f>
        <v>63 years, 4 months, 1 days</v>
      </c>
      <c r="F66" s="555"/>
      <c r="G66" s="555"/>
      <c r="H66" s="555"/>
      <c r="I66" s="557"/>
      <c r="J66" s="555"/>
      <c r="K66" s="555"/>
      <c r="L66" s="555"/>
      <c r="M66" s="555">
        <v>1</v>
      </c>
      <c r="N66" s="558"/>
      <c r="O66" s="555"/>
      <c r="P66" s="555"/>
      <c r="Q66" s="555"/>
      <c r="R66" s="555"/>
      <c r="S66" s="555"/>
      <c r="T66" s="555"/>
      <c r="U66" s="555"/>
      <c r="V66" s="555"/>
      <c r="W66" s="555"/>
      <c r="X66" s="555"/>
      <c r="Y66" s="555"/>
      <c r="Z66" s="555"/>
    </row>
    <row r="67" spans="1:26" ht="15">
      <c r="A67" s="555" t="s">
        <v>3607</v>
      </c>
      <c r="B67" s="564">
        <v>32000</v>
      </c>
      <c r="C67" s="555">
        <f t="shared" ca="1" si="3"/>
        <v>37</v>
      </c>
      <c r="D67" s="555"/>
      <c r="E67" s="555" t="str">
        <f ca="1">DATEDIF(B67, TODAY(), "Y") &amp; " years, " &amp; DATEDIF(B67, TODAY(), "YM") &amp; " months, " &amp; DATEDIF(B67, TODAY(), "MD") &amp; " days"</f>
        <v>37 years, 5 months, 13 days</v>
      </c>
      <c r="F67" s="555"/>
      <c r="G67" s="555"/>
      <c r="H67" s="555"/>
      <c r="I67" s="557">
        <v>1</v>
      </c>
      <c r="J67" s="555"/>
      <c r="K67" s="555"/>
      <c r="L67" s="555"/>
      <c r="M67" s="555">
        <v>1</v>
      </c>
      <c r="N67" s="558"/>
      <c r="O67" s="555"/>
      <c r="P67" s="555"/>
      <c r="Q67" s="555"/>
      <c r="R67" s="555"/>
      <c r="S67" s="555"/>
      <c r="T67" s="555"/>
      <c r="U67" s="555"/>
      <c r="V67" s="555"/>
      <c r="W67" s="555"/>
      <c r="X67" s="555"/>
      <c r="Y67" s="555"/>
      <c r="Z67" s="555"/>
    </row>
    <row r="68" spans="1:26" ht="15">
      <c r="A68" s="555" t="s">
        <v>3608</v>
      </c>
      <c r="B68" s="564">
        <v>44172</v>
      </c>
      <c r="C68" s="555"/>
      <c r="D68" s="555"/>
      <c r="E68" s="555"/>
      <c r="F68" s="555"/>
      <c r="G68" s="555"/>
      <c r="H68" s="555"/>
      <c r="I68" s="557"/>
      <c r="J68" s="555"/>
      <c r="K68" s="555"/>
      <c r="L68" s="555"/>
      <c r="M68" s="555">
        <v>1</v>
      </c>
      <c r="N68" s="558"/>
      <c r="O68" s="555"/>
      <c r="P68" s="555"/>
      <c r="Q68" s="555"/>
      <c r="R68" s="555"/>
      <c r="S68" s="555"/>
      <c r="T68" s="555"/>
      <c r="U68" s="555"/>
      <c r="V68" s="555"/>
      <c r="W68" s="555"/>
      <c r="X68" s="555"/>
      <c r="Y68" s="555"/>
      <c r="Z68" s="555"/>
    </row>
    <row r="69" spans="1:26" ht="15">
      <c r="A69" s="555" t="s">
        <v>3609</v>
      </c>
      <c r="B69" s="564">
        <v>40155</v>
      </c>
      <c r="C69" s="555">
        <f ca="1">IF(B69,DATEDIF(B69,TODAY(),"Y"),"")</f>
        <v>15</v>
      </c>
      <c r="D69" s="555"/>
      <c r="E69" s="555" t="str">
        <f ca="1">DATEDIF(B69, TODAY(), "Y") &amp; " years, " &amp; DATEDIF(B69, TODAY(), "YM") &amp; " months, " &amp; DATEDIF(B69, TODAY(), "MD") &amp; " days"</f>
        <v>15 years, 1 months, 16 days</v>
      </c>
      <c r="F69" s="555"/>
      <c r="G69" s="561"/>
      <c r="H69" s="555"/>
      <c r="I69" s="557"/>
      <c r="J69" s="555">
        <v>1</v>
      </c>
      <c r="K69" s="555"/>
      <c r="L69" s="555"/>
      <c r="M69" s="555">
        <v>1</v>
      </c>
      <c r="N69" s="558"/>
      <c r="O69" s="555"/>
      <c r="P69" s="555"/>
      <c r="Q69" s="555"/>
      <c r="R69" s="555"/>
      <c r="S69" s="555"/>
      <c r="T69" s="555"/>
      <c r="U69" s="555"/>
      <c r="V69" s="555"/>
      <c r="W69" s="555"/>
      <c r="X69" s="555"/>
      <c r="Y69" s="555"/>
      <c r="Z69" s="555"/>
    </row>
    <row r="70" spans="1:26" ht="15">
      <c r="A70" s="555" t="s">
        <v>3610</v>
      </c>
      <c r="B70" s="564">
        <v>33905</v>
      </c>
      <c r="C70" s="555">
        <f ca="1">IF(B70,DATEDIF(B70,TODAY(),"Y"),"")</f>
        <v>32</v>
      </c>
      <c r="D70" s="555"/>
      <c r="E70" s="555" t="str">
        <f ca="1">DATEDIF(B70, TODAY(), "Y") &amp; " years, " &amp; DATEDIF(B70, TODAY(), "YM") &amp; " months, " &amp; DATEDIF(B70, TODAY(), "MD") &amp; " days"</f>
        <v>32 years, 2 months, 27 days</v>
      </c>
      <c r="F70" s="555"/>
      <c r="G70" s="566" t="s">
        <v>3611</v>
      </c>
      <c r="H70" s="555"/>
      <c r="I70" s="557">
        <v>1</v>
      </c>
      <c r="J70" s="555"/>
      <c r="K70" s="555"/>
      <c r="L70" s="555"/>
      <c r="M70" s="555">
        <v>1</v>
      </c>
      <c r="N70" s="551"/>
      <c r="O70" s="549"/>
      <c r="P70" s="549"/>
      <c r="Q70" s="549"/>
      <c r="R70" s="549"/>
      <c r="S70" s="549"/>
      <c r="T70" s="549"/>
      <c r="U70" s="549"/>
      <c r="V70" s="549"/>
      <c r="W70" s="549"/>
      <c r="X70" s="549"/>
      <c r="Y70" s="549"/>
      <c r="Z70" s="549"/>
    </row>
    <row r="71" spans="1:26" ht="15">
      <c r="A71" s="555" t="s">
        <v>3612</v>
      </c>
      <c r="B71" s="564" t="s">
        <v>3613</v>
      </c>
      <c r="C71" s="555"/>
      <c r="D71" s="555"/>
      <c r="E71" s="555"/>
      <c r="F71" s="555"/>
      <c r="G71" s="566" t="s">
        <v>3614</v>
      </c>
      <c r="H71" s="555"/>
      <c r="I71" s="557"/>
      <c r="J71" s="555"/>
      <c r="K71" s="555"/>
      <c r="L71" s="555"/>
      <c r="M71" s="555">
        <v>1</v>
      </c>
      <c r="N71" s="551"/>
      <c r="O71" s="549"/>
      <c r="P71" s="549"/>
      <c r="Q71" s="549"/>
      <c r="R71" s="549"/>
      <c r="S71" s="549"/>
      <c r="T71" s="549"/>
      <c r="U71" s="549"/>
      <c r="V71" s="549"/>
      <c r="W71" s="549"/>
      <c r="X71" s="549"/>
      <c r="Y71" s="549"/>
      <c r="Z71" s="549"/>
    </row>
    <row r="72" spans="1:26" ht="15">
      <c r="A72" s="549"/>
      <c r="B72" s="549"/>
      <c r="C72" s="549"/>
      <c r="D72" s="549"/>
      <c r="E72" s="570"/>
      <c r="F72" s="549"/>
      <c r="G72" s="549"/>
      <c r="H72" s="549"/>
      <c r="I72" s="550"/>
      <c r="J72" s="549"/>
      <c r="K72" s="549"/>
      <c r="L72" s="549"/>
      <c r="M72" s="549"/>
      <c r="N72" s="551"/>
      <c r="O72" s="549"/>
      <c r="P72" s="549"/>
      <c r="Q72" s="549"/>
      <c r="R72" s="549"/>
      <c r="S72" s="549"/>
      <c r="T72" s="549"/>
      <c r="U72" s="549"/>
      <c r="V72" s="549"/>
      <c r="W72" s="549"/>
      <c r="X72" s="549"/>
      <c r="Y72" s="549"/>
      <c r="Z72" s="549"/>
    </row>
    <row r="73" spans="1:26" ht="31.5">
      <c r="A73" s="553" t="s">
        <v>3615</v>
      </c>
      <c r="B73" s="554">
        <v>23282</v>
      </c>
      <c r="C73" s="555">
        <f ca="1">IF(B73,DATEDIF(B73,TODAY(),"Y"),"")</f>
        <v>61</v>
      </c>
      <c r="D73" s="555"/>
      <c r="E73" s="555" t="str">
        <f ca="1">DATEDIF(B73, TODAY(), "Y") &amp; " years, " &amp; DATEDIF(B73, TODAY(), "YM") &amp; " months, " &amp; DATEDIF(B73, TODAY(), "MD") &amp; " days"</f>
        <v>61 years, 3 months, 27 days</v>
      </c>
      <c r="F73" s="555">
        <v>1</v>
      </c>
      <c r="G73" s="555"/>
      <c r="H73" s="555"/>
      <c r="I73" s="557"/>
      <c r="J73" s="555"/>
      <c r="K73" s="555"/>
      <c r="L73" s="555"/>
      <c r="M73" s="555">
        <v>1</v>
      </c>
      <c r="N73" s="551"/>
      <c r="O73" s="549"/>
      <c r="P73" s="549"/>
      <c r="Q73" s="549"/>
      <c r="R73" s="549"/>
      <c r="S73" s="549"/>
      <c r="T73" s="549"/>
      <c r="U73" s="549"/>
      <c r="V73" s="549"/>
      <c r="W73" s="549"/>
      <c r="X73" s="549"/>
      <c r="Y73" s="549"/>
      <c r="Z73" s="549"/>
    </row>
    <row r="74" spans="1:26" ht="15.75">
      <c r="A74" s="549"/>
      <c r="B74" s="549"/>
      <c r="C74" s="549"/>
      <c r="D74" s="549"/>
      <c r="E74" s="570"/>
      <c r="F74" s="549"/>
      <c r="G74" s="549"/>
      <c r="H74" s="546" t="s">
        <v>3616</v>
      </c>
      <c r="I74" s="571">
        <f>SUM(I2:I73)</f>
        <v>7</v>
      </c>
      <c r="J74" s="571">
        <f>SUM(J2:J73)</f>
        <v>9</v>
      </c>
      <c r="K74" s="571">
        <f>SUM(K2:K73)</f>
        <v>4</v>
      </c>
      <c r="L74" s="571">
        <f>SUM(L2:L73)</f>
        <v>9</v>
      </c>
      <c r="M74" s="549"/>
      <c r="N74" s="551"/>
      <c r="O74" s="549"/>
      <c r="P74" s="549"/>
      <c r="Q74" s="549"/>
      <c r="R74" s="549"/>
      <c r="S74" s="549"/>
      <c r="T74" s="549"/>
      <c r="U74" s="549"/>
      <c r="V74" s="549"/>
      <c r="W74" s="549"/>
      <c r="X74" s="549"/>
      <c r="Y74" s="549"/>
      <c r="Z74" s="549"/>
    </row>
    <row r="75" spans="1:26" ht="15.75">
      <c r="A75" s="553" t="s">
        <v>3617</v>
      </c>
      <c r="B75" s="554">
        <v>18434</v>
      </c>
      <c r="C75" s="555">
        <f ca="1">IF(B75,DATEDIF(B75,TODAY(),"Y"),"")</f>
        <v>74</v>
      </c>
      <c r="D75" s="555"/>
      <c r="E75" s="555" t="str">
        <f ca="1">DATEDIF(B75, TODAY(), "Y") &amp; " years, " &amp; DATEDIF(B75, TODAY(), "YM") &amp; " months, " &amp; DATEDIF(B75, TODAY(), "MD") &amp; " days"</f>
        <v>74 years, 7 months, 4 days</v>
      </c>
      <c r="F75" s="555"/>
      <c r="G75" s="555"/>
      <c r="H75" s="555"/>
      <c r="I75" s="557"/>
      <c r="J75" s="555"/>
      <c r="K75" s="555"/>
      <c r="L75" s="555"/>
      <c r="M75" s="555">
        <v>1</v>
      </c>
      <c r="N75" s="12"/>
    </row>
    <row r="76" spans="1:26" ht="15">
      <c r="A76" s="555" t="s">
        <v>3618</v>
      </c>
      <c r="B76" s="554">
        <v>19677</v>
      </c>
      <c r="C76" s="555">
        <f ca="1">IF(B76,DATEDIF(B76,TODAY(),"Y"),"")</f>
        <v>71</v>
      </c>
      <c r="D76" s="555"/>
      <c r="E76" s="555" t="str">
        <f ca="1">DATEDIF(B76, TODAY(), "Y") &amp; " years, " &amp; DATEDIF(B76, TODAY(), "YM") &amp; " months, " &amp; DATEDIF(B76, TODAY(), "MD") &amp; " days"</f>
        <v>71 years, 2 months, 10 days</v>
      </c>
      <c r="F76" s="555"/>
      <c r="G76" s="555"/>
      <c r="H76" s="555"/>
      <c r="I76" s="557"/>
      <c r="J76" s="555"/>
      <c r="K76" s="555"/>
      <c r="L76" s="555"/>
      <c r="M76" s="555">
        <v>1</v>
      </c>
      <c r="N76" s="551"/>
      <c r="O76" s="549"/>
      <c r="P76" s="549"/>
      <c r="Q76" s="549"/>
      <c r="R76" s="549"/>
      <c r="S76" s="549"/>
      <c r="T76" s="549"/>
      <c r="U76" s="549"/>
      <c r="V76" s="549"/>
      <c r="W76" s="549"/>
      <c r="X76" s="549"/>
      <c r="Y76" s="549"/>
      <c r="Z76" s="549"/>
    </row>
    <row r="77" spans="1:26" ht="15">
      <c r="A77" s="549"/>
      <c r="B77" s="549"/>
      <c r="C77" s="549"/>
      <c r="D77" s="549"/>
      <c r="E77" s="570"/>
      <c r="F77" s="549">
        <f>SUM(F1:F74)</f>
        <v>31</v>
      </c>
      <c r="G77" s="549"/>
      <c r="H77" s="549">
        <f>SUM(H1:H74)</f>
        <v>21</v>
      </c>
      <c r="I77" s="550"/>
      <c r="J77" s="549"/>
      <c r="K77" s="549"/>
      <c r="L77" s="549"/>
      <c r="M77" s="549">
        <f>SUM(M2:M76)+2</f>
        <v>35</v>
      </c>
      <c r="N77" s="551"/>
      <c r="O77" s="549"/>
      <c r="P77" s="549"/>
      <c r="Q77" s="549"/>
      <c r="R77" s="549"/>
      <c r="S77" s="549"/>
      <c r="T77" s="549"/>
      <c r="U77" s="549"/>
      <c r="V77" s="549"/>
      <c r="W77" s="549"/>
      <c r="X77" s="549"/>
      <c r="Y77" s="549"/>
      <c r="Z77" s="549"/>
    </row>
    <row r="78" spans="1:26" ht="15">
      <c r="A78" s="549"/>
      <c r="B78" s="549"/>
      <c r="C78" s="549"/>
      <c r="D78" s="549"/>
      <c r="E78" s="570"/>
      <c r="F78" s="549">
        <v>1100</v>
      </c>
      <c r="G78" s="549"/>
      <c r="H78" s="549">
        <v>3799</v>
      </c>
      <c r="I78" s="550"/>
      <c r="J78" s="549"/>
      <c r="K78" s="549"/>
      <c r="L78" s="549"/>
      <c r="M78" s="549"/>
      <c r="N78" s="551"/>
      <c r="O78" s="549"/>
      <c r="P78" s="549"/>
      <c r="Q78" s="549"/>
      <c r="R78" s="549"/>
      <c r="S78" s="549"/>
      <c r="T78" s="549"/>
      <c r="U78" s="549"/>
      <c r="V78" s="549"/>
      <c r="W78" s="549"/>
      <c r="X78" s="549"/>
      <c r="Y78" s="549"/>
      <c r="Z78" s="549"/>
    </row>
    <row r="79" spans="1:26" ht="15">
      <c r="A79" s="549"/>
      <c r="B79" s="549"/>
      <c r="C79" s="549"/>
      <c r="D79" s="549"/>
      <c r="E79" s="570"/>
      <c r="F79" s="549">
        <f>F77*F78</f>
        <v>34100</v>
      </c>
      <c r="G79" s="549"/>
      <c r="H79" s="549">
        <f>H77*H78</f>
        <v>79779</v>
      </c>
      <c r="I79" s="550"/>
      <c r="J79" s="549"/>
      <c r="K79" s="549"/>
      <c r="L79" s="549"/>
      <c r="M79" s="549"/>
      <c r="N79" s="551"/>
      <c r="O79" s="549"/>
      <c r="P79" s="549"/>
      <c r="Q79" s="549"/>
      <c r="R79" s="549"/>
      <c r="S79" s="549"/>
      <c r="T79" s="549"/>
      <c r="U79" s="549"/>
      <c r="V79" s="549"/>
      <c r="W79" s="549"/>
      <c r="X79" s="549"/>
      <c r="Y79" s="549"/>
      <c r="Z79" s="549"/>
    </row>
    <row r="80" spans="1:26" ht="15">
      <c r="A80" s="549"/>
      <c r="B80" s="549"/>
      <c r="C80" s="549"/>
      <c r="D80" s="549"/>
      <c r="E80" s="570"/>
      <c r="F80" s="549"/>
      <c r="G80" s="549"/>
      <c r="H80" s="549"/>
      <c r="I80" s="550"/>
      <c r="J80" s="549"/>
      <c r="K80" s="549"/>
      <c r="L80" s="549">
        <f>1000000/39</f>
        <v>25641.025641025641</v>
      </c>
      <c r="M80" s="549"/>
      <c r="N80" s="551"/>
      <c r="O80" s="549"/>
      <c r="P80" s="549"/>
      <c r="Q80" s="549"/>
      <c r="R80" s="549"/>
      <c r="S80" s="549"/>
      <c r="T80" s="549"/>
      <c r="U80" s="549"/>
      <c r="V80" s="549"/>
      <c r="W80" s="549"/>
      <c r="X80" s="549"/>
      <c r="Y80" s="549"/>
      <c r="Z80" s="549"/>
    </row>
    <row r="81" spans="1:26" ht="15">
      <c r="A81" s="549"/>
      <c r="B81" s="549"/>
      <c r="C81" s="549"/>
      <c r="D81" s="549"/>
      <c r="E81" s="570"/>
      <c r="F81" s="549"/>
      <c r="G81" s="549">
        <v>8</v>
      </c>
      <c r="H81" s="549">
        <v>8</v>
      </c>
      <c r="I81" s="550"/>
      <c r="J81" s="549"/>
      <c r="K81" s="549"/>
      <c r="L81" s="549"/>
      <c r="M81" s="549"/>
      <c r="N81" s="551"/>
      <c r="O81" s="549"/>
      <c r="P81" s="549"/>
      <c r="Q81" s="549"/>
      <c r="R81" s="549"/>
      <c r="S81" s="549"/>
      <c r="T81" s="549"/>
      <c r="U81" s="549"/>
      <c r="V81" s="549"/>
      <c r="W81" s="549"/>
      <c r="X81" s="549"/>
      <c r="Y81" s="549"/>
      <c r="Z81" s="549"/>
    </row>
    <row r="82" spans="1:26" ht="15">
      <c r="A82" s="549"/>
      <c r="B82" s="549"/>
      <c r="C82" s="549"/>
      <c r="D82" s="549"/>
      <c r="F82" s="549"/>
      <c r="G82" s="549">
        <f>G81*3399</f>
        <v>27192</v>
      </c>
      <c r="H82" s="549">
        <f>3799*H81</f>
        <v>30392</v>
      </c>
      <c r="I82" s="550"/>
      <c r="J82" s="549"/>
      <c r="K82" s="549">
        <f>21*3799</f>
        <v>79779</v>
      </c>
      <c r="L82" s="549"/>
      <c r="M82" s="549"/>
      <c r="N82" s="551"/>
      <c r="O82" s="549"/>
      <c r="P82" s="549"/>
      <c r="Q82" s="549"/>
      <c r="R82" s="549"/>
      <c r="S82" s="549"/>
      <c r="T82" s="549"/>
      <c r="U82" s="549"/>
      <c r="V82" s="549"/>
      <c r="W82" s="549"/>
      <c r="X82" s="549"/>
      <c r="Y82" s="549"/>
      <c r="Z82" s="549"/>
    </row>
    <row r="83" spans="1:26" ht="126">
      <c r="A83" s="549"/>
      <c r="B83" s="549"/>
      <c r="C83" s="549"/>
      <c r="D83" s="549"/>
      <c r="E83" s="572" t="s">
        <v>3619</v>
      </c>
      <c r="F83" s="549"/>
      <c r="G83" s="549"/>
      <c r="H83" s="549"/>
      <c r="I83" s="550"/>
      <c r="J83" s="549"/>
      <c r="K83" s="549"/>
      <c r="L83" s="549"/>
      <c r="M83" s="549"/>
      <c r="N83" s="551"/>
      <c r="O83" s="549"/>
      <c r="P83" s="549"/>
      <c r="Q83" s="549"/>
      <c r="R83" s="549"/>
      <c r="S83" s="549"/>
      <c r="T83" s="549"/>
      <c r="U83" s="549"/>
      <c r="V83" s="549"/>
      <c r="W83" s="549"/>
      <c r="X83" s="549"/>
      <c r="Y83" s="549"/>
      <c r="Z83" s="549"/>
    </row>
    <row r="84" spans="1:26" ht="15">
      <c r="A84" s="549"/>
      <c r="B84" s="549"/>
      <c r="C84" s="549"/>
      <c r="D84" s="549"/>
      <c r="E84" s="570"/>
      <c r="F84" s="549"/>
      <c r="G84" s="549"/>
      <c r="H84" s="549"/>
      <c r="I84" s="550"/>
      <c r="J84" s="549"/>
      <c r="K84" s="549"/>
      <c r="L84" s="549"/>
      <c r="M84" s="549"/>
      <c r="N84" s="551"/>
      <c r="O84" s="549"/>
      <c r="P84" s="549"/>
      <c r="Q84" s="549"/>
      <c r="R84" s="549"/>
      <c r="S84" s="549"/>
      <c r="T84" s="549"/>
      <c r="U84" s="549"/>
      <c r="V84" s="549"/>
      <c r="W84" s="549"/>
      <c r="X84" s="549"/>
      <c r="Y84" s="549"/>
      <c r="Z84" s="549"/>
    </row>
    <row r="85" spans="1:26" ht="31.5">
      <c r="A85" s="573" t="s">
        <v>3615</v>
      </c>
      <c r="B85" s="574" t="s">
        <v>3620</v>
      </c>
      <c r="C85" s="575">
        <v>1963</v>
      </c>
      <c r="D85" s="549"/>
      <c r="E85" s="570"/>
      <c r="F85" s="549"/>
      <c r="G85" s="549"/>
      <c r="H85" s="549"/>
      <c r="I85" s="550"/>
      <c r="J85" s="549"/>
      <c r="K85" s="549"/>
      <c r="L85" s="549"/>
      <c r="M85" s="549"/>
      <c r="N85" s="551"/>
      <c r="O85" s="549"/>
      <c r="P85" s="549"/>
      <c r="Q85" s="549"/>
      <c r="R85" s="549"/>
      <c r="S85" s="549"/>
      <c r="T85" s="549"/>
      <c r="U85" s="549"/>
      <c r="V85" s="549"/>
      <c r="W85" s="549"/>
      <c r="X85" s="549"/>
      <c r="Y85" s="549"/>
      <c r="Z85" s="549"/>
    </row>
    <row r="86" spans="1:26" ht="15.75">
      <c r="A86" s="573" t="s">
        <v>3606</v>
      </c>
      <c r="B86" s="574" t="s">
        <v>3621</v>
      </c>
      <c r="C86" s="575">
        <v>1961</v>
      </c>
      <c r="D86" s="549"/>
      <c r="E86" s="570"/>
      <c r="F86" s="549"/>
      <c r="G86" s="549"/>
      <c r="H86" s="549"/>
      <c r="I86" s="550"/>
      <c r="J86" s="549"/>
      <c r="K86" s="549"/>
      <c r="L86" s="549"/>
      <c r="M86" s="549"/>
      <c r="N86" s="551"/>
      <c r="O86" s="549"/>
      <c r="P86" s="549"/>
      <c r="Q86" s="549"/>
      <c r="R86" s="549"/>
      <c r="S86" s="549"/>
      <c r="T86" s="549"/>
      <c r="U86" s="549"/>
      <c r="V86" s="549"/>
      <c r="W86" s="549"/>
      <c r="X86" s="549"/>
      <c r="Y86" s="549"/>
      <c r="Z86" s="549"/>
    </row>
    <row r="87" spans="1:26" ht="15.75">
      <c r="A87" s="573" t="s">
        <v>3622</v>
      </c>
      <c r="B87" s="574" t="s">
        <v>3463</v>
      </c>
      <c r="C87" s="575">
        <v>2007</v>
      </c>
      <c r="D87" s="549"/>
      <c r="E87" s="570"/>
      <c r="F87" s="549"/>
      <c r="G87" s="549"/>
      <c r="H87" s="549"/>
      <c r="I87" s="550"/>
      <c r="J87" s="549"/>
      <c r="K87" s="549"/>
      <c r="L87" s="549"/>
      <c r="M87" s="549"/>
      <c r="N87" s="551"/>
      <c r="O87" s="549"/>
      <c r="P87" s="549"/>
      <c r="Q87" s="549"/>
      <c r="R87" s="549"/>
      <c r="S87" s="549"/>
      <c r="T87" s="549"/>
      <c r="U87" s="549"/>
      <c r="V87" s="549"/>
      <c r="W87" s="549"/>
      <c r="X87" s="549"/>
      <c r="Y87" s="549"/>
      <c r="Z87" s="549"/>
    </row>
    <row r="88" spans="1:26" ht="15.75">
      <c r="A88" s="576" t="s">
        <v>3554</v>
      </c>
      <c r="B88" s="574" t="s">
        <v>3623</v>
      </c>
      <c r="C88" s="575">
        <v>1989</v>
      </c>
      <c r="D88" s="549"/>
      <c r="E88" s="570"/>
      <c r="F88" s="549"/>
      <c r="G88" s="549"/>
      <c r="H88" s="549"/>
      <c r="I88" s="550"/>
      <c r="J88" s="549"/>
      <c r="K88" s="549"/>
      <c r="L88" s="549"/>
      <c r="M88" s="549"/>
      <c r="N88" s="551"/>
      <c r="O88" s="549"/>
      <c r="P88" s="549"/>
      <c r="Q88" s="549"/>
      <c r="R88" s="549"/>
      <c r="S88" s="549"/>
      <c r="T88" s="549"/>
      <c r="U88" s="549"/>
      <c r="V88" s="549"/>
      <c r="W88" s="549"/>
      <c r="X88" s="549"/>
      <c r="Y88" s="549"/>
      <c r="Z88" s="549"/>
    </row>
    <row r="89" spans="1:26" ht="15.75">
      <c r="A89" s="573" t="s">
        <v>3624</v>
      </c>
      <c r="B89" s="574" t="s">
        <v>3625</v>
      </c>
      <c r="C89" s="575">
        <v>1987</v>
      </c>
      <c r="D89" s="549"/>
      <c r="E89" s="570"/>
      <c r="F89" s="549"/>
      <c r="G89" s="549"/>
      <c r="H89" s="549"/>
      <c r="I89" s="550"/>
      <c r="J89" s="549"/>
      <c r="K89" s="549"/>
      <c r="L89" s="549"/>
      <c r="M89" s="549"/>
      <c r="N89" s="551"/>
      <c r="O89" s="549"/>
      <c r="P89" s="549"/>
      <c r="Q89" s="549"/>
      <c r="R89" s="549"/>
      <c r="S89" s="549"/>
      <c r="T89" s="549"/>
      <c r="U89" s="549"/>
      <c r="V89" s="549"/>
      <c r="W89" s="549"/>
      <c r="X89" s="549"/>
      <c r="Y89" s="549"/>
      <c r="Z89" s="549"/>
    </row>
    <row r="90" spans="1:26" ht="15.75">
      <c r="A90" s="573" t="s">
        <v>3564</v>
      </c>
      <c r="B90" s="574" t="s">
        <v>3626</v>
      </c>
      <c r="C90" s="575">
        <v>1975</v>
      </c>
      <c r="D90" s="549"/>
      <c r="E90" s="570"/>
      <c r="F90" s="549"/>
      <c r="G90" s="549"/>
      <c r="H90" s="549"/>
      <c r="I90" s="550"/>
      <c r="J90" s="549"/>
      <c r="K90" s="549"/>
      <c r="L90" s="549"/>
      <c r="M90" s="549"/>
      <c r="N90" s="551"/>
      <c r="O90" s="549"/>
      <c r="P90" s="549"/>
      <c r="Q90" s="549"/>
      <c r="R90" s="549"/>
      <c r="S90" s="549"/>
      <c r="T90" s="549"/>
      <c r="U90" s="549"/>
      <c r="V90" s="549"/>
      <c r="W90" s="549"/>
      <c r="X90" s="549"/>
      <c r="Y90" s="549"/>
      <c r="Z90" s="549"/>
    </row>
    <row r="91" spans="1:26" ht="15.75">
      <c r="A91" s="573" t="s">
        <v>3627</v>
      </c>
      <c r="B91" s="574" t="s">
        <v>3628</v>
      </c>
      <c r="C91" s="575">
        <v>2013</v>
      </c>
      <c r="D91" s="549"/>
      <c r="E91" s="570"/>
      <c r="F91" s="549"/>
      <c r="G91" s="549"/>
      <c r="H91" s="549"/>
      <c r="I91" s="550"/>
      <c r="J91" s="549"/>
      <c r="K91" s="549"/>
      <c r="L91" s="549"/>
      <c r="M91" s="549"/>
      <c r="N91" s="551"/>
      <c r="O91" s="549"/>
      <c r="P91" s="549"/>
      <c r="Q91" s="549"/>
      <c r="R91" s="549"/>
      <c r="S91" s="549"/>
      <c r="T91" s="549"/>
      <c r="U91" s="549"/>
      <c r="V91" s="549"/>
      <c r="W91" s="549"/>
      <c r="X91" s="549"/>
      <c r="Y91" s="549"/>
      <c r="Z91" s="549"/>
    </row>
    <row r="92" spans="1:26" ht="15.75">
      <c r="A92" s="573" t="s">
        <v>3575</v>
      </c>
      <c r="B92" s="574" t="s">
        <v>3628</v>
      </c>
      <c r="C92" s="575">
        <v>2018</v>
      </c>
      <c r="D92" s="549"/>
      <c r="E92" s="570"/>
      <c r="F92" s="549"/>
      <c r="G92" s="549"/>
      <c r="H92" s="549"/>
      <c r="I92" s="550"/>
      <c r="J92" s="549"/>
      <c r="K92" s="549"/>
      <c r="L92" s="549"/>
      <c r="M92" s="549"/>
      <c r="N92" s="551"/>
      <c r="O92" s="549"/>
      <c r="P92" s="549"/>
      <c r="Q92" s="549"/>
      <c r="R92" s="549"/>
      <c r="S92" s="549"/>
      <c r="T92" s="549"/>
      <c r="U92" s="549"/>
      <c r="V92" s="549"/>
      <c r="W92" s="549"/>
      <c r="X92" s="549"/>
      <c r="Y92" s="549"/>
      <c r="Z92" s="549"/>
    </row>
    <row r="93" spans="1:26" ht="15.75">
      <c r="A93" s="573" t="s">
        <v>3563</v>
      </c>
      <c r="B93" s="574" t="s">
        <v>3629</v>
      </c>
      <c r="C93" s="575">
        <v>1975</v>
      </c>
      <c r="D93" s="549"/>
      <c r="E93" s="570"/>
      <c r="F93" s="549"/>
      <c r="G93" s="549"/>
      <c r="H93" s="549"/>
      <c r="I93" s="550"/>
      <c r="J93" s="549"/>
      <c r="K93" s="549"/>
      <c r="L93" s="549"/>
      <c r="M93" s="549"/>
      <c r="N93" s="551"/>
      <c r="O93" s="549"/>
      <c r="P93" s="549"/>
      <c r="Q93" s="549"/>
      <c r="R93" s="549"/>
      <c r="S93" s="549"/>
      <c r="T93" s="549"/>
      <c r="U93" s="549"/>
      <c r="V93" s="549"/>
      <c r="W93" s="549"/>
      <c r="X93" s="549"/>
      <c r="Y93" s="549"/>
      <c r="Z93" s="549"/>
    </row>
    <row r="94" spans="1:26" ht="15.75">
      <c r="A94" s="573" t="s">
        <v>3604</v>
      </c>
      <c r="B94" s="574" t="s">
        <v>3630</v>
      </c>
      <c r="C94" s="575">
        <v>2024</v>
      </c>
      <c r="D94" s="549"/>
      <c r="E94" s="570"/>
      <c r="F94" s="549"/>
      <c r="G94" s="549"/>
      <c r="H94" s="549"/>
      <c r="I94" s="550"/>
      <c r="J94" s="549"/>
      <c r="K94" s="549"/>
      <c r="L94" s="549"/>
      <c r="M94" s="549"/>
      <c r="N94" s="551"/>
      <c r="O94" s="549"/>
      <c r="P94" s="549"/>
      <c r="Q94" s="549"/>
      <c r="R94" s="549"/>
      <c r="S94" s="549"/>
      <c r="T94" s="549"/>
      <c r="U94" s="549"/>
      <c r="V94" s="549"/>
      <c r="W94" s="549"/>
      <c r="X94" s="549"/>
      <c r="Y94" s="549"/>
      <c r="Z94" s="549"/>
    </row>
    <row r="95" spans="1:26" ht="15.75">
      <c r="A95" s="573" t="s">
        <v>3617</v>
      </c>
      <c r="B95" s="574" t="s">
        <v>3631</v>
      </c>
      <c r="C95" s="575">
        <v>1950</v>
      </c>
      <c r="D95" s="549"/>
      <c r="E95" s="570"/>
      <c r="F95" s="549"/>
      <c r="G95" s="549"/>
      <c r="H95" s="549"/>
      <c r="I95" s="550"/>
      <c r="J95" s="549"/>
      <c r="K95" s="549"/>
      <c r="L95" s="549"/>
      <c r="M95" s="549"/>
      <c r="N95" s="551"/>
      <c r="O95" s="549"/>
      <c r="P95" s="549"/>
      <c r="Q95" s="549"/>
      <c r="R95" s="549"/>
      <c r="S95" s="549"/>
      <c r="T95" s="549"/>
      <c r="U95" s="549"/>
      <c r="V95" s="549"/>
      <c r="W95" s="549"/>
      <c r="X95" s="549"/>
      <c r="Y95" s="549"/>
      <c r="Z95" s="549"/>
    </row>
    <row r="96" spans="1:26" ht="15.75">
      <c r="A96" s="573" t="s">
        <v>3559</v>
      </c>
      <c r="B96" s="574" t="s">
        <v>3632</v>
      </c>
      <c r="C96" s="575">
        <v>2011</v>
      </c>
      <c r="D96" s="549"/>
      <c r="E96" s="570"/>
      <c r="F96" s="549"/>
      <c r="G96" s="549"/>
      <c r="H96" s="549"/>
      <c r="I96" s="550"/>
      <c r="J96" s="549"/>
      <c r="K96" s="549"/>
      <c r="L96" s="549"/>
      <c r="M96" s="549"/>
      <c r="N96" s="551"/>
      <c r="O96" s="549"/>
      <c r="P96" s="549"/>
      <c r="Q96" s="549"/>
      <c r="R96" s="549"/>
      <c r="S96" s="549"/>
      <c r="T96" s="549"/>
      <c r="U96" s="549"/>
      <c r="V96" s="549"/>
      <c r="W96" s="549"/>
      <c r="X96" s="549"/>
      <c r="Y96" s="549"/>
      <c r="Z96" s="549"/>
    </row>
    <row r="97" spans="1:26" ht="15.75">
      <c r="A97" s="573" t="s">
        <v>3605</v>
      </c>
      <c r="B97" s="574" t="s">
        <v>3633</v>
      </c>
      <c r="C97" s="575">
        <v>1962</v>
      </c>
      <c r="D97" s="549"/>
      <c r="E97" s="570"/>
      <c r="F97" s="549"/>
      <c r="G97" s="549"/>
      <c r="H97" s="549"/>
      <c r="I97" s="550"/>
      <c r="J97" s="549"/>
      <c r="K97" s="549"/>
      <c r="L97" s="549"/>
      <c r="M97" s="549"/>
      <c r="N97" s="551"/>
      <c r="O97" s="549"/>
      <c r="P97" s="549"/>
      <c r="Q97" s="549"/>
      <c r="R97" s="549"/>
      <c r="S97" s="549"/>
      <c r="T97" s="549"/>
      <c r="U97" s="549"/>
      <c r="V97" s="549"/>
      <c r="W97" s="549"/>
      <c r="X97" s="549"/>
      <c r="Y97" s="549"/>
      <c r="Z97" s="549"/>
    </row>
    <row r="98" spans="1:26" ht="15.75">
      <c r="A98" s="573" t="s">
        <v>3585</v>
      </c>
      <c r="B98" s="574" t="s">
        <v>3634</v>
      </c>
      <c r="C98" s="575">
        <v>1993</v>
      </c>
      <c r="D98" s="549"/>
      <c r="E98" s="570"/>
      <c r="F98" s="549"/>
      <c r="G98" s="549"/>
      <c r="H98" s="549"/>
      <c r="I98" s="550"/>
      <c r="J98" s="549"/>
      <c r="K98" s="549"/>
      <c r="L98" s="549"/>
      <c r="M98" s="549"/>
      <c r="N98" s="551"/>
      <c r="O98" s="549"/>
      <c r="P98" s="549"/>
      <c r="Q98" s="549"/>
      <c r="R98" s="549"/>
      <c r="S98" s="549"/>
      <c r="T98" s="549"/>
      <c r="U98" s="549"/>
      <c r="V98" s="549"/>
      <c r="W98" s="549"/>
      <c r="X98" s="549"/>
      <c r="Y98" s="549"/>
      <c r="Z98" s="549"/>
    </row>
    <row r="99" spans="1:26" ht="15.75">
      <c r="A99" s="573" t="s">
        <v>3594</v>
      </c>
      <c r="B99" s="574" t="s">
        <v>3635</v>
      </c>
      <c r="C99" s="575">
        <v>2021</v>
      </c>
      <c r="D99" s="549"/>
      <c r="E99" s="570"/>
      <c r="F99" s="549"/>
      <c r="G99" s="549"/>
      <c r="H99" s="549"/>
      <c r="I99" s="550"/>
      <c r="J99" s="549"/>
      <c r="K99" s="549"/>
      <c r="L99" s="549"/>
      <c r="M99" s="549"/>
      <c r="N99" s="551"/>
      <c r="O99" s="549"/>
      <c r="P99" s="549"/>
      <c r="Q99" s="549"/>
      <c r="R99" s="549"/>
      <c r="S99" s="549"/>
      <c r="T99" s="549"/>
      <c r="U99" s="549"/>
      <c r="V99" s="549"/>
      <c r="W99" s="549"/>
      <c r="X99" s="549"/>
      <c r="Y99" s="549"/>
      <c r="Z99" s="549"/>
    </row>
    <row r="100" spans="1:26" ht="15.75">
      <c r="A100" s="573" t="s">
        <v>3561</v>
      </c>
      <c r="B100" s="574" t="s">
        <v>3636</v>
      </c>
      <c r="C100" s="575">
        <v>1982</v>
      </c>
      <c r="D100" s="549"/>
      <c r="E100" s="570"/>
      <c r="F100" s="549"/>
      <c r="G100" s="549"/>
      <c r="H100" s="549"/>
      <c r="I100" s="550"/>
      <c r="J100" s="549"/>
      <c r="K100" s="549"/>
      <c r="L100" s="549"/>
      <c r="M100" s="549"/>
      <c r="N100" s="551"/>
      <c r="O100" s="549"/>
      <c r="P100" s="549"/>
      <c r="Q100" s="549"/>
      <c r="R100" s="549"/>
      <c r="S100" s="549"/>
      <c r="T100" s="549"/>
      <c r="U100" s="549"/>
      <c r="V100" s="549"/>
      <c r="W100" s="549"/>
      <c r="X100" s="549"/>
      <c r="Y100" s="549"/>
      <c r="Z100" s="549"/>
    </row>
    <row r="101" spans="1:26" ht="15.75">
      <c r="A101" s="573" t="s">
        <v>3558</v>
      </c>
      <c r="B101" s="574" t="s">
        <v>3637</v>
      </c>
      <c r="C101" s="575">
        <v>2009</v>
      </c>
      <c r="D101" s="549"/>
      <c r="E101" s="570"/>
      <c r="F101" s="549"/>
      <c r="G101" s="549"/>
      <c r="H101" s="549"/>
      <c r="I101" s="550"/>
      <c r="J101" s="549"/>
      <c r="K101" s="549"/>
      <c r="L101" s="549"/>
      <c r="M101" s="549"/>
      <c r="N101" s="551"/>
      <c r="O101" s="549"/>
      <c r="P101" s="549"/>
      <c r="Q101" s="549"/>
      <c r="R101" s="549"/>
      <c r="S101" s="549"/>
      <c r="T101" s="549"/>
      <c r="U101" s="549"/>
      <c r="V101" s="549"/>
      <c r="W101" s="549"/>
      <c r="X101" s="549"/>
      <c r="Y101" s="549"/>
      <c r="Z101" s="549"/>
    </row>
    <row r="102" spans="1:26" ht="15.75">
      <c r="A102" s="573" t="s">
        <v>3555</v>
      </c>
      <c r="B102" s="574" t="s">
        <v>3638</v>
      </c>
      <c r="C102" s="575">
        <v>1948</v>
      </c>
      <c r="D102" s="549"/>
      <c r="E102" s="570"/>
      <c r="F102" s="549"/>
      <c r="G102" s="549"/>
      <c r="H102" s="549"/>
      <c r="I102" s="550"/>
      <c r="J102" s="549"/>
      <c r="K102" s="549"/>
      <c r="L102" s="549"/>
      <c r="M102" s="549"/>
      <c r="N102" s="551"/>
      <c r="O102" s="549"/>
      <c r="P102" s="549"/>
      <c r="Q102" s="549"/>
      <c r="R102" s="549"/>
      <c r="S102" s="549"/>
      <c r="T102" s="549"/>
      <c r="U102" s="549"/>
      <c r="V102" s="549"/>
      <c r="W102" s="549"/>
      <c r="X102" s="549"/>
      <c r="Y102" s="549"/>
      <c r="Z102" s="549"/>
    </row>
    <row r="103" spans="1:26" ht="15.75">
      <c r="A103" s="573" t="s">
        <v>3570</v>
      </c>
      <c r="B103" s="574" t="s">
        <v>3639</v>
      </c>
      <c r="C103" s="575">
        <v>1951</v>
      </c>
      <c r="D103" s="549"/>
      <c r="E103" s="570"/>
      <c r="F103" s="549"/>
      <c r="G103" s="549"/>
      <c r="H103" s="549"/>
      <c r="I103" s="550"/>
      <c r="J103" s="549"/>
      <c r="K103" s="549"/>
      <c r="L103" s="549"/>
      <c r="M103" s="549"/>
      <c r="N103" s="551"/>
      <c r="O103" s="549"/>
      <c r="P103" s="549"/>
      <c r="Q103" s="549"/>
      <c r="R103" s="549"/>
      <c r="S103" s="549"/>
      <c r="T103" s="549"/>
      <c r="U103" s="549"/>
      <c r="V103" s="549"/>
      <c r="W103" s="549"/>
      <c r="X103" s="549"/>
      <c r="Y103" s="549"/>
      <c r="Z103" s="549"/>
    </row>
    <row r="104" spans="1:26" ht="15.75">
      <c r="A104" s="573" t="s">
        <v>3612</v>
      </c>
      <c r="B104" s="574" t="s">
        <v>3639</v>
      </c>
      <c r="C104" s="192"/>
      <c r="D104" s="549"/>
      <c r="E104" s="570"/>
      <c r="F104" s="549"/>
      <c r="G104" s="549"/>
      <c r="H104" s="549"/>
      <c r="I104" s="550"/>
      <c r="J104" s="549"/>
      <c r="K104" s="549"/>
      <c r="L104" s="549"/>
      <c r="M104" s="549"/>
      <c r="N104" s="551"/>
      <c r="O104" s="549"/>
      <c r="P104" s="549"/>
      <c r="Q104" s="549"/>
      <c r="R104" s="549"/>
      <c r="S104" s="549"/>
      <c r="T104" s="549"/>
      <c r="U104" s="549"/>
      <c r="V104" s="549"/>
      <c r="W104" s="549"/>
      <c r="X104" s="549"/>
      <c r="Y104" s="549"/>
      <c r="Z104" s="549"/>
    </row>
    <row r="105" spans="1:26" ht="15.75">
      <c r="A105" s="573" t="s">
        <v>3597</v>
      </c>
      <c r="B105" s="574" t="s">
        <v>3640</v>
      </c>
      <c r="C105" s="575">
        <v>1992</v>
      </c>
      <c r="D105" s="549"/>
      <c r="E105" s="570"/>
      <c r="F105" s="549"/>
      <c r="G105" s="549"/>
      <c r="H105" s="549"/>
      <c r="I105" s="550"/>
      <c r="J105" s="549"/>
      <c r="K105" s="549"/>
      <c r="L105" s="549"/>
      <c r="M105" s="549"/>
      <c r="N105" s="551"/>
      <c r="O105" s="549"/>
      <c r="P105" s="549"/>
      <c r="Q105" s="549"/>
      <c r="R105" s="549"/>
      <c r="S105" s="549"/>
      <c r="T105" s="549"/>
      <c r="U105" s="549"/>
      <c r="V105" s="549"/>
      <c r="W105" s="549"/>
      <c r="X105" s="549"/>
      <c r="Y105" s="549"/>
      <c r="Z105" s="549"/>
    </row>
    <row r="106" spans="1:26" ht="15.75">
      <c r="A106" s="573" t="s">
        <v>3556</v>
      </c>
      <c r="B106" s="574" t="s">
        <v>3641</v>
      </c>
      <c r="C106" s="575">
        <v>1973</v>
      </c>
      <c r="D106" s="549"/>
      <c r="E106" s="570"/>
      <c r="F106" s="549"/>
      <c r="G106" s="549"/>
      <c r="H106" s="549"/>
      <c r="I106" s="550"/>
      <c r="J106" s="549"/>
      <c r="K106" s="549"/>
      <c r="L106" s="549"/>
      <c r="M106" s="549"/>
      <c r="N106" s="551"/>
      <c r="O106" s="549"/>
      <c r="P106" s="549"/>
      <c r="Q106" s="549"/>
      <c r="R106" s="549"/>
      <c r="S106" s="549"/>
      <c r="T106" s="549"/>
      <c r="U106" s="549"/>
      <c r="V106" s="549"/>
      <c r="W106" s="549"/>
      <c r="X106" s="549"/>
      <c r="Y106" s="549"/>
      <c r="Z106" s="549"/>
    </row>
    <row r="107" spans="1:26" ht="15.75">
      <c r="A107" s="573" t="s">
        <v>3546</v>
      </c>
      <c r="B107" s="574" t="s">
        <v>3642</v>
      </c>
      <c r="C107" s="575">
        <v>1987</v>
      </c>
      <c r="D107" s="549"/>
      <c r="E107" s="570"/>
      <c r="F107" s="549"/>
      <c r="G107" s="549"/>
      <c r="H107" s="549"/>
      <c r="I107" s="550"/>
      <c r="J107" s="549"/>
      <c r="K107" s="549"/>
      <c r="L107" s="549"/>
      <c r="M107" s="549"/>
      <c r="N107" s="551"/>
      <c r="O107" s="549"/>
      <c r="P107" s="549"/>
      <c r="Q107" s="549"/>
      <c r="R107" s="549"/>
      <c r="S107" s="549"/>
      <c r="T107" s="549"/>
      <c r="U107" s="549"/>
      <c r="V107" s="549"/>
      <c r="W107" s="549"/>
      <c r="X107" s="549"/>
      <c r="Y107" s="549"/>
      <c r="Z107" s="549"/>
    </row>
    <row r="108" spans="1:26" ht="31.5">
      <c r="A108" s="573" t="s">
        <v>3602</v>
      </c>
      <c r="B108" s="574" t="s">
        <v>3643</v>
      </c>
      <c r="C108" s="575">
        <v>2022</v>
      </c>
      <c r="D108" s="549"/>
      <c r="E108" s="570"/>
      <c r="F108" s="549"/>
      <c r="G108" s="549"/>
      <c r="H108" s="549"/>
      <c r="I108" s="550"/>
      <c r="J108" s="549"/>
      <c r="K108" s="549"/>
      <c r="L108" s="549"/>
      <c r="M108" s="549"/>
      <c r="N108" s="551"/>
      <c r="O108" s="549"/>
      <c r="P108" s="549"/>
      <c r="Q108" s="549"/>
      <c r="R108" s="549"/>
      <c r="S108" s="549"/>
      <c r="T108" s="549"/>
      <c r="U108" s="549"/>
      <c r="V108" s="549"/>
      <c r="W108" s="549"/>
      <c r="X108" s="549"/>
      <c r="Y108" s="549"/>
      <c r="Z108" s="549"/>
    </row>
    <row r="109" spans="1:26" ht="15.75">
      <c r="A109" s="573" t="s">
        <v>3557</v>
      </c>
      <c r="B109" s="574" t="s">
        <v>3644</v>
      </c>
      <c r="C109" s="575">
        <v>1972</v>
      </c>
      <c r="D109" s="549"/>
      <c r="E109" s="570"/>
      <c r="F109" s="549"/>
      <c r="G109" s="549"/>
      <c r="H109" s="549"/>
      <c r="I109" s="550"/>
      <c r="J109" s="549"/>
      <c r="K109" s="549"/>
      <c r="L109" s="549"/>
      <c r="M109" s="549"/>
      <c r="N109" s="551"/>
      <c r="O109" s="549"/>
      <c r="P109" s="549"/>
      <c r="Q109" s="549"/>
      <c r="R109" s="549"/>
      <c r="S109" s="549"/>
      <c r="T109" s="549"/>
      <c r="U109" s="549"/>
      <c r="V109" s="549"/>
      <c r="W109" s="549"/>
      <c r="X109" s="549"/>
      <c r="Y109" s="549"/>
      <c r="Z109" s="549"/>
    </row>
    <row r="110" spans="1:26" ht="15.75">
      <c r="A110" s="573" t="s">
        <v>3562</v>
      </c>
      <c r="B110" s="574" t="s">
        <v>3644</v>
      </c>
      <c r="C110" s="575">
        <v>2022</v>
      </c>
      <c r="D110" s="549"/>
      <c r="E110" s="570"/>
      <c r="F110" s="549"/>
      <c r="G110" s="549"/>
      <c r="H110" s="549"/>
      <c r="I110" s="550"/>
      <c r="J110" s="549"/>
      <c r="K110" s="549"/>
      <c r="L110" s="549"/>
      <c r="M110" s="549"/>
      <c r="N110" s="551"/>
      <c r="O110" s="549"/>
      <c r="P110" s="549"/>
      <c r="Q110" s="549"/>
      <c r="R110" s="549"/>
      <c r="S110" s="549"/>
      <c r="T110" s="549"/>
      <c r="U110" s="549"/>
      <c r="V110" s="549"/>
      <c r="W110" s="549"/>
      <c r="X110" s="549"/>
      <c r="Y110" s="549"/>
      <c r="Z110" s="549"/>
    </row>
    <row r="111" spans="1:26" ht="15.75">
      <c r="A111" s="573" t="s">
        <v>3579</v>
      </c>
      <c r="B111" s="574" t="s">
        <v>3645</v>
      </c>
      <c r="C111" s="575">
        <v>1990</v>
      </c>
      <c r="D111" s="549"/>
      <c r="E111" s="570"/>
      <c r="F111" s="549"/>
      <c r="G111" s="549"/>
      <c r="H111" s="549"/>
      <c r="I111" s="550"/>
      <c r="J111" s="549"/>
      <c r="K111" s="549"/>
      <c r="L111" s="549"/>
      <c r="M111" s="549"/>
      <c r="N111" s="551"/>
      <c r="O111" s="549"/>
      <c r="P111" s="549"/>
      <c r="Q111" s="549"/>
      <c r="R111" s="549"/>
      <c r="S111" s="549"/>
      <c r="T111" s="549"/>
      <c r="U111" s="549"/>
      <c r="V111" s="549"/>
      <c r="W111" s="549"/>
      <c r="X111" s="549"/>
      <c r="Y111" s="549"/>
      <c r="Z111" s="549"/>
    </row>
    <row r="112" spans="1:26" ht="15.75">
      <c r="A112" s="573" t="s">
        <v>3609</v>
      </c>
      <c r="B112" s="574" t="s">
        <v>3646</v>
      </c>
      <c r="C112" s="575">
        <v>2019</v>
      </c>
      <c r="D112" s="549"/>
      <c r="E112" s="570"/>
      <c r="F112" s="549"/>
      <c r="G112" s="549"/>
      <c r="H112" s="549"/>
      <c r="I112" s="550"/>
      <c r="J112" s="549"/>
      <c r="K112" s="549"/>
      <c r="L112" s="549"/>
      <c r="M112" s="549"/>
      <c r="N112" s="551"/>
      <c r="O112" s="549"/>
      <c r="P112" s="549"/>
      <c r="Q112" s="549"/>
      <c r="R112" s="549"/>
      <c r="S112" s="549"/>
      <c r="T112" s="549"/>
      <c r="U112" s="549"/>
      <c r="V112" s="549"/>
      <c r="W112" s="549"/>
      <c r="X112" s="549"/>
      <c r="Y112" s="549"/>
      <c r="Z112" s="549"/>
    </row>
    <row r="113" spans="1:26" ht="15.75">
      <c r="A113" s="573" t="s">
        <v>3572</v>
      </c>
      <c r="B113" s="574" t="s">
        <v>3647</v>
      </c>
      <c r="C113" s="575">
        <v>1976</v>
      </c>
      <c r="D113" s="549"/>
      <c r="E113" s="570"/>
      <c r="F113" s="549"/>
      <c r="G113" s="549"/>
      <c r="H113" s="549"/>
      <c r="I113" s="550"/>
      <c r="J113" s="549"/>
      <c r="K113" s="549"/>
      <c r="L113" s="549"/>
      <c r="M113" s="549"/>
      <c r="N113" s="551"/>
      <c r="O113" s="549"/>
      <c r="P113" s="549"/>
      <c r="Q113" s="549"/>
      <c r="R113" s="549"/>
      <c r="S113" s="549"/>
      <c r="T113" s="549"/>
      <c r="U113" s="549"/>
      <c r="V113" s="549"/>
      <c r="W113" s="549"/>
      <c r="X113" s="549"/>
      <c r="Y113" s="549"/>
      <c r="Z113" s="549"/>
    </row>
    <row r="114" spans="1:26" ht="15.75">
      <c r="A114" s="573" t="s">
        <v>3600</v>
      </c>
      <c r="B114" s="574" t="s">
        <v>3647</v>
      </c>
      <c r="C114" s="575">
        <v>1991</v>
      </c>
      <c r="D114" s="549"/>
      <c r="E114" s="570"/>
      <c r="F114" s="549"/>
      <c r="G114" s="549"/>
      <c r="H114" s="549"/>
      <c r="I114" s="550"/>
      <c r="J114" s="549"/>
      <c r="K114" s="549"/>
      <c r="L114" s="549"/>
      <c r="M114" s="549"/>
      <c r="N114" s="551"/>
      <c r="O114" s="549"/>
      <c r="P114" s="549"/>
      <c r="Q114" s="549"/>
      <c r="R114" s="549"/>
      <c r="S114" s="549"/>
      <c r="T114" s="549"/>
      <c r="U114" s="549"/>
      <c r="V114" s="549"/>
      <c r="W114" s="549"/>
      <c r="X114" s="549"/>
      <c r="Y114" s="549"/>
      <c r="Z114" s="549"/>
    </row>
    <row r="115" spans="1:26" ht="15.75">
      <c r="A115" s="573" t="s">
        <v>3583</v>
      </c>
      <c r="B115" s="574" t="s">
        <v>3648</v>
      </c>
      <c r="C115" s="575">
        <v>2015</v>
      </c>
      <c r="D115" s="549"/>
      <c r="E115" s="570"/>
      <c r="F115" s="549"/>
      <c r="G115" s="549"/>
      <c r="H115" s="549"/>
      <c r="I115" s="550"/>
      <c r="J115" s="549"/>
      <c r="K115" s="549"/>
      <c r="L115" s="549"/>
      <c r="M115" s="549"/>
      <c r="N115" s="551"/>
      <c r="O115" s="549"/>
      <c r="P115" s="549"/>
      <c r="Q115" s="549"/>
      <c r="R115" s="549"/>
      <c r="S115" s="549"/>
      <c r="T115" s="549"/>
      <c r="U115" s="549"/>
      <c r="V115" s="549"/>
      <c r="W115" s="549"/>
      <c r="X115" s="549"/>
      <c r="Y115" s="549"/>
      <c r="Z115" s="549"/>
    </row>
    <row r="116" spans="1:26" ht="15.75">
      <c r="A116" s="573" t="s">
        <v>3598</v>
      </c>
      <c r="B116" s="574" t="s">
        <v>3649</v>
      </c>
      <c r="C116" s="575">
        <v>1990</v>
      </c>
      <c r="D116" s="549"/>
      <c r="E116" s="570"/>
      <c r="F116" s="549"/>
      <c r="G116" s="549"/>
      <c r="H116" s="549"/>
      <c r="I116" s="550"/>
      <c r="J116" s="549"/>
      <c r="K116" s="549"/>
      <c r="L116" s="549"/>
      <c r="M116" s="549"/>
      <c r="N116" s="551"/>
      <c r="O116" s="549"/>
      <c r="P116" s="549"/>
      <c r="Q116" s="549"/>
      <c r="R116" s="549"/>
      <c r="S116" s="549"/>
      <c r="T116" s="549"/>
      <c r="U116" s="549"/>
      <c r="V116" s="549"/>
      <c r="W116" s="549"/>
      <c r="X116" s="549"/>
      <c r="Y116" s="549"/>
      <c r="Z116" s="549"/>
    </row>
    <row r="117" spans="1:26" ht="15.75">
      <c r="A117" s="573" t="s">
        <v>3587</v>
      </c>
      <c r="B117" s="574" t="s">
        <v>3650</v>
      </c>
      <c r="C117" s="575">
        <v>1993</v>
      </c>
      <c r="D117" s="549"/>
      <c r="E117" s="570"/>
      <c r="F117" s="549"/>
      <c r="G117" s="549"/>
      <c r="H117" s="549"/>
      <c r="I117" s="550"/>
      <c r="J117" s="549"/>
      <c r="K117" s="549"/>
      <c r="L117" s="549"/>
      <c r="M117" s="549"/>
      <c r="N117" s="551"/>
      <c r="O117" s="549"/>
      <c r="P117" s="549"/>
      <c r="Q117" s="549"/>
      <c r="R117" s="549"/>
      <c r="S117" s="549"/>
      <c r="T117" s="549"/>
      <c r="U117" s="549"/>
      <c r="V117" s="549"/>
      <c r="W117" s="549"/>
      <c r="X117" s="549"/>
      <c r="Y117" s="549"/>
      <c r="Z117" s="549"/>
    </row>
    <row r="118" spans="1:26" ht="15.75">
      <c r="A118" s="573" t="s">
        <v>3609</v>
      </c>
      <c r="B118" s="574" t="s">
        <v>3651</v>
      </c>
      <c r="C118" s="575">
        <v>2009</v>
      </c>
      <c r="D118" s="549"/>
      <c r="E118" s="570"/>
      <c r="F118" s="549"/>
      <c r="G118" s="549"/>
      <c r="H118" s="549"/>
      <c r="I118" s="550"/>
      <c r="J118" s="549"/>
      <c r="K118" s="549"/>
      <c r="L118" s="549"/>
      <c r="M118" s="549"/>
      <c r="N118" s="551"/>
      <c r="O118" s="549"/>
      <c r="P118" s="549"/>
      <c r="Q118" s="549"/>
      <c r="R118" s="549"/>
      <c r="S118" s="549"/>
      <c r="T118" s="549"/>
      <c r="U118" s="549"/>
      <c r="V118" s="549"/>
      <c r="W118" s="549"/>
      <c r="X118" s="549"/>
      <c r="Y118" s="549"/>
      <c r="Z118" s="549"/>
    </row>
    <row r="119" spans="1:26" ht="15.75">
      <c r="A119" s="573" t="s">
        <v>3608</v>
      </c>
      <c r="B119" s="574" t="s">
        <v>3652</v>
      </c>
      <c r="C119" s="192">
        <v>2020</v>
      </c>
      <c r="D119" s="549"/>
      <c r="E119" s="570"/>
      <c r="F119" s="549"/>
      <c r="G119" s="549"/>
      <c r="H119" s="549"/>
      <c r="I119" s="550"/>
      <c r="J119" s="549"/>
      <c r="K119" s="549"/>
      <c r="L119" s="549"/>
      <c r="M119" s="549"/>
      <c r="N119" s="551"/>
      <c r="O119" s="549"/>
      <c r="P119" s="549"/>
      <c r="Q119" s="549"/>
      <c r="R119" s="549"/>
      <c r="S119" s="549"/>
      <c r="T119" s="549"/>
      <c r="U119" s="549"/>
      <c r="V119" s="549"/>
      <c r="W119" s="549"/>
      <c r="X119" s="549"/>
      <c r="Y119" s="549"/>
      <c r="Z119" s="549"/>
    </row>
    <row r="120" spans="1:26" ht="15.75">
      <c r="A120" s="573" t="s">
        <v>3574</v>
      </c>
      <c r="B120" s="574" t="s">
        <v>3653</v>
      </c>
      <c r="C120" s="575">
        <v>2005</v>
      </c>
      <c r="D120" s="549"/>
      <c r="E120" s="570"/>
      <c r="F120" s="549"/>
      <c r="G120" s="549"/>
      <c r="H120" s="549"/>
      <c r="I120" s="550"/>
      <c r="J120" s="549"/>
      <c r="K120" s="549"/>
      <c r="L120" s="549"/>
      <c r="M120" s="549"/>
      <c r="N120" s="551"/>
      <c r="O120" s="549"/>
      <c r="P120" s="549"/>
      <c r="Q120" s="549"/>
      <c r="R120" s="549"/>
      <c r="S120" s="549"/>
      <c r="T120" s="549"/>
      <c r="U120" s="549"/>
      <c r="V120" s="549"/>
      <c r="W120" s="549"/>
      <c r="X120" s="549"/>
      <c r="Y120" s="549"/>
      <c r="Z120" s="549"/>
    </row>
    <row r="121" spans="1:26" ht="15.75">
      <c r="A121" s="573" t="s">
        <v>3573</v>
      </c>
      <c r="B121" s="574" t="s">
        <v>3654</v>
      </c>
      <c r="C121" s="575">
        <v>1981</v>
      </c>
      <c r="D121" s="549"/>
      <c r="E121" s="570"/>
      <c r="F121" s="549"/>
      <c r="G121" s="549"/>
      <c r="H121" s="549"/>
      <c r="I121" s="550"/>
      <c r="J121" s="549"/>
      <c r="K121" s="549"/>
      <c r="L121" s="549"/>
      <c r="M121" s="549"/>
      <c r="N121" s="551"/>
      <c r="O121" s="549"/>
      <c r="P121" s="549"/>
      <c r="Q121" s="549"/>
      <c r="R121" s="549"/>
      <c r="S121" s="549"/>
      <c r="T121" s="549"/>
      <c r="U121" s="549"/>
      <c r="V121" s="549"/>
      <c r="W121" s="549"/>
      <c r="X121" s="549"/>
      <c r="Y121" s="549"/>
      <c r="Z121" s="549"/>
    </row>
    <row r="122" spans="1:26" ht="15.75">
      <c r="A122" s="573" t="s">
        <v>3553</v>
      </c>
      <c r="B122" s="574" t="s">
        <v>3655</v>
      </c>
      <c r="C122" s="575">
        <v>1988</v>
      </c>
      <c r="D122" s="549"/>
      <c r="E122" s="570"/>
      <c r="F122" s="549"/>
      <c r="G122" s="549"/>
      <c r="H122" s="549"/>
      <c r="I122" s="550"/>
      <c r="J122" s="549"/>
      <c r="K122" s="549"/>
      <c r="L122" s="549"/>
      <c r="M122" s="549"/>
      <c r="N122" s="551"/>
      <c r="O122" s="549"/>
      <c r="P122" s="549"/>
      <c r="Q122" s="549"/>
      <c r="R122" s="549"/>
      <c r="S122" s="549"/>
      <c r="T122" s="549"/>
      <c r="U122" s="549"/>
      <c r="V122" s="549"/>
      <c r="W122" s="549"/>
      <c r="X122" s="549"/>
      <c r="Y122" s="549"/>
      <c r="Z122" s="549"/>
    </row>
    <row r="123" spans="1:26" ht="31.5">
      <c r="A123" s="573" t="s">
        <v>3576</v>
      </c>
      <c r="B123" s="574" t="s">
        <v>3656</v>
      </c>
      <c r="C123" s="575">
        <v>1930</v>
      </c>
      <c r="D123" s="549"/>
      <c r="E123" s="570"/>
      <c r="F123" s="549"/>
      <c r="G123" s="549"/>
      <c r="H123" s="549"/>
      <c r="I123" s="550"/>
      <c r="J123" s="549"/>
      <c r="K123" s="549"/>
      <c r="L123" s="549"/>
      <c r="M123" s="549"/>
      <c r="N123" s="551"/>
      <c r="O123" s="549"/>
      <c r="P123" s="549"/>
      <c r="Q123" s="549"/>
      <c r="R123" s="549"/>
      <c r="S123" s="549"/>
      <c r="T123" s="549"/>
      <c r="U123" s="549"/>
      <c r="V123" s="549"/>
      <c r="W123" s="549"/>
      <c r="X123" s="549"/>
      <c r="Y123" s="549"/>
      <c r="Z123" s="549"/>
    </row>
    <row r="124" spans="1:26" ht="15.75">
      <c r="A124" s="573" t="s">
        <v>3595</v>
      </c>
      <c r="B124" s="574" t="s">
        <v>3657</v>
      </c>
      <c r="C124" s="575">
        <v>1959</v>
      </c>
      <c r="D124" s="549"/>
      <c r="E124" s="570"/>
      <c r="F124" s="549"/>
      <c r="G124" s="549"/>
      <c r="H124" s="549"/>
      <c r="I124" s="550"/>
      <c r="J124" s="549"/>
      <c r="K124" s="549"/>
      <c r="L124" s="549"/>
      <c r="M124" s="549"/>
      <c r="N124" s="551"/>
      <c r="O124" s="549"/>
      <c r="P124" s="549"/>
      <c r="Q124" s="549"/>
      <c r="R124" s="549"/>
      <c r="S124" s="549"/>
      <c r="T124" s="549"/>
      <c r="U124" s="549"/>
      <c r="V124" s="549"/>
      <c r="W124" s="549"/>
      <c r="X124" s="549"/>
      <c r="Y124" s="549"/>
      <c r="Z124" s="549"/>
    </row>
    <row r="125" spans="1:26" ht="31.5">
      <c r="A125" s="573" t="s">
        <v>3560</v>
      </c>
      <c r="B125" s="574" t="s">
        <v>3658</v>
      </c>
      <c r="C125" s="575">
        <v>1985</v>
      </c>
      <c r="D125" s="549"/>
      <c r="E125" s="570"/>
      <c r="F125" s="549"/>
      <c r="G125" s="549"/>
      <c r="H125" s="549"/>
      <c r="I125" s="550"/>
      <c r="J125" s="549"/>
      <c r="K125" s="549"/>
      <c r="L125" s="549"/>
      <c r="M125" s="549"/>
      <c r="N125" s="551"/>
      <c r="O125" s="549"/>
      <c r="P125" s="549"/>
      <c r="Q125" s="549"/>
      <c r="R125" s="549"/>
      <c r="S125" s="549"/>
      <c r="T125" s="549"/>
      <c r="U125" s="549"/>
      <c r="V125" s="549"/>
      <c r="W125" s="549"/>
      <c r="X125" s="549"/>
      <c r="Y125" s="549"/>
      <c r="Z125" s="549"/>
    </row>
    <row r="126" spans="1:26" ht="15.75">
      <c r="A126" s="573" t="s">
        <v>3550</v>
      </c>
      <c r="B126" s="574" t="s">
        <v>3659</v>
      </c>
      <c r="C126" s="575">
        <v>1987</v>
      </c>
      <c r="D126" s="549"/>
      <c r="E126" s="570"/>
      <c r="F126" s="549"/>
      <c r="G126" s="549"/>
      <c r="H126" s="549"/>
      <c r="I126" s="550"/>
      <c r="J126" s="549"/>
      <c r="K126" s="549"/>
      <c r="L126" s="549"/>
      <c r="M126" s="549"/>
      <c r="N126" s="551"/>
      <c r="O126" s="549"/>
      <c r="P126" s="549"/>
      <c r="Q126" s="549"/>
      <c r="R126" s="549"/>
      <c r="S126" s="549"/>
      <c r="T126" s="549"/>
      <c r="U126" s="549"/>
      <c r="V126" s="549"/>
      <c r="W126" s="549"/>
      <c r="X126" s="549"/>
      <c r="Y126" s="549"/>
      <c r="Z126" s="549"/>
    </row>
    <row r="127" spans="1:26" ht="15.75">
      <c r="A127" s="573" t="s">
        <v>3618</v>
      </c>
      <c r="B127" s="574" t="s">
        <v>3660</v>
      </c>
      <c r="C127" s="575">
        <v>1953</v>
      </c>
      <c r="D127" s="549"/>
      <c r="E127" s="570"/>
      <c r="F127" s="549"/>
      <c r="G127" s="549"/>
      <c r="H127" s="549"/>
      <c r="I127" s="550"/>
      <c r="J127" s="549"/>
      <c r="K127" s="549"/>
      <c r="L127" s="549"/>
      <c r="M127" s="549"/>
      <c r="N127" s="551"/>
      <c r="O127" s="549"/>
      <c r="P127" s="549"/>
      <c r="Q127" s="549"/>
      <c r="R127" s="549"/>
      <c r="S127" s="549"/>
      <c r="T127" s="549"/>
      <c r="U127" s="549"/>
      <c r="V127" s="549"/>
      <c r="W127" s="549"/>
      <c r="X127" s="549"/>
      <c r="Y127" s="549"/>
      <c r="Z127" s="549"/>
    </row>
    <row r="128" spans="1:26" ht="15.75">
      <c r="A128" s="573" t="s">
        <v>3610</v>
      </c>
      <c r="B128" s="574" t="s">
        <v>3661</v>
      </c>
      <c r="C128" s="575">
        <v>1992</v>
      </c>
      <c r="D128" s="549"/>
      <c r="E128" s="570"/>
      <c r="F128" s="549"/>
      <c r="G128" s="549"/>
      <c r="H128" s="549"/>
      <c r="I128" s="550"/>
      <c r="J128" s="549"/>
      <c r="K128" s="549"/>
      <c r="L128" s="549"/>
      <c r="M128" s="549"/>
      <c r="N128" s="551"/>
      <c r="O128" s="549"/>
      <c r="P128" s="549"/>
      <c r="Q128" s="549"/>
      <c r="R128" s="549"/>
      <c r="S128" s="549"/>
      <c r="T128" s="549"/>
      <c r="U128" s="549"/>
      <c r="V128" s="549"/>
      <c r="W128" s="549"/>
      <c r="X128" s="549"/>
      <c r="Y128" s="549"/>
      <c r="Z128" s="549"/>
    </row>
    <row r="129" spans="1:26" ht="15.75">
      <c r="A129" s="573" t="s">
        <v>3589</v>
      </c>
      <c r="B129" s="574" t="s">
        <v>3662</v>
      </c>
      <c r="C129" s="575">
        <v>2015</v>
      </c>
      <c r="D129" s="549"/>
      <c r="E129" s="570"/>
      <c r="F129" s="549"/>
      <c r="G129" s="549"/>
      <c r="H129" s="549"/>
      <c r="I129" s="550"/>
      <c r="J129" s="549"/>
      <c r="K129" s="549"/>
      <c r="L129" s="549"/>
      <c r="M129" s="549"/>
      <c r="N129" s="551"/>
      <c r="O129" s="549"/>
      <c r="P129" s="549"/>
      <c r="Q129" s="549"/>
      <c r="R129" s="549"/>
      <c r="S129" s="549"/>
      <c r="T129" s="549"/>
      <c r="U129" s="549"/>
      <c r="V129" s="549"/>
      <c r="W129" s="549"/>
      <c r="X129" s="549"/>
      <c r="Y129" s="549"/>
      <c r="Z129" s="549"/>
    </row>
    <row r="130" spans="1:26" ht="15.75">
      <c r="A130" s="573" t="s">
        <v>3581</v>
      </c>
      <c r="B130" s="574" t="s">
        <v>3663</v>
      </c>
      <c r="C130" s="575">
        <v>1986</v>
      </c>
      <c r="D130" s="549"/>
      <c r="E130" s="570"/>
      <c r="F130" s="549"/>
      <c r="G130" s="549"/>
      <c r="H130" s="549"/>
      <c r="I130" s="550"/>
      <c r="J130" s="549"/>
      <c r="K130" s="549"/>
      <c r="L130" s="549"/>
      <c r="M130" s="549"/>
      <c r="N130" s="551"/>
      <c r="O130" s="549"/>
      <c r="P130" s="549"/>
      <c r="Q130" s="549"/>
      <c r="R130" s="549"/>
      <c r="S130" s="549"/>
      <c r="T130" s="549"/>
      <c r="U130" s="549"/>
      <c r="V130" s="549"/>
      <c r="W130" s="549"/>
      <c r="X130" s="549"/>
      <c r="Y130" s="549"/>
      <c r="Z130" s="549"/>
    </row>
    <row r="131" spans="1:26" ht="15.75">
      <c r="A131" s="573" t="s">
        <v>3591</v>
      </c>
      <c r="B131" s="574" t="s">
        <v>3664</v>
      </c>
      <c r="C131" s="575">
        <v>2017</v>
      </c>
      <c r="D131" s="549"/>
      <c r="E131" s="570"/>
      <c r="F131" s="549"/>
      <c r="G131" s="549"/>
      <c r="H131" s="549"/>
      <c r="I131" s="550"/>
      <c r="J131" s="549"/>
      <c r="K131" s="549"/>
      <c r="L131" s="549"/>
      <c r="M131" s="549"/>
      <c r="N131" s="551"/>
      <c r="O131" s="549"/>
      <c r="P131" s="549"/>
      <c r="Q131" s="549"/>
      <c r="R131" s="549"/>
      <c r="S131" s="549"/>
      <c r="T131" s="549"/>
      <c r="U131" s="549"/>
      <c r="V131" s="549"/>
      <c r="W131" s="549"/>
      <c r="X131" s="549"/>
      <c r="Y131" s="549"/>
      <c r="Z131" s="549"/>
    </row>
    <row r="132" spans="1:26" ht="15.75">
      <c r="A132" s="573" t="s">
        <v>3665</v>
      </c>
      <c r="B132" s="574" t="s">
        <v>3666</v>
      </c>
      <c r="C132" s="575">
        <v>2013</v>
      </c>
      <c r="D132" s="549"/>
      <c r="E132" s="570"/>
      <c r="F132" s="549"/>
      <c r="G132" s="549"/>
      <c r="H132" s="549"/>
      <c r="I132" s="550"/>
      <c r="J132" s="549"/>
      <c r="K132" s="549"/>
      <c r="L132" s="549"/>
      <c r="M132" s="549"/>
      <c r="N132" s="551"/>
      <c r="O132" s="549"/>
      <c r="P132" s="549"/>
      <c r="Q132" s="549"/>
      <c r="R132" s="549"/>
      <c r="S132" s="549"/>
      <c r="T132" s="549"/>
      <c r="U132" s="549"/>
      <c r="V132" s="549"/>
      <c r="W132" s="549"/>
      <c r="X132" s="549"/>
      <c r="Y132" s="549"/>
      <c r="Z132" s="549"/>
    </row>
    <row r="133" spans="1:26" ht="15.75">
      <c r="A133" s="573" t="s">
        <v>3577</v>
      </c>
      <c r="B133" s="574" t="s">
        <v>3667</v>
      </c>
      <c r="C133" s="575">
        <v>1957</v>
      </c>
      <c r="D133" s="549"/>
      <c r="E133" s="570"/>
      <c r="F133" s="549"/>
      <c r="G133" s="549"/>
      <c r="H133" s="549"/>
      <c r="I133" s="550"/>
      <c r="J133" s="549"/>
      <c r="K133" s="549"/>
      <c r="L133" s="549"/>
      <c r="M133" s="549"/>
      <c r="N133" s="551"/>
      <c r="O133" s="549"/>
      <c r="P133" s="549"/>
      <c r="Q133" s="549"/>
      <c r="R133" s="549"/>
      <c r="S133" s="549"/>
      <c r="T133" s="549"/>
      <c r="U133" s="549"/>
      <c r="V133" s="549"/>
      <c r="W133" s="549"/>
      <c r="X133" s="549"/>
      <c r="Y133" s="549"/>
      <c r="Z133" s="549"/>
    </row>
    <row r="134" spans="1:26" ht="15.75">
      <c r="A134" s="573" t="s">
        <v>3668</v>
      </c>
      <c r="B134" s="574" t="s">
        <v>3669</v>
      </c>
      <c r="C134" s="575">
        <v>2017</v>
      </c>
      <c r="D134" s="549"/>
      <c r="E134" s="570"/>
      <c r="F134" s="549"/>
      <c r="G134" s="549"/>
      <c r="H134" s="549"/>
      <c r="I134" s="550"/>
      <c r="J134" s="549"/>
      <c r="K134" s="549"/>
      <c r="L134" s="549"/>
      <c r="M134" s="549"/>
      <c r="N134" s="551"/>
      <c r="O134" s="549"/>
      <c r="P134" s="549"/>
      <c r="Q134" s="549"/>
      <c r="R134" s="549"/>
      <c r="S134" s="549"/>
      <c r="T134" s="549"/>
      <c r="U134" s="549"/>
      <c r="V134" s="549"/>
      <c r="W134" s="549"/>
      <c r="X134" s="549"/>
      <c r="Y134" s="549"/>
      <c r="Z134" s="549"/>
    </row>
    <row r="135" spans="1:26" ht="15.75">
      <c r="A135" s="576" t="s">
        <v>3551</v>
      </c>
      <c r="B135" s="574" t="s">
        <v>3670</v>
      </c>
      <c r="C135" s="575">
        <v>2009</v>
      </c>
      <c r="D135" s="549"/>
      <c r="E135" s="570"/>
      <c r="F135" s="549"/>
      <c r="G135" s="549"/>
      <c r="H135" s="549"/>
      <c r="I135" s="550"/>
      <c r="J135" s="549"/>
      <c r="K135" s="549"/>
      <c r="L135" s="549"/>
      <c r="M135" s="549"/>
      <c r="N135" s="551"/>
      <c r="O135" s="549"/>
      <c r="P135" s="549"/>
      <c r="Q135" s="549"/>
      <c r="R135" s="549"/>
      <c r="S135" s="549"/>
      <c r="T135" s="549"/>
      <c r="U135" s="549"/>
      <c r="V135" s="549"/>
      <c r="W135" s="549"/>
      <c r="X135" s="549"/>
      <c r="Y135" s="549"/>
      <c r="Z135" s="549"/>
    </row>
    <row r="136" spans="1:26" ht="15.75">
      <c r="A136" s="573" t="s">
        <v>3571</v>
      </c>
      <c r="B136" s="574" t="s">
        <v>3671</v>
      </c>
      <c r="C136" s="575">
        <v>1952</v>
      </c>
      <c r="D136" s="549"/>
      <c r="E136" s="570"/>
      <c r="F136" s="549"/>
      <c r="G136" s="549"/>
      <c r="H136" s="549"/>
      <c r="I136" s="550"/>
      <c r="J136" s="549"/>
      <c r="K136" s="549"/>
      <c r="L136" s="549"/>
      <c r="M136" s="549"/>
      <c r="N136" s="551"/>
      <c r="O136" s="549"/>
      <c r="P136" s="549"/>
      <c r="Q136" s="549"/>
      <c r="R136" s="549"/>
      <c r="S136" s="549"/>
      <c r="T136" s="549"/>
      <c r="U136" s="549"/>
      <c r="V136" s="549"/>
      <c r="W136" s="549"/>
      <c r="X136" s="549"/>
      <c r="Y136" s="549"/>
      <c r="Z136" s="549"/>
    </row>
    <row r="137" spans="1:26" ht="15.75">
      <c r="A137" s="573" t="s">
        <v>3596</v>
      </c>
      <c r="B137" s="574" t="s">
        <v>3672</v>
      </c>
      <c r="C137" s="575">
        <v>1958</v>
      </c>
      <c r="D137" s="549"/>
      <c r="E137" s="570"/>
      <c r="F137" s="549"/>
      <c r="G137" s="549"/>
      <c r="H137" s="549"/>
      <c r="I137" s="550"/>
      <c r="J137" s="549"/>
      <c r="K137" s="549"/>
      <c r="L137" s="549"/>
      <c r="M137" s="549"/>
      <c r="N137" s="551"/>
      <c r="O137" s="549"/>
      <c r="P137" s="549"/>
      <c r="Q137" s="549"/>
      <c r="R137" s="549"/>
      <c r="S137" s="549"/>
      <c r="T137" s="549"/>
      <c r="U137" s="549"/>
      <c r="V137" s="549"/>
      <c r="W137" s="549"/>
      <c r="X137" s="549"/>
      <c r="Y137" s="549"/>
      <c r="Z137" s="549"/>
    </row>
    <row r="138" spans="1:26" ht="15.75">
      <c r="A138" s="573" t="s">
        <v>3673</v>
      </c>
      <c r="B138" s="574" t="s">
        <v>3674</v>
      </c>
      <c r="C138" s="575">
        <v>2011</v>
      </c>
      <c r="D138" s="549"/>
      <c r="E138" s="570"/>
      <c r="F138" s="549"/>
      <c r="G138" s="549"/>
      <c r="H138" s="549"/>
      <c r="I138" s="550"/>
      <c r="J138" s="549"/>
      <c r="K138" s="549"/>
      <c r="L138" s="549"/>
      <c r="M138" s="549"/>
      <c r="N138" s="551"/>
      <c r="O138" s="549"/>
      <c r="P138" s="549"/>
      <c r="Q138" s="549"/>
      <c r="R138" s="549"/>
      <c r="S138" s="549"/>
      <c r="T138" s="549"/>
      <c r="U138" s="549"/>
      <c r="V138" s="549"/>
      <c r="W138" s="549"/>
      <c r="X138" s="549"/>
      <c r="Y138" s="549"/>
      <c r="Z138" s="549"/>
    </row>
    <row r="139" spans="1:26" ht="15.75">
      <c r="A139" s="573" t="s">
        <v>3675</v>
      </c>
      <c r="B139" s="574" t="s">
        <v>3674</v>
      </c>
      <c r="C139" s="575">
        <v>2011</v>
      </c>
      <c r="D139" s="549"/>
      <c r="E139" s="570"/>
      <c r="F139" s="549"/>
      <c r="G139" s="549"/>
      <c r="H139" s="549"/>
      <c r="I139" s="550"/>
      <c r="J139" s="549"/>
      <c r="K139" s="549"/>
      <c r="L139" s="549"/>
      <c r="M139" s="549"/>
      <c r="N139" s="551"/>
      <c r="O139" s="549"/>
      <c r="P139" s="549"/>
      <c r="Q139" s="549"/>
      <c r="R139" s="549"/>
      <c r="S139" s="549"/>
      <c r="T139" s="549"/>
      <c r="U139" s="549"/>
      <c r="V139" s="549"/>
      <c r="W139" s="549"/>
      <c r="X139" s="549"/>
      <c r="Y139" s="549"/>
      <c r="Z139" s="549"/>
    </row>
    <row r="140" spans="1:26" ht="15.75">
      <c r="A140" s="573" t="s">
        <v>3676</v>
      </c>
      <c r="B140" s="574" t="s">
        <v>3674</v>
      </c>
      <c r="C140" s="575">
        <v>2011</v>
      </c>
      <c r="D140" s="549"/>
      <c r="E140" s="570"/>
      <c r="F140" s="549"/>
      <c r="G140" s="549"/>
      <c r="H140" s="549"/>
      <c r="I140" s="550"/>
      <c r="J140" s="549"/>
      <c r="K140" s="549"/>
      <c r="L140" s="549"/>
      <c r="M140" s="549"/>
      <c r="N140" s="551"/>
      <c r="O140" s="549"/>
      <c r="P140" s="549"/>
      <c r="Q140" s="549"/>
      <c r="R140" s="549"/>
      <c r="S140" s="549"/>
      <c r="T140" s="549"/>
      <c r="U140" s="549"/>
      <c r="V140" s="549"/>
      <c r="W140" s="549"/>
      <c r="X140" s="549"/>
      <c r="Y140" s="549"/>
      <c r="Z140" s="549"/>
    </row>
    <row r="141" spans="1:26" ht="15.75">
      <c r="A141" s="573" t="s">
        <v>3578</v>
      </c>
      <c r="B141" s="574" t="s">
        <v>3677</v>
      </c>
      <c r="C141" s="575">
        <v>1959</v>
      </c>
      <c r="D141" s="549"/>
      <c r="E141" s="570"/>
      <c r="F141" s="549"/>
      <c r="G141" s="549"/>
      <c r="H141" s="549"/>
      <c r="I141" s="550"/>
      <c r="J141" s="549"/>
      <c r="K141" s="549"/>
      <c r="L141" s="549"/>
      <c r="M141" s="549"/>
      <c r="N141" s="551"/>
      <c r="O141" s="549"/>
      <c r="P141" s="549"/>
      <c r="Q141" s="549"/>
      <c r="R141" s="549"/>
      <c r="S141" s="549"/>
      <c r="T141" s="549"/>
      <c r="U141" s="549"/>
      <c r="V141" s="549"/>
      <c r="W141" s="549"/>
      <c r="X141" s="549"/>
      <c r="Y141" s="549"/>
      <c r="Z141" s="549"/>
    </row>
    <row r="142" spans="1:26" ht="15">
      <c r="A142" s="549"/>
      <c r="B142" s="577"/>
      <c r="C142" s="549"/>
      <c r="D142" s="549"/>
      <c r="E142" s="570"/>
      <c r="F142" s="549"/>
      <c r="G142" s="549"/>
      <c r="H142" s="549"/>
      <c r="I142" s="550"/>
      <c r="J142" s="549"/>
      <c r="K142" s="549"/>
      <c r="L142" s="549"/>
      <c r="M142" s="549"/>
      <c r="N142" s="551"/>
      <c r="O142" s="549"/>
      <c r="P142" s="549"/>
      <c r="Q142" s="549"/>
      <c r="R142" s="549"/>
      <c r="S142" s="549"/>
      <c r="T142" s="549"/>
      <c r="U142" s="549"/>
      <c r="V142" s="549"/>
      <c r="W142" s="549"/>
      <c r="X142" s="549"/>
      <c r="Y142" s="549"/>
      <c r="Z142" s="549"/>
    </row>
    <row r="143" spans="1:26" ht="15">
      <c r="A143" s="549"/>
      <c r="B143" s="577"/>
      <c r="C143" s="549"/>
      <c r="D143" s="549"/>
      <c r="E143" s="570"/>
      <c r="F143" s="549"/>
      <c r="G143" s="549"/>
      <c r="H143" s="549"/>
      <c r="I143" s="550"/>
      <c r="J143" s="549"/>
      <c r="K143" s="549"/>
      <c r="L143" s="549"/>
      <c r="M143" s="549"/>
      <c r="N143" s="551"/>
      <c r="O143" s="549"/>
      <c r="P143" s="549"/>
      <c r="Q143" s="549"/>
      <c r="R143" s="549"/>
      <c r="S143" s="549"/>
      <c r="T143" s="549"/>
      <c r="U143" s="549"/>
      <c r="V143" s="549"/>
      <c r="W143" s="549"/>
      <c r="X143" s="549"/>
      <c r="Y143" s="549"/>
      <c r="Z143" s="549"/>
    </row>
    <row r="144" spans="1:26" ht="15">
      <c r="A144" s="549"/>
      <c r="B144" s="577"/>
      <c r="C144" s="549"/>
      <c r="D144" s="549"/>
      <c r="E144" s="570"/>
      <c r="F144" s="549"/>
      <c r="G144" s="549"/>
      <c r="H144" s="549"/>
      <c r="I144" s="550"/>
      <c r="J144" s="549"/>
      <c r="K144" s="549"/>
      <c r="L144" s="549"/>
      <c r="M144" s="549"/>
      <c r="N144" s="551"/>
      <c r="O144" s="549"/>
      <c r="P144" s="549"/>
      <c r="Q144" s="549"/>
      <c r="R144" s="549"/>
      <c r="S144" s="549"/>
      <c r="T144" s="549"/>
      <c r="U144" s="549"/>
      <c r="V144" s="549"/>
      <c r="W144" s="549"/>
      <c r="X144" s="549"/>
      <c r="Y144" s="549"/>
      <c r="Z144" s="549"/>
    </row>
    <row r="145" spans="1:26" ht="15">
      <c r="A145" s="549"/>
      <c r="B145" s="577"/>
      <c r="C145" s="549"/>
      <c r="D145" s="549"/>
      <c r="E145" s="570"/>
      <c r="F145" s="549"/>
      <c r="G145" s="549"/>
      <c r="H145" s="549"/>
      <c r="I145" s="550"/>
      <c r="J145" s="549"/>
      <c r="K145" s="549"/>
      <c r="L145" s="549"/>
      <c r="M145" s="549"/>
      <c r="N145" s="551"/>
      <c r="O145" s="549"/>
      <c r="P145" s="549"/>
      <c r="Q145" s="549"/>
      <c r="R145" s="549"/>
      <c r="S145" s="549"/>
      <c r="T145" s="549"/>
      <c r="U145" s="549"/>
      <c r="V145" s="549"/>
      <c r="W145" s="549"/>
      <c r="X145" s="549"/>
      <c r="Y145" s="549"/>
      <c r="Z145" s="549"/>
    </row>
    <row r="146" spans="1:26" ht="15">
      <c r="A146" s="549"/>
      <c r="B146" s="577"/>
      <c r="C146" s="549"/>
      <c r="D146" s="549"/>
      <c r="E146" s="570"/>
      <c r="F146" s="549"/>
      <c r="G146" s="549"/>
      <c r="H146" s="549"/>
      <c r="I146" s="550"/>
      <c r="J146" s="549"/>
      <c r="K146" s="549"/>
      <c r="L146" s="549"/>
      <c r="M146" s="549"/>
      <c r="N146" s="551"/>
      <c r="O146" s="549"/>
      <c r="P146" s="549"/>
      <c r="Q146" s="549"/>
      <c r="R146" s="549"/>
      <c r="S146" s="549"/>
      <c r="T146" s="549"/>
      <c r="U146" s="549"/>
      <c r="V146" s="549"/>
      <c r="W146" s="549"/>
      <c r="X146" s="549"/>
      <c r="Y146" s="549"/>
      <c r="Z146" s="549"/>
    </row>
    <row r="147" spans="1:26" ht="15">
      <c r="A147" s="549"/>
      <c r="B147" s="577"/>
      <c r="C147" s="549"/>
      <c r="D147" s="549"/>
      <c r="E147" s="570"/>
      <c r="F147" s="549"/>
      <c r="G147" s="549"/>
      <c r="H147" s="549"/>
      <c r="I147" s="550"/>
      <c r="J147" s="549"/>
      <c r="K147" s="549"/>
      <c r="L147" s="549"/>
      <c r="M147" s="549"/>
      <c r="N147" s="551"/>
      <c r="O147" s="549"/>
      <c r="P147" s="549"/>
      <c r="Q147" s="549"/>
      <c r="R147" s="549"/>
      <c r="S147" s="549"/>
      <c r="T147" s="549"/>
      <c r="U147" s="549"/>
      <c r="V147" s="549"/>
      <c r="W147" s="549"/>
      <c r="X147" s="549"/>
      <c r="Y147" s="549"/>
      <c r="Z147" s="549"/>
    </row>
    <row r="148" spans="1:26" ht="15">
      <c r="A148" s="549"/>
      <c r="B148" s="577"/>
      <c r="C148" s="549"/>
      <c r="D148" s="549"/>
      <c r="E148" s="570"/>
      <c r="F148" s="549"/>
      <c r="G148" s="549"/>
      <c r="H148" s="549"/>
      <c r="I148" s="550"/>
      <c r="J148" s="549"/>
      <c r="K148" s="549"/>
      <c r="L148" s="549"/>
      <c r="M148" s="549"/>
      <c r="N148" s="551"/>
      <c r="O148" s="549"/>
      <c r="P148" s="549"/>
      <c r="Q148" s="549"/>
      <c r="R148" s="549"/>
      <c r="S148" s="549"/>
      <c r="T148" s="549"/>
      <c r="U148" s="549"/>
      <c r="V148" s="549"/>
      <c r="W148" s="549"/>
      <c r="X148" s="549"/>
      <c r="Y148" s="549"/>
      <c r="Z148" s="549"/>
    </row>
    <row r="149" spans="1:26" ht="15">
      <c r="A149" s="549"/>
      <c r="B149" s="577"/>
      <c r="C149" s="549"/>
      <c r="D149" s="549"/>
      <c r="E149" s="570"/>
      <c r="F149" s="549"/>
      <c r="G149" s="549"/>
      <c r="H149" s="549"/>
      <c r="I149" s="550"/>
      <c r="J149" s="549"/>
      <c r="K149" s="549"/>
      <c r="L149" s="549"/>
      <c r="M149" s="549"/>
      <c r="N149" s="551"/>
      <c r="O149" s="549"/>
      <c r="P149" s="549"/>
      <c r="Q149" s="549"/>
      <c r="R149" s="549"/>
      <c r="S149" s="549"/>
      <c r="T149" s="549"/>
      <c r="U149" s="549"/>
      <c r="V149" s="549"/>
      <c r="W149" s="549"/>
      <c r="X149" s="549"/>
      <c r="Y149" s="549"/>
      <c r="Z149" s="549"/>
    </row>
    <row r="150" spans="1:26" ht="15">
      <c r="A150" s="549"/>
      <c r="B150" s="577"/>
      <c r="C150" s="549"/>
      <c r="D150" s="549"/>
      <c r="E150" s="570"/>
      <c r="F150" s="549"/>
      <c r="G150" s="549"/>
      <c r="H150" s="549"/>
      <c r="I150" s="550"/>
      <c r="J150" s="549"/>
      <c r="K150" s="549"/>
      <c r="L150" s="549"/>
      <c r="M150" s="549"/>
      <c r="N150" s="551"/>
      <c r="O150" s="549"/>
      <c r="P150" s="549"/>
      <c r="Q150" s="549"/>
      <c r="R150" s="549"/>
      <c r="S150" s="549"/>
      <c r="T150" s="549"/>
      <c r="U150" s="549"/>
      <c r="V150" s="549"/>
      <c r="W150" s="549"/>
      <c r="X150" s="549"/>
      <c r="Y150" s="549"/>
      <c r="Z150" s="549"/>
    </row>
    <row r="151" spans="1:26" ht="15">
      <c r="A151" s="549"/>
      <c r="B151" s="577"/>
      <c r="C151" s="549"/>
      <c r="D151" s="549"/>
      <c r="E151" s="570"/>
      <c r="F151" s="549"/>
      <c r="G151" s="549"/>
      <c r="H151" s="549"/>
      <c r="I151" s="550"/>
      <c r="J151" s="549"/>
      <c r="K151" s="549"/>
      <c r="L151" s="549"/>
      <c r="M151" s="549"/>
      <c r="N151" s="551"/>
      <c r="O151" s="549"/>
      <c r="P151" s="549"/>
      <c r="Q151" s="549"/>
      <c r="R151" s="549"/>
      <c r="S151" s="549"/>
      <c r="T151" s="549"/>
      <c r="U151" s="549"/>
      <c r="V151" s="549"/>
      <c r="W151" s="549"/>
      <c r="X151" s="549"/>
      <c r="Y151" s="549"/>
      <c r="Z151" s="549"/>
    </row>
    <row r="152" spans="1:26" ht="15">
      <c r="A152" s="549"/>
      <c r="B152" s="577"/>
      <c r="C152" s="549"/>
      <c r="D152" s="549"/>
      <c r="E152" s="570"/>
      <c r="F152" s="549"/>
      <c r="G152" s="549"/>
      <c r="H152" s="549"/>
      <c r="I152" s="550"/>
      <c r="J152" s="549"/>
      <c r="K152" s="549"/>
      <c r="L152" s="549"/>
      <c r="M152" s="549"/>
      <c r="N152" s="551"/>
      <c r="O152" s="549"/>
      <c r="P152" s="549"/>
      <c r="Q152" s="549"/>
      <c r="R152" s="549"/>
      <c r="S152" s="549"/>
      <c r="T152" s="549"/>
      <c r="U152" s="549"/>
      <c r="V152" s="549"/>
      <c r="W152" s="549"/>
      <c r="X152" s="549"/>
      <c r="Y152" s="549"/>
      <c r="Z152" s="549"/>
    </row>
    <row r="153" spans="1:26" ht="15">
      <c r="A153" s="549"/>
      <c r="B153" s="577"/>
      <c r="C153" s="549"/>
      <c r="D153" s="549"/>
      <c r="E153" s="570"/>
      <c r="F153" s="549"/>
      <c r="G153" s="549"/>
      <c r="H153" s="549"/>
      <c r="I153" s="550"/>
      <c r="J153" s="549"/>
      <c r="K153" s="549"/>
      <c r="L153" s="549"/>
      <c r="M153" s="549"/>
      <c r="N153" s="551"/>
      <c r="O153" s="549"/>
      <c r="P153" s="549"/>
      <c r="Q153" s="549"/>
      <c r="R153" s="549"/>
      <c r="S153" s="549"/>
      <c r="T153" s="549"/>
      <c r="U153" s="549"/>
      <c r="V153" s="549"/>
      <c r="W153" s="549"/>
      <c r="X153" s="549"/>
      <c r="Y153" s="549"/>
      <c r="Z153" s="549"/>
    </row>
    <row r="154" spans="1:26" ht="15">
      <c r="A154" s="549"/>
      <c r="B154" s="577"/>
      <c r="C154" s="549"/>
      <c r="D154" s="549"/>
      <c r="E154" s="570"/>
      <c r="F154" s="549"/>
      <c r="G154" s="549"/>
      <c r="H154" s="549"/>
      <c r="I154" s="550"/>
      <c r="J154" s="549"/>
      <c r="K154" s="549"/>
      <c r="L154" s="549"/>
      <c r="M154" s="549"/>
      <c r="N154" s="551"/>
      <c r="O154" s="549"/>
      <c r="P154" s="549"/>
      <c r="Q154" s="549"/>
      <c r="R154" s="549"/>
      <c r="S154" s="549"/>
      <c r="T154" s="549"/>
      <c r="U154" s="549"/>
      <c r="V154" s="549"/>
      <c r="W154" s="549"/>
      <c r="X154" s="549"/>
      <c r="Y154" s="549"/>
      <c r="Z154" s="549"/>
    </row>
    <row r="155" spans="1:26" ht="15">
      <c r="A155" s="549"/>
      <c r="B155" s="577"/>
      <c r="C155" s="549"/>
      <c r="D155" s="549"/>
      <c r="E155" s="570"/>
      <c r="F155" s="549"/>
      <c r="G155" s="549"/>
      <c r="H155" s="549"/>
      <c r="I155" s="550"/>
      <c r="J155" s="549"/>
      <c r="K155" s="549"/>
      <c r="L155" s="549"/>
      <c r="M155" s="549"/>
      <c r="N155" s="551"/>
      <c r="O155" s="549"/>
      <c r="P155" s="549"/>
      <c r="Q155" s="549"/>
      <c r="R155" s="549"/>
      <c r="S155" s="549"/>
      <c r="T155" s="549"/>
      <c r="U155" s="549"/>
      <c r="V155" s="549"/>
      <c r="W155" s="549"/>
      <c r="X155" s="549"/>
      <c r="Y155" s="549"/>
      <c r="Z155" s="549"/>
    </row>
    <row r="156" spans="1:26" ht="15">
      <c r="A156" s="549"/>
      <c r="B156" s="577"/>
      <c r="C156" s="549"/>
      <c r="D156" s="549"/>
      <c r="E156" s="570"/>
      <c r="F156" s="549"/>
      <c r="G156" s="549"/>
      <c r="H156" s="549"/>
      <c r="I156" s="550"/>
      <c r="J156" s="549"/>
      <c r="K156" s="549"/>
      <c r="L156" s="549"/>
      <c r="M156" s="549"/>
      <c r="N156" s="551"/>
      <c r="O156" s="549"/>
      <c r="P156" s="549"/>
      <c r="Q156" s="549"/>
      <c r="R156" s="549"/>
      <c r="S156" s="549"/>
      <c r="T156" s="549"/>
      <c r="U156" s="549"/>
      <c r="V156" s="549"/>
      <c r="W156" s="549"/>
      <c r="X156" s="549"/>
      <c r="Y156" s="549"/>
      <c r="Z156" s="549"/>
    </row>
    <row r="157" spans="1:26" ht="15">
      <c r="A157" s="549"/>
      <c r="B157" s="577"/>
      <c r="C157" s="549"/>
      <c r="D157" s="549"/>
      <c r="E157" s="570"/>
      <c r="F157" s="549"/>
      <c r="G157" s="549"/>
      <c r="H157" s="549"/>
      <c r="I157" s="550"/>
      <c r="J157" s="549"/>
      <c r="K157" s="549"/>
      <c r="L157" s="549"/>
      <c r="M157" s="549"/>
      <c r="N157" s="551"/>
      <c r="O157" s="549"/>
      <c r="P157" s="549"/>
      <c r="Q157" s="549"/>
      <c r="R157" s="549"/>
      <c r="S157" s="549"/>
      <c r="T157" s="549"/>
      <c r="U157" s="549"/>
      <c r="V157" s="549"/>
      <c r="W157" s="549"/>
      <c r="X157" s="549"/>
      <c r="Y157" s="549"/>
      <c r="Z157" s="549"/>
    </row>
    <row r="158" spans="1:26" ht="15">
      <c r="A158" s="549"/>
      <c r="B158" s="577"/>
      <c r="C158" s="549"/>
      <c r="D158" s="549"/>
      <c r="E158" s="570"/>
      <c r="F158" s="549"/>
      <c r="G158" s="549"/>
      <c r="H158" s="549"/>
      <c r="I158" s="550"/>
      <c r="J158" s="549"/>
      <c r="K158" s="549"/>
      <c r="L158" s="549"/>
      <c r="M158" s="549"/>
      <c r="N158" s="551"/>
      <c r="O158" s="549"/>
      <c r="P158" s="549"/>
      <c r="Q158" s="549"/>
      <c r="R158" s="549"/>
      <c r="S158" s="549"/>
      <c r="T158" s="549"/>
      <c r="U158" s="549"/>
      <c r="V158" s="549"/>
      <c r="W158" s="549"/>
      <c r="X158" s="549"/>
      <c r="Y158" s="549"/>
      <c r="Z158" s="549"/>
    </row>
    <row r="159" spans="1:26" ht="15">
      <c r="A159" s="549"/>
      <c r="B159" s="577"/>
      <c r="C159" s="549"/>
      <c r="D159" s="549"/>
      <c r="E159" s="570"/>
      <c r="F159" s="549"/>
      <c r="G159" s="549"/>
      <c r="H159" s="549"/>
      <c r="I159" s="550"/>
      <c r="J159" s="549"/>
      <c r="K159" s="549"/>
      <c r="L159" s="549"/>
      <c r="M159" s="549"/>
      <c r="N159" s="551"/>
      <c r="O159" s="549"/>
      <c r="P159" s="549"/>
      <c r="Q159" s="549"/>
      <c r="R159" s="549"/>
      <c r="S159" s="549"/>
      <c r="T159" s="549"/>
      <c r="U159" s="549"/>
      <c r="V159" s="549"/>
      <c r="W159" s="549"/>
      <c r="X159" s="549"/>
      <c r="Y159" s="549"/>
      <c r="Z159" s="549"/>
    </row>
    <row r="160" spans="1:26" ht="15">
      <c r="A160" s="549"/>
      <c r="B160" s="577"/>
      <c r="C160" s="549"/>
      <c r="D160" s="549"/>
      <c r="E160" s="570"/>
      <c r="F160" s="549"/>
      <c r="G160" s="549"/>
      <c r="H160" s="549"/>
      <c r="I160" s="550"/>
      <c r="J160" s="549"/>
      <c r="K160" s="549"/>
      <c r="L160" s="549"/>
      <c r="M160" s="549"/>
      <c r="N160" s="551"/>
      <c r="O160" s="549"/>
      <c r="P160" s="549"/>
      <c r="Q160" s="549"/>
      <c r="R160" s="549"/>
      <c r="S160" s="549"/>
      <c r="T160" s="549"/>
      <c r="U160" s="549"/>
      <c r="V160" s="549"/>
      <c r="W160" s="549"/>
      <c r="X160" s="549"/>
      <c r="Y160" s="549"/>
      <c r="Z160" s="549"/>
    </row>
    <row r="161" spans="1:26" ht="15">
      <c r="A161" s="549"/>
      <c r="B161" s="577"/>
      <c r="C161" s="549"/>
      <c r="D161" s="549"/>
      <c r="E161" s="570"/>
      <c r="F161" s="549"/>
      <c r="G161" s="549"/>
      <c r="H161" s="549"/>
      <c r="I161" s="550"/>
      <c r="J161" s="549"/>
      <c r="K161" s="549"/>
      <c r="L161" s="549"/>
      <c r="M161" s="549"/>
      <c r="N161" s="551"/>
      <c r="O161" s="549"/>
      <c r="P161" s="549"/>
      <c r="Q161" s="549"/>
      <c r="R161" s="549"/>
      <c r="S161" s="549"/>
      <c r="T161" s="549"/>
      <c r="U161" s="549"/>
      <c r="V161" s="549"/>
      <c r="W161" s="549"/>
      <c r="X161" s="549"/>
      <c r="Y161" s="549"/>
      <c r="Z161" s="549"/>
    </row>
    <row r="162" spans="1:26" ht="15">
      <c r="A162" s="549"/>
      <c r="B162" s="577"/>
      <c r="C162" s="549"/>
      <c r="D162" s="549"/>
      <c r="E162" s="570"/>
      <c r="F162" s="549"/>
      <c r="G162" s="549"/>
      <c r="H162" s="549"/>
      <c r="I162" s="550"/>
      <c r="J162" s="549"/>
      <c r="K162" s="549"/>
      <c r="L162" s="549"/>
      <c r="M162" s="549"/>
      <c r="N162" s="551"/>
      <c r="O162" s="549"/>
      <c r="P162" s="549"/>
      <c r="Q162" s="549"/>
      <c r="R162" s="549"/>
      <c r="S162" s="549"/>
      <c r="T162" s="549"/>
      <c r="U162" s="549"/>
      <c r="V162" s="549"/>
      <c r="W162" s="549"/>
      <c r="X162" s="549"/>
      <c r="Y162" s="549"/>
      <c r="Z162" s="549"/>
    </row>
    <row r="163" spans="1:26" ht="15">
      <c r="A163" s="549"/>
      <c r="B163" s="577"/>
      <c r="C163" s="549"/>
      <c r="D163" s="549"/>
      <c r="E163" s="570"/>
      <c r="F163" s="549"/>
      <c r="G163" s="549"/>
      <c r="H163" s="549"/>
      <c r="I163" s="550"/>
      <c r="J163" s="549"/>
      <c r="K163" s="549"/>
      <c r="L163" s="549"/>
      <c r="M163" s="549"/>
      <c r="N163" s="551"/>
      <c r="O163" s="549"/>
      <c r="P163" s="549"/>
      <c r="Q163" s="549"/>
      <c r="R163" s="549"/>
      <c r="S163" s="549"/>
      <c r="T163" s="549"/>
      <c r="U163" s="549"/>
      <c r="V163" s="549"/>
      <c r="W163" s="549"/>
      <c r="X163" s="549"/>
      <c r="Y163" s="549"/>
      <c r="Z163" s="549"/>
    </row>
    <row r="164" spans="1:26" ht="15">
      <c r="A164" s="549"/>
      <c r="B164" s="577"/>
      <c r="C164" s="549"/>
      <c r="D164" s="549"/>
      <c r="E164" s="570"/>
      <c r="F164" s="549"/>
      <c r="G164" s="549"/>
      <c r="H164" s="549"/>
      <c r="I164" s="550"/>
      <c r="J164" s="549"/>
      <c r="K164" s="549"/>
      <c r="L164" s="549"/>
      <c r="M164" s="549"/>
      <c r="N164" s="551"/>
      <c r="O164" s="549"/>
      <c r="P164" s="549"/>
      <c r="Q164" s="549"/>
      <c r="R164" s="549"/>
      <c r="S164" s="549"/>
      <c r="T164" s="549"/>
      <c r="U164" s="549"/>
      <c r="V164" s="549"/>
      <c r="W164" s="549"/>
      <c r="X164" s="549"/>
      <c r="Y164" s="549"/>
      <c r="Z164" s="549"/>
    </row>
    <row r="165" spans="1:26" ht="15">
      <c r="A165" s="549"/>
      <c r="B165" s="577"/>
      <c r="C165" s="549"/>
      <c r="D165" s="549"/>
      <c r="E165" s="570"/>
      <c r="F165" s="549"/>
      <c r="G165" s="549"/>
      <c r="H165" s="549"/>
      <c r="I165" s="550"/>
      <c r="J165" s="549"/>
      <c r="K165" s="549"/>
      <c r="L165" s="549"/>
      <c r="M165" s="549"/>
      <c r="N165" s="551"/>
      <c r="O165" s="549"/>
      <c r="P165" s="549"/>
      <c r="Q165" s="549"/>
      <c r="R165" s="549"/>
      <c r="S165" s="549"/>
      <c r="T165" s="549"/>
      <c r="U165" s="549"/>
      <c r="V165" s="549"/>
      <c r="W165" s="549"/>
      <c r="X165" s="549"/>
      <c r="Y165" s="549"/>
      <c r="Z165" s="549"/>
    </row>
    <row r="166" spans="1:26" ht="15">
      <c r="A166" s="549"/>
      <c r="B166" s="577"/>
      <c r="C166" s="549"/>
      <c r="D166" s="549"/>
      <c r="E166" s="570"/>
      <c r="F166" s="549"/>
      <c r="G166" s="549"/>
      <c r="H166" s="549"/>
      <c r="I166" s="550"/>
      <c r="J166" s="549"/>
      <c r="K166" s="549"/>
      <c r="L166" s="549"/>
      <c r="M166" s="549"/>
      <c r="N166" s="551"/>
      <c r="O166" s="549"/>
      <c r="P166" s="549"/>
      <c r="Q166" s="549"/>
      <c r="R166" s="549"/>
      <c r="S166" s="549"/>
      <c r="T166" s="549"/>
      <c r="U166" s="549"/>
      <c r="V166" s="549"/>
      <c r="W166" s="549"/>
      <c r="X166" s="549"/>
      <c r="Y166" s="549"/>
      <c r="Z166" s="549"/>
    </row>
    <row r="167" spans="1:26" ht="15">
      <c r="A167" s="549"/>
      <c r="B167" s="577"/>
      <c r="C167" s="549"/>
      <c r="D167" s="549"/>
      <c r="E167" s="570"/>
      <c r="F167" s="549"/>
      <c r="G167" s="549"/>
      <c r="H167" s="549"/>
      <c r="I167" s="550"/>
      <c r="J167" s="549"/>
      <c r="K167" s="549"/>
      <c r="L167" s="549"/>
      <c r="M167" s="549"/>
      <c r="N167" s="551"/>
      <c r="O167" s="549"/>
      <c r="P167" s="549"/>
      <c r="Q167" s="549"/>
      <c r="R167" s="549"/>
      <c r="S167" s="549"/>
      <c r="T167" s="549"/>
      <c r="U167" s="549"/>
      <c r="V167" s="549"/>
      <c r="W167" s="549"/>
      <c r="X167" s="549"/>
      <c r="Y167" s="549"/>
      <c r="Z167" s="549"/>
    </row>
    <row r="168" spans="1:26" ht="15">
      <c r="A168" s="549"/>
      <c r="B168" s="577"/>
      <c r="C168" s="549"/>
      <c r="D168" s="549"/>
      <c r="E168" s="570"/>
      <c r="F168" s="549"/>
      <c r="G168" s="549"/>
      <c r="H168" s="549"/>
      <c r="I168" s="550"/>
      <c r="J168" s="549"/>
      <c r="K168" s="549"/>
      <c r="L168" s="549"/>
      <c r="M168" s="549"/>
      <c r="N168" s="551"/>
      <c r="O168" s="549"/>
      <c r="P168" s="549"/>
      <c r="Q168" s="549"/>
      <c r="R168" s="549"/>
      <c r="S168" s="549"/>
      <c r="T168" s="549"/>
      <c r="U168" s="549"/>
      <c r="V168" s="549"/>
      <c r="W168" s="549"/>
      <c r="X168" s="549"/>
      <c r="Y168" s="549"/>
      <c r="Z168" s="549"/>
    </row>
    <row r="169" spans="1:26" ht="15">
      <c r="A169" s="549"/>
      <c r="B169" s="577"/>
      <c r="C169" s="549"/>
      <c r="D169" s="549"/>
      <c r="E169" s="570"/>
      <c r="F169" s="549"/>
      <c r="G169" s="549"/>
      <c r="H169" s="549"/>
      <c r="I169" s="550"/>
      <c r="J169" s="549"/>
      <c r="K169" s="549"/>
      <c r="L169" s="549"/>
      <c r="M169" s="549"/>
      <c r="N169" s="551"/>
      <c r="O169" s="549"/>
      <c r="P169" s="549"/>
      <c r="Q169" s="549"/>
      <c r="R169" s="549"/>
      <c r="S169" s="549"/>
      <c r="T169" s="549"/>
      <c r="U169" s="549"/>
      <c r="V169" s="549"/>
      <c r="W169" s="549"/>
      <c r="X169" s="549"/>
      <c r="Y169" s="549"/>
      <c r="Z169" s="549"/>
    </row>
    <row r="170" spans="1:26" ht="15">
      <c r="A170" s="549"/>
      <c r="B170" s="577"/>
      <c r="C170" s="549"/>
      <c r="D170" s="549"/>
      <c r="E170" s="570"/>
      <c r="F170" s="549"/>
      <c r="G170" s="549"/>
      <c r="H170" s="549"/>
      <c r="I170" s="550"/>
      <c r="J170" s="549"/>
      <c r="K170" s="549"/>
      <c r="L170" s="549"/>
      <c r="M170" s="549"/>
      <c r="N170" s="551"/>
      <c r="O170" s="549"/>
      <c r="P170" s="549"/>
      <c r="Q170" s="549"/>
      <c r="R170" s="549"/>
      <c r="S170" s="549"/>
      <c r="T170" s="549"/>
      <c r="U170" s="549"/>
      <c r="V170" s="549"/>
      <c r="W170" s="549"/>
      <c r="X170" s="549"/>
      <c r="Y170" s="549"/>
      <c r="Z170" s="549"/>
    </row>
    <row r="171" spans="1:26" ht="15">
      <c r="A171" s="549"/>
      <c r="B171" s="577"/>
      <c r="C171" s="549"/>
      <c r="D171" s="549"/>
      <c r="E171" s="570"/>
      <c r="F171" s="549"/>
      <c r="G171" s="549"/>
      <c r="H171" s="549"/>
      <c r="I171" s="550"/>
      <c r="J171" s="549"/>
      <c r="K171" s="549"/>
      <c r="L171" s="549"/>
      <c r="M171" s="549"/>
      <c r="N171" s="551"/>
      <c r="O171" s="549"/>
      <c r="P171" s="549"/>
      <c r="Q171" s="549"/>
      <c r="R171" s="549"/>
      <c r="S171" s="549"/>
      <c r="T171" s="549"/>
      <c r="U171" s="549"/>
      <c r="V171" s="549"/>
      <c r="W171" s="549"/>
      <c r="X171" s="549"/>
      <c r="Y171" s="549"/>
      <c r="Z171" s="549"/>
    </row>
    <row r="172" spans="1:26" ht="15">
      <c r="A172" s="549"/>
      <c r="B172" s="577"/>
      <c r="C172" s="549"/>
      <c r="D172" s="549"/>
      <c r="E172" s="570"/>
      <c r="F172" s="549"/>
      <c r="G172" s="549"/>
      <c r="H172" s="549"/>
      <c r="I172" s="550"/>
      <c r="J172" s="549"/>
      <c r="K172" s="549"/>
      <c r="L172" s="549"/>
      <c r="M172" s="549"/>
      <c r="N172" s="551"/>
      <c r="O172" s="549"/>
      <c r="P172" s="549"/>
      <c r="Q172" s="549"/>
      <c r="R172" s="549"/>
      <c r="S172" s="549"/>
      <c r="T172" s="549"/>
      <c r="U172" s="549"/>
      <c r="V172" s="549"/>
      <c r="W172" s="549"/>
      <c r="X172" s="549"/>
      <c r="Y172" s="549"/>
      <c r="Z172" s="549"/>
    </row>
    <row r="173" spans="1:26" ht="15">
      <c r="A173" s="549"/>
      <c r="B173" s="577"/>
      <c r="C173" s="549"/>
      <c r="D173" s="549"/>
      <c r="E173" s="570"/>
      <c r="F173" s="549"/>
      <c r="G173" s="549"/>
      <c r="H173" s="549"/>
      <c r="I173" s="550"/>
      <c r="J173" s="549"/>
      <c r="K173" s="549"/>
      <c r="L173" s="549"/>
      <c r="M173" s="549"/>
      <c r="N173" s="551"/>
      <c r="O173" s="549"/>
      <c r="P173" s="549"/>
      <c r="Q173" s="549"/>
      <c r="R173" s="549"/>
      <c r="S173" s="549"/>
      <c r="T173" s="549"/>
      <c r="U173" s="549"/>
      <c r="V173" s="549"/>
      <c r="W173" s="549"/>
      <c r="X173" s="549"/>
      <c r="Y173" s="549"/>
      <c r="Z173" s="549"/>
    </row>
    <row r="174" spans="1:26" ht="15">
      <c r="A174" s="549"/>
      <c r="B174" s="577"/>
      <c r="C174" s="549"/>
      <c r="D174" s="549"/>
      <c r="E174" s="570"/>
      <c r="F174" s="549"/>
      <c r="G174" s="549"/>
      <c r="H174" s="549"/>
      <c r="I174" s="550"/>
      <c r="J174" s="549"/>
      <c r="K174" s="549"/>
      <c r="L174" s="549"/>
      <c r="M174" s="549"/>
      <c r="N174" s="551"/>
      <c r="O174" s="549"/>
      <c r="P174" s="549"/>
      <c r="Q174" s="549"/>
      <c r="R174" s="549"/>
      <c r="S174" s="549"/>
      <c r="T174" s="549"/>
      <c r="U174" s="549"/>
      <c r="V174" s="549"/>
      <c r="W174" s="549"/>
      <c r="X174" s="549"/>
      <c r="Y174" s="549"/>
      <c r="Z174" s="549"/>
    </row>
    <row r="175" spans="1:26" ht="15">
      <c r="A175" s="549"/>
      <c r="B175" s="577"/>
      <c r="C175" s="549"/>
      <c r="D175" s="549"/>
      <c r="E175" s="570"/>
      <c r="F175" s="549"/>
      <c r="G175" s="549"/>
      <c r="H175" s="549"/>
      <c r="I175" s="550"/>
      <c r="J175" s="549"/>
      <c r="K175" s="549"/>
      <c r="L175" s="549"/>
      <c r="M175" s="549"/>
      <c r="N175" s="551"/>
      <c r="O175" s="549"/>
      <c r="P175" s="549"/>
      <c r="Q175" s="549"/>
      <c r="R175" s="549"/>
      <c r="S175" s="549"/>
      <c r="T175" s="549"/>
      <c r="U175" s="549"/>
      <c r="V175" s="549"/>
      <c r="W175" s="549"/>
      <c r="X175" s="549"/>
      <c r="Y175" s="549"/>
      <c r="Z175" s="549"/>
    </row>
    <row r="176" spans="1:26" ht="15">
      <c r="A176" s="549"/>
      <c r="B176" s="577"/>
      <c r="C176" s="549"/>
      <c r="D176" s="549"/>
      <c r="E176" s="570"/>
      <c r="F176" s="549"/>
      <c r="G176" s="549"/>
      <c r="H176" s="549"/>
      <c r="I176" s="550"/>
      <c r="J176" s="549"/>
      <c r="K176" s="549"/>
      <c r="L176" s="549"/>
      <c r="M176" s="549"/>
      <c r="N176" s="551"/>
      <c r="O176" s="549"/>
      <c r="P176" s="549"/>
      <c r="Q176" s="549"/>
      <c r="R176" s="549"/>
      <c r="S176" s="549"/>
      <c r="T176" s="549"/>
      <c r="U176" s="549"/>
      <c r="V176" s="549"/>
      <c r="W176" s="549"/>
      <c r="X176" s="549"/>
      <c r="Y176" s="549"/>
      <c r="Z176" s="549"/>
    </row>
    <row r="177" spans="1:26" ht="15">
      <c r="A177" s="549"/>
      <c r="B177" s="577"/>
      <c r="C177" s="549"/>
      <c r="D177" s="549"/>
      <c r="E177" s="570"/>
      <c r="F177" s="549"/>
      <c r="G177" s="549"/>
      <c r="H177" s="549"/>
      <c r="I177" s="550"/>
      <c r="J177" s="549"/>
      <c r="K177" s="549"/>
      <c r="L177" s="549"/>
      <c r="M177" s="549"/>
      <c r="N177" s="551"/>
      <c r="O177" s="549"/>
      <c r="P177" s="549"/>
      <c r="Q177" s="549"/>
      <c r="R177" s="549"/>
      <c r="S177" s="549"/>
      <c r="T177" s="549"/>
      <c r="U177" s="549"/>
      <c r="V177" s="549"/>
      <c r="W177" s="549"/>
      <c r="X177" s="549"/>
      <c r="Y177" s="549"/>
      <c r="Z177" s="549"/>
    </row>
    <row r="178" spans="1:26" ht="15">
      <c r="A178" s="549"/>
      <c r="B178" s="577"/>
      <c r="C178" s="549"/>
      <c r="D178" s="549"/>
      <c r="E178" s="570"/>
      <c r="F178" s="549"/>
      <c r="G178" s="549"/>
      <c r="H178" s="549"/>
      <c r="I178" s="550"/>
      <c r="J178" s="549"/>
      <c r="K178" s="549"/>
      <c r="L178" s="549"/>
      <c r="M178" s="549"/>
      <c r="N178" s="551"/>
      <c r="O178" s="549"/>
      <c r="P178" s="549"/>
      <c r="Q178" s="549"/>
      <c r="R178" s="549"/>
      <c r="S178" s="549"/>
      <c r="T178" s="549"/>
      <c r="U178" s="549"/>
      <c r="V178" s="549"/>
      <c r="W178" s="549"/>
      <c r="X178" s="549"/>
      <c r="Y178" s="549"/>
      <c r="Z178" s="549"/>
    </row>
    <row r="179" spans="1:26" ht="15">
      <c r="A179" s="549"/>
      <c r="B179" s="577"/>
      <c r="C179" s="549"/>
      <c r="D179" s="549"/>
      <c r="E179" s="570"/>
      <c r="F179" s="549"/>
      <c r="G179" s="549"/>
      <c r="H179" s="549"/>
      <c r="I179" s="550"/>
      <c r="J179" s="549"/>
      <c r="K179" s="549"/>
      <c r="L179" s="549"/>
      <c r="M179" s="549"/>
      <c r="N179" s="551"/>
      <c r="O179" s="549"/>
      <c r="P179" s="549"/>
      <c r="Q179" s="549"/>
      <c r="R179" s="549"/>
      <c r="S179" s="549"/>
      <c r="T179" s="549"/>
      <c r="U179" s="549"/>
      <c r="V179" s="549"/>
      <c r="W179" s="549"/>
      <c r="X179" s="549"/>
      <c r="Y179" s="549"/>
      <c r="Z179" s="549"/>
    </row>
    <row r="180" spans="1:26" ht="15">
      <c r="A180" s="549"/>
      <c r="B180" s="577"/>
      <c r="C180" s="549"/>
      <c r="D180" s="549"/>
      <c r="E180" s="570"/>
      <c r="F180" s="549"/>
      <c r="G180" s="549"/>
      <c r="H180" s="549"/>
      <c r="I180" s="550"/>
      <c r="J180" s="549"/>
      <c r="K180" s="549"/>
      <c r="L180" s="549"/>
      <c r="M180" s="549"/>
      <c r="N180" s="551"/>
      <c r="O180" s="549"/>
      <c r="P180" s="549"/>
      <c r="Q180" s="549"/>
      <c r="R180" s="549"/>
      <c r="S180" s="549"/>
      <c r="T180" s="549"/>
      <c r="U180" s="549"/>
      <c r="V180" s="549"/>
      <c r="W180" s="549"/>
      <c r="X180" s="549"/>
      <c r="Y180" s="549"/>
      <c r="Z180" s="549"/>
    </row>
    <row r="181" spans="1:26" ht="15">
      <c r="A181" s="549"/>
      <c r="B181" s="577"/>
      <c r="C181" s="549"/>
      <c r="D181" s="549"/>
      <c r="E181" s="570"/>
      <c r="F181" s="549"/>
      <c r="G181" s="549"/>
      <c r="H181" s="549"/>
      <c r="I181" s="550"/>
      <c r="J181" s="549"/>
      <c r="K181" s="549"/>
      <c r="L181" s="549"/>
      <c r="M181" s="549"/>
      <c r="N181" s="551"/>
      <c r="O181" s="549"/>
      <c r="P181" s="549"/>
      <c r="Q181" s="549"/>
      <c r="R181" s="549"/>
      <c r="S181" s="549"/>
      <c r="T181" s="549"/>
      <c r="U181" s="549"/>
      <c r="V181" s="549"/>
      <c r="W181" s="549"/>
      <c r="X181" s="549"/>
      <c r="Y181" s="549"/>
      <c r="Z181" s="549"/>
    </row>
    <row r="182" spans="1:26" ht="15">
      <c r="A182" s="549"/>
      <c r="B182" s="577"/>
      <c r="C182" s="549"/>
      <c r="D182" s="549"/>
      <c r="E182" s="570"/>
      <c r="F182" s="549"/>
      <c r="G182" s="549"/>
      <c r="H182" s="549"/>
      <c r="I182" s="550"/>
      <c r="J182" s="549"/>
      <c r="K182" s="549"/>
      <c r="L182" s="549"/>
      <c r="M182" s="549"/>
      <c r="N182" s="551"/>
      <c r="O182" s="549"/>
      <c r="P182" s="549"/>
      <c r="Q182" s="549"/>
      <c r="R182" s="549"/>
      <c r="S182" s="549"/>
      <c r="T182" s="549"/>
      <c r="U182" s="549"/>
      <c r="V182" s="549"/>
      <c r="W182" s="549"/>
      <c r="X182" s="549"/>
      <c r="Y182" s="549"/>
      <c r="Z182" s="549"/>
    </row>
    <row r="183" spans="1:26" ht="15">
      <c r="A183" s="549"/>
      <c r="B183" s="577"/>
      <c r="C183" s="549"/>
      <c r="D183" s="549"/>
      <c r="E183" s="570"/>
      <c r="F183" s="549"/>
      <c r="G183" s="549"/>
      <c r="H183" s="549"/>
      <c r="I183" s="550"/>
      <c r="J183" s="549"/>
      <c r="K183" s="549"/>
      <c r="L183" s="549"/>
      <c r="M183" s="549"/>
      <c r="N183" s="551"/>
      <c r="O183" s="549"/>
      <c r="P183" s="549"/>
      <c r="Q183" s="549"/>
      <c r="R183" s="549"/>
      <c r="S183" s="549"/>
      <c r="T183" s="549"/>
      <c r="U183" s="549"/>
      <c r="V183" s="549"/>
      <c r="W183" s="549"/>
      <c r="X183" s="549"/>
      <c r="Y183" s="549"/>
      <c r="Z183" s="549"/>
    </row>
    <row r="184" spans="1:26" ht="15">
      <c r="A184" s="549"/>
      <c r="B184" s="577"/>
      <c r="C184" s="549"/>
      <c r="D184" s="549"/>
      <c r="E184" s="570"/>
      <c r="F184" s="549"/>
      <c r="G184" s="549"/>
      <c r="H184" s="549"/>
      <c r="I184" s="550"/>
      <c r="J184" s="549"/>
      <c r="K184" s="549"/>
      <c r="L184" s="549"/>
      <c r="M184" s="549"/>
      <c r="N184" s="551"/>
      <c r="O184" s="549"/>
      <c r="P184" s="549"/>
      <c r="Q184" s="549"/>
      <c r="R184" s="549"/>
      <c r="S184" s="549"/>
      <c r="T184" s="549"/>
      <c r="U184" s="549"/>
      <c r="V184" s="549"/>
      <c r="W184" s="549"/>
      <c r="X184" s="549"/>
      <c r="Y184" s="549"/>
      <c r="Z184" s="549"/>
    </row>
    <row r="185" spans="1:26" ht="15">
      <c r="A185" s="549"/>
      <c r="B185" s="577"/>
      <c r="C185" s="549"/>
      <c r="D185" s="549"/>
      <c r="E185" s="570"/>
      <c r="F185" s="549"/>
      <c r="G185" s="549"/>
      <c r="H185" s="549"/>
      <c r="I185" s="550"/>
      <c r="J185" s="549"/>
      <c r="K185" s="549"/>
      <c r="L185" s="549"/>
      <c r="M185" s="549"/>
      <c r="N185" s="551"/>
      <c r="O185" s="549"/>
      <c r="P185" s="549"/>
      <c r="Q185" s="549"/>
      <c r="R185" s="549"/>
      <c r="S185" s="549"/>
      <c r="T185" s="549"/>
      <c r="U185" s="549"/>
      <c r="V185" s="549"/>
      <c r="W185" s="549"/>
      <c r="X185" s="549"/>
      <c r="Y185" s="549"/>
      <c r="Z185" s="549"/>
    </row>
    <row r="186" spans="1:26" ht="15">
      <c r="A186" s="549"/>
      <c r="B186" s="577"/>
      <c r="C186" s="549"/>
      <c r="D186" s="549"/>
      <c r="E186" s="570"/>
      <c r="F186" s="549"/>
      <c r="G186" s="549"/>
      <c r="H186" s="549"/>
      <c r="I186" s="550"/>
      <c r="J186" s="549"/>
      <c r="K186" s="549"/>
      <c r="L186" s="549"/>
      <c r="M186" s="549"/>
      <c r="N186" s="551"/>
      <c r="O186" s="549"/>
      <c r="P186" s="549"/>
      <c r="Q186" s="549"/>
      <c r="R186" s="549"/>
      <c r="S186" s="549"/>
      <c r="T186" s="549"/>
      <c r="U186" s="549"/>
      <c r="V186" s="549"/>
      <c r="W186" s="549"/>
      <c r="X186" s="549"/>
      <c r="Y186" s="549"/>
      <c r="Z186" s="549"/>
    </row>
    <row r="187" spans="1:26" ht="15">
      <c r="A187" s="549"/>
      <c r="B187" s="577"/>
      <c r="C187" s="549"/>
      <c r="D187" s="549"/>
      <c r="E187" s="570"/>
      <c r="F187" s="549"/>
      <c r="G187" s="549"/>
      <c r="H187" s="549"/>
      <c r="I187" s="550"/>
      <c r="J187" s="549"/>
      <c r="K187" s="549"/>
      <c r="L187" s="549"/>
      <c r="M187" s="549"/>
      <c r="N187" s="551"/>
      <c r="O187" s="549"/>
      <c r="P187" s="549"/>
      <c r="Q187" s="549"/>
      <c r="R187" s="549"/>
      <c r="S187" s="549"/>
      <c r="T187" s="549"/>
      <c r="U187" s="549"/>
      <c r="V187" s="549"/>
      <c r="W187" s="549"/>
      <c r="X187" s="549"/>
      <c r="Y187" s="549"/>
      <c r="Z187" s="549"/>
    </row>
    <row r="188" spans="1:26" ht="15">
      <c r="A188" s="549"/>
      <c r="B188" s="577"/>
      <c r="C188" s="549"/>
      <c r="D188" s="549"/>
      <c r="E188" s="570"/>
      <c r="F188" s="549"/>
      <c r="G188" s="549"/>
      <c r="H188" s="549"/>
      <c r="I188" s="550"/>
      <c r="J188" s="549"/>
      <c r="K188" s="549"/>
      <c r="L188" s="549"/>
      <c r="M188" s="549"/>
      <c r="N188" s="551"/>
      <c r="O188" s="549"/>
      <c r="P188" s="549"/>
      <c r="Q188" s="549"/>
      <c r="R188" s="549"/>
      <c r="S188" s="549"/>
      <c r="T188" s="549"/>
      <c r="U188" s="549"/>
      <c r="V188" s="549"/>
      <c r="W188" s="549"/>
      <c r="X188" s="549"/>
      <c r="Y188" s="549"/>
      <c r="Z188" s="549"/>
    </row>
    <row r="189" spans="1:26" ht="15">
      <c r="A189" s="549"/>
      <c r="B189" s="577"/>
      <c r="C189" s="549"/>
      <c r="D189" s="549"/>
      <c r="E189" s="570"/>
      <c r="F189" s="549"/>
      <c r="G189" s="549"/>
      <c r="H189" s="549"/>
      <c r="I189" s="550"/>
      <c r="J189" s="549"/>
      <c r="K189" s="549"/>
      <c r="L189" s="549"/>
      <c r="M189" s="549"/>
      <c r="N189" s="551"/>
      <c r="O189" s="549"/>
      <c r="P189" s="549"/>
      <c r="Q189" s="549"/>
      <c r="R189" s="549"/>
      <c r="S189" s="549"/>
      <c r="T189" s="549"/>
      <c r="U189" s="549"/>
      <c r="V189" s="549"/>
      <c r="W189" s="549"/>
      <c r="X189" s="549"/>
      <c r="Y189" s="549"/>
      <c r="Z189" s="549"/>
    </row>
    <row r="190" spans="1:26" ht="15">
      <c r="A190" s="549"/>
      <c r="B190" s="577"/>
      <c r="C190" s="549"/>
      <c r="D190" s="549"/>
      <c r="E190" s="570"/>
      <c r="F190" s="549"/>
      <c r="G190" s="549"/>
      <c r="H190" s="549"/>
      <c r="I190" s="550"/>
      <c r="J190" s="549"/>
      <c r="K190" s="549"/>
      <c r="L190" s="549"/>
      <c r="M190" s="549"/>
      <c r="N190" s="551"/>
      <c r="O190" s="549"/>
      <c r="P190" s="549"/>
      <c r="Q190" s="549"/>
      <c r="R190" s="549"/>
      <c r="S190" s="549"/>
      <c r="T190" s="549"/>
      <c r="U190" s="549"/>
      <c r="V190" s="549"/>
      <c r="W190" s="549"/>
      <c r="X190" s="549"/>
      <c r="Y190" s="549"/>
      <c r="Z190" s="549"/>
    </row>
    <row r="191" spans="1:26" ht="15">
      <c r="A191" s="549"/>
      <c r="B191" s="577"/>
      <c r="C191" s="549"/>
      <c r="D191" s="549"/>
      <c r="E191" s="570"/>
      <c r="F191" s="549"/>
      <c r="G191" s="549"/>
      <c r="H191" s="549"/>
      <c r="I191" s="550"/>
      <c r="J191" s="549"/>
      <c r="K191" s="549"/>
      <c r="L191" s="549"/>
      <c r="M191" s="549"/>
      <c r="N191" s="551"/>
      <c r="O191" s="549"/>
      <c r="P191" s="549"/>
      <c r="Q191" s="549"/>
      <c r="R191" s="549"/>
      <c r="S191" s="549"/>
      <c r="T191" s="549"/>
      <c r="U191" s="549"/>
      <c r="V191" s="549"/>
      <c r="W191" s="549"/>
      <c r="X191" s="549"/>
      <c r="Y191" s="549"/>
      <c r="Z191" s="549"/>
    </row>
    <row r="192" spans="1:26" ht="15">
      <c r="A192" s="549"/>
      <c r="B192" s="577"/>
      <c r="C192" s="549"/>
      <c r="D192" s="549"/>
      <c r="E192" s="570"/>
      <c r="F192" s="549"/>
      <c r="G192" s="549"/>
      <c r="H192" s="549"/>
      <c r="I192" s="550"/>
      <c r="J192" s="549"/>
      <c r="K192" s="549"/>
      <c r="L192" s="549"/>
      <c r="M192" s="549"/>
      <c r="N192" s="551"/>
      <c r="O192" s="549"/>
      <c r="P192" s="549"/>
      <c r="Q192" s="549"/>
      <c r="R192" s="549"/>
      <c r="S192" s="549"/>
      <c r="T192" s="549"/>
      <c r="U192" s="549"/>
      <c r="V192" s="549"/>
      <c r="W192" s="549"/>
      <c r="X192" s="549"/>
      <c r="Y192" s="549"/>
      <c r="Z192" s="549"/>
    </row>
    <row r="193" spans="1:26" ht="15">
      <c r="A193" s="549"/>
      <c r="B193" s="577"/>
      <c r="C193" s="549"/>
      <c r="D193" s="549"/>
      <c r="E193" s="570"/>
      <c r="F193" s="549"/>
      <c r="G193" s="549"/>
      <c r="H193" s="549"/>
      <c r="I193" s="550"/>
      <c r="J193" s="549"/>
      <c r="K193" s="549"/>
      <c r="L193" s="549"/>
      <c r="M193" s="549"/>
      <c r="N193" s="551"/>
      <c r="O193" s="549"/>
      <c r="P193" s="549"/>
      <c r="Q193" s="549"/>
      <c r="R193" s="549"/>
      <c r="S193" s="549"/>
      <c r="T193" s="549"/>
      <c r="U193" s="549"/>
      <c r="V193" s="549"/>
      <c r="W193" s="549"/>
      <c r="X193" s="549"/>
      <c r="Y193" s="549"/>
      <c r="Z193" s="549"/>
    </row>
    <row r="194" spans="1:26" ht="15">
      <c r="A194" s="549"/>
      <c r="B194" s="577"/>
      <c r="C194" s="549"/>
      <c r="D194" s="549"/>
      <c r="E194" s="570"/>
      <c r="F194" s="549"/>
      <c r="G194" s="549"/>
      <c r="H194" s="549"/>
      <c r="I194" s="550"/>
      <c r="J194" s="549"/>
      <c r="K194" s="549"/>
      <c r="L194" s="549"/>
      <c r="M194" s="549"/>
      <c r="N194" s="551"/>
      <c r="O194" s="549"/>
      <c r="P194" s="549"/>
      <c r="Q194" s="549"/>
      <c r="R194" s="549"/>
      <c r="S194" s="549"/>
      <c r="T194" s="549"/>
      <c r="U194" s="549"/>
      <c r="V194" s="549"/>
      <c r="W194" s="549"/>
      <c r="X194" s="549"/>
      <c r="Y194" s="549"/>
      <c r="Z194" s="549"/>
    </row>
    <row r="195" spans="1:26" ht="15">
      <c r="A195" s="549"/>
      <c r="B195" s="577"/>
      <c r="C195" s="549"/>
      <c r="D195" s="549"/>
      <c r="E195" s="570"/>
      <c r="F195" s="549"/>
      <c r="G195" s="549"/>
      <c r="H195" s="549"/>
      <c r="I195" s="550"/>
      <c r="J195" s="549"/>
      <c r="K195" s="549"/>
      <c r="L195" s="549"/>
      <c r="M195" s="549"/>
      <c r="N195" s="551"/>
      <c r="O195" s="549"/>
      <c r="P195" s="549"/>
      <c r="Q195" s="549"/>
      <c r="R195" s="549"/>
      <c r="S195" s="549"/>
      <c r="T195" s="549"/>
      <c r="U195" s="549"/>
      <c r="V195" s="549"/>
      <c r="W195" s="549"/>
      <c r="X195" s="549"/>
      <c r="Y195" s="549"/>
      <c r="Z195" s="549"/>
    </row>
    <row r="196" spans="1:26" ht="15">
      <c r="A196" s="549"/>
      <c r="B196" s="577"/>
      <c r="C196" s="549"/>
      <c r="D196" s="549"/>
      <c r="E196" s="570"/>
      <c r="F196" s="549"/>
      <c r="G196" s="549"/>
      <c r="H196" s="549"/>
      <c r="I196" s="550"/>
      <c r="J196" s="549"/>
      <c r="K196" s="549"/>
      <c r="L196" s="549"/>
      <c r="M196" s="549"/>
      <c r="N196" s="551"/>
      <c r="O196" s="549"/>
      <c r="P196" s="549"/>
      <c r="Q196" s="549"/>
      <c r="R196" s="549"/>
      <c r="S196" s="549"/>
      <c r="T196" s="549"/>
      <c r="U196" s="549"/>
      <c r="V196" s="549"/>
      <c r="W196" s="549"/>
      <c r="X196" s="549"/>
      <c r="Y196" s="549"/>
      <c r="Z196" s="549"/>
    </row>
    <row r="197" spans="1:26" ht="15">
      <c r="A197" s="549"/>
      <c r="B197" s="577"/>
      <c r="C197" s="549"/>
      <c r="D197" s="549"/>
      <c r="E197" s="570"/>
      <c r="F197" s="549"/>
      <c r="G197" s="549"/>
      <c r="H197" s="549"/>
      <c r="I197" s="550"/>
      <c r="J197" s="549"/>
      <c r="K197" s="549"/>
      <c r="L197" s="549"/>
      <c r="M197" s="549"/>
      <c r="N197" s="551"/>
      <c r="O197" s="549"/>
      <c r="P197" s="549"/>
      <c r="Q197" s="549"/>
      <c r="R197" s="549"/>
      <c r="S197" s="549"/>
      <c r="T197" s="549"/>
      <c r="U197" s="549"/>
      <c r="V197" s="549"/>
      <c r="W197" s="549"/>
      <c r="X197" s="549"/>
      <c r="Y197" s="549"/>
      <c r="Z197" s="549"/>
    </row>
    <row r="198" spans="1:26" ht="15">
      <c r="A198" s="549"/>
      <c r="B198" s="577"/>
      <c r="C198" s="549"/>
      <c r="D198" s="549"/>
      <c r="E198" s="570"/>
      <c r="F198" s="549"/>
      <c r="G198" s="549"/>
      <c r="H198" s="549"/>
      <c r="I198" s="550"/>
      <c r="J198" s="549"/>
      <c r="K198" s="549"/>
      <c r="L198" s="549"/>
      <c r="M198" s="549"/>
      <c r="N198" s="551"/>
      <c r="O198" s="549"/>
      <c r="P198" s="549"/>
      <c r="Q198" s="549"/>
      <c r="R198" s="549"/>
      <c r="S198" s="549"/>
      <c r="T198" s="549"/>
      <c r="U198" s="549"/>
      <c r="V198" s="549"/>
      <c r="W198" s="549"/>
      <c r="X198" s="549"/>
      <c r="Y198" s="549"/>
      <c r="Z198" s="549"/>
    </row>
    <row r="199" spans="1:26" ht="15">
      <c r="A199" s="549"/>
      <c r="B199" s="577"/>
      <c r="C199" s="549"/>
      <c r="D199" s="549"/>
      <c r="E199" s="570"/>
      <c r="F199" s="549"/>
      <c r="G199" s="549"/>
      <c r="H199" s="549"/>
      <c r="I199" s="550"/>
      <c r="J199" s="549"/>
      <c r="K199" s="549"/>
      <c r="L199" s="549"/>
      <c r="M199" s="549"/>
      <c r="N199" s="551"/>
      <c r="O199" s="549"/>
      <c r="P199" s="549"/>
      <c r="Q199" s="549"/>
      <c r="R199" s="549"/>
      <c r="S199" s="549"/>
      <c r="T199" s="549"/>
      <c r="U199" s="549"/>
      <c r="V199" s="549"/>
      <c r="W199" s="549"/>
      <c r="X199" s="549"/>
      <c r="Y199" s="549"/>
      <c r="Z199" s="549"/>
    </row>
    <row r="200" spans="1:26" ht="15">
      <c r="A200" s="549"/>
      <c r="B200" s="577"/>
      <c r="C200" s="549"/>
      <c r="D200" s="549"/>
      <c r="E200" s="570"/>
      <c r="F200" s="549"/>
      <c r="G200" s="549"/>
      <c r="H200" s="549"/>
      <c r="I200" s="550"/>
      <c r="J200" s="549"/>
      <c r="K200" s="549"/>
      <c r="L200" s="549"/>
      <c r="M200" s="549"/>
      <c r="N200" s="551"/>
      <c r="O200" s="549"/>
      <c r="P200" s="549"/>
      <c r="Q200" s="549"/>
      <c r="R200" s="549"/>
      <c r="S200" s="549"/>
      <c r="T200" s="549"/>
      <c r="U200" s="549"/>
      <c r="V200" s="549"/>
      <c r="W200" s="549"/>
      <c r="X200" s="549"/>
      <c r="Y200" s="549"/>
      <c r="Z200" s="549"/>
    </row>
    <row r="201" spans="1:26" ht="15">
      <c r="A201" s="549"/>
      <c r="B201" s="577"/>
      <c r="C201" s="549"/>
      <c r="D201" s="549"/>
      <c r="E201" s="570"/>
      <c r="F201" s="549"/>
      <c r="G201" s="549"/>
      <c r="H201" s="549"/>
      <c r="I201" s="550"/>
      <c r="J201" s="549"/>
      <c r="K201" s="549"/>
      <c r="L201" s="549"/>
      <c r="M201" s="549"/>
      <c r="N201" s="551"/>
      <c r="O201" s="549"/>
      <c r="P201" s="549"/>
      <c r="Q201" s="549"/>
      <c r="R201" s="549"/>
      <c r="S201" s="549"/>
      <c r="T201" s="549"/>
      <c r="U201" s="549"/>
      <c r="V201" s="549"/>
      <c r="W201" s="549"/>
      <c r="X201" s="549"/>
      <c r="Y201" s="549"/>
      <c r="Z201" s="549"/>
    </row>
    <row r="202" spans="1:26" ht="15">
      <c r="A202" s="549"/>
      <c r="B202" s="577"/>
      <c r="C202" s="549"/>
      <c r="D202" s="549"/>
      <c r="E202" s="570"/>
      <c r="F202" s="549"/>
      <c r="G202" s="549"/>
      <c r="H202" s="549"/>
      <c r="I202" s="550"/>
      <c r="J202" s="549"/>
      <c r="K202" s="549"/>
      <c r="L202" s="549"/>
      <c r="M202" s="549"/>
      <c r="N202" s="551"/>
      <c r="O202" s="549"/>
      <c r="P202" s="549"/>
      <c r="Q202" s="549"/>
      <c r="R202" s="549"/>
      <c r="S202" s="549"/>
      <c r="T202" s="549"/>
      <c r="U202" s="549"/>
      <c r="V202" s="549"/>
      <c r="W202" s="549"/>
      <c r="X202" s="549"/>
      <c r="Y202" s="549"/>
      <c r="Z202" s="549"/>
    </row>
    <row r="203" spans="1:26" ht="15">
      <c r="A203" s="549"/>
      <c r="B203" s="577"/>
      <c r="C203" s="549"/>
      <c r="D203" s="549"/>
      <c r="E203" s="570"/>
      <c r="F203" s="549"/>
      <c r="G203" s="549"/>
      <c r="H203" s="549"/>
      <c r="I203" s="550"/>
      <c r="J203" s="549"/>
      <c r="K203" s="549"/>
      <c r="L203" s="549"/>
      <c r="M203" s="549"/>
      <c r="N203" s="551"/>
      <c r="O203" s="549"/>
      <c r="P203" s="549"/>
      <c r="Q203" s="549"/>
      <c r="R203" s="549"/>
      <c r="S203" s="549"/>
      <c r="T203" s="549"/>
      <c r="U203" s="549"/>
      <c r="V203" s="549"/>
      <c r="W203" s="549"/>
      <c r="X203" s="549"/>
      <c r="Y203" s="549"/>
      <c r="Z203" s="549"/>
    </row>
    <row r="204" spans="1:26" ht="15">
      <c r="A204" s="549"/>
      <c r="B204" s="577"/>
      <c r="C204" s="549"/>
      <c r="D204" s="549"/>
      <c r="E204" s="570"/>
      <c r="F204" s="549"/>
      <c r="G204" s="549"/>
      <c r="H204" s="549"/>
      <c r="I204" s="550"/>
      <c r="J204" s="549"/>
      <c r="K204" s="549"/>
      <c r="L204" s="549"/>
      <c r="M204" s="549"/>
      <c r="N204" s="551"/>
      <c r="O204" s="549"/>
      <c r="P204" s="549"/>
      <c r="Q204" s="549"/>
      <c r="R204" s="549"/>
      <c r="S204" s="549"/>
      <c r="T204" s="549"/>
      <c r="U204" s="549"/>
      <c r="V204" s="549"/>
      <c r="W204" s="549"/>
      <c r="X204" s="549"/>
      <c r="Y204" s="549"/>
      <c r="Z204" s="549"/>
    </row>
    <row r="205" spans="1:26" ht="15">
      <c r="A205" s="549"/>
      <c r="B205" s="577"/>
      <c r="C205" s="549"/>
      <c r="D205" s="549"/>
      <c r="E205" s="570"/>
      <c r="F205" s="549"/>
      <c r="G205" s="549"/>
      <c r="H205" s="549"/>
      <c r="I205" s="550"/>
      <c r="J205" s="549"/>
      <c r="K205" s="549"/>
      <c r="L205" s="549"/>
      <c r="M205" s="549"/>
      <c r="N205" s="551"/>
      <c r="O205" s="549"/>
      <c r="P205" s="549"/>
      <c r="Q205" s="549"/>
      <c r="R205" s="549"/>
      <c r="S205" s="549"/>
      <c r="T205" s="549"/>
      <c r="U205" s="549"/>
      <c r="V205" s="549"/>
      <c r="W205" s="549"/>
      <c r="X205" s="549"/>
      <c r="Y205" s="549"/>
      <c r="Z205" s="549"/>
    </row>
    <row r="206" spans="1:26" ht="15">
      <c r="A206" s="549"/>
      <c r="B206" s="577"/>
      <c r="C206" s="549"/>
      <c r="D206" s="549"/>
      <c r="E206" s="570"/>
      <c r="F206" s="549"/>
      <c r="G206" s="549"/>
      <c r="H206" s="549"/>
      <c r="I206" s="550"/>
      <c r="J206" s="549"/>
      <c r="K206" s="549"/>
      <c r="L206" s="549"/>
      <c r="M206" s="549"/>
      <c r="N206" s="551"/>
      <c r="O206" s="549"/>
      <c r="P206" s="549"/>
      <c r="Q206" s="549"/>
      <c r="R206" s="549"/>
      <c r="S206" s="549"/>
      <c r="T206" s="549"/>
      <c r="U206" s="549"/>
      <c r="V206" s="549"/>
      <c r="W206" s="549"/>
      <c r="X206" s="549"/>
      <c r="Y206" s="549"/>
      <c r="Z206" s="549"/>
    </row>
    <row r="207" spans="1:26" ht="15">
      <c r="A207" s="549"/>
      <c r="B207" s="577"/>
      <c r="C207" s="549"/>
      <c r="D207" s="549"/>
      <c r="E207" s="570"/>
      <c r="F207" s="549"/>
      <c r="G207" s="549"/>
      <c r="H207" s="549"/>
      <c r="I207" s="550"/>
      <c r="J207" s="549"/>
      <c r="K207" s="549"/>
      <c r="L207" s="549"/>
      <c r="M207" s="549"/>
      <c r="N207" s="551"/>
      <c r="O207" s="549"/>
      <c r="P207" s="549"/>
      <c r="Q207" s="549"/>
      <c r="R207" s="549"/>
      <c r="S207" s="549"/>
      <c r="T207" s="549"/>
      <c r="U207" s="549"/>
      <c r="V207" s="549"/>
      <c r="W207" s="549"/>
      <c r="X207" s="549"/>
      <c r="Y207" s="549"/>
      <c r="Z207" s="549"/>
    </row>
    <row r="208" spans="1:26" ht="15">
      <c r="A208" s="549"/>
      <c r="B208" s="577"/>
      <c r="C208" s="549"/>
      <c r="D208" s="549"/>
      <c r="E208" s="570"/>
      <c r="F208" s="549"/>
      <c r="G208" s="549"/>
      <c r="H208" s="549"/>
      <c r="I208" s="550"/>
      <c r="J208" s="549"/>
      <c r="K208" s="549"/>
      <c r="L208" s="549"/>
      <c r="M208" s="549"/>
      <c r="N208" s="551"/>
      <c r="O208" s="549"/>
      <c r="P208" s="549"/>
      <c r="Q208" s="549"/>
      <c r="R208" s="549"/>
      <c r="S208" s="549"/>
      <c r="T208" s="549"/>
      <c r="U208" s="549"/>
      <c r="V208" s="549"/>
      <c r="W208" s="549"/>
      <c r="X208" s="549"/>
      <c r="Y208" s="549"/>
      <c r="Z208" s="549"/>
    </row>
    <row r="209" spans="1:26" ht="15">
      <c r="A209" s="549"/>
      <c r="B209" s="577"/>
      <c r="C209" s="549"/>
      <c r="D209" s="549"/>
      <c r="E209" s="570"/>
      <c r="F209" s="549"/>
      <c r="G209" s="549"/>
      <c r="H209" s="549"/>
      <c r="I209" s="550"/>
      <c r="J209" s="549"/>
      <c r="K209" s="549"/>
      <c r="L209" s="549"/>
      <c r="M209" s="549"/>
      <c r="N209" s="551"/>
      <c r="O209" s="549"/>
      <c r="P209" s="549"/>
      <c r="Q209" s="549"/>
      <c r="R209" s="549"/>
      <c r="S209" s="549"/>
      <c r="T209" s="549"/>
      <c r="U209" s="549"/>
      <c r="V209" s="549"/>
      <c r="W209" s="549"/>
      <c r="X209" s="549"/>
      <c r="Y209" s="549"/>
      <c r="Z209" s="549"/>
    </row>
    <row r="210" spans="1:26" ht="15">
      <c r="A210" s="549"/>
      <c r="B210" s="577"/>
      <c r="C210" s="549"/>
      <c r="D210" s="549"/>
      <c r="E210" s="570"/>
      <c r="F210" s="549"/>
      <c r="G210" s="549"/>
      <c r="H210" s="549"/>
      <c r="I210" s="550"/>
      <c r="J210" s="549"/>
      <c r="K210" s="549"/>
      <c r="L210" s="549"/>
      <c r="M210" s="549"/>
      <c r="N210" s="551"/>
      <c r="O210" s="549"/>
      <c r="P210" s="549"/>
      <c r="Q210" s="549"/>
      <c r="R210" s="549"/>
      <c r="S210" s="549"/>
      <c r="T210" s="549"/>
      <c r="U210" s="549"/>
      <c r="V210" s="549"/>
      <c r="W210" s="549"/>
      <c r="X210" s="549"/>
      <c r="Y210" s="549"/>
      <c r="Z210" s="549"/>
    </row>
    <row r="211" spans="1:26" ht="15">
      <c r="A211" s="549"/>
      <c r="B211" s="577"/>
      <c r="C211" s="549"/>
      <c r="D211" s="549"/>
      <c r="E211" s="570"/>
      <c r="F211" s="549"/>
      <c r="G211" s="549"/>
      <c r="H211" s="549"/>
      <c r="I211" s="550"/>
      <c r="J211" s="549"/>
      <c r="K211" s="549"/>
      <c r="L211" s="549"/>
      <c r="M211" s="549"/>
      <c r="N211" s="551"/>
      <c r="O211" s="549"/>
      <c r="P211" s="549"/>
      <c r="Q211" s="549"/>
      <c r="R211" s="549"/>
      <c r="S211" s="549"/>
      <c r="T211" s="549"/>
      <c r="U211" s="549"/>
      <c r="V211" s="549"/>
      <c r="W211" s="549"/>
      <c r="X211" s="549"/>
      <c r="Y211" s="549"/>
      <c r="Z211" s="549"/>
    </row>
    <row r="212" spans="1:26" ht="15">
      <c r="A212" s="549"/>
      <c r="B212" s="577"/>
      <c r="C212" s="549"/>
      <c r="D212" s="549"/>
      <c r="E212" s="570"/>
      <c r="F212" s="549"/>
      <c r="G212" s="549"/>
      <c r="H212" s="549"/>
      <c r="I212" s="550"/>
      <c r="J212" s="549"/>
      <c r="K212" s="549"/>
      <c r="L212" s="549"/>
      <c r="M212" s="549"/>
      <c r="N212" s="551"/>
      <c r="O212" s="549"/>
      <c r="P212" s="549"/>
      <c r="Q212" s="549"/>
      <c r="R212" s="549"/>
      <c r="S212" s="549"/>
      <c r="T212" s="549"/>
      <c r="U212" s="549"/>
      <c r="V212" s="549"/>
      <c r="W212" s="549"/>
      <c r="X212" s="549"/>
      <c r="Y212" s="549"/>
      <c r="Z212" s="549"/>
    </row>
    <row r="213" spans="1:26" ht="15">
      <c r="A213" s="549"/>
      <c r="B213" s="577"/>
      <c r="C213" s="549"/>
      <c r="D213" s="549"/>
      <c r="E213" s="570"/>
      <c r="F213" s="549"/>
      <c r="G213" s="549"/>
      <c r="H213" s="549"/>
      <c r="I213" s="550"/>
      <c r="J213" s="549"/>
      <c r="K213" s="549"/>
      <c r="L213" s="549"/>
      <c r="M213" s="549"/>
      <c r="N213" s="551"/>
      <c r="O213" s="549"/>
      <c r="P213" s="549"/>
      <c r="Q213" s="549"/>
      <c r="R213" s="549"/>
      <c r="S213" s="549"/>
      <c r="T213" s="549"/>
      <c r="U213" s="549"/>
      <c r="V213" s="549"/>
      <c r="W213" s="549"/>
      <c r="X213" s="549"/>
      <c r="Y213" s="549"/>
      <c r="Z213" s="549"/>
    </row>
    <row r="214" spans="1:26" ht="15">
      <c r="A214" s="549"/>
      <c r="B214" s="577"/>
      <c r="C214" s="549"/>
      <c r="D214" s="549"/>
      <c r="E214" s="570"/>
      <c r="F214" s="549"/>
      <c r="G214" s="549"/>
      <c r="H214" s="549"/>
      <c r="I214" s="550"/>
      <c r="J214" s="549"/>
      <c r="K214" s="549"/>
      <c r="L214" s="549"/>
      <c r="M214" s="549"/>
      <c r="N214" s="551"/>
      <c r="O214" s="549"/>
      <c r="P214" s="549"/>
      <c r="Q214" s="549"/>
      <c r="R214" s="549"/>
      <c r="S214" s="549"/>
      <c r="T214" s="549"/>
      <c r="U214" s="549"/>
      <c r="V214" s="549"/>
      <c r="W214" s="549"/>
      <c r="X214" s="549"/>
      <c r="Y214" s="549"/>
      <c r="Z214" s="549"/>
    </row>
    <row r="215" spans="1:26" ht="15">
      <c r="A215" s="549"/>
      <c r="B215" s="577"/>
      <c r="C215" s="549"/>
      <c r="D215" s="549"/>
      <c r="E215" s="570"/>
      <c r="F215" s="549"/>
      <c r="G215" s="549"/>
      <c r="H215" s="549"/>
      <c r="I215" s="550"/>
      <c r="J215" s="549"/>
      <c r="K215" s="549"/>
      <c r="L215" s="549"/>
      <c r="M215" s="549"/>
      <c r="N215" s="551"/>
      <c r="O215" s="549"/>
      <c r="P215" s="549"/>
      <c r="Q215" s="549"/>
      <c r="R215" s="549"/>
      <c r="S215" s="549"/>
      <c r="T215" s="549"/>
      <c r="U215" s="549"/>
      <c r="V215" s="549"/>
      <c r="W215" s="549"/>
      <c r="X215" s="549"/>
      <c r="Y215" s="549"/>
      <c r="Z215" s="549"/>
    </row>
    <row r="216" spans="1:26" ht="15">
      <c r="A216" s="549"/>
      <c r="B216" s="577"/>
      <c r="C216" s="549"/>
      <c r="D216" s="549"/>
      <c r="E216" s="570"/>
      <c r="F216" s="549"/>
      <c r="G216" s="549"/>
      <c r="H216" s="549"/>
      <c r="I216" s="550"/>
      <c r="J216" s="549"/>
      <c r="K216" s="549"/>
      <c r="L216" s="549"/>
      <c r="M216" s="549"/>
      <c r="N216" s="551"/>
      <c r="O216" s="549"/>
      <c r="P216" s="549"/>
      <c r="Q216" s="549"/>
      <c r="R216" s="549"/>
      <c r="S216" s="549"/>
      <c r="T216" s="549"/>
      <c r="U216" s="549"/>
      <c r="V216" s="549"/>
      <c r="W216" s="549"/>
      <c r="X216" s="549"/>
      <c r="Y216" s="549"/>
      <c r="Z216" s="549"/>
    </row>
    <row r="217" spans="1:26" ht="15">
      <c r="A217" s="549"/>
      <c r="B217" s="577"/>
      <c r="C217" s="549"/>
      <c r="D217" s="549"/>
      <c r="E217" s="570"/>
      <c r="F217" s="549"/>
      <c r="G217" s="549"/>
      <c r="H217" s="549"/>
      <c r="I217" s="550"/>
      <c r="J217" s="549"/>
      <c r="K217" s="549"/>
      <c r="L217" s="549"/>
      <c r="M217" s="549"/>
      <c r="N217" s="551"/>
      <c r="O217" s="549"/>
      <c r="P217" s="549"/>
      <c r="Q217" s="549"/>
      <c r="R217" s="549"/>
      <c r="S217" s="549"/>
      <c r="T217" s="549"/>
      <c r="U217" s="549"/>
      <c r="V217" s="549"/>
      <c r="W217" s="549"/>
      <c r="X217" s="549"/>
      <c r="Y217" s="549"/>
      <c r="Z217" s="549"/>
    </row>
    <row r="218" spans="1:26" ht="15">
      <c r="A218" s="549"/>
      <c r="B218" s="577"/>
      <c r="C218" s="549"/>
      <c r="D218" s="549"/>
      <c r="E218" s="570"/>
      <c r="F218" s="549"/>
      <c r="G218" s="549"/>
      <c r="H218" s="549"/>
      <c r="I218" s="550"/>
      <c r="J218" s="549"/>
      <c r="K218" s="549"/>
      <c r="L218" s="549"/>
      <c r="M218" s="549"/>
      <c r="N218" s="551"/>
      <c r="O218" s="549"/>
      <c r="P218" s="549"/>
      <c r="Q218" s="549"/>
      <c r="R218" s="549"/>
      <c r="S218" s="549"/>
      <c r="T218" s="549"/>
      <c r="U218" s="549"/>
      <c r="V218" s="549"/>
      <c r="W218" s="549"/>
      <c r="X218" s="549"/>
      <c r="Y218" s="549"/>
      <c r="Z218" s="549"/>
    </row>
    <row r="219" spans="1:26" ht="15">
      <c r="A219" s="549"/>
      <c r="B219" s="577"/>
      <c r="C219" s="549"/>
      <c r="D219" s="549"/>
      <c r="E219" s="570"/>
      <c r="F219" s="549"/>
      <c r="G219" s="549"/>
      <c r="H219" s="549"/>
      <c r="I219" s="550"/>
      <c r="J219" s="549"/>
      <c r="K219" s="549"/>
      <c r="L219" s="549"/>
      <c r="M219" s="549"/>
      <c r="N219" s="551"/>
      <c r="O219" s="549"/>
      <c r="P219" s="549"/>
      <c r="Q219" s="549"/>
      <c r="R219" s="549"/>
      <c r="S219" s="549"/>
      <c r="T219" s="549"/>
      <c r="U219" s="549"/>
      <c r="V219" s="549"/>
      <c r="W219" s="549"/>
      <c r="X219" s="549"/>
      <c r="Y219" s="549"/>
      <c r="Z219" s="549"/>
    </row>
    <row r="220" spans="1:26" ht="15">
      <c r="A220" s="549"/>
      <c r="B220" s="577"/>
      <c r="C220" s="549"/>
      <c r="D220" s="549"/>
      <c r="E220" s="570"/>
      <c r="F220" s="549"/>
      <c r="G220" s="549"/>
      <c r="H220" s="549"/>
      <c r="I220" s="550"/>
      <c r="J220" s="549"/>
      <c r="K220" s="549"/>
      <c r="L220" s="549"/>
      <c r="M220" s="549"/>
      <c r="N220" s="551"/>
      <c r="O220" s="549"/>
      <c r="P220" s="549"/>
      <c r="Q220" s="549"/>
      <c r="R220" s="549"/>
      <c r="S220" s="549"/>
      <c r="T220" s="549"/>
      <c r="U220" s="549"/>
      <c r="V220" s="549"/>
      <c r="W220" s="549"/>
      <c r="X220" s="549"/>
      <c r="Y220" s="549"/>
      <c r="Z220" s="549"/>
    </row>
    <row r="221" spans="1:26" ht="15">
      <c r="A221" s="549"/>
      <c r="B221" s="577"/>
      <c r="C221" s="549"/>
      <c r="D221" s="549"/>
      <c r="E221" s="570"/>
      <c r="F221" s="549"/>
      <c r="G221" s="549"/>
      <c r="H221" s="549"/>
      <c r="I221" s="550"/>
      <c r="J221" s="549"/>
      <c r="K221" s="549"/>
      <c r="L221" s="549"/>
      <c r="M221" s="549"/>
      <c r="N221" s="551"/>
      <c r="O221" s="549"/>
      <c r="P221" s="549"/>
      <c r="Q221" s="549"/>
      <c r="R221" s="549"/>
      <c r="S221" s="549"/>
      <c r="T221" s="549"/>
      <c r="U221" s="549"/>
      <c r="V221" s="549"/>
      <c r="W221" s="549"/>
      <c r="X221" s="549"/>
      <c r="Y221" s="549"/>
      <c r="Z221" s="549"/>
    </row>
    <row r="222" spans="1:26" ht="15">
      <c r="A222" s="549"/>
      <c r="B222" s="577"/>
      <c r="C222" s="549"/>
      <c r="D222" s="549"/>
      <c r="E222" s="570"/>
      <c r="F222" s="549"/>
      <c r="G222" s="549"/>
      <c r="H222" s="549"/>
      <c r="I222" s="550"/>
      <c r="J222" s="549"/>
      <c r="K222" s="549"/>
      <c r="L222" s="549"/>
      <c r="M222" s="549"/>
      <c r="N222" s="551"/>
      <c r="O222" s="549"/>
      <c r="P222" s="549"/>
      <c r="Q222" s="549"/>
      <c r="R222" s="549"/>
      <c r="S222" s="549"/>
      <c r="T222" s="549"/>
      <c r="U222" s="549"/>
      <c r="V222" s="549"/>
      <c r="W222" s="549"/>
      <c r="X222" s="549"/>
      <c r="Y222" s="549"/>
      <c r="Z222" s="549"/>
    </row>
    <row r="223" spans="1:26" ht="15">
      <c r="A223" s="549"/>
      <c r="B223" s="577"/>
      <c r="C223" s="549"/>
      <c r="D223" s="549"/>
      <c r="E223" s="570"/>
      <c r="F223" s="549"/>
      <c r="G223" s="549"/>
      <c r="H223" s="549"/>
      <c r="I223" s="550"/>
      <c r="J223" s="549"/>
      <c r="K223" s="549"/>
      <c r="L223" s="549"/>
      <c r="M223" s="549"/>
      <c r="N223" s="551"/>
      <c r="O223" s="549"/>
      <c r="P223" s="549"/>
      <c r="Q223" s="549"/>
      <c r="R223" s="549"/>
      <c r="S223" s="549"/>
      <c r="T223" s="549"/>
      <c r="U223" s="549"/>
      <c r="V223" s="549"/>
      <c r="W223" s="549"/>
      <c r="X223" s="549"/>
      <c r="Y223" s="549"/>
      <c r="Z223" s="549"/>
    </row>
    <row r="224" spans="1:26" ht="15">
      <c r="A224" s="549"/>
      <c r="B224" s="554"/>
      <c r="C224" s="549"/>
      <c r="D224" s="549"/>
      <c r="E224" s="570"/>
      <c r="F224" s="549"/>
      <c r="G224" s="549"/>
      <c r="H224" s="549"/>
      <c r="I224" s="550"/>
      <c r="J224" s="549"/>
      <c r="K224" s="549"/>
      <c r="L224" s="549"/>
      <c r="M224" s="549"/>
      <c r="N224" s="551"/>
      <c r="O224" s="549"/>
      <c r="P224" s="549"/>
      <c r="Q224" s="549"/>
      <c r="R224" s="549"/>
      <c r="S224" s="549"/>
      <c r="T224" s="549"/>
      <c r="U224" s="549"/>
      <c r="V224" s="549"/>
      <c r="W224" s="549"/>
      <c r="X224" s="549"/>
      <c r="Y224" s="549"/>
      <c r="Z224" s="549"/>
    </row>
    <row r="225" spans="1:26" ht="15">
      <c r="A225" s="549"/>
      <c r="B225" s="554"/>
      <c r="C225" s="549"/>
      <c r="D225" s="549"/>
      <c r="E225" s="570"/>
      <c r="F225" s="549"/>
      <c r="G225" s="549"/>
      <c r="H225" s="549"/>
      <c r="I225" s="550"/>
      <c r="J225" s="549"/>
      <c r="K225" s="549"/>
      <c r="L225" s="549"/>
      <c r="M225" s="549"/>
      <c r="N225" s="551"/>
      <c r="O225" s="549"/>
      <c r="P225" s="549"/>
      <c r="Q225" s="549"/>
      <c r="R225" s="549"/>
      <c r="S225" s="549"/>
      <c r="T225" s="549"/>
      <c r="U225" s="549"/>
      <c r="V225" s="549"/>
      <c r="W225" s="549"/>
      <c r="X225" s="549"/>
      <c r="Y225" s="549"/>
      <c r="Z225" s="549"/>
    </row>
    <row r="226" spans="1:26" ht="15">
      <c r="A226" s="549"/>
      <c r="B226" s="554"/>
      <c r="C226" s="549"/>
      <c r="D226" s="549"/>
      <c r="E226" s="570"/>
      <c r="F226" s="549"/>
      <c r="G226" s="549"/>
      <c r="H226" s="549"/>
      <c r="I226" s="550"/>
      <c r="J226" s="549"/>
      <c r="K226" s="549"/>
      <c r="L226" s="549"/>
      <c r="M226" s="549"/>
      <c r="N226" s="551"/>
      <c r="O226" s="549"/>
      <c r="P226" s="549"/>
      <c r="Q226" s="549"/>
      <c r="R226" s="549"/>
      <c r="S226" s="549"/>
      <c r="T226" s="549"/>
      <c r="U226" s="549"/>
      <c r="V226" s="549"/>
      <c r="W226" s="549"/>
      <c r="X226" s="549"/>
      <c r="Y226" s="549"/>
      <c r="Z226" s="549"/>
    </row>
    <row r="227" spans="1:26" ht="15">
      <c r="A227" s="549"/>
      <c r="B227" s="554"/>
      <c r="C227" s="549"/>
      <c r="D227" s="549"/>
      <c r="E227" s="570"/>
      <c r="F227" s="549"/>
      <c r="G227" s="549"/>
      <c r="H227" s="549"/>
      <c r="I227" s="550"/>
      <c r="J227" s="549"/>
      <c r="K227" s="549"/>
      <c r="L227" s="549"/>
      <c r="M227" s="549"/>
      <c r="N227" s="551"/>
      <c r="O227" s="549"/>
      <c r="P227" s="549"/>
      <c r="Q227" s="549"/>
      <c r="R227" s="549"/>
      <c r="S227" s="549"/>
      <c r="T227" s="549"/>
      <c r="U227" s="549"/>
      <c r="V227" s="549"/>
      <c r="W227" s="549"/>
      <c r="X227" s="549"/>
      <c r="Y227" s="549"/>
      <c r="Z227" s="549"/>
    </row>
    <row r="228" spans="1:26" ht="15">
      <c r="A228" s="549"/>
      <c r="B228" s="554"/>
      <c r="C228" s="549"/>
      <c r="D228" s="549"/>
      <c r="E228" s="570"/>
      <c r="F228" s="549"/>
      <c r="G228" s="549"/>
      <c r="H228" s="549"/>
      <c r="I228" s="550"/>
      <c r="J228" s="549"/>
      <c r="K228" s="549"/>
      <c r="L228" s="549"/>
      <c r="M228" s="549"/>
      <c r="N228" s="551"/>
      <c r="O228" s="549"/>
      <c r="P228" s="549"/>
      <c r="Q228" s="549"/>
      <c r="R228" s="549"/>
      <c r="S228" s="549"/>
      <c r="T228" s="549"/>
      <c r="U228" s="549"/>
      <c r="V228" s="549"/>
      <c r="W228" s="549"/>
      <c r="X228" s="549"/>
      <c r="Y228" s="549"/>
      <c r="Z228" s="549"/>
    </row>
    <row r="229" spans="1:26" ht="15">
      <c r="A229" s="549"/>
      <c r="B229" s="554"/>
      <c r="C229" s="549"/>
      <c r="D229" s="549"/>
      <c r="E229" s="570"/>
      <c r="F229" s="549"/>
      <c r="G229" s="549"/>
      <c r="H229" s="549"/>
      <c r="I229" s="550"/>
      <c r="J229" s="549"/>
      <c r="K229" s="549"/>
      <c r="L229" s="549"/>
      <c r="M229" s="549"/>
      <c r="N229" s="551"/>
      <c r="O229" s="549"/>
      <c r="P229" s="549"/>
      <c r="Q229" s="549"/>
      <c r="R229" s="549"/>
      <c r="S229" s="549"/>
      <c r="T229" s="549"/>
      <c r="U229" s="549"/>
      <c r="V229" s="549"/>
      <c r="W229" s="549"/>
      <c r="X229" s="549"/>
      <c r="Y229" s="549"/>
      <c r="Z229" s="549"/>
    </row>
    <row r="230" spans="1:26" ht="15">
      <c r="A230" s="549"/>
      <c r="B230" s="554"/>
      <c r="C230" s="549"/>
      <c r="D230" s="549"/>
      <c r="E230" s="570"/>
      <c r="F230" s="549"/>
      <c r="G230" s="549"/>
      <c r="H230" s="549"/>
      <c r="I230" s="550"/>
      <c r="J230" s="549"/>
      <c r="K230" s="549"/>
      <c r="L230" s="549"/>
      <c r="M230" s="549"/>
      <c r="N230" s="551"/>
      <c r="O230" s="549"/>
      <c r="P230" s="549"/>
      <c r="Q230" s="549"/>
      <c r="R230" s="549"/>
      <c r="S230" s="549"/>
      <c r="T230" s="549"/>
      <c r="U230" s="549"/>
      <c r="V230" s="549"/>
      <c r="W230" s="549"/>
      <c r="X230" s="549"/>
      <c r="Y230" s="549"/>
      <c r="Z230" s="549"/>
    </row>
    <row r="231" spans="1:26" ht="15">
      <c r="A231" s="549"/>
      <c r="B231" s="554"/>
      <c r="C231" s="549"/>
      <c r="D231" s="549"/>
      <c r="E231" s="570"/>
      <c r="F231" s="549"/>
      <c r="G231" s="549"/>
      <c r="H231" s="549"/>
      <c r="I231" s="550"/>
      <c r="J231" s="549"/>
      <c r="K231" s="549"/>
      <c r="L231" s="549"/>
      <c r="M231" s="549"/>
      <c r="N231" s="551"/>
      <c r="O231" s="549"/>
      <c r="P231" s="549"/>
      <c r="Q231" s="549"/>
      <c r="R231" s="549"/>
      <c r="S231" s="549"/>
      <c r="T231" s="549"/>
      <c r="U231" s="549"/>
      <c r="V231" s="549"/>
      <c r="W231" s="549"/>
      <c r="X231" s="549"/>
      <c r="Y231" s="549"/>
      <c r="Z231" s="549"/>
    </row>
    <row r="232" spans="1:26" ht="15">
      <c r="A232" s="549"/>
      <c r="B232" s="554"/>
      <c r="C232" s="549"/>
      <c r="D232" s="549"/>
      <c r="E232" s="570"/>
      <c r="F232" s="549"/>
      <c r="G232" s="549"/>
      <c r="H232" s="549"/>
      <c r="I232" s="550"/>
      <c r="J232" s="549"/>
      <c r="K232" s="549"/>
      <c r="L232" s="549"/>
      <c r="M232" s="549"/>
      <c r="N232" s="551"/>
      <c r="O232" s="549"/>
      <c r="P232" s="549"/>
      <c r="Q232" s="549"/>
      <c r="R232" s="549"/>
      <c r="S232" s="549"/>
      <c r="T232" s="549"/>
      <c r="U232" s="549"/>
      <c r="V232" s="549"/>
      <c r="W232" s="549"/>
      <c r="X232" s="549"/>
      <c r="Y232" s="549"/>
      <c r="Z232" s="549"/>
    </row>
    <row r="233" spans="1:26" ht="15">
      <c r="A233" s="549"/>
      <c r="B233" s="554"/>
      <c r="C233" s="549"/>
      <c r="D233" s="549"/>
      <c r="E233" s="570"/>
      <c r="F233" s="549"/>
      <c r="G233" s="549"/>
      <c r="H233" s="549"/>
      <c r="I233" s="550"/>
      <c r="J233" s="549"/>
      <c r="K233" s="549"/>
      <c r="L233" s="549"/>
      <c r="M233" s="549"/>
      <c r="N233" s="551"/>
      <c r="O233" s="549"/>
      <c r="P233" s="549"/>
      <c r="Q233" s="549"/>
      <c r="R233" s="549"/>
      <c r="S233" s="549"/>
      <c r="T233" s="549"/>
      <c r="U233" s="549"/>
      <c r="V233" s="549"/>
      <c r="W233" s="549"/>
      <c r="X233" s="549"/>
      <c r="Y233" s="549"/>
      <c r="Z233" s="549"/>
    </row>
    <row r="234" spans="1:26" ht="15">
      <c r="A234" s="549"/>
      <c r="B234" s="554"/>
      <c r="C234" s="549"/>
      <c r="D234" s="549"/>
      <c r="E234" s="570"/>
      <c r="F234" s="549"/>
      <c r="G234" s="549"/>
      <c r="H234" s="549"/>
      <c r="I234" s="550"/>
      <c r="J234" s="549"/>
      <c r="K234" s="549"/>
      <c r="L234" s="549"/>
      <c r="M234" s="549"/>
      <c r="N234" s="551"/>
      <c r="O234" s="549"/>
      <c r="P234" s="549"/>
      <c r="Q234" s="549"/>
      <c r="R234" s="549"/>
      <c r="S234" s="549"/>
      <c r="T234" s="549"/>
      <c r="U234" s="549"/>
      <c r="V234" s="549"/>
      <c r="W234" s="549"/>
      <c r="X234" s="549"/>
      <c r="Y234" s="549"/>
      <c r="Z234" s="549"/>
    </row>
    <row r="235" spans="1:26" ht="15">
      <c r="A235" s="549"/>
      <c r="B235" s="554"/>
      <c r="C235" s="549"/>
      <c r="D235" s="549"/>
      <c r="E235" s="570"/>
      <c r="F235" s="549"/>
      <c r="G235" s="549"/>
      <c r="H235" s="549"/>
      <c r="I235" s="550"/>
      <c r="J235" s="549"/>
      <c r="K235" s="549"/>
      <c r="L235" s="549"/>
      <c r="M235" s="549"/>
      <c r="N235" s="551"/>
      <c r="O235" s="549"/>
      <c r="P235" s="549"/>
      <c r="Q235" s="549"/>
      <c r="R235" s="549"/>
      <c r="S235" s="549"/>
      <c r="T235" s="549"/>
      <c r="U235" s="549"/>
      <c r="V235" s="549"/>
      <c r="W235" s="549"/>
      <c r="X235" s="549"/>
      <c r="Y235" s="549"/>
      <c r="Z235" s="549"/>
    </row>
    <row r="236" spans="1:26" ht="15">
      <c r="A236" s="549"/>
      <c r="B236" s="554"/>
      <c r="C236" s="549"/>
      <c r="D236" s="549"/>
      <c r="E236" s="570"/>
      <c r="F236" s="549"/>
      <c r="G236" s="549"/>
      <c r="H236" s="549"/>
      <c r="I236" s="550"/>
      <c r="J236" s="549"/>
      <c r="K236" s="549"/>
      <c r="L236" s="549"/>
      <c r="M236" s="549"/>
      <c r="N236" s="551"/>
      <c r="O236" s="549"/>
      <c r="P236" s="549"/>
      <c r="Q236" s="549"/>
      <c r="R236" s="549"/>
      <c r="S236" s="549"/>
      <c r="T236" s="549"/>
      <c r="U236" s="549"/>
      <c r="V236" s="549"/>
      <c r="W236" s="549"/>
      <c r="X236" s="549"/>
      <c r="Y236" s="549"/>
      <c r="Z236" s="549"/>
    </row>
    <row r="237" spans="1:26" ht="15">
      <c r="A237" s="549"/>
      <c r="B237" s="554"/>
      <c r="C237" s="549"/>
      <c r="D237" s="549"/>
      <c r="E237" s="570"/>
      <c r="F237" s="549"/>
      <c r="G237" s="549"/>
      <c r="H237" s="549"/>
      <c r="I237" s="550"/>
      <c r="J237" s="549"/>
      <c r="K237" s="549"/>
      <c r="L237" s="549"/>
      <c r="M237" s="549"/>
      <c r="N237" s="551"/>
      <c r="O237" s="549"/>
      <c r="P237" s="549"/>
      <c r="Q237" s="549"/>
      <c r="R237" s="549"/>
      <c r="S237" s="549"/>
      <c r="T237" s="549"/>
      <c r="U237" s="549"/>
      <c r="V237" s="549"/>
      <c r="W237" s="549"/>
      <c r="X237" s="549"/>
      <c r="Y237" s="549"/>
      <c r="Z237" s="549"/>
    </row>
    <row r="238" spans="1:26" ht="15">
      <c r="A238" s="549"/>
      <c r="B238" s="554"/>
      <c r="C238" s="549"/>
      <c r="D238" s="549"/>
      <c r="E238" s="570"/>
      <c r="F238" s="549"/>
      <c r="G238" s="549"/>
      <c r="H238" s="549"/>
      <c r="I238" s="550"/>
      <c r="J238" s="549"/>
      <c r="K238" s="549"/>
      <c r="L238" s="549"/>
      <c r="M238" s="549"/>
      <c r="N238" s="551"/>
      <c r="O238" s="549"/>
      <c r="P238" s="549"/>
      <c r="Q238" s="549"/>
      <c r="R238" s="549"/>
      <c r="S238" s="549"/>
      <c r="T238" s="549"/>
      <c r="U238" s="549"/>
      <c r="V238" s="549"/>
      <c r="W238" s="549"/>
      <c r="X238" s="549"/>
      <c r="Y238" s="549"/>
      <c r="Z238" s="549"/>
    </row>
    <row r="239" spans="1:26" ht="15">
      <c r="A239" s="549"/>
      <c r="B239" s="554"/>
      <c r="C239" s="549"/>
      <c r="D239" s="549"/>
      <c r="E239" s="570"/>
      <c r="F239" s="549"/>
      <c r="G239" s="549"/>
      <c r="H239" s="549"/>
      <c r="I239" s="550"/>
      <c r="J239" s="549"/>
      <c r="K239" s="549"/>
      <c r="L239" s="549"/>
      <c r="M239" s="549"/>
      <c r="N239" s="551"/>
      <c r="O239" s="549"/>
      <c r="P239" s="549"/>
      <c r="Q239" s="549"/>
      <c r="R239" s="549"/>
      <c r="S239" s="549"/>
      <c r="T239" s="549"/>
      <c r="U239" s="549"/>
      <c r="V239" s="549"/>
      <c r="W239" s="549"/>
      <c r="X239" s="549"/>
      <c r="Y239" s="549"/>
      <c r="Z239" s="549"/>
    </row>
    <row r="240" spans="1:26" ht="15">
      <c r="A240" s="549"/>
      <c r="B240" s="554"/>
      <c r="C240" s="549"/>
      <c r="D240" s="549"/>
      <c r="E240" s="570"/>
      <c r="F240" s="549"/>
      <c r="G240" s="549"/>
      <c r="H240" s="549"/>
      <c r="I240" s="550"/>
      <c r="J240" s="549"/>
      <c r="K240" s="549"/>
      <c r="L240" s="549"/>
      <c r="M240" s="549"/>
      <c r="N240" s="551"/>
      <c r="O240" s="549"/>
      <c r="P240" s="549"/>
      <c r="Q240" s="549"/>
      <c r="R240" s="549"/>
      <c r="S240" s="549"/>
      <c r="T240" s="549"/>
      <c r="U240" s="549"/>
      <c r="V240" s="549"/>
      <c r="W240" s="549"/>
      <c r="X240" s="549"/>
      <c r="Y240" s="549"/>
      <c r="Z240" s="549"/>
    </row>
    <row r="241" spans="1:26" ht="15">
      <c r="A241" s="549"/>
      <c r="B241" s="554"/>
      <c r="C241" s="549"/>
      <c r="D241" s="549"/>
      <c r="E241" s="570"/>
      <c r="F241" s="549"/>
      <c r="G241" s="549"/>
      <c r="H241" s="549"/>
      <c r="I241" s="550"/>
      <c r="J241" s="549"/>
      <c r="K241" s="549"/>
      <c r="L241" s="549"/>
      <c r="M241" s="549"/>
      <c r="N241" s="551"/>
      <c r="O241" s="549"/>
      <c r="P241" s="549"/>
      <c r="Q241" s="549"/>
      <c r="R241" s="549"/>
      <c r="S241" s="549"/>
      <c r="T241" s="549"/>
      <c r="U241" s="549"/>
      <c r="V241" s="549"/>
      <c r="W241" s="549"/>
      <c r="X241" s="549"/>
      <c r="Y241" s="549"/>
      <c r="Z241" s="549"/>
    </row>
    <row r="242" spans="1:26" ht="15">
      <c r="A242" s="549"/>
      <c r="B242" s="554"/>
      <c r="C242" s="549"/>
      <c r="D242" s="549"/>
      <c r="E242" s="570"/>
      <c r="F242" s="549"/>
      <c r="G242" s="549"/>
      <c r="H242" s="549"/>
      <c r="I242" s="550"/>
      <c r="J242" s="549"/>
      <c r="K242" s="549"/>
      <c r="L242" s="549"/>
      <c r="M242" s="549"/>
      <c r="N242" s="551"/>
      <c r="O242" s="549"/>
      <c r="P242" s="549"/>
      <c r="Q242" s="549"/>
      <c r="R242" s="549"/>
      <c r="S242" s="549"/>
      <c r="T242" s="549"/>
      <c r="U242" s="549"/>
      <c r="V242" s="549"/>
      <c r="W242" s="549"/>
      <c r="X242" s="549"/>
      <c r="Y242" s="549"/>
      <c r="Z242" s="549"/>
    </row>
    <row r="243" spans="1:26" ht="15">
      <c r="A243" s="549"/>
      <c r="B243" s="554"/>
      <c r="C243" s="549"/>
      <c r="D243" s="549"/>
      <c r="E243" s="570"/>
      <c r="F243" s="549"/>
      <c r="G243" s="549"/>
      <c r="H243" s="549"/>
      <c r="I243" s="550"/>
      <c r="J243" s="549"/>
      <c r="K243" s="549"/>
      <c r="L243" s="549"/>
      <c r="M243" s="549"/>
      <c r="N243" s="551"/>
      <c r="O243" s="549"/>
      <c r="P243" s="549"/>
      <c r="Q243" s="549"/>
      <c r="R243" s="549"/>
      <c r="S243" s="549"/>
      <c r="T243" s="549"/>
      <c r="U243" s="549"/>
      <c r="V243" s="549"/>
      <c r="W243" s="549"/>
      <c r="X243" s="549"/>
      <c r="Y243" s="549"/>
      <c r="Z243" s="549"/>
    </row>
    <row r="244" spans="1:26" ht="15">
      <c r="A244" s="549"/>
      <c r="B244" s="554"/>
      <c r="C244" s="549"/>
      <c r="D244" s="549"/>
      <c r="E244" s="570"/>
      <c r="F244" s="549"/>
      <c r="G244" s="549"/>
      <c r="H244" s="549"/>
      <c r="I244" s="550"/>
      <c r="J244" s="549"/>
      <c r="K244" s="549"/>
      <c r="L244" s="549"/>
      <c r="M244" s="549"/>
      <c r="N244" s="551"/>
      <c r="O244" s="549"/>
      <c r="P244" s="549"/>
      <c r="Q244" s="549"/>
      <c r="R244" s="549"/>
      <c r="S244" s="549"/>
      <c r="T244" s="549"/>
      <c r="U244" s="549"/>
      <c r="V244" s="549"/>
      <c r="W244" s="549"/>
      <c r="X244" s="549"/>
      <c r="Y244" s="549"/>
      <c r="Z244" s="549"/>
    </row>
    <row r="245" spans="1:26" ht="15">
      <c r="A245" s="549"/>
      <c r="B245" s="554"/>
      <c r="C245" s="549"/>
      <c r="D245" s="549"/>
      <c r="E245" s="570"/>
      <c r="F245" s="549"/>
      <c r="G245" s="549"/>
      <c r="H245" s="549"/>
      <c r="I245" s="550"/>
      <c r="J245" s="549"/>
      <c r="K245" s="549"/>
      <c r="L245" s="549"/>
      <c r="M245" s="549"/>
      <c r="N245" s="551"/>
      <c r="O245" s="549"/>
      <c r="P245" s="549"/>
      <c r="Q245" s="549"/>
      <c r="R245" s="549"/>
      <c r="S245" s="549"/>
      <c r="T245" s="549"/>
      <c r="U245" s="549"/>
      <c r="V245" s="549"/>
      <c r="W245" s="549"/>
      <c r="X245" s="549"/>
      <c r="Y245" s="549"/>
      <c r="Z245" s="549"/>
    </row>
    <row r="246" spans="1:26" ht="15">
      <c r="A246" s="549"/>
      <c r="B246" s="554"/>
      <c r="C246" s="549"/>
      <c r="D246" s="549"/>
      <c r="E246" s="570"/>
      <c r="F246" s="549"/>
      <c r="G246" s="549"/>
      <c r="H246" s="549"/>
      <c r="I246" s="550"/>
      <c r="J246" s="549"/>
      <c r="K246" s="549"/>
      <c r="L246" s="549"/>
      <c r="M246" s="549"/>
      <c r="N246" s="551"/>
      <c r="O246" s="549"/>
      <c r="P246" s="549"/>
      <c r="Q246" s="549"/>
      <c r="R246" s="549"/>
      <c r="S246" s="549"/>
      <c r="T246" s="549"/>
      <c r="U246" s="549"/>
      <c r="V246" s="549"/>
      <c r="W246" s="549"/>
      <c r="X246" s="549"/>
      <c r="Y246" s="549"/>
      <c r="Z246" s="549"/>
    </row>
    <row r="247" spans="1:26" ht="15">
      <c r="A247" s="549"/>
      <c r="B247" s="554"/>
      <c r="C247" s="549"/>
      <c r="D247" s="549"/>
      <c r="E247" s="570"/>
      <c r="F247" s="549"/>
      <c r="G247" s="549"/>
      <c r="H247" s="549"/>
      <c r="I247" s="550"/>
      <c r="J247" s="549"/>
      <c r="K247" s="549"/>
      <c r="L247" s="549"/>
      <c r="M247" s="549"/>
      <c r="N247" s="551"/>
      <c r="O247" s="549"/>
      <c r="P247" s="549"/>
      <c r="Q247" s="549"/>
      <c r="R247" s="549"/>
      <c r="S247" s="549"/>
      <c r="T247" s="549"/>
      <c r="U247" s="549"/>
      <c r="V247" s="549"/>
      <c r="W247" s="549"/>
      <c r="X247" s="549"/>
      <c r="Y247" s="549"/>
      <c r="Z247" s="549"/>
    </row>
    <row r="248" spans="1:26" ht="15">
      <c r="A248" s="549"/>
      <c r="B248" s="554"/>
      <c r="C248" s="549"/>
      <c r="D248" s="549"/>
      <c r="E248" s="570"/>
      <c r="F248" s="549"/>
      <c r="G248" s="549"/>
      <c r="H248" s="549"/>
      <c r="I248" s="550"/>
      <c r="J248" s="549"/>
      <c r="K248" s="549"/>
      <c r="L248" s="549"/>
      <c r="M248" s="549"/>
      <c r="N248" s="551"/>
      <c r="O248" s="549"/>
      <c r="P248" s="549"/>
      <c r="Q248" s="549"/>
      <c r="R248" s="549"/>
      <c r="S248" s="549"/>
      <c r="T248" s="549"/>
      <c r="U248" s="549"/>
      <c r="V248" s="549"/>
      <c r="W248" s="549"/>
      <c r="X248" s="549"/>
      <c r="Y248" s="549"/>
      <c r="Z248" s="549"/>
    </row>
    <row r="249" spans="1:26" ht="15">
      <c r="A249" s="549"/>
      <c r="B249" s="554"/>
      <c r="C249" s="549"/>
      <c r="D249" s="549"/>
      <c r="E249" s="570"/>
      <c r="F249" s="549"/>
      <c r="G249" s="549"/>
      <c r="H249" s="549"/>
      <c r="I249" s="550"/>
      <c r="J249" s="549"/>
      <c r="K249" s="549"/>
      <c r="L249" s="549"/>
      <c r="M249" s="549"/>
      <c r="N249" s="551"/>
      <c r="O249" s="549"/>
      <c r="P249" s="549"/>
      <c r="Q249" s="549"/>
      <c r="R249" s="549"/>
      <c r="S249" s="549"/>
      <c r="T249" s="549"/>
      <c r="U249" s="549"/>
      <c r="V249" s="549"/>
      <c r="W249" s="549"/>
      <c r="X249" s="549"/>
      <c r="Y249" s="549"/>
      <c r="Z249" s="549"/>
    </row>
    <row r="250" spans="1:26" ht="15">
      <c r="A250" s="549"/>
      <c r="B250" s="554"/>
      <c r="C250" s="549"/>
      <c r="D250" s="549"/>
      <c r="E250" s="570"/>
      <c r="F250" s="549"/>
      <c r="G250" s="549"/>
      <c r="H250" s="549"/>
      <c r="I250" s="550"/>
      <c r="J250" s="549"/>
      <c r="K250" s="549"/>
      <c r="L250" s="549"/>
      <c r="M250" s="549"/>
      <c r="N250" s="551"/>
      <c r="O250" s="549"/>
      <c r="P250" s="549"/>
      <c r="Q250" s="549"/>
      <c r="R250" s="549"/>
      <c r="S250" s="549"/>
      <c r="T250" s="549"/>
      <c r="U250" s="549"/>
      <c r="V250" s="549"/>
      <c r="W250" s="549"/>
      <c r="X250" s="549"/>
      <c r="Y250" s="549"/>
      <c r="Z250" s="549"/>
    </row>
    <row r="251" spans="1:26" ht="15">
      <c r="A251" s="549"/>
      <c r="B251" s="554"/>
      <c r="C251" s="549"/>
      <c r="D251" s="549"/>
      <c r="E251" s="570"/>
      <c r="F251" s="549"/>
      <c r="G251" s="549"/>
      <c r="H251" s="549"/>
      <c r="I251" s="550"/>
      <c r="J251" s="549"/>
      <c r="K251" s="549"/>
      <c r="L251" s="549"/>
      <c r="M251" s="549"/>
      <c r="N251" s="551"/>
      <c r="O251" s="549"/>
      <c r="P251" s="549"/>
      <c r="Q251" s="549"/>
      <c r="R251" s="549"/>
      <c r="S251" s="549"/>
      <c r="T251" s="549"/>
      <c r="U251" s="549"/>
      <c r="V251" s="549"/>
      <c r="W251" s="549"/>
      <c r="X251" s="549"/>
      <c r="Y251" s="549"/>
      <c r="Z251" s="549"/>
    </row>
    <row r="252" spans="1:26" ht="15">
      <c r="A252" s="549"/>
      <c r="B252" s="554"/>
      <c r="C252" s="549"/>
      <c r="D252" s="549"/>
      <c r="E252" s="570"/>
      <c r="F252" s="549"/>
      <c r="G252" s="549"/>
      <c r="H252" s="549"/>
      <c r="I252" s="550"/>
      <c r="J252" s="549"/>
      <c r="K252" s="549"/>
      <c r="L252" s="549"/>
      <c r="M252" s="549"/>
      <c r="N252" s="551"/>
      <c r="O252" s="549"/>
      <c r="P252" s="549"/>
      <c r="Q252" s="549"/>
      <c r="R252" s="549"/>
      <c r="S252" s="549"/>
      <c r="T252" s="549"/>
      <c r="U252" s="549"/>
      <c r="V252" s="549"/>
      <c r="W252" s="549"/>
      <c r="X252" s="549"/>
      <c r="Y252" s="549"/>
      <c r="Z252" s="549"/>
    </row>
    <row r="253" spans="1:26" ht="15">
      <c r="A253" s="549"/>
      <c r="B253" s="554"/>
      <c r="C253" s="549"/>
      <c r="D253" s="549"/>
      <c r="E253" s="570"/>
      <c r="F253" s="549"/>
      <c r="G253" s="549"/>
      <c r="H253" s="549"/>
      <c r="I253" s="550"/>
      <c r="J253" s="549"/>
      <c r="K253" s="549"/>
      <c r="L253" s="549"/>
      <c r="M253" s="549"/>
      <c r="N253" s="551"/>
      <c r="O253" s="549"/>
      <c r="P253" s="549"/>
      <c r="Q253" s="549"/>
      <c r="R253" s="549"/>
      <c r="S253" s="549"/>
      <c r="T253" s="549"/>
      <c r="U253" s="549"/>
      <c r="V253" s="549"/>
      <c r="W253" s="549"/>
      <c r="X253" s="549"/>
      <c r="Y253" s="549"/>
      <c r="Z253" s="549"/>
    </row>
    <row r="254" spans="1:26" ht="15">
      <c r="A254" s="549"/>
      <c r="B254" s="554"/>
      <c r="C254" s="549"/>
      <c r="D254" s="549"/>
      <c r="E254" s="570"/>
      <c r="F254" s="549"/>
      <c r="G254" s="549"/>
      <c r="H254" s="549"/>
      <c r="I254" s="550"/>
      <c r="J254" s="549"/>
      <c r="K254" s="549"/>
      <c r="L254" s="549"/>
      <c r="M254" s="549"/>
      <c r="N254" s="551"/>
      <c r="O254" s="549"/>
      <c r="P254" s="549"/>
      <c r="Q254" s="549"/>
      <c r="R254" s="549"/>
      <c r="S254" s="549"/>
      <c r="T254" s="549"/>
      <c r="U254" s="549"/>
      <c r="V254" s="549"/>
      <c r="W254" s="549"/>
      <c r="X254" s="549"/>
      <c r="Y254" s="549"/>
      <c r="Z254" s="549"/>
    </row>
    <row r="255" spans="1:26" ht="15">
      <c r="A255" s="549"/>
      <c r="B255" s="554"/>
      <c r="C255" s="549"/>
      <c r="D255" s="549"/>
      <c r="E255" s="570"/>
      <c r="F255" s="549"/>
      <c r="G255" s="549"/>
      <c r="H255" s="549"/>
      <c r="I255" s="550"/>
      <c r="J255" s="549"/>
      <c r="K255" s="549"/>
      <c r="L255" s="549"/>
      <c r="M255" s="549"/>
      <c r="N255" s="551"/>
      <c r="O255" s="549"/>
      <c r="P255" s="549"/>
      <c r="Q255" s="549"/>
      <c r="R255" s="549"/>
      <c r="S255" s="549"/>
      <c r="T255" s="549"/>
      <c r="U255" s="549"/>
      <c r="V255" s="549"/>
      <c r="W255" s="549"/>
      <c r="X255" s="549"/>
      <c r="Y255" s="549"/>
      <c r="Z255" s="549"/>
    </row>
    <row r="256" spans="1:26" ht="15">
      <c r="A256" s="549"/>
      <c r="B256" s="554"/>
      <c r="C256" s="549"/>
      <c r="D256" s="549"/>
      <c r="E256" s="570"/>
      <c r="F256" s="549"/>
      <c r="G256" s="549"/>
      <c r="H256" s="549"/>
      <c r="I256" s="550"/>
      <c r="J256" s="549"/>
      <c r="K256" s="549"/>
      <c r="L256" s="549"/>
      <c r="M256" s="549"/>
      <c r="N256" s="551"/>
      <c r="O256" s="549"/>
      <c r="P256" s="549"/>
      <c r="Q256" s="549"/>
      <c r="R256" s="549"/>
      <c r="S256" s="549"/>
      <c r="T256" s="549"/>
      <c r="U256" s="549"/>
      <c r="V256" s="549"/>
      <c r="W256" s="549"/>
      <c r="X256" s="549"/>
      <c r="Y256" s="549"/>
      <c r="Z256" s="549"/>
    </row>
    <row r="257" spans="1:26" ht="15">
      <c r="A257" s="549"/>
      <c r="B257" s="554"/>
      <c r="C257" s="549"/>
      <c r="D257" s="549"/>
      <c r="E257" s="570"/>
      <c r="F257" s="549"/>
      <c r="G257" s="549"/>
      <c r="H257" s="549"/>
      <c r="I257" s="550"/>
      <c r="J257" s="549"/>
      <c r="K257" s="549"/>
      <c r="L257" s="549"/>
      <c r="M257" s="549"/>
      <c r="N257" s="551"/>
      <c r="O257" s="549"/>
      <c r="P257" s="549"/>
      <c r="Q257" s="549"/>
      <c r="R257" s="549"/>
      <c r="S257" s="549"/>
      <c r="T257" s="549"/>
      <c r="U257" s="549"/>
      <c r="V257" s="549"/>
      <c r="W257" s="549"/>
      <c r="X257" s="549"/>
      <c r="Y257" s="549"/>
      <c r="Z257" s="549"/>
    </row>
    <row r="258" spans="1:26" ht="15">
      <c r="A258" s="549"/>
      <c r="B258" s="554"/>
      <c r="C258" s="549"/>
      <c r="D258" s="549"/>
      <c r="E258" s="570"/>
      <c r="F258" s="549"/>
      <c r="G258" s="549"/>
      <c r="H258" s="549"/>
      <c r="I258" s="550"/>
      <c r="J258" s="549"/>
      <c r="K258" s="549"/>
      <c r="L258" s="549"/>
      <c r="M258" s="549"/>
      <c r="N258" s="551"/>
      <c r="O258" s="549"/>
      <c r="P258" s="549"/>
      <c r="Q258" s="549"/>
      <c r="R258" s="549"/>
      <c r="S258" s="549"/>
      <c r="T258" s="549"/>
      <c r="U258" s="549"/>
      <c r="V258" s="549"/>
      <c r="W258" s="549"/>
      <c r="X258" s="549"/>
      <c r="Y258" s="549"/>
      <c r="Z258" s="549"/>
    </row>
    <row r="259" spans="1:26" ht="15">
      <c r="A259" s="549"/>
      <c r="B259" s="554"/>
      <c r="C259" s="549"/>
      <c r="D259" s="549"/>
      <c r="E259" s="570"/>
      <c r="F259" s="549"/>
      <c r="G259" s="549"/>
      <c r="H259" s="549"/>
      <c r="I259" s="550"/>
      <c r="J259" s="549"/>
      <c r="K259" s="549"/>
      <c r="L259" s="549"/>
      <c r="M259" s="549"/>
      <c r="N259" s="551"/>
      <c r="O259" s="549"/>
      <c r="P259" s="549"/>
      <c r="Q259" s="549"/>
      <c r="R259" s="549"/>
      <c r="S259" s="549"/>
      <c r="T259" s="549"/>
      <c r="U259" s="549"/>
      <c r="V259" s="549"/>
      <c r="W259" s="549"/>
      <c r="X259" s="549"/>
      <c r="Y259" s="549"/>
      <c r="Z259" s="549"/>
    </row>
    <row r="260" spans="1:26" ht="15">
      <c r="A260" s="549"/>
      <c r="B260" s="554"/>
      <c r="C260" s="549"/>
      <c r="D260" s="549"/>
      <c r="E260" s="570"/>
      <c r="F260" s="549"/>
      <c r="G260" s="549"/>
      <c r="H260" s="549"/>
      <c r="I260" s="550"/>
      <c r="J260" s="549"/>
      <c r="K260" s="549"/>
      <c r="L260" s="549"/>
      <c r="M260" s="549"/>
      <c r="N260" s="551"/>
      <c r="O260" s="549"/>
      <c r="P260" s="549"/>
      <c r="Q260" s="549"/>
      <c r="R260" s="549"/>
      <c r="S260" s="549"/>
      <c r="T260" s="549"/>
      <c r="U260" s="549"/>
      <c r="V260" s="549"/>
      <c r="W260" s="549"/>
      <c r="X260" s="549"/>
      <c r="Y260" s="549"/>
      <c r="Z260" s="549"/>
    </row>
    <row r="261" spans="1:26" ht="15">
      <c r="A261" s="549"/>
      <c r="B261" s="554"/>
      <c r="C261" s="549"/>
      <c r="D261" s="549"/>
      <c r="E261" s="570"/>
      <c r="F261" s="549"/>
      <c r="G261" s="549"/>
      <c r="H261" s="549"/>
      <c r="I261" s="550"/>
      <c r="J261" s="549"/>
      <c r="K261" s="549"/>
      <c r="L261" s="549"/>
      <c r="M261" s="549"/>
      <c r="N261" s="551"/>
      <c r="O261" s="549"/>
      <c r="P261" s="549"/>
      <c r="Q261" s="549"/>
      <c r="R261" s="549"/>
      <c r="S261" s="549"/>
      <c r="T261" s="549"/>
      <c r="U261" s="549"/>
      <c r="V261" s="549"/>
      <c r="W261" s="549"/>
      <c r="X261" s="549"/>
      <c r="Y261" s="549"/>
      <c r="Z261" s="549"/>
    </row>
    <row r="262" spans="1:26" ht="15">
      <c r="A262" s="549"/>
      <c r="B262" s="554"/>
      <c r="C262" s="549"/>
      <c r="D262" s="549"/>
      <c r="E262" s="570"/>
      <c r="F262" s="549"/>
      <c r="G262" s="549"/>
      <c r="H262" s="549"/>
      <c r="I262" s="550"/>
      <c r="J262" s="549"/>
      <c r="K262" s="549"/>
      <c r="L262" s="549"/>
      <c r="M262" s="549"/>
      <c r="N262" s="551"/>
      <c r="O262" s="549"/>
      <c r="P262" s="549"/>
      <c r="Q262" s="549"/>
      <c r="R262" s="549"/>
      <c r="S262" s="549"/>
      <c r="T262" s="549"/>
      <c r="U262" s="549"/>
      <c r="V262" s="549"/>
      <c r="W262" s="549"/>
      <c r="X262" s="549"/>
      <c r="Y262" s="549"/>
      <c r="Z262" s="549"/>
    </row>
    <row r="263" spans="1:26" ht="15">
      <c r="A263" s="549"/>
      <c r="B263" s="554"/>
      <c r="C263" s="549"/>
      <c r="D263" s="549"/>
      <c r="E263" s="570"/>
      <c r="F263" s="549"/>
      <c r="G263" s="549"/>
      <c r="H263" s="549"/>
      <c r="I263" s="550"/>
      <c r="J263" s="549"/>
      <c r="K263" s="549"/>
      <c r="L263" s="549"/>
      <c r="M263" s="549"/>
      <c r="N263" s="551"/>
      <c r="O263" s="549"/>
      <c r="P263" s="549"/>
      <c r="Q263" s="549"/>
      <c r="R263" s="549"/>
      <c r="S263" s="549"/>
      <c r="T263" s="549"/>
      <c r="U263" s="549"/>
      <c r="V263" s="549"/>
      <c r="W263" s="549"/>
      <c r="X263" s="549"/>
      <c r="Y263" s="549"/>
      <c r="Z263" s="549"/>
    </row>
    <row r="264" spans="1:26" ht="15">
      <c r="A264" s="549"/>
      <c r="B264" s="554"/>
      <c r="C264" s="549"/>
      <c r="D264" s="549"/>
      <c r="E264" s="570"/>
      <c r="F264" s="549"/>
      <c r="G264" s="549"/>
      <c r="H264" s="549"/>
      <c r="I264" s="550"/>
      <c r="J264" s="549"/>
      <c r="K264" s="549"/>
      <c r="L264" s="549"/>
      <c r="M264" s="549"/>
      <c r="N264" s="551"/>
      <c r="O264" s="549"/>
      <c r="P264" s="549"/>
      <c r="Q264" s="549"/>
      <c r="R264" s="549"/>
      <c r="S264" s="549"/>
      <c r="T264" s="549"/>
      <c r="U264" s="549"/>
      <c r="V264" s="549"/>
      <c r="W264" s="549"/>
      <c r="X264" s="549"/>
      <c r="Y264" s="549"/>
      <c r="Z264" s="549"/>
    </row>
    <row r="265" spans="1:26" ht="15">
      <c r="A265" s="549"/>
      <c r="B265" s="554"/>
      <c r="C265" s="549"/>
      <c r="D265" s="549"/>
      <c r="E265" s="570"/>
      <c r="F265" s="549"/>
      <c r="G265" s="549"/>
      <c r="H265" s="549"/>
      <c r="I265" s="550"/>
      <c r="J265" s="549"/>
      <c r="K265" s="549"/>
      <c r="L265" s="549"/>
      <c r="M265" s="549"/>
      <c r="N265" s="551"/>
      <c r="O265" s="549"/>
      <c r="P265" s="549"/>
      <c r="Q265" s="549"/>
      <c r="R265" s="549"/>
      <c r="S265" s="549"/>
      <c r="T265" s="549"/>
      <c r="U265" s="549"/>
      <c r="V265" s="549"/>
      <c r="W265" s="549"/>
      <c r="X265" s="549"/>
      <c r="Y265" s="549"/>
      <c r="Z265" s="549"/>
    </row>
    <row r="266" spans="1:26" ht="15">
      <c r="A266" s="549"/>
      <c r="B266" s="554"/>
      <c r="C266" s="549"/>
      <c r="D266" s="549"/>
      <c r="E266" s="570"/>
      <c r="F266" s="549"/>
      <c r="G266" s="549"/>
      <c r="H266" s="549"/>
      <c r="I266" s="550"/>
      <c r="J266" s="549"/>
      <c r="K266" s="549"/>
      <c r="L266" s="549"/>
      <c r="M266" s="549"/>
      <c r="N266" s="551"/>
      <c r="O266" s="549"/>
      <c r="P266" s="549"/>
      <c r="Q266" s="549"/>
      <c r="R266" s="549"/>
      <c r="S266" s="549"/>
      <c r="T266" s="549"/>
      <c r="U266" s="549"/>
      <c r="V266" s="549"/>
      <c r="W266" s="549"/>
      <c r="X266" s="549"/>
      <c r="Y266" s="549"/>
      <c r="Z266" s="549"/>
    </row>
    <row r="267" spans="1:26" ht="15">
      <c r="A267" s="549"/>
      <c r="B267" s="554"/>
      <c r="C267" s="549"/>
      <c r="D267" s="549"/>
      <c r="E267" s="570"/>
      <c r="F267" s="549"/>
      <c r="G267" s="549"/>
      <c r="H267" s="549"/>
      <c r="I267" s="550"/>
      <c r="J267" s="549"/>
      <c r="K267" s="549"/>
      <c r="L267" s="549"/>
      <c r="M267" s="549"/>
      <c r="N267" s="551"/>
      <c r="O267" s="549"/>
      <c r="P267" s="549"/>
      <c r="Q267" s="549"/>
      <c r="R267" s="549"/>
      <c r="S267" s="549"/>
      <c r="T267" s="549"/>
      <c r="U267" s="549"/>
      <c r="V267" s="549"/>
      <c r="W267" s="549"/>
      <c r="X267" s="549"/>
      <c r="Y267" s="549"/>
      <c r="Z267" s="549"/>
    </row>
    <row r="268" spans="1:26" ht="15">
      <c r="A268" s="549"/>
      <c r="B268" s="554"/>
      <c r="C268" s="549"/>
      <c r="D268" s="549"/>
      <c r="E268" s="570"/>
      <c r="F268" s="549"/>
      <c r="G268" s="549"/>
      <c r="H268" s="549"/>
      <c r="I268" s="550"/>
      <c r="J268" s="549"/>
      <c r="K268" s="549"/>
      <c r="L268" s="549"/>
      <c r="M268" s="549"/>
      <c r="N268" s="551"/>
      <c r="O268" s="549"/>
      <c r="P268" s="549"/>
      <c r="Q268" s="549"/>
      <c r="R268" s="549"/>
      <c r="S268" s="549"/>
      <c r="T268" s="549"/>
      <c r="U268" s="549"/>
      <c r="V268" s="549"/>
      <c r="W268" s="549"/>
      <c r="X268" s="549"/>
      <c r="Y268" s="549"/>
      <c r="Z268" s="549"/>
    </row>
    <row r="269" spans="1:26" ht="15">
      <c r="A269" s="549"/>
      <c r="B269" s="554"/>
      <c r="C269" s="549"/>
      <c r="D269" s="549"/>
      <c r="E269" s="570"/>
      <c r="F269" s="549"/>
      <c r="G269" s="549"/>
      <c r="H269" s="549"/>
      <c r="I269" s="550"/>
      <c r="J269" s="549"/>
      <c r="K269" s="549"/>
      <c r="L269" s="549"/>
      <c r="M269" s="549"/>
      <c r="N269" s="551"/>
      <c r="O269" s="549"/>
      <c r="P269" s="549"/>
      <c r="Q269" s="549"/>
      <c r="R269" s="549"/>
      <c r="S269" s="549"/>
      <c r="T269" s="549"/>
      <c r="U269" s="549"/>
      <c r="V269" s="549"/>
      <c r="W269" s="549"/>
      <c r="X269" s="549"/>
      <c r="Y269" s="549"/>
      <c r="Z269" s="549"/>
    </row>
    <row r="270" spans="1:26" ht="15">
      <c r="A270" s="549"/>
      <c r="B270" s="554"/>
      <c r="C270" s="549"/>
      <c r="D270" s="549"/>
      <c r="E270" s="570"/>
      <c r="F270" s="549"/>
      <c r="G270" s="549"/>
      <c r="H270" s="549"/>
      <c r="I270" s="550"/>
      <c r="J270" s="549"/>
      <c r="K270" s="549"/>
      <c r="L270" s="549"/>
      <c r="M270" s="549"/>
      <c r="N270" s="551"/>
      <c r="O270" s="549"/>
      <c r="P270" s="549"/>
      <c r="Q270" s="549"/>
      <c r="R270" s="549"/>
      <c r="S270" s="549"/>
      <c r="T270" s="549"/>
      <c r="U270" s="549"/>
      <c r="V270" s="549"/>
      <c r="W270" s="549"/>
      <c r="X270" s="549"/>
      <c r="Y270" s="549"/>
      <c r="Z270" s="549"/>
    </row>
    <row r="271" spans="1:26" ht="15">
      <c r="A271" s="549"/>
      <c r="B271" s="554"/>
      <c r="C271" s="549"/>
      <c r="D271" s="549"/>
      <c r="E271" s="570"/>
      <c r="F271" s="549"/>
      <c r="G271" s="549"/>
      <c r="H271" s="549"/>
      <c r="I271" s="550"/>
      <c r="J271" s="549"/>
      <c r="K271" s="549"/>
      <c r="L271" s="549"/>
      <c r="M271" s="549"/>
      <c r="N271" s="551"/>
      <c r="O271" s="549"/>
      <c r="P271" s="549"/>
      <c r="Q271" s="549"/>
      <c r="R271" s="549"/>
      <c r="S271" s="549"/>
      <c r="T271" s="549"/>
      <c r="U271" s="549"/>
      <c r="V271" s="549"/>
      <c r="W271" s="549"/>
      <c r="X271" s="549"/>
      <c r="Y271" s="549"/>
      <c r="Z271" s="549"/>
    </row>
    <row r="272" spans="1:26" ht="15">
      <c r="A272" s="549"/>
      <c r="B272" s="554"/>
      <c r="C272" s="549"/>
      <c r="D272" s="549"/>
      <c r="E272" s="570"/>
      <c r="F272" s="549"/>
      <c r="G272" s="549"/>
      <c r="H272" s="549"/>
      <c r="I272" s="550"/>
      <c r="J272" s="549"/>
      <c r="K272" s="549"/>
      <c r="L272" s="549"/>
      <c r="M272" s="549"/>
      <c r="N272" s="551"/>
      <c r="O272" s="549"/>
      <c r="P272" s="549"/>
      <c r="Q272" s="549"/>
      <c r="R272" s="549"/>
      <c r="S272" s="549"/>
      <c r="T272" s="549"/>
      <c r="U272" s="549"/>
      <c r="V272" s="549"/>
      <c r="W272" s="549"/>
      <c r="X272" s="549"/>
      <c r="Y272" s="549"/>
      <c r="Z272" s="549"/>
    </row>
    <row r="273" spans="1:26" ht="15">
      <c r="A273" s="549"/>
      <c r="B273" s="554"/>
      <c r="C273" s="549"/>
      <c r="D273" s="549"/>
      <c r="E273" s="570"/>
      <c r="F273" s="549"/>
      <c r="G273" s="549"/>
      <c r="H273" s="549"/>
      <c r="I273" s="550"/>
      <c r="J273" s="549"/>
      <c r="K273" s="549"/>
      <c r="L273" s="549"/>
      <c r="M273" s="549"/>
      <c r="N273" s="551"/>
      <c r="O273" s="549"/>
      <c r="P273" s="549"/>
      <c r="Q273" s="549"/>
      <c r="R273" s="549"/>
      <c r="S273" s="549"/>
      <c r="T273" s="549"/>
      <c r="U273" s="549"/>
      <c r="V273" s="549"/>
      <c r="W273" s="549"/>
      <c r="X273" s="549"/>
      <c r="Y273" s="549"/>
      <c r="Z273" s="549"/>
    </row>
    <row r="274" spans="1:26" ht="15">
      <c r="A274" s="549"/>
      <c r="B274" s="554"/>
      <c r="C274" s="549"/>
      <c r="D274" s="549"/>
      <c r="E274" s="570"/>
      <c r="F274" s="549"/>
      <c r="G274" s="549"/>
      <c r="H274" s="549"/>
      <c r="I274" s="550"/>
      <c r="J274" s="549"/>
      <c r="K274" s="549"/>
      <c r="L274" s="549"/>
      <c r="M274" s="549"/>
      <c r="N274" s="551"/>
      <c r="O274" s="549"/>
      <c r="P274" s="549"/>
      <c r="Q274" s="549"/>
      <c r="R274" s="549"/>
      <c r="S274" s="549"/>
      <c r="T274" s="549"/>
      <c r="U274" s="549"/>
      <c r="V274" s="549"/>
      <c r="W274" s="549"/>
      <c r="X274" s="549"/>
      <c r="Y274" s="549"/>
      <c r="Z274" s="549"/>
    </row>
    <row r="275" spans="1:26" ht="15">
      <c r="A275" s="549"/>
      <c r="B275" s="554"/>
      <c r="C275" s="549"/>
      <c r="D275" s="549"/>
      <c r="E275" s="570"/>
      <c r="F275" s="549"/>
      <c r="G275" s="549"/>
      <c r="H275" s="549"/>
      <c r="I275" s="550"/>
      <c r="J275" s="549"/>
      <c r="K275" s="549"/>
      <c r="L275" s="549"/>
      <c r="M275" s="549"/>
      <c r="N275" s="551"/>
      <c r="O275" s="549"/>
      <c r="P275" s="549"/>
      <c r="Q275" s="549"/>
      <c r="R275" s="549"/>
      <c r="S275" s="549"/>
      <c r="T275" s="549"/>
      <c r="U275" s="549"/>
      <c r="V275" s="549"/>
      <c r="W275" s="549"/>
      <c r="X275" s="549"/>
      <c r="Y275" s="549"/>
      <c r="Z275" s="549"/>
    </row>
    <row r="276" spans="1:26" ht="15">
      <c r="A276" s="549"/>
      <c r="B276" s="554"/>
      <c r="C276" s="549"/>
      <c r="D276" s="549"/>
      <c r="E276" s="570"/>
      <c r="F276" s="549"/>
      <c r="G276" s="549"/>
      <c r="H276" s="549"/>
      <c r="I276" s="550"/>
      <c r="J276" s="549"/>
      <c r="K276" s="549"/>
      <c r="L276" s="549"/>
      <c r="M276" s="549"/>
      <c r="N276" s="551"/>
      <c r="O276" s="549"/>
      <c r="P276" s="549"/>
      <c r="Q276" s="549"/>
      <c r="R276" s="549"/>
      <c r="S276" s="549"/>
      <c r="T276" s="549"/>
      <c r="U276" s="549"/>
      <c r="V276" s="549"/>
      <c r="W276" s="549"/>
      <c r="X276" s="549"/>
      <c r="Y276" s="549"/>
      <c r="Z276" s="549"/>
    </row>
    <row r="277" spans="1:26" ht="15">
      <c r="A277" s="549"/>
      <c r="B277" s="554"/>
      <c r="C277" s="549"/>
      <c r="D277" s="549"/>
      <c r="E277" s="570"/>
      <c r="F277" s="549"/>
      <c r="G277" s="549"/>
      <c r="H277" s="549"/>
      <c r="I277" s="550"/>
      <c r="J277" s="549"/>
      <c r="K277" s="549"/>
      <c r="L277" s="549"/>
      <c r="M277" s="549"/>
      <c r="N277" s="551"/>
      <c r="O277" s="549"/>
      <c r="P277" s="549"/>
      <c r="Q277" s="549"/>
      <c r="R277" s="549"/>
      <c r="S277" s="549"/>
      <c r="T277" s="549"/>
      <c r="U277" s="549"/>
      <c r="V277" s="549"/>
      <c r="W277" s="549"/>
      <c r="X277" s="549"/>
      <c r="Y277" s="549"/>
      <c r="Z277" s="549"/>
    </row>
    <row r="278" spans="1:26" ht="15">
      <c r="A278" s="549"/>
      <c r="B278" s="554"/>
      <c r="C278" s="549"/>
      <c r="D278" s="549"/>
      <c r="E278" s="570"/>
      <c r="F278" s="549"/>
      <c r="G278" s="549"/>
      <c r="H278" s="549"/>
      <c r="I278" s="550"/>
      <c r="J278" s="549"/>
      <c r="K278" s="549"/>
      <c r="L278" s="549"/>
      <c r="M278" s="549"/>
      <c r="N278" s="551"/>
      <c r="O278" s="549"/>
      <c r="P278" s="549"/>
      <c r="Q278" s="549"/>
      <c r="R278" s="549"/>
      <c r="S278" s="549"/>
      <c r="T278" s="549"/>
      <c r="U278" s="549"/>
      <c r="V278" s="549"/>
      <c r="W278" s="549"/>
      <c r="X278" s="549"/>
      <c r="Y278" s="549"/>
      <c r="Z278" s="549"/>
    </row>
    <row r="279" spans="1:26" ht="15">
      <c r="A279" s="549"/>
      <c r="B279" s="554"/>
      <c r="C279" s="549"/>
      <c r="D279" s="549"/>
      <c r="E279" s="570"/>
      <c r="F279" s="549"/>
      <c r="G279" s="549"/>
      <c r="H279" s="549"/>
      <c r="I279" s="550"/>
      <c r="J279" s="549"/>
      <c r="K279" s="549"/>
      <c r="L279" s="549"/>
      <c r="M279" s="549"/>
      <c r="N279" s="551"/>
      <c r="O279" s="549"/>
      <c r="P279" s="549"/>
      <c r="Q279" s="549"/>
      <c r="R279" s="549"/>
      <c r="S279" s="549"/>
      <c r="T279" s="549"/>
      <c r="U279" s="549"/>
      <c r="V279" s="549"/>
      <c r="W279" s="549"/>
      <c r="X279" s="549"/>
      <c r="Y279" s="549"/>
      <c r="Z279" s="549"/>
    </row>
    <row r="280" spans="1:26" ht="15">
      <c r="A280" s="549"/>
      <c r="B280" s="554"/>
      <c r="C280" s="549"/>
      <c r="D280" s="549"/>
      <c r="E280" s="570"/>
      <c r="F280" s="549"/>
      <c r="G280" s="549"/>
      <c r="H280" s="549"/>
      <c r="I280" s="550"/>
      <c r="J280" s="549"/>
      <c r="K280" s="549"/>
      <c r="L280" s="549"/>
      <c r="M280" s="549"/>
      <c r="N280" s="551"/>
      <c r="O280" s="549"/>
      <c r="P280" s="549"/>
      <c r="Q280" s="549"/>
      <c r="R280" s="549"/>
      <c r="S280" s="549"/>
      <c r="T280" s="549"/>
      <c r="U280" s="549"/>
      <c r="V280" s="549"/>
      <c r="W280" s="549"/>
      <c r="X280" s="549"/>
      <c r="Y280" s="549"/>
      <c r="Z280" s="549"/>
    </row>
    <row r="281" spans="1:26" ht="15">
      <c r="A281" s="549"/>
      <c r="B281" s="554"/>
      <c r="C281" s="549"/>
      <c r="D281" s="549"/>
      <c r="E281" s="570"/>
      <c r="F281" s="549"/>
      <c r="G281" s="549"/>
      <c r="H281" s="549"/>
      <c r="I281" s="550"/>
      <c r="J281" s="549"/>
      <c r="K281" s="549"/>
      <c r="L281" s="549"/>
      <c r="M281" s="549"/>
      <c r="N281" s="551"/>
      <c r="O281" s="549"/>
      <c r="P281" s="549"/>
      <c r="Q281" s="549"/>
      <c r="R281" s="549"/>
      <c r="S281" s="549"/>
      <c r="T281" s="549"/>
      <c r="U281" s="549"/>
      <c r="V281" s="549"/>
      <c r="W281" s="549"/>
      <c r="X281" s="549"/>
      <c r="Y281" s="549"/>
      <c r="Z281" s="549"/>
    </row>
    <row r="282" spans="1:26" ht="15">
      <c r="A282" s="549"/>
      <c r="B282" s="554"/>
      <c r="C282" s="549"/>
      <c r="D282" s="549"/>
      <c r="E282" s="570"/>
      <c r="F282" s="549"/>
      <c r="G282" s="549"/>
      <c r="H282" s="549"/>
      <c r="I282" s="550"/>
      <c r="J282" s="549"/>
      <c r="K282" s="549"/>
      <c r="L282" s="549"/>
      <c r="M282" s="549"/>
      <c r="N282" s="551"/>
      <c r="O282" s="549"/>
      <c r="P282" s="549"/>
      <c r="Q282" s="549"/>
      <c r="R282" s="549"/>
      <c r="S282" s="549"/>
      <c r="T282" s="549"/>
      <c r="U282" s="549"/>
      <c r="V282" s="549"/>
      <c r="W282" s="549"/>
      <c r="X282" s="549"/>
      <c r="Y282" s="549"/>
      <c r="Z282" s="549"/>
    </row>
    <row r="283" spans="1:26" ht="15">
      <c r="A283" s="549"/>
      <c r="B283" s="554"/>
      <c r="C283" s="549"/>
      <c r="D283" s="549"/>
      <c r="E283" s="570"/>
      <c r="F283" s="549"/>
      <c r="G283" s="549"/>
      <c r="H283" s="549"/>
      <c r="I283" s="550"/>
      <c r="J283" s="549"/>
      <c r="K283" s="549"/>
      <c r="L283" s="549"/>
      <c r="M283" s="549"/>
      <c r="N283" s="551"/>
      <c r="O283" s="549"/>
      <c r="P283" s="549"/>
      <c r="Q283" s="549"/>
      <c r="R283" s="549"/>
      <c r="S283" s="549"/>
      <c r="T283" s="549"/>
      <c r="U283" s="549"/>
      <c r="V283" s="549"/>
      <c r="W283" s="549"/>
      <c r="X283" s="549"/>
      <c r="Y283" s="549"/>
      <c r="Z283" s="549"/>
    </row>
    <row r="284" spans="1:26" ht="15">
      <c r="A284" s="549"/>
      <c r="B284" s="554"/>
      <c r="C284" s="549"/>
      <c r="D284" s="549"/>
      <c r="E284" s="570"/>
      <c r="F284" s="549"/>
      <c r="G284" s="549"/>
      <c r="H284" s="549"/>
      <c r="I284" s="550"/>
      <c r="J284" s="549"/>
      <c r="K284" s="549"/>
      <c r="L284" s="549"/>
      <c r="M284" s="549"/>
      <c r="N284" s="551"/>
      <c r="O284" s="549"/>
      <c r="P284" s="549"/>
      <c r="Q284" s="549"/>
      <c r="R284" s="549"/>
      <c r="S284" s="549"/>
      <c r="T284" s="549"/>
      <c r="U284" s="549"/>
      <c r="V284" s="549"/>
      <c r="W284" s="549"/>
      <c r="X284" s="549"/>
      <c r="Y284" s="549"/>
      <c r="Z284" s="549"/>
    </row>
    <row r="285" spans="1:26" ht="15">
      <c r="A285" s="549"/>
      <c r="B285" s="554"/>
      <c r="C285" s="549"/>
      <c r="D285" s="549"/>
      <c r="E285" s="570"/>
      <c r="F285" s="549"/>
      <c r="G285" s="549"/>
      <c r="H285" s="549"/>
      <c r="I285" s="550"/>
      <c r="J285" s="549"/>
      <c r="K285" s="549"/>
      <c r="L285" s="549"/>
      <c r="M285" s="549"/>
      <c r="N285" s="551"/>
      <c r="O285" s="549"/>
      <c r="P285" s="549"/>
      <c r="Q285" s="549"/>
      <c r="R285" s="549"/>
      <c r="S285" s="549"/>
      <c r="T285" s="549"/>
      <c r="U285" s="549"/>
      <c r="V285" s="549"/>
      <c r="W285" s="549"/>
      <c r="X285" s="549"/>
      <c r="Y285" s="549"/>
      <c r="Z285" s="549"/>
    </row>
    <row r="286" spans="1:26" ht="15">
      <c r="A286" s="549"/>
      <c r="B286" s="554"/>
      <c r="C286" s="549"/>
      <c r="D286" s="549"/>
      <c r="E286" s="570"/>
      <c r="F286" s="549"/>
      <c r="G286" s="549"/>
      <c r="H286" s="549"/>
      <c r="I286" s="550"/>
      <c r="J286" s="549"/>
      <c r="K286" s="549"/>
      <c r="L286" s="549"/>
      <c r="M286" s="549"/>
      <c r="N286" s="551"/>
      <c r="O286" s="549"/>
      <c r="P286" s="549"/>
      <c r="Q286" s="549"/>
      <c r="R286" s="549"/>
      <c r="S286" s="549"/>
      <c r="T286" s="549"/>
      <c r="U286" s="549"/>
      <c r="V286" s="549"/>
      <c r="W286" s="549"/>
      <c r="X286" s="549"/>
      <c r="Y286" s="549"/>
      <c r="Z286" s="549"/>
    </row>
    <row r="287" spans="1:26" ht="15">
      <c r="A287" s="549"/>
      <c r="B287" s="554"/>
      <c r="C287" s="549"/>
      <c r="D287" s="549"/>
      <c r="E287" s="570"/>
      <c r="F287" s="549"/>
      <c r="G287" s="549"/>
      <c r="H287" s="549"/>
      <c r="I287" s="550"/>
      <c r="J287" s="549"/>
      <c r="K287" s="549"/>
      <c r="L287" s="549"/>
      <c r="M287" s="549"/>
      <c r="N287" s="551"/>
      <c r="O287" s="549"/>
      <c r="P287" s="549"/>
      <c r="Q287" s="549"/>
      <c r="R287" s="549"/>
      <c r="S287" s="549"/>
      <c r="T287" s="549"/>
      <c r="U287" s="549"/>
      <c r="V287" s="549"/>
      <c r="W287" s="549"/>
      <c r="X287" s="549"/>
      <c r="Y287" s="549"/>
      <c r="Z287" s="549"/>
    </row>
    <row r="288" spans="1:26" ht="15">
      <c r="A288" s="549"/>
      <c r="B288" s="554"/>
      <c r="C288" s="549"/>
      <c r="D288" s="549"/>
      <c r="E288" s="570"/>
      <c r="F288" s="549"/>
      <c r="G288" s="549"/>
      <c r="H288" s="549"/>
      <c r="I288" s="550"/>
      <c r="J288" s="549"/>
      <c r="K288" s="549"/>
      <c r="L288" s="549"/>
      <c r="M288" s="549"/>
      <c r="N288" s="551"/>
      <c r="O288" s="549"/>
      <c r="P288" s="549"/>
      <c r="Q288" s="549"/>
      <c r="R288" s="549"/>
      <c r="S288" s="549"/>
      <c r="T288" s="549"/>
      <c r="U288" s="549"/>
      <c r="V288" s="549"/>
      <c r="W288" s="549"/>
      <c r="X288" s="549"/>
      <c r="Y288" s="549"/>
      <c r="Z288" s="549"/>
    </row>
    <row r="289" spans="1:26" ht="15">
      <c r="A289" s="549"/>
      <c r="B289" s="554"/>
      <c r="C289" s="549"/>
      <c r="D289" s="549"/>
      <c r="E289" s="570"/>
      <c r="F289" s="549"/>
      <c r="G289" s="549"/>
      <c r="H289" s="549"/>
      <c r="I289" s="550"/>
      <c r="J289" s="549"/>
      <c r="K289" s="549"/>
      <c r="L289" s="549"/>
      <c r="M289" s="549"/>
      <c r="N289" s="551"/>
      <c r="O289" s="549"/>
      <c r="P289" s="549"/>
      <c r="Q289" s="549"/>
      <c r="R289" s="549"/>
      <c r="S289" s="549"/>
      <c r="T289" s="549"/>
      <c r="U289" s="549"/>
      <c r="V289" s="549"/>
      <c r="W289" s="549"/>
      <c r="X289" s="549"/>
      <c r="Y289" s="549"/>
      <c r="Z289" s="549"/>
    </row>
    <row r="290" spans="1:26" ht="15">
      <c r="A290" s="549"/>
      <c r="B290" s="554"/>
      <c r="C290" s="549"/>
      <c r="D290" s="549"/>
      <c r="E290" s="570"/>
      <c r="F290" s="549"/>
      <c r="G290" s="549"/>
      <c r="H290" s="549"/>
      <c r="I290" s="550"/>
      <c r="J290" s="549"/>
      <c r="K290" s="549"/>
      <c r="L290" s="549"/>
      <c r="M290" s="549"/>
      <c r="N290" s="551"/>
      <c r="O290" s="549"/>
      <c r="P290" s="549"/>
      <c r="Q290" s="549"/>
      <c r="R290" s="549"/>
      <c r="S290" s="549"/>
      <c r="T290" s="549"/>
      <c r="U290" s="549"/>
      <c r="V290" s="549"/>
      <c r="W290" s="549"/>
      <c r="X290" s="549"/>
      <c r="Y290" s="549"/>
      <c r="Z290" s="549"/>
    </row>
    <row r="291" spans="1:26" ht="15">
      <c r="A291" s="549"/>
      <c r="B291" s="554"/>
      <c r="C291" s="549"/>
      <c r="D291" s="549"/>
      <c r="E291" s="570"/>
      <c r="F291" s="549"/>
      <c r="G291" s="549"/>
      <c r="H291" s="549"/>
      <c r="I291" s="550"/>
      <c r="J291" s="549"/>
      <c r="K291" s="549"/>
      <c r="L291" s="549"/>
      <c r="M291" s="549"/>
      <c r="N291" s="551"/>
      <c r="O291" s="549"/>
      <c r="P291" s="549"/>
      <c r="Q291" s="549"/>
      <c r="R291" s="549"/>
      <c r="S291" s="549"/>
      <c r="T291" s="549"/>
      <c r="U291" s="549"/>
      <c r="V291" s="549"/>
      <c r="W291" s="549"/>
      <c r="X291" s="549"/>
      <c r="Y291" s="549"/>
      <c r="Z291" s="549"/>
    </row>
    <row r="292" spans="1:26" ht="15">
      <c r="A292" s="549"/>
      <c r="B292" s="554"/>
      <c r="C292" s="549"/>
      <c r="D292" s="549"/>
      <c r="E292" s="570"/>
      <c r="F292" s="549"/>
      <c r="G292" s="549"/>
      <c r="H292" s="549"/>
      <c r="I292" s="550"/>
      <c r="J292" s="549"/>
      <c r="K292" s="549"/>
      <c r="L292" s="549"/>
      <c r="M292" s="549"/>
      <c r="N292" s="551"/>
      <c r="O292" s="549"/>
      <c r="P292" s="549"/>
      <c r="Q292" s="549"/>
      <c r="R292" s="549"/>
      <c r="S292" s="549"/>
      <c r="T292" s="549"/>
      <c r="U292" s="549"/>
      <c r="V292" s="549"/>
      <c r="W292" s="549"/>
      <c r="X292" s="549"/>
      <c r="Y292" s="549"/>
      <c r="Z292" s="549"/>
    </row>
    <row r="293" spans="1:26" ht="15">
      <c r="A293" s="549"/>
      <c r="B293" s="554"/>
      <c r="C293" s="549"/>
      <c r="D293" s="549"/>
      <c r="E293" s="570"/>
      <c r="F293" s="549"/>
      <c r="G293" s="549"/>
      <c r="H293" s="549"/>
      <c r="I293" s="550"/>
      <c r="J293" s="549"/>
      <c r="K293" s="549"/>
      <c r="L293" s="549"/>
      <c r="M293" s="549"/>
      <c r="N293" s="551"/>
      <c r="O293" s="549"/>
      <c r="P293" s="549"/>
      <c r="Q293" s="549"/>
      <c r="R293" s="549"/>
      <c r="S293" s="549"/>
      <c r="T293" s="549"/>
      <c r="U293" s="549"/>
      <c r="V293" s="549"/>
      <c r="W293" s="549"/>
      <c r="X293" s="549"/>
      <c r="Y293" s="549"/>
      <c r="Z293" s="549"/>
    </row>
    <row r="294" spans="1:26" ht="15">
      <c r="A294" s="549"/>
      <c r="B294" s="554"/>
      <c r="C294" s="549"/>
      <c r="D294" s="549"/>
      <c r="E294" s="570"/>
      <c r="F294" s="549"/>
      <c r="G294" s="549"/>
      <c r="H294" s="549"/>
      <c r="I294" s="550"/>
      <c r="J294" s="549"/>
      <c r="K294" s="549"/>
      <c r="L294" s="549"/>
      <c r="M294" s="549"/>
      <c r="N294" s="551"/>
      <c r="O294" s="549"/>
      <c r="P294" s="549"/>
      <c r="Q294" s="549"/>
      <c r="R294" s="549"/>
      <c r="S294" s="549"/>
      <c r="T294" s="549"/>
      <c r="U294" s="549"/>
      <c r="V294" s="549"/>
      <c r="W294" s="549"/>
      <c r="X294" s="549"/>
      <c r="Y294" s="549"/>
      <c r="Z294" s="549"/>
    </row>
    <row r="295" spans="1:26" ht="15">
      <c r="A295" s="549"/>
      <c r="B295" s="554"/>
      <c r="C295" s="549"/>
      <c r="D295" s="549"/>
      <c r="E295" s="570"/>
      <c r="F295" s="549"/>
      <c r="G295" s="549"/>
      <c r="H295" s="549"/>
      <c r="I295" s="550"/>
      <c r="J295" s="549"/>
      <c r="K295" s="549"/>
      <c r="L295" s="549"/>
      <c r="M295" s="549"/>
      <c r="N295" s="551"/>
      <c r="O295" s="549"/>
      <c r="P295" s="549"/>
      <c r="Q295" s="549"/>
      <c r="R295" s="549"/>
      <c r="S295" s="549"/>
      <c r="T295" s="549"/>
      <c r="U295" s="549"/>
      <c r="V295" s="549"/>
      <c r="W295" s="549"/>
      <c r="X295" s="549"/>
      <c r="Y295" s="549"/>
      <c r="Z295" s="549"/>
    </row>
    <row r="296" spans="1:26" ht="15">
      <c r="A296" s="549"/>
      <c r="B296" s="554"/>
      <c r="C296" s="549"/>
      <c r="D296" s="549"/>
      <c r="E296" s="570"/>
      <c r="F296" s="549"/>
      <c r="G296" s="549"/>
      <c r="H296" s="549"/>
      <c r="I296" s="550"/>
      <c r="J296" s="549"/>
      <c r="K296" s="549"/>
      <c r="L296" s="549"/>
      <c r="M296" s="549"/>
      <c r="N296" s="551"/>
      <c r="O296" s="549"/>
      <c r="P296" s="549"/>
      <c r="Q296" s="549"/>
      <c r="R296" s="549"/>
      <c r="S296" s="549"/>
      <c r="T296" s="549"/>
      <c r="U296" s="549"/>
      <c r="V296" s="549"/>
      <c r="W296" s="549"/>
      <c r="X296" s="549"/>
      <c r="Y296" s="549"/>
      <c r="Z296" s="549"/>
    </row>
    <row r="297" spans="1:26" ht="15">
      <c r="A297" s="549"/>
      <c r="B297" s="554"/>
      <c r="C297" s="549"/>
      <c r="D297" s="549"/>
      <c r="E297" s="570"/>
      <c r="F297" s="549"/>
      <c r="G297" s="549"/>
      <c r="H297" s="549"/>
      <c r="I297" s="550"/>
      <c r="J297" s="549"/>
      <c r="K297" s="549"/>
      <c r="L297" s="549"/>
      <c r="M297" s="549"/>
      <c r="N297" s="551"/>
      <c r="O297" s="549"/>
      <c r="P297" s="549"/>
      <c r="Q297" s="549"/>
      <c r="R297" s="549"/>
      <c r="S297" s="549"/>
      <c r="T297" s="549"/>
      <c r="U297" s="549"/>
      <c r="V297" s="549"/>
      <c r="W297" s="549"/>
      <c r="X297" s="549"/>
      <c r="Y297" s="549"/>
      <c r="Z297" s="549"/>
    </row>
    <row r="298" spans="1:26" ht="15">
      <c r="A298" s="549"/>
      <c r="B298" s="554"/>
      <c r="C298" s="549"/>
      <c r="D298" s="549"/>
      <c r="E298" s="570"/>
      <c r="F298" s="549"/>
      <c r="G298" s="549"/>
      <c r="H298" s="549"/>
      <c r="I298" s="550"/>
      <c r="J298" s="549"/>
      <c r="K298" s="549"/>
      <c r="L298" s="549"/>
      <c r="M298" s="549"/>
      <c r="N298" s="551"/>
      <c r="O298" s="549"/>
      <c r="P298" s="549"/>
      <c r="Q298" s="549"/>
      <c r="R298" s="549"/>
      <c r="S298" s="549"/>
      <c r="T298" s="549"/>
      <c r="U298" s="549"/>
      <c r="V298" s="549"/>
      <c r="W298" s="549"/>
      <c r="X298" s="549"/>
      <c r="Y298" s="549"/>
      <c r="Z298" s="549"/>
    </row>
    <row r="299" spans="1:26" ht="15">
      <c r="A299" s="549"/>
      <c r="B299" s="554"/>
      <c r="C299" s="549"/>
      <c r="D299" s="549"/>
      <c r="E299" s="570"/>
      <c r="F299" s="549"/>
      <c r="G299" s="549"/>
      <c r="H299" s="549"/>
      <c r="I299" s="550"/>
      <c r="J299" s="549"/>
      <c r="K299" s="549"/>
      <c r="L299" s="549"/>
      <c r="M299" s="549"/>
      <c r="N299" s="551"/>
      <c r="O299" s="549"/>
      <c r="P299" s="549"/>
      <c r="Q299" s="549"/>
      <c r="R299" s="549"/>
      <c r="S299" s="549"/>
      <c r="T299" s="549"/>
      <c r="U299" s="549"/>
      <c r="V299" s="549"/>
      <c r="W299" s="549"/>
      <c r="X299" s="549"/>
      <c r="Y299" s="549"/>
      <c r="Z299" s="549"/>
    </row>
    <row r="300" spans="1:26" ht="15">
      <c r="A300" s="549"/>
      <c r="B300" s="554"/>
      <c r="C300" s="549"/>
      <c r="D300" s="549"/>
      <c r="E300" s="570"/>
      <c r="F300" s="549"/>
      <c r="G300" s="549"/>
      <c r="H300" s="549"/>
      <c r="I300" s="550"/>
      <c r="J300" s="549"/>
      <c r="K300" s="549"/>
      <c r="L300" s="549"/>
      <c r="M300" s="549"/>
      <c r="N300" s="551"/>
      <c r="O300" s="549"/>
      <c r="P300" s="549"/>
      <c r="Q300" s="549"/>
      <c r="R300" s="549"/>
      <c r="S300" s="549"/>
      <c r="T300" s="549"/>
      <c r="U300" s="549"/>
      <c r="V300" s="549"/>
      <c r="W300" s="549"/>
      <c r="X300" s="549"/>
      <c r="Y300" s="549"/>
      <c r="Z300" s="549"/>
    </row>
    <row r="301" spans="1:26" ht="15">
      <c r="A301" s="549"/>
      <c r="B301" s="554"/>
      <c r="C301" s="549"/>
      <c r="D301" s="549"/>
      <c r="E301" s="570"/>
      <c r="F301" s="549"/>
      <c r="G301" s="549"/>
      <c r="H301" s="549"/>
      <c r="I301" s="550"/>
      <c r="J301" s="549"/>
      <c r="K301" s="549"/>
      <c r="L301" s="549"/>
      <c r="M301" s="549"/>
      <c r="N301" s="551"/>
      <c r="O301" s="549"/>
      <c r="P301" s="549"/>
      <c r="Q301" s="549"/>
      <c r="R301" s="549"/>
      <c r="S301" s="549"/>
      <c r="T301" s="549"/>
      <c r="U301" s="549"/>
      <c r="V301" s="549"/>
      <c r="W301" s="549"/>
      <c r="X301" s="549"/>
      <c r="Y301" s="549"/>
      <c r="Z301" s="549"/>
    </row>
    <row r="302" spans="1:26" ht="15">
      <c r="A302" s="549"/>
      <c r="B302" s="554"/>
      <c r="C302" s="549"/>
      <c r="D302" s="549"/>
      <c r="E302" s="570"/>
      <c r="F302" s="549"/>
      <c r="G302" s="549"/>
      <c r="H302" s="549"/>
      <c r="I302" s="550"/>
      <c r="J302" s="549"/>
      <c r="K302" s="549"/>
      <c r="L302" s="549"/>
      <c r="M302" s="549"/>
      <c r="N302" s="551"/>
      <c r="O302" s="549"/>
      <c r="P302" s="549"/>
      <c r="Q302" s="549"/>
      <c r="R302" s="549"/>
      <c r="S302" s="549"/>
      <c r="T302" s="549"/>
      <c r="U302" s="549"/>
      <c r="V302" s="549"/>
      <c r="W302" s="549"/>
      <c r="X302" s="549"/>
      <c r="Y302" s="549"/>
      <c r="Z302" s="549"/>
    </row>
    <row r="303" spans="1:26" ht="15">
      <c r="A303" s="549"/>
      <c r="B303" s="554"/>
      <c r="C303" s="549"/>
      <c r="D303" s="549"/>
      <c r="E303" s="570"/>
      <c r="F303" s="549"/>
      <c r="G303" s="549"/>
      <c r="H303" s="549"/>
      <c r="I303" s="550"/>
      <c r="J303" s="549"/>
      <c r="K303" s="549"/>
      <c r="L303" s="549"/>
      <c r="M303" s="549"/>
      <c r="N303" s="551"/>
      <c r="O303" s="549"/>
      <c r="P303" s="549"/>
      <c r="Q303" s="549"/>
      <c r="R303" s="549"/>
      <c r="S303" s="549"/>
      <c r="T303" s="549"/>
      <c r="U303" s="549"/>
      <c r="V303" s="549"/>
      <c r="W303" s="549"/>
      <c r="X303" s="549"/>
      <c r="Y303" s="549"/>
      <c r="Z303" s="549"/>
    </row>
    <row r="304" spans="1:26" ht="15">
      <c r="A304" s="549"/>
      <c r="B304" s="554"/>
      <c r="C304" s="549"/>
      <c r="D304" s="549"/>
      <c r="E304" s="570"/>
      <c r="F304" s="549"/>
      <c r="G304" s="549"/>
      <c r="H304" s="549"/>
      <c r="I304" s="550"/>
      <c r="J304" s="549"/>
      <c r="K304" s="549"/>
      <c r="L304" s="549"/>
      <c r="M304" s="549"/>
      <c r="N304" s="551"/>
      <c r="O304" s="549"/>
      <c r="P304" s="549"/>
      <c r="Q304" s="549"/>
      <c r="R304" s="549"/>
      <c r="S304" s="549"/>
      <c r="T304" s="549"/>
      <c r="U304" s="549"/>
      <c r="V304" s="549"/>
      <c r="W304" s="549"/>
      <c r="X304" s="549"/>
      <c r="Y304" s="549"/>
      <c r="Z304" s="549"/>
    </row>
    <row r="305" spans="1:26" ht="15">
      <c r="A305" s="549"/>
      <c r="B305" s="554"/>
      <c r="C305" s="549"/>
      <c r="D305" s="549"/>
      <c r="E305" s="570"/>
      <c r="F305" s="549"/>
      <c r="G305" s="549"/>
      <c r="H305" s="549"/>
      <c r="I305" s="550"/>
      <c r="J305" s="549"/>
      <c r="K305" s="549"/>
      <c r="L305" s="549"/>
      <c r="M305" s="549"/>
      <c r="N305" s="551"/>
      <c r="O305" s="549"/>
      <c r="P305" s="549"/>
      <c r="Q305" s="549"/>
      <c r="R305" s="549"/>
      <c r="S305" s="549"/>
      <c r="T305" s="549"/>
      <c r="U305" s="549"/>
      <c r="V305" s="549"/>
      <c r="W305" s="549"/>
      <c r="X305" s="549"/>
      <c r="Y305" s="549"/>
      <c r="Z305" s="549"/>
    </row>
    <row r="306" spans="1:26" ht="15">
      <c r="A306" s="549"/>
      <c r="B306" s="554"/>
      <c r="C306" s="549"/>
      <c r="D306" s="549"/>
      <c r="E306" s="570"/>
      <c r="F306" s="549"/>
      <c r="G306" s="549"/>
      <c r="H306" s="549"/>
      <c r="I306" s="550"/>
      <c r="J306" s="549"/>
      <c r="K306" s="549"/>
      <c r="L306" s="549"/>
      <c r="M306" s="549"/>
      <c r="N306" s="551"/>
      <c r="O306" s="549"/>
      <c r="P306" s="549"/>
      <c r="Q306" s="549"/>
      <c r="R306" s="549"/>
      <c r="S306" s="549"/>
      <c r="T306" s="549"/>
      <c r="U306" s="549"/>
      <c r="V306" s="549"/>
      <c r="W306" s="549"/>
      <c r="X306" s="549"/>
      <c r="Y306" s="549"/>
      <c r="Z306" s="549"/>
    </row>
    <row r="307" spans="1:26" ht="15">
      <c r="A307" s="549"/>
      <c r="B307" s="554"/>
      <c r="C307" s="549"/>
      <c r="D307" s="549"/>
      <c r="E307" s="570"/>
      <c r="F307" s="549"/>
      <c r="G307" s="549"/>
      <c r="H307" s="549"/>
      <c r="I307" s="550"/>
      <c r="J307" s="549"/>
      <c r="K307" s="549"/>
      <c r="L307" s="549"/>
      <c r="M307" s="549"/>
      <c r="N307" s="551"/>
      <c r="O307" s="549"/>
      <c r="P307" s="549"/>
      <c r="Q307" s="549"/>
      <c r="R307" s="549"/>
      <c r="S307" s="549"/>
      <c r="T307" s="549"/>
      <c r="U307" s="549"/>
      <c r="V307" s="549"/>
      <c r="W307" s="549"/>
      <c r="X307" s="549"/>
      <c r="Y307" s="549"/>
      <c r="Z307" s="549"/>
    </row>
    <row r="308" spans="1:26" ht="15">
      <c r="A308" s="549"/>
      <c r="B308" s="554"/>
      <c r="C308" s="549"/>
      <c r="D308" s="549"/>
      <c r="E308" s="570"/>
      <c r="F308" s="549"/>
      <c r="G308" s="549"/>
      <c r="H308" s="549"/>
      <c r="I308" s="550"/>
      <c r="J308" s="549"/>
      <c r="K308" s="549"/>
      <c r="L308" s="549"/>
      <c r="M308" s="549"/>
      <c r="N308" s="551"/>
      <c r="O308" s="549"/>
      <c r="P308" s="549"/>
      <c r="Q308" s="549"/>
      <c r="R308" s="549"/>
      <c r="S308" s="549"/>
      <c r="T308" s="549"/>
      <c r="U308" s="549"/>
      <c r="V308" s="549"/>
      <c r="W308" s="549"/>
      <c r="X308" s="549"/>
      <c r="Y308" s="549"/>
      <c r="Z308" s="549"/>
    </row>
    <row r="309" spans="1:26" ht="15">
      <c r="A309" s="549"/>
      <c r="B309" s="554"/>
      <c r="C309" s="549"/>
      <c r="D309" s="549"/>
      <c r="E309" s="570"/>
      <c r="F309" s="549"/>
      <c r="G309" s="549"/>
      <c r="H309" s="549"/>
      <c r="I309" s="550"/>
      <c r="J309" s="549"/>
      <c r="K309" s="549"/>
      <c r="L309" s="549"/>
      <c r="M309" s="549"/>
      <c r="N309" s="551"/>
      <c r="O309" s="549"/>
      <c r="P309" s="549"/>
      <c r="Q309" s="549"/>
      <c r="R309" s="549"/>
      <c r="S309" s="549"/>
      <c r="T309" s="549"/>
      <c r="U309" s="549"/>
      <c r="V309" s="549"/>
      <c r="W309" s="549"/>
      <c r="X309" s="549"/>
      <c r="Y309" s="549"/>
      <c r="Z309" s="549"/>
    </row>
    <row r="310" spans="1:26" ht="15">
      <c r="A310" s="549"/>
      <c r="B310" s="554"/>
      <c r="C310" s="549"/>
      <c r="D310" s="549"/>
      <c r="E310" s="570"/>
      <c r="F310" s="549"/>
      <c r="G310" s="549"/>
      <c r="H310" s="549"/>
      <c r="I310" s="550"/>
      <c r="J310" s="549"/>
      <c r="K310" s="549"/>
      <c r="L310" s="549"/>
      <c r="M310" s="549"/>
      <c r="N310" s="551"/>
      <c r="O310" s="549"/>
      <c r="P310" s="549"/>
      <c r="Q310" s="549"/>
      <c r="R310" s="549"/>
      <c r="S310" s="549"/>
      <c r="T310" s="549"/>
      <c r="U310" s="549"/>
      <c r="V310" s="549"/>
      <c r="W310" s="549"/>
      <c r="X310" s="549"/>
      <c r="Y310" s="549"/>
      <c r="Z310" s="549"/>
    </row>
    <row r="311" spans="1:26" ht="15">
      <c r="A311" s="549"/>
      <c r="B311" s="554"/>
      <c r="C311" s="549"/>
      <c r="D311" s="549"/>
      <c r="E311" s="570"/>
      <c r="F311" s="549"/>
      <c r="G311" s="549"/>
      <c r="H311" s="549"/>
      <c r="I311" s="550"/>
      <c r="J311" s="549"/>
      <c r="K311" s="549"/>
      <c r="L311" s="549"/>
      <c r="M311" s="549"/>
      <c r="N311" s="551"/>
      <c r="O311" s="549"/>
      <c r="P311" s="549"/>
      <c r="Q311" s="549"/>
      <c r="R311" s="549"/>
      <c r="S311" s="549"/>
      <c r="T311" s="549"/>
      <c r="U311" s="549"/>
      <c r="V311" s="549"/>
      <c r="W311" s="549"/>
      <c r="X311" s="549"/>
      <c r="Y311" s="549"/>
      <c r="Z311" s="549"/>
    </row>
    <row r="312" spans="1:26" ht="15">
      <c r="A312" s="549"/>
      <c r="B312" s="554"/>
      <c r="C312" s="549"/>
      <c r="D312" s="549"/>
      <c r="E312" s="570"/>
      <c r="F312" s="549"/>
      <c r="G312" s="549"/>
      <c r="H312" s="549"/>
      <c r="I312" s="550"/>
      <c r="J312" s="549"/>
      <c r="K312" s="549"/>
      <c r="L312" s="549"/>
      <c r="M312" s="549"/>
      <c r="N312" s="551"/>
      <c r="O312" s="549"/>
      <c r="P312" s="549"/>
      <c r="Q312" s="549"/>
      <c r="R312" s="549"/>
      <c r="S312" s="549"/>
      <c r="T312" s="549"/>
      <c r="U312" s="549"/>
      <c r="V312" s="549"/>
      <c r="W312" s="549"/>
      <c r="X312" s="549"/>
      <c r="Y312" s="549"/>
      <c r="Z312" s="549"/>
    </row>
    <row r="313" spans="1:26" ht="15">
      <c r="A313" s="549"/>
      <c r="B313" s="554"/>
      <c r="C313" s="549"/>
      <c r="D313" s="549"/>
      <c r="E313" s="570"/>
      <c r="F313" s="549"/>
      <c r="G313" s="549"/>
      <c r="H313" s="549"/>
      <c r="I313" s="550"/>
      <c r="J313" s="549"/>
      <c r="K313" s="549"/>
      <c r="L313" s="549"/>
      <c r="M313" s="549"/>
      <c r="N313" s="551"/>
      <c r="O313" s="549"/>
      <c r="P313" s="549"/>
      <c r="Q313" s="549"/>
      <c r="R313" s="549"/>
      <c r="S313" s="549"/>
      <c r="T313" s="549"/>
      <c r="U313" s="549"/>
      <c r="V313" s="549"/>
      <c r="W313" s="549"/>
      <c r="X313" s="549"/>
      <c r="Y313" s="549"/>
      <c r="Z313" s="549"/>
    </row>
    <row r="314" spans="1:26" ht="15">
      <c r="A314" s="549"/>
      <c r="B314" s="554"/>
      <c r="C314" s="549"/>
      <c r="D314" s="549"/>
      <c r="E314" s="570"/>
      <c r="F314" s="549"/>
      <c r="G314" s="549"/>
      <c r="H314" s="549"/>
      <c r="I314" s="550"/>
      <c r="J314" s="549"/>
      <c r="K314" s="549"/>
      <c r="L314" s="549"/>
      <c r="M314" s="549"/>
      <c r="N314" s="551"/>
      <c r="O314" s="549"/>
      <c r="P314" s="549"/>
      <c r="Q314" s="549"/>
      <c r="R314" s="549"/>
      <c r="S314" s="549"/>
      <c r="T314" s="549"/>
      <c r="U314" s="549"/>
      <c r="V314" s="549"/>
      <c r="W314" s="549"/>
      <c r="X314" s="549"/>
      <c r="Y314" s="549"/>
      <c r="Z314" s="549"/>
    </row>
    <row r="315" spans="1:26" ht="15">
      <c r="A315" s="549"/>
      <c r="B315" s="554"/>
      <c r="C315" s="549"/>
      <c r="D315" s="549"/>
      <c r="E315" s="570"/>
      <c r="F315" s="549"/>
      <c r="G315" s="549"/>
      <c r="H315" s="549"/>
      <c r="I315" s="550"/>
      <c r="J315" s="549"/>
      <c r="K315" s="549"/>
      <c r="L315" s="549"/>
      <c r="M315" s="549"/>
      <c r="N315" s="551"/>
      <c r="O315" s="549"/>
      <c r="P315" s="549"/>
      <c r="Q315" s="549"/>
      <c r="R315" s="549"/>
      <c r="S315" s="549"/>
      <c r="T315" s="549"/>
      <c r="U315" s="549"/>
      <c r="V315" s="549"/>
      <c r="W315" s="549"/>
      <c r="X315" s="549"/>
      <c r="Y315" s="549"/>
      <c r="Z315" s="549"/>
    </row>
    <row r="316" spans="1:26" ht="15">
      <c r="A316" s="549"/>
      <c r="B316" s="554"/>
      <c r="C316" s="549"/>
      <c r="D316" s="549"/>
      <c r="E316" s="570"/>
      <c r="F316" s="549"/>
      <c r="G316" s="549"/>
      <c r="H316" s="549"/>
      <c r="I316" s="550"/>
      <c r="J316" s="549"/>
      <c r="K316" s="549"/>
      <c r="L316" s="549"/>
      <c r="M316" s="549"/>
      <c r="N316" s="551"/>
      <c r="O316" s="549"/>
      <c r="P316" s="549"/>
      <c r="Q316" s="549"/>
      <c r="R316" s="549"/>
      <c r="S316" s="549"/>
      <c r="T316" s="549"/>
      <c r="U316" s="549"/>
      <c r="V316" s="549"/>
      <c r="W316" s="549"/>
      <c r="X316" s="549"/>
      <c r="Y316" s="549"/>
      <c r="Z316" s="549"/>
    </row>
    <row r="317" spans="1:26" ht="15">
      <c r="A317" s="549"/>
      <c r="B317" s="554"/>
      <c r="C317" s="549"/>
      <c r="D317" s="549"/>
      <c r="E317" s="570"/>
      <c r="F317" s="549"/>
      <c r="G317" s="549"/>
      <c r="H317" s="549"/>
      <c r="I317" s="550"/>
      <c r="J317" s="549"/>
      <c r="K317" s="549"/>
      <c r="L317" s="549"/>
      <c r="M317" s="549"/>
      <c r="N317" s="551"/>
      <c r="O317" s="549"/>
      <c r="P317" s="549"/>
      <c r="Q317" s="549"/>
      <c r="R317" s="549"/>
      <c r="S317" s="549"/>
      <c r="T317" s="549"/>
      <c r="U317" s="549"/>
      <c r="V317" s="549"/>
      <c r="W317" s="549"/>
      <c r="X317" s="549"/>
      <c r="Y317" s="549"/>
      <c r="Z317" s="549"/>
    </row>
    <row r="318" spans="1:26" ht="15">
      <c r="A318" s="549"/>
      <c r="B318" s="554"/>
      <c r="C318" s="549"/>
      <c r="D318" s="549"/>
      <c r="E318" s="570"/>
      <c r="F318" s="549"/>
      <c r="G318" s="549"/>
      <c r="H318" s="549"/>
      <c r="I318" s="550"/>
      <c r="J318" s="549"/>
      <c r="K318" s="549"/>
      <c r="L318" s="549"/>
      <c r="M318" s="549"/>
      <c r="N318" s="551"/>
      <c r="O318" s="549"/>
      <c r="P318" s="549"/>
      <c r="Q318" s="549"/>
      <c r="R318" s="549"/>
      <c r="S318" s="549"/>
      <c r="T318" s="549"/>
      <c r="U318" s="549"/>
      <c r="V318" s="549"/>
      <c r="W318" s="549"/>
      <c r="X318" s="549"/>
      <c r="Y318" s="549"/>
      <c r="Z318" s="549"/>
    </row>
    <row r="319" spans="1:26" ht="15">
      <c r="A319" s="549"/>
      <c r="B319" s="554"/>
      <c r="C319" s="549"/>
      <c r="D319" s="549"/>
      <c r="E319" s="570"/>
      <c r="F319" s="549"/>
      <c r="G319" s="549"/>
      <c r="H319" s="549"/>
      <c r="I319" s="550"/>
      <c r="J319" s="549"/>
      <c r="K319" s="549"/>
      <c r="L319" s="549"/>
      <c r="M319" s="549"/>
      <c r="N319" s="551"/>
      <c r="O319" s="549"/>
      <c r="P319" s="549"/>
      <c r="Q319" s="549"/>
      <c r="R319" s="549"/>
      <c r="S319" s="549"/>
      <c r="T319" s="549"/>
      <c r="U319" s="549"/>
      <c r="V319" s="549"/>
      <c r="W319" s="549"/>
      <c r="X319" s="549"/>
      <c r="Y319" s="549"/>
      <c r="Z319" s="549"/>
    </row>
    <row r="320" spans="1:26" ht="15">
      <c r="A320" s="549"/>
      <c r="B320" s="554"/>
      <c r="C320" s="549"/>
      <c r="D320" s="549"/>
      <c r="E320" s="570"/>
      <c r="F320" s="549"/>
      <c r="G320" s="549"/>
      <c r="H320" s="549"/>
      <c r="I320" s="550"/>
      <c r="J320" s="549"/>
      <c r="K320" s="549"/>
      <c r="L320" s="549"/>
      <c r="M320" s="549"/>
      <c r="N320" s="551"/>
      <c r="O320" s="549"/>
      <c r="P320" s="549"/>
      <c r="Q320" s="549"/>
      <c r="R320" s="549"/>
      <c r="S320" s="549"/>
      <c r="T320" s="549"/>
      <c r="U320" s="549"/>
      <c r="V320" s="549"/>
      <c r="W320" s="549"/>
      <c r="X320" s="549"/>
      <c r="Y320" s="549"/>
      <c r="Z320" s="549"/>
    </row>
    <row r="321" spans="1:26" ht="15">
      <c r="A321" s="549"/>
      <c r="B321" s="554"/>
      <c r="C321" s="549"/>
      <c r="D321" s="549"/>
      <c r="E321" s="570"/>
      <c r="F321" s="549"/>
      <c r="G321" s="549"/>
      <c r="H321" s="549"/>
      <c r="I321" s="550"/>
      <c r="J321" s="549"/>
      <c r="K321" s="549"/>
      <c r="L321" s="549"/>
      <c r="M321" s="549"/>
      <c r="N321" s="551"/>
      <c r="O321" s="549"/>
      <c r="P321" s="549"/>
      <c r="Q321" s="549"/>
      <c r="R321" s="549"/>
      <c r="S321" s="549"/>
      <c r="T321" s="549"/>
      <c r="U321" s="549"/>
      <c r="V321" s="549"/>
      <c r="W321" s="549"/>
      <c r="X321" s="549"/>
      <c r="Y321" s="549"/>
      <c r="Z321" s="549"/>
    </row>
    <row r="322" spans="1:26" ht="15">
      <c r="A322" s="549"/>
      <c r="B322" s="554"/>
      <c r="C322" s="549"/>
      <c r="D322" s="549"/>
      <c r="E322" s="570"/>
      <c r="F322" s="549"/>
      <c r="G322" s="549"/>
      <c r="H322" s="549"/>
      <c r="I322" s="550"/>
      <c r="J322" s="549"/>
      <c r="K322" s="549"/>
      <c r="L322" s="549"/>
      <c r="M322" s="549"/>
      <c r="N322" s="551"/>
      <c r="O322" s="549"/>
      <c r="P322" s="549"/>
      <c r="Q322" s="549"/>
      <c r="R322" s="549"/>
      <c r="S322" s="549"/>
      <c r="T322" s="549"/>
      <c r="U322" s="549"/>
      <c r="V322" s="549"/>
      <c r="W322" s="549"/>
      <c r="X322" s="549"/>
      <c r="Y322" s="549"/>
      <c r="Z322" s="549"/>
    </row>
    <row r="323" spans="1:26" ht="15">
      <c r="A323" s="549"/>
      <c r="B323" s="554"/>
      <c r="C323" s="549"/>
      <c r="D323" s="549"/>
      <c r="E323" s="570"/>
      <c r="F323" s="549"/>
      <c r="G323" s="549"/>
      <c r="H323" s="549"/>
      <c r="I323" s="550"/>
      <c r="J323" s="549"/>
      <c r="K323" s="549"/>
      <c r="L323" s="549"/>
      <c r="M323" s="549"/>
      <c r="N323" s="551"/>
      <c r="O323" s="549"/>
      <c r="P323" s="549"/>
      <c r="Q323" s="549"/>
      <c r="R323" s="549"/>
      <c r="S323" s="549"/>
      <c r="T323" s="549"/>
      <c r="U323" s="549"/>
      <c r="V323" s="549"/>
      <c r="W323" s="549"/>
      <c r="X323" s="549"/>
      <c r="Y323" s="549"/>
      <c r="Z323" s="549"/>
    </row>
    <row r="324" spans="1:26" ht="15">
      <c r="A324" s="549"/>
      <c r="B324" s="554"/>
      <c r="C324" s="549"/>
      <c r="D324" s="549"/>
      <c r="E324" s="570"/>
      <c r="F324" s="549"/>
      <c r="G324" s="549"/>
      <c r="H324" s="549"/>
      <c r="I324" s="550"/>
      <c r="J324" s="549"/>
      <c r="K324" s="549"/>
      <c r="L324" s="549"/>
      <c r="M324" s="549"/>
      <c r="N324" s="551"/>
      <c r="O324" s="549"/>
      <c r="P324" s="549"/>
      <c r="Q324" s="549"/>
      <c r="R324" s="549"/>
      <c r="S324" s="549"/>
      <c r="T324" s="549"/>
      <c r="U324" s="549"/>
      <c r="V324" s="549"/>
      <c r="W324" s="549"/>
      <c r="X324" s="549"/>
      <c r="Y324" s="549"/>
      <c r="Z324" s="549"/>
    </row>
    <row r="325" spans="1:26" ht="15">
      <c r="A325" s="549"/>
      <c r="B325" s="554"/>
      <c r="C325" s="549"/>
      <c r="D325" s="549"/>
      <c r="E325" s="570"/>
      <c r="F325" s="549"/>
      <c r="G325" s="549"/>
      <c r="H325" s="549"/>
      <c r="I325" s="550"/>
      <c r="J325" s="549"/>
      <c r="K325" s="549"/>
      <c r="L325" s="549"/>
      <c r="M325" s="549"/>
      <c r="N325" s="551"/>
      <c r="O325" s="549"/>
      <c r="P325" s="549"/>
      <c r="Q325" s="549"/>
      <c r="R325" s="549"/>
      <c r="S325" s="549"/>
      <c r="T325" s="549"/>
      <c r="U325" s="549"/>
      <c r="V325" s="549"/>
      <c r="W325" s="549"/>
      <c r="X325" s="549"/>
      <c r="Y325" s="549"/>
      <c r="Z325" s="549"/>
    </row>
    <row r="326" spans="1:26" ht="15">
      <c r="A326" s="549"/>
      <c r="B326" s="554"/>
      <c r="C326" s="549"/>
      <c r="D326" s="549"/>
      <c r="E326" s="570"/>
      <c r="F326" s="549"/>
      <c r="G326" s="549"/>
      <c r="H326" s="549"/>
      <c r="I326" s="550"/>
      <c r="J326" s="549"/>
      <c r="K326" s="549"/>
      <c r="L326" s="549"/>
      <c r="M326" s="549"/>
      <c r="N326" s="551"/>
      <c r="O326" s="549"/>
      <c r="P326" s="549"/>
      <c r="Q326" s="549"/>
      <c r="R326" s="549"/>
      <c r="S326" s="549"/>
      <c r="T326" s="549"/>
      <c r="U326" s="549"/>
      <c r="V326" s="549"/>
      <c r="W326" s="549"/>
      <c r="X326" s="549"/>
      <c r="Y326" s="549"/>
      <c r="Z326" s="549"/>
    </row>
    <row r="327" spans="1:26" ht="15">
      <c r="A327" s="549"/>
      <c r="B327" s="554"/>
      <c r="C327" s="549"/>
      <c r="D327" s="549"/>
      <c r="E327" s="570"/>
      <c r="F327" s="549"/>
      <c r="G327" s="549"/>
      <c r="H327" s="549"/>
      <c r="I327" s="550"/>
      <c r="J327" s="549"/>
      <c r="K327" s="549"/>
      <c r="L327" s="549"/>
      <c r="M327" s="549"/>
      <c r="N327" s="551"/>
      <c r="O327" s="549"/>
      <c r="P327" s="549"/>
      <c r="Q327" s="549"/>
      <c r="R327" s="549"/>
      <c r="S327" s="549"/>
      <c r="T327" s="549"/>
      <c r="U327" s="549"/>
      <c r="V327" s="549"/>
      <c r="W327" s="549"/>
      <c r="X327" s="549"/>
      <c r="Y327" s="549"/>
      <c r="Z327" s="549"/>
    </row>
    <row r="328" spans="1:26" ht="15">
      <c r="A328" s="549"/>
      <c r="B328" s="554"/>
      <c r="C328" s="549"/>
      <c r="D328" s="549"/>
      <c r="E328" s="570"/>
      <c r="F328" s="549"/>
      <c r="G328" s="549"/>
      <c r="H328" s="549"/>
      <c r="I328" s="550"/>
      <c r="J328" s="549"/>
      <c r="K328" s="549"/>
      <c r="L328" s="549"/>
      <c r="M328" s="549"/>
      <c r="N328" s="551"/>
      <c r="O328" s="549"/>
      <c r="P328" s="549"/>
      <c r="Q328" s="549"/>
      <c r="R328" s="549"/>
      <c r="S328" s="549"/>
      <c r="T328" s="549"/>
      <c r="U328" s="549"/>
      <c r="V328" s="549"/>
      <c r="W328" s="549"/>
      <c r="X328" s="549"/>
      <c r="Y328" s="549"/>
      <c r="Z328" s="549"/>
    </row>
    <row r="329" spans="1:26" ht="15">
      <c r="A329" s="549"/>
      <c r="B329" s="554"/>
      <c r="C329" s="549"/>
      <c r="D329" s="549"/>
      <c r="E329" s="570"/>
      <c r="F329" s="549"/>
      <c r="G329" s="549"/>
      <c r="H329" s="549"/>
      <c r="I329" s="550"/>
      <c r="J329" s="549"/>
      <c r="K329" s="549"/>
      <c r="L329" s="549"/>
      <c r="M329" s="549"/>
      <c r="N329" s="551"/>
      <c r="O329" s="549"/>
      <c r="P329" s="549"/>
      <c r="Q329" s="549"/>
      <c r="R329" s="549"/>
      <c r="S329" s="549"/>
      <c r="T329" s="549"/>
      <c r="U329" s="549"/>
      <c r="V329" s="549"/>
      <c r="W329" s="549"/>
      <c r="X329" s="549"/>
      <c r="Y329" s="549"/>
      <c r="Z329" s="549"/>
    </row>
    <row r="330" spans="1:26" ht="15">
      <c r="A330" s="549"/>
      <c r="B330" s="554"/>
      <c r="C330" s="549"/>
      <c r="D330" s="549"/>
      <c r="E330" s="570"/>
      <c r="F330" s="549"/>
      <c r="G330" s="549"/>
      <c r="H330" s="549"/>
      <c r="I330" s="550"/>
      <c r="J330" s="549"/>
      <c r="K330" s="549"/>
      <c r="L330" s="549"/>
      <c r="M330" s="549"/>
      <c r="N330" s="551"/>
      <c r="O330" s="549"/>
      <c r="P330" s="549"/>
      <c r="Q330" s="549"/>
      <c r="R330" s="549"/>
      <c r="S330" s="549"/>
      <c r="T330" s="549"/>
      <c r="U330" s="549"/>
      <c r="V330" s="549"/>
      <c r="W330" s="549"/>
      <c r="X330" s="549"/>
      <c r="Y330" s="549"/>
      <c r="Z330" s="549"/>
    </row>
    <row r="331" spans="1:26" ht="15">
      <c r="A331" s="549"/>
      <c r="B331" s="554"/>
      <c r="C331" s="549"/>
      <c r="D331" s="549"/>
      <c r="E331" s="570"/>
      <c r="F331" s="549"/>
      <c r="G331" s="549"/>
      <c r="H331" s="549"/>
      <c r="I331" s="550"/>
      <c r="J331" s="549"/>
      <c r="K331" s="549"/>
      <c r="L331" s="549"/>
      <c r="M331" s="549"/>
      <c r="N331" s="551"/>
      <c r="O331" s="549"/>
      <c r="P331" s="549"/>
      <c r="Q331" s="549"/>
      <c r="R331" s="549"/>
      <c r="S331" s="549"/>
      <c r="T331" s="549"/>
      <c r="U331" s="549"/>
      <c r="V331" s="549"/>
      <c r="W331" s="549"/>
      <c r="X331" s="549"/>
      <c r="Y331" s="549"/>
      <c r="Z331" s="549"/>
    </row>
    <row r="332" spans="1:26" ht="15">
      <c r="A332" s="549"/>
      <c r="B332" s="554"/>
      <c r="C332" s="549"/>
      <c r="D332" s="549"/>
      <c r="E332" s="570"/>
      <c r="F332" s="549"/>
      <c r="G332" s="549"/>
      <c r="H332" s="549"/>
      <c r="I332" s="550"/>
      <c r="J332" s="549"/>
      <c r="K332" s="549"/>
      <c r="L332" s="549"/>
      <c r="M332" s="549"/>
      <c r="N332" s="551"/>
      <c r="O332" s="549"/>
      <c r="P332" s="549"/>
      <c r="Q332" s="549"/>
      <c r="R332" s="549"/>
      <c r="S332" s="549"/>
      <c r="T332" s="549"/>
      <c r="U332" s="549"/>
      <c r="V332" s="549"/>
      <c r="W332" s="549"/>
      <c r="X332" s="549"/>
      <c r="Y332" s="549"/>
      <c r="Z332" s="549"/>
    </row>
    <row r="333" spans="1:26" ht="15">
      <c r="A333" s="549"/>
      <c r="B333" s="554"/>
      <c r="C333" s="549"/>
      <c r="D333" s="549"/>
      <c r="E333" s="570"/>
      <c r="F333" s="549"/>
      <c r="G333" s="549"/>
      <c r="H333" s="549"/>
      <c r="I333" s="550"/>
      <c r="J333" s="549"/>
      <c r="K333" s="549"/>
      <c r="L333" s="549"/>
      <c r="M333" s="549"/>
      <c r="N333" s="551"/>
      <c r="O333" s="549"/>
      <c r="P333" s="549"/>
      <c r="Q333" s="549"/>
      <c r="R333" s="549"/>
      <c r="S333" s="549"/>
      <c r="T333" s="549"/>
      <c r="U333" s="549"/>
      <c r="V333" s="549"/>
      <c r="W333" s="549"/>
      <c r="X333" s="549"/>
      <c r="Y333" s="549"/>
      <c r="Z333" s="549"/>
    </row>
    <row r="334" spans="1:26" ht="15">
      <c r="A334" s="549"/>
      <c r="B334" s="554"/>
      <c r="C334" s="549"/>
      <c r="D334" s="549"/>
      <c r="E334" s="570"/>
      <c r="F334" s="549"/>
      <c r="G334" s="549"/>
      <c r="H334" s="549"/>
      <c r="I334" s="550"/>
      <c r="J334" s="549"/>
      <c r="K334" s="549"/>
      <c r="L334" s="549"/>
      <c r="M334" s="549"/>
      <c r="N334" s="551"/>
      <c r="O334" s="549"/>
      <c r="P334" s="549"/>
      <c r="Q334" s="549"/>
      <c r="R334" s="549"/>
      <c r="S334" s="549"/>
      <c r="T334" s="549"/>
      <c r="U334" s="549"/>
      <c r="V334" s="549"/>
      <c r="W334" s="549"/>
      <c r="X334" s="549"/>
      <c r="Y334" s="549"/>
      <c r="Z334" s="549"/>
    </row>
    <row r="335" spans="1:26" ht="15">
      <c r="A335" s="549"/>
      <c r="B335" s="554"/>
      <c r="C335" s="549"/>
      <c r="D335" s="549"/>
      <c r="E335" s="570"/>
      <c r="F335" s="549"/>
      <c r="G335" s="549"/>
      <c r="H335" s="549"/>
      <c r="I335" s="550"/>
      <c r="J335" s="549"/>
      <c r="K335" s="549"/>
      <c r="L335" s="549"/>
      <c r="M335" s="549"/>
      <c r="N335" s="551"/>
      <c r="O335" s="549"/>
      <c r="P335" s="549"/>
      <c r="Q335" s="549"/>
      <c r="R335" s="549"/>
      <c r="S335" s="549"/>
      <c r="T335" s="549"/>
      <c r="U335" s="549"/>
      <c r="V335" s="549"/>
      <c r="W335" s="549"/>
      <c r="X335" s="549"/>
      <c r="Y335" s="549"/>
      <c r="Z335" s="549"/>
    </row>
    <row r="336" spans="1:26" ht="15">
      <c r="A336" s="549"/>
      <c r="B336" s="554"/>
      <c r="C336" s="549"/>
      <c r="D336" s="549"/>
      <c r="E336" s="570"/>
      <c r="F336" s="549"/>
      <c r="G336" s="549"/>
      <c r="H336" s="549"/>
      <c r="I336" s="550"/>
      <c r="J336" s="549"/>
      <c r="K336" s="549"/>
      <c r="L336" s="549"/>
      <c r="M336" s="549"/>
      <c r="N336" s="551"/>
      <c r="O336" s="549"/>
      <c r="P336" s="549"/>
      <c r="Q336" s="549"/>
      <c r="R336" s="549"/>
      <c r="S336" s="549"/>
      <c r="T336" s="549"/>
      <c r="U336" s="549"/>
      <c r="V336" s="549"/>
      <c r="W336" s="549"/>
      <c r="X336" s="549"/>
      <c r="Y336" s="549"/>
      <c r="Z336" s="549"/>
    </row>
    <row r="337" spans="1:26" ht="15">
      <c r="A337" s="549"/>
      <c r="B337" s="554"/>
      <c r="C337" s="549"/>
      <c r="D337" s="549"/>
      <c r="E337" s="570"/>
      <c r="F337" s="549"/>
      <c r="G337" s="549"/>
      <c r="H337" s="549"/>
      <c r="I337" s="550"/>
      <c r="J337" s="549"/>
      <c r="K337" s="549"/>
      <c r="L337" s="549"/>
      <c r="M337" s="549"/>
      <c r="N337" s="551"/>
      <c r="O337" s="549"/>
      <c r="P337" s="549"/>
      <c r="Q337" s="549"/>
      <c r="R337" s="549"/>
      <c r="S337" s="549"/>
      <c r="T337" s="549"/>
      <c r="U337" s="549"/>
      <c r="V337" s="549"/>
      <c r="W337" s="549"/>
      <c r="X337" s="549"/>
      <c r="Y337" s="549"/>
      <c r="Z337" s="549"/>
    </row>
    <row r="338" spans="1:26" ht="15">
      <c r="A338" s="549"/>
      <c r="B338" s="554"/>
      <c r="C338" s="549"/>
      <c r="D338" s="549"/>
      <c r="E338" s="570"/>
      <c r="F338" s="549"/>
      <c r="G338" s="549"/>
      <c r="H338" s="549"/>
      <c r="I338" s="550"/>
      <c r="J338" s="549"/>
      <c r="K338" s="549"/>
      <c r="L338" s="549"/>
      <c r="M338" s="549"/>
      <c r="N338" s="551"/>
      <c r="O338" s="549"/>
      <c r="P338" s="549"/>
      <c r="Q338" s="549"/>
      <c r="R338" s="549"/>
      <c r="S338" s="549"/>
      <c r="T338" s="549"/>
      <c r="U338" s="549"/>
      <c r="V338" s="549"/>
      <c r="W338" s="549"/>
      <c r="X338" s="549"/>
      <c r="Y338" s="549"/>
      <c r="Z338" s="549"/>
    </row>
    <row r="339" spans="1:26" ht="15">
      <c r="A339" s="549"/>
      <c r="B339" s="554"/>
      <c r="C339" s="549"/>
      <c r="D339" s="549"/>
      <c r="E339" s="570"/>
      <c r="F339" s="549"/>
      <c r="G339" s="549"/>
      <c r="H339" s="549"/>
      <c r="I339" s="550"/>
      <c r="J339" s="549"/>
      <c r="K339" s="549"/>
      <c r="L339" s="549"/>
      <c r="M339" s="549"/>
      <c r="N339" s="551"/>
      <c r="O339" s="549"/>
      <c r="P339" s="549"/>
      <c r="Q339" s="549"/>
      <c r="R339" s="549"/>
      <c r="S339" s="549"/>
      <c r="T339" s="549"/>
      <c r="U339" s="549"/>
      <c r="V339" s="549"/>
      <c r="W339" s="549"/>
      <c r="X339" s="549"/>
      <c r="Y339" s="549"/>
      <c r="Z339" s="549"/>
    </row>
    <row r="340" spans="1:26" ht="15">
      <c r="A340" s="549"/>
      <c r="B340" s="554"/>
      <c r="C340" s="549"/>
      <c r="D340" s="549"/>
      <c r="E340" s="570"/>
      <c r="F340" s="549"/>
      <c r="G340" s="549"/>
      <c r="H340" s="549"/>
      <c r="I340" s="550"/>
      <c r="J340" s="549"/>
      <c r="K340" s="549"/>
      <c r="L340" s="549"/>
      <c r="M340" s="549"/>
      <c r="N340" s="551"/>
      <c r="O340" s="549"/>
      <c r="P340" s="549"/>
      <c r="Q340" s="549"/>
      <c r="R340" s="549"/>
      <c r="S340" s="549"/>
      <c r="T340" s="549"/>
      <c r="U340" s="549"/>
      <c r="V340" s="549"/>
      <c r="W340" s="549"/>
      <c r="X340" s="549"/>
      <c r="Y340" s="549"/>
      <c r="Z340" s="549"/>
    </row>
    <row r="341" spans="1:26" ht="15">
      <c r="A341" s="549"/>
      <c r="B341" s="554"/>
      <c r="C341" s="549"/>
      <c r="D341" s="549"/>
      <c r="E341" s="570"/>
      <c r="F341" s="549"/>
      <c r="G341" s="549"/>
      <c r="H341" s="549"/>
      <c r="I341" s="550"/>
      <c r="J341" s="549"/>
      <c r="K341" s="549"/>
      <c r="L341" s="549"/>
      <c r="M341" s="549"/>
      <c r="N341" s="551"/>
      <c r="O341" s="549"/>
      <c r="P341" s="549"/>
      <c r="Q341" s="549"/>
      <c r="R341" s="549"/>
      <c r="S341" s="549"/>
      <c r="T341" s="549"/>
      <c r="U341" s="549"/>
      <c r="V341" s="549"/>
      <c r="W341" s="549"/>
      <c r="X341" s="549"/>
      <c r="Y341" s="549"/>
      <c r="Z341" s="549"/>
    </row>
    <row r="342" spans="1:26" ht="15">
      <c r="A342" s="549"/>
      <c r="B342" s="554"/>
      <c r="C342" s="549"/>
      <c r="D342" s="549"/>
      <c r="E342" s="570"/>
      <c r="F342" s="549"/>
      <c r="G342" s="549"/>
      <c r="H342" s="549"/>
      <c r="I342" s="550"/>
      <c r="J342" s="549"/>
      <c r="K342" s="549"/>
      <c r="L342" s="549"/>
      <c r="M342" s="549"/>
      <c r="N342" s="551"/>
      <c r="O342" s="549"/>
      <c r="P342" s="549"/>
      <c r="Q342" s="549"/>
      <c r="R342" s="549"/>
      <c r="S342" s="549"/>
      <c r="T342" s="549"/>
      <c r="U342" s="549"/>
      <c r="V342" s="549"/>
      <c r="W342" s="549"/>
      <c r="X342" s="549"/>
      <c r="Y342" s="549"/>
      <c r="Z342" s="549"/>
    </row>
    <row r="343" spans="1:26" ht="15">
      <c r="A343" s="549"/>
      <c r="B343" s="554"/>
      <c r="C343" s="549"/>
      <c r="D343" s="549"/>
      <c r="E343" s="570"/>
      <c r="F343" s="549"/>
      <c r="G343" s="549"/>
      <c r="H343" s="549"/>
      <c r="I343" s="550"/>
      <c r="J343" s="549"/>
      <c r="K343" s="549"/>
      <c r="L343" s="549"/>
      <c r="M343" s="549"/>
      <c r="N343" s="551"/>
      <c r="O343" s="549"/>
      <c r="P343" s="549"/>
      <c r="Q343" s="549"/>
      <c r="R343" s="549"/>
      <c r="S343" s="549"/>
      <c r="T343" s="549"/>
      <c r="U343" s="549"/>
      <c r="V343" s="549"/>
      <c r="W343" s="549"/>
      <c r="X343" s="549"/>
      <c r="Y343" s="549"/>
      <c r="Z343" s="549"/>
    </row>
    <row r="344" spans="1:26" ht="15">
      <c r="A344" s="549"/>
      <c r="B344" s="554"/>
      <c r="C344" s="549"/>
      <c r="D344" s="549"/>
      <c r="E344" s="570"/>
      <c r="F344" s="549"/>
      <c r="G344" s="549"/>
      <c r="H344" s="549"/>
      <c r="I344" s="550"/>
      <c r="J344" s="549"/>
      <c r="K344" s="549"/>
      <c r="L344" s="549"/>
      <c r="M344" s="549"/>
      <c r="N344" s="551"/>
      <c r="O344" s="549"/>
      <c r="P344" s="549"/>
      <c r="Q344" s="549"/>
      <c r="R344" s="549"/>
      <c r="S344" s="549"/>
      <c r="T344" s="549"/>
      <c r="U344" s="549"/>
      <c r="V344" s="549"/>
      <c r="W344" s="549"/>
      <c r="X344" s="549"/>
      <c r="Y344" s="549"/>
      <c r="Z344" s="549"/>
    </row>
    <row r="345" spans="1:26" ht="15">
      <c r="A345" s="549"/>
      <c r="B345" s="554"/>
      <c r="C345" s="549"/>
      <c r="D345" s="549"/>
      <c r="E345" s="570"/>
      <c r="F345" s="549"/>
      <c r="G345" s="549"/>
      <c r="H345" s="549"/>
      <c r="I345" s="550"/>
      <c r="J345" s="549"/>
      <c r="K345" s="549"/>
      <c r="L345" s="549"/>
      <c r="M345" s="549"/>
      <c r="N345" s="551"/>
      <c r="O345" s="549"/>
      <c r="P345" s="549"/>
      <c r="Q345" s="549"/>
      <c r="R345" s="549"/>
      <c r="S345" s="549"/>
      <c r="T345" s="549"/>
      <c r="U345" s="549"/>
      <c r="V345" s="549"/>
      <c r="W345" s="549"/>
      <c r="X345" s="549"/>
      <c r="Y345" s="549"/>
      <c r="Z345" s="549"/>
    </row>
    <row r="346" spans="1:26" ht="15">
      <c r="A346" s="549"/>
      <c r="B346" s="554"/>
      <c r="C346" s="549"/>
      <c r="D346" s="549"/>
      <c r="E346" s="570"/>
      <c r="F346" s="549"/>
      <c r="G346" s="549"/>
      <c r="H346" s="549"/>
      <c r="I346" s="550"/>
      <c r="J346" s="549"/>
      <c r="K346" s="549"/>
      <c r="L346" s="549"/>
      <c r="M346" s="549"/>
      <c r="N346" s="551"/>
      <c r="O346" s="549"/>
      <c r="P346" s="549"/>
      <c r="Q346" s="549"/>
      <c r="R346" s="549"/>
      <c r="S346" s="549"/>
      <c r="T346" s="549"/>
      <c r="U346" s="549"/>
      <c r="V346" s="549"/>
      <c r="W346" s="549"/>
      <c r="X346" s="549"/>
      <c r="Y346" s="549"/>
      <c r="Z346" s="549"/>
    </row>
    <row r="347" spans="1:26" ht="15">
      <c r="A347" s="549"/>
      <c r="B347" s="554"/>
      <c r="C347" s="549"/>
      <c r="D347" s="549"/>
      <c r="E347" s="570"/>
      <c r="F347" s="549"/>
      <c r="G347" s="549"/>
      <c r="H347" s="549"/>
      <c r="I347" s="550"/>
      <c r="J347" s="549"/>
      <c r="K347" s="549"/>
      <c r="L347" s="549"/>
      <c r="M347" s="549"/>
      <c r="N347" s="551"/>
      <c r="O347" s="549"/>
      <c r="P347" s="549"/>
      <c r="Q347" s="549"/>
      <c r="R347" s="549"/>
      <c r="S347" s="549"/>
      <c r="T347" s="549"/>
      <c r="U347" s="549"/>
      <c r="V347" s="549"/>
      <c r="W347" s="549"/>
      <c r="X347" s="549"/>
      <c r="Y347" s="549"/>
      <c r="Z347" s="549"/>
    </row>
    <row r="348" spans="1:26" ht="15">
      <c r="A348" s="549"/>
      <c r="B348" s="554"/>
      <c r="C348" s="549"/>
      <c r="D348" s="549"/>
      <c r="E348" s="570"/>
      <c r="F348" s="549"/>
      <c r="G348" s="549"/>
      <c r="H348" s="549"/>
      <c r="I348" s="550"/>
      <c r="J348" s="549"/>
      <c r="K348" s="549"/>
      <c r="L348" s="549"/>
      <c r="M348" s="549"/>
      <c r="N348" s="551"/>
      <c r="O348" s="549"/>
      <c r="P348" s="549"/>
      <c r="Q348" s="549"/>
      <c r="R348" s="549"/>
      <c r="S348" s="549"/>
      <c r="T348" s="549"/>
      <c r="U348" s="549"/>
      <c r="V348" s="549"/>
      <c r="W348" s="549"/>
      <c r="X348" s="549"/>
      <c r="Y348" s="549"/>
      <c r="Z348" s="549"/>
    </row>
    <row r="349" spans="1:26" ht="15">
      <c r="A349" s="549"/>
      <c r="B349" s="554"/>
      <c r="C349" s="549"/>
      <c r="D349" s="549"/>
      <c r="E349" s="570"/>
      <c r="F349" s="549"/>
      <c r="G349" s="549"/>
      <c r="H349" s="549"/>
      <c r="I349" s="550"/>
      <c r="J349" s="549"/>
      <c r="K349" s="549"/>
      <c r="L349" s="549"/>
      <c r="M349" s="549"/>
      <c r="N349" s="551"/>
      <c r="O349" s="549"/>
      <c r="P349" s="549"/>
      <c r="Q349" s="549"/>
      <c r="R349" s="549"/>
      <c r="S349" s="549"/>
      <c r="T349" s="549"/>
      <c r="U349" s="549"/>
      <c r="V349" s="549"/>
      <c r="W349" s="549"/>
      <c r="X349" s="549"/>
      <c r="Y349" s="549"/>
      <c r="Z349" s="549"/>
    </row>
    <row r="350" spans="1:26" ht="15">
      <c r="A350" s="549"/>
      <c r="B350" s="554"/>
      <c r="C350" s="549"/>
      <c r="D350" s="549"/>
      <c r="E350" s="570"/>
      <c r="F350" s="549"/>
      <c r="G350" s="549"/>
      <c r="H350" s="549"/>
      <c r="I350" s="550"/>
      <c r="J350" s="549"/>
      <c r="K350" s="549"/>
      <c r="L350" s="549"/>
      <c r="M350" s="549"/>
      <c r="N350" s="551"/>
      <c r="O350" s="549"/>
      <c r="P350" s="549"/>
      <c r="Q350" s="549"/>
      <c r="R350" s="549"/>
      <c r="S350" s="549"/>
      <c r="T350" s="549"/>
      <c r="U350" s="549"/>
      <c r="V350" s="549"/>
      <c r="W350" s="549"/>
      <c r="X350" s="549"/>
      <c r="Y350" s="549"/>
      <c r="Z350" s="549"/>
    </row>
    <row r="351" spans="1:26" ht="15">
      <c r="A351" s="549"/>
      <c r="B351" s="554"/>
      <c r="C351" s="549"/>
      <c r="D351" s="549"/>
      <c r="E351" s="570"/>
      <c r="F351" s="549"/>
      <c r="G351" s="549"/>
      <c r="H351" s="549"/>
      <c r="I351" s="550"/>
      <c r="J351" s="549"/>
      <c r="K351" s="549"/>
      <c r="L351" s="549"/>
      <c r="M351" s="549"/>
      <c r="N351" s="551"/>
      <c r="O351" s="549"/>
      <c r="P351" s="549"/>
      <c r="Q351" s="549"/>
      <c r="R351" s="549"/>
      <c r="S351" s="549"/>
      <c r="T351" s="549"/>
      <c r="U351" s="549"/>
      <c r="V351" s="549"/>
      <c r="W351" s="549"/>
      <c r="X351" s="549"/>
      <c r="Y351" s="549"/>
      <c r="Z351" s="549"/>
    </row>
    <row r="352" spans="1:26" ht="15">
      <c r="A352" s="549"/>
      <c r="B352" s="554"/>
      <c r="C352" s="549"/>
      <c r="D352" s="549"/>
      <c r="E352" s="570"/>
      <c r="F352" s="549"/>
      <c r="G352" s="549"/>
      <c r="H352" s="549"/>
      <c r="I352" s="550"/>
      <c r="J352" s="549"/>
      <c r="K352" s="549"/>
      <c r="L352" s="549"/>
      <c r="M352" s="549"/>
      <c r="N352" s="551"/>
      <c r="O352" s="549"/>
      <c r="P352" s="549"/>
      <c r="Q352" s="549"/>
      <c r="R352" s="549"/>
      <c r="S352" s="549"/>
      <c r="T352" s="549"/>
      <c r="U352" s="549"/>
      <c r="V352" s="549"/>
      <c r="W352" s="549"/>
      <c r="X352" s="549"/>
      <c r="Y352" s="549"/>
      <c r="Z352" s="549"/>
    </row>
    <row r="353" spans="1:26" ht="15">
      <c r="A353" s="549"/>
      <c r="B353" s="554"/>
      <c r="C353" s="549"/>
      <c r="D353" s="549"/>
      <c r="E353" s="570"/>
      <c r="F353" s="549"/>
      <c r="G353" s="549"/>
      <c r="H353" s="549"/>
      <c r="I353" s="550"/>
      <c r="J353" s="549"/>
      <c r="K353" s="549"/>
      <c r="L353" s="549"/>
      <c r="M353" s="549"/>
      <c r="N353" s="551"/>
      <c r="O353" s="549"/>
      <c r="P353" s="549"/>
      <c r="Q353" s="549"/>
      <c r="R353" s="549"/>
      <c r="S353" s="549"/>
      <c r="T353" s="549"/>
      <c r="U353" s="549"/>
      <c r="V353" s="549"/>
      <c r="W353" s="549"/>
      <c r="X353" s="549"/>
      <c r="Y353" s="549"/>
      <c r="Z353" s="549"/>
    </row>
    <row r="354" spans="1:26" ht="15">
      <c r="A354" s="549"/>
      <c r="B354" s="554"/>
      <c r="C354" s="549"/>
      <c r="D354" s="549"/>
      <c r="E354" s="570"/>
      <c r="F354" s="549"/>
      <c r="G354" s="549"/>
      <c r="H354" s="549"/>
      <c r="I354" s="550"/>
      <c r="J354" s="549"/>
      <c r="K354" s="549"/>
      <c r="L354" s="549"/>
      <c r="M354" s="549"/>
      <c r="N354" s="551"/>
      <c r="O354" s="549"/>
      <c r="P354" s="549"/>
      <c r="Q354" s="549"/>
      <c r="R354" s="549"/>
      <c r="S354" s="549"/>
      <c r="T354" s="549"/>
      <c r="U354" s="549"/>
      <c r="V354" s="549"/>
      <c r="W354" s="549"/>
      <c r="X354" s="549"/>
      <c r="Y354" s="549"/>
      <c r="Z354" s="549"/>
    </row>
    <row r="355" spans="1:26" ht="15">
      <c r="A355" s="549"/>
      <c r="B355" s="554"/>
      <c r="C355" s="549"/>
      <c r="D355" s="549"/>
      <c r="E355" s="570"/>
      <c r="F355" s="549"/>
      <c r="G355" s="549"/>
      <c r="H355" s="549"/>
      <c r="I355" s="550"/>
      <c r="J355" s="549"/>
      <c r="K355" s="549"/>
      <c r="L355" s="549"/>
      <c r="M355" s="549"/>
      <c r="N355" s="551"/>
      <c r="O355" s="549"/>
      <c r="P355" s="549"/>
      <c r="Q355" s="549"/>
      <c r="R355" s="549"/>
      <c r="S355" s="549"/>
      <c r="T355" s="549"/>
      <c r="U355" s="549"/>
      <c r="V355" s="549"/>
      <c r="W355" s="549"/>
      <c r="X355" s="549"/>
      <c r="Y355" s="549"/>
      <c r="Z355" s="549"/>
    </row>
    <row r="356" spans="1:26" ht="15">
      <c r="A356" s="549"/>
      <c r="B356" s="554"/>
      <c r="C356" s="549"/>
      <c r="D356" s="549"/>
      <c r="E356" s="570"/>
      <c r="F356" s="549"/>
      <c r="G356" s="549"/>
      <c r="H356" s="549"/>
      <c r="I356" s="550"/>
      <c r="J356" s="549"/>
      <c r="K356" s="549"/>
      <c r="L356" s="549"/>
      <c r="M356" s="549"/>
      <c r="N356" s="551"/>
      <c r="O356" s="549"/>
      <c r="P356" s="549"/>
      <c r="Q356" s="549"/>
      <c r="R356" s="549"/>
      <c r="S356" s="549"/>
      <c r="T356" s="549"/>
      <c r="U356" s="549"/>
      <c r="V356" s="549"/>
      <c r="W356" s="549"/>
      <c r="X356" s="549"/>
      <c r="Y356" s="549"/>
      <c r="Z356" s="549"/>
    </row>
    <row r="357" spans="1:26" ht="15">
      <c r="A357" s="549"/>
      <c r="B357" s="554"/>
      <c r="C357" s="549"/>
      <c r="D357" s="549"/>
      <c r="E357" s="570"/>
      <c r="F357" s="549"/>
      <c r="G357" s="549"/>
      <c r="H357" s="549"/>
      <c r="I357" s="550"/>
      <c r="J357" s="549"/>
      <c r="K357" s="549"/>
      <c r="L357" s="549"/>
      <c r="M357" s="549"/>
      <c r="N357" s="551"/>
      <c r="O357" s="549"/>
      <c r="P357" s="549"/>
      <c r="Q357" s="549"/>
      <c r="R357" s="549"/>
      <c r="S357" s="549"/>
      <c r="T357" s="549"/>
      <c r="U357" s="549"/>
      <c r="V357" s="549"/>
      <c r="W357" s="549"/>
      <c r="X357" s="549"/>
      <c r="Y357" s="549"/>
      <c r="Z357" s="549"/>
    </row>
    <row r="358" spans="1:26" ht="15">
      <c r="A358" s="549"/>
      <c r="B358" s="554"/>
      <c r="C358" s="549"/>
      <c r="D358" s="549"/>
      <c r="E358" s="570"/>
      <c r="F358" s="549"/>
      <c r="G358" s="549"/>
      <c r="H358" s="549"/>
      <c r="I358" s="550"/>
      <c r="J358" s="549"/>
      <c r="K358" s="549"/>
      <c r="L358" s="549"/>
      <c r="M358" s="549"/>
      <c r="N358" s="551"/>
      <c r="O358" s="549"/>
      <c r="P358" s="549"/>
      <c r="Q358" s="549"/>
      <c r="R358" s="549"/>
      <c r="S358" s="549"/>
      <c r="T358" s="549"/>
      <c r="U358" s="549"/>
      <c r="V358" s="549"/>
      <c r="W358" s="549"/>
      <c r="X358" s="549"/>
      <c r="Y358" s="549"/>
      <c r="Z358" s="549"/>
    </row>
    <row r="359" spans="1:26" ht="15">
      <c r="A359" s="549"/>
      <c r="B359" s="554"/>
      <c r="C359" s="549"/>
      <c r="D359" s="549"/>
      <c r="E359" s="570"/>
      <c r="F359" s="549"/>
      <c r="G359" s="549"/>
      <c r="H359" s="549"/>
      <c r="I359" s="550"/>
      <c r="J359" s="549"/>
      <c r="K359" s="549"/>
      <c r="L359" s="549"/>
      <c r="M359" s="549"/>
      <c r="N359" s="551"/>
      <c r="O359" s="549"/>
      <c r="P359" s="549"/>
      <c r="Q359" s="549"/>
      <c r="R359" s="549"/>
      <c r="S359" s="549"/>
      <c r="T359" s="549"/>
      <c r="U359" s="549"/>
      <c r="V359" s="549"/>
      <c r="W359" s="549"/>
      <c r="X359" s="549"/>
      <c r="Y359" s="549"/>
      <c r="Z359" s="549"/>
    </row>
    <row r="360" spans="1:26" ht="15">
      <c r="A360" s="549"/>
      <c r="B360" s="554"/>
      <c r="C360" s="549"/>
      <c r="D360" s="549"/>
      <c r="E360" s="570"/>
      <c r="F360" s="549"/>
      <c r="G360" s="549"/>
      <c r="H360" s="549"/>
      <c r="I360" s="550"/>
      <c r="J360" s="549"/>
      <c r="K360" s="549"/>
      <c r="L360" s="549"/>
      <c r="M360" s="549"/>
      <c r="N360" s="551"/>
      <c r="O360" s="549"/>
      <c r="P360" s="549"/>
      <c r="Q360" s="549"/>
      <c r="R360" s="549"/>
      <c r="S360" s="549"/>
      <c r="T360" s="549"/>
      <c r="U360" s="549"/>
      <c r="V360" s="549"/>
      <c r="W360" s="549"/>
      <c r="X360" s="549"/>
      <c r="Y360" s="549"/>
      <c r="Z360" s="549"/>
    </row>
    <row r="361" spans="1:26" ht="15">
      <c r="A361" s="549"/>
      <c r="B361" s="554"/>
      <c r="C361" s="549"/>
      <c r="D361" s="549"/>
      <c r="E361" s="570"/>
      <c r="F361" s="549"/>
      <c r="G361" s="549"/>
      <c r="H361" s="549"/>
      <c r="I361" s="550"/>
      <c r="J361" s="549"/>
      <c r="K361" s="549"/>
      <c r="L361" s="549"/>
      <c r="M361" s="549"/>
      <c r="N361" s="551"/>
      <c r="O361" s="549"/>
      <c r="P361" s="549"/>
      <c r="Q361" s="549"/>
      <c r="R361" s="549"/>
      <c r="S361" s="549"/>
      <c r="T361" s="549"/>
      <c r="U361" s="549"/>
      <c r="V361" s="549"/>
      <c r="W361" s="549"/>
      <c r="X361" s="549"/>
      <c r="Y361" s="549"/>
      <c r="Z361" s="549"/>
    </row>
    <row r="362" spans="1:26" ht="15">
      <c r="A362" s="549"/>
      <c r="B362" s="554"/>
      <c r="C362" s="549"/>
      <c r="D362" s="549"/>
      <c r="E362" s="570"/>
      <c r="F362" s="549"/>
      <c r="G362" s="549"/>
      <c r="H362" s="549"/>
      <c r="I362" s="550"/>
      <c r="J362" s="549"/>
      <c r="K362" s="549"/>
      <c r="L362" s="549"/>
      <c r="M362" s="549"/>
      <c r="N362" s="551"/>
      <c r="O362" s="549"/>
      <c r="P362" s="549"/>
      <c r="Q362" s="549"/>
      <c r="R362" s="549"/>
      <c r="S362" s="549"/>
      <c r="T362" s="549"/>
      <c r="U362" s="549"/>
      <c r="V362" s="549"/>
      <c r="W362" s="549"/>
      <c r="X362" s="549"/>
      <c r="Y362" s="549"/>
      <c r="Z362" s="549"/>
    </row>
    <row r="363" spans="1:26" ht="15">
      <c r="A363" s="549"/>
      <c r="B363" s="554"/>
      <c r="C363" s="549"/>
      <c r="D363" s="549"/>
      <c r="E363" s="570"/>
      <c r="F363" s="549"/>
      <c r="G363" s="549"/>
      <c r="H363" s="549"/>
      <c r="I363" s="550"/>
      <c r="J363" s="549"/>
      <c r="K363" s="549"/>
      <c r="L363" s="549"/>
      <c r="M363" s="549"/>
      <c r="N363" s="551"/>
      <c r="O363" s="549"/>
      <c r="P363" s="549"/>
      <c r="Q363" s="549"/>
      <c r="R363" s="549"/>
      <c r="S363" s="549"/>
      <c r="T363" s="549"/>
      <c r="U363" s="549"/>
      <c r="V363" s="549"/>
      <c r="W363" s="549"/>
      <c r="X363" s="549"/>
      <c r="Y363" s="549"/>
      <c r="Z363" s="549"/>
    </row>
    <row r="364" spans="1:26" ht="15">
      <c r="A364" s="549"/>
      <c r="B364" s="554"/>
      <c r="C364" s="549"/>
      <c r="D364" s="549"/>
      <c r="E364" s="570"/>
      <c r="F364" s="549"/>
      <c r="G364" s="549"/>
      <c r="H364" s="549"/>
      <c r="I364" s="550"/>
      <c r="J364" s="549"/>
      <c r="K364" s="549"/>
      <c r="L364" s="549"/>
      <c r="M364" s="549"/>
      <c r="N364" s="551"/>
      <c r="O364" s="549"/>
      <c r="P364" s="549"/>
      <c r="Q364" s="549"/>
      <c r="R364" s="549"/>
      <c r="S364" s="549"/>
      <c r="T364" s="549"/>
      <c r="U364" s="549"/>
      <c r="V364" s="549"/>
      <c r="W364" s="549"/>
      <c r="X364" s="549"/>
      <c r="Y364" s="549"/>
      <c r="Z364" s="549"/>
    </row>
    <row r="365" spans="1:26" ht="15">
      <c r="A365" s="549"/>
      <c r="B365" s="554"/>
      <c r="C365" s="549"/>
      <c r="D365" s="549"/>
      <c r="E365" s="570"/>
      <c r="F365" s="549"/>
      <c r="G365" s="549"/>
      <c r="H365" s="549"/>
      <c r="I365" s="550"/>
      <c r="J365" s="549"/>
      <c r="K365" s="549"/>
      <c r="L365" s="549"/>
      <c r="M365" s="549"/>
      <c r="N365" s="551"/>
      <c r="O365" s="549"/>
      <c r="P365" s="549"/>
      <c r="Q365" s="549"/>
      <c r="R365" s="549"/>
      <c r="S365" s="549"/>
      <c r="T365" s="549"/>
      <c r="U365" s="549"/>
      <c r="V365" s="549"/>
      <c r="W365" s="549"/>
      <c r="X365" s="549"/>
      <c r="Y365" s="549"/>
      <c r="Z365" s="549"/>
    </row>
    <row r="366" spans="1:26" ht="15">
      <c r="A366" s="549"/>
      <c r="B366" s="554"/>
      <c r="C366" s="549"/>
      <c r="D366" s="549"/>
      <c r="E366" s="570"/>
      <c r="F366" s="549"/>
      <c r="G366" s="549"/>
      <c r="H366" s="549"/>
      <c r="I366" s="550"/>
      <c r="J366" s="549"/>
      <c r="K366" s="549"/>
      <c r="L366" s="549"/>
      <c r="M366" s="549"/>
      <c r="N366" s="551"/>
      <c r="O366" s="549"/>
      <c r="P366" s="549"/>
      <c r="Q366" s="549"/>
      <c r="R366" s="549"/>
      <c r="S366" s="549"/>
      <c r="T366" s="549"/>
      <c r="U366" s="549"/>
      <c r="V366" s="549"/>
      <c r="W366" s="549"/>
      <c r="X366" s="549"/>
      <c r="Y366" s="549"/>
      <c r="Z366" s="549"/>
    </row>
    <row r="367" spans="1:26" ht="15">
      <c r="A367" s="549"/>
      <c r="B367" s="554"/>
      <c r="C367" s="549"/>
      <c r="D367" s="549"/>
      <c r="E367" s="570"/>
      <c r="F367" s="549"/>
      <c r="G367" s="549"/>
      <c r="H367" s="549"/>
      <c r="I367" s="550"/>
      <c r="J367" s="549"/>
      <c r="K367" s="549"/>
      <c r="L367" s="549"/>
      <c r="M367" s="549"/>
      <c r="N367" s="551"/>
      <c r="O367" s="549"/>
      <c r="P367" s="549"/>
      <c r="Q367" s="549"/>
      <c r="R367" s="549"/>
      <c r="S367" s="549"/>
      <c r="T367" s="549"/>
      <c r="U367" s="549"/>
      <c r="V367" s="549"/>
      <c r="W367" s="549"/>
      <c r="X367" s="549"/>
      <c r="Y367" s="549"/>
      <c r="Z367" s="549"/>
    </row>
    <row r="368" spans="1:26" ht="15">
      <c r="A368" s="549"/>
      <c r="B368" s="554"/>
      <c r="C368" s="549"/>
      <c r="D368" s="549"/>
      <c r="E368" s="570"/>
      <c r="F368" s="549"/>
      <c r="G368" s="549"/>
      <c r="H368" s="549"/>
      <c r="I368" s="550"/>
      <c r="J368" s="549"/>
      <c r="K368" s="549"/>
      <c r="L368" s="549"/>
      <c r="M368" s="549"/>
      <c r="N368" s="551"/>
      <c r="O368" s="549"/>
      <c r="P368" s="549"/>
      <c r="Q368" s="549"/>
      <c r="R368" s="549"/>
      <c r="S368" s="549"/>
      <c r="T368" s="549"/>
      <c r="U368" s="549"/>
      <c r="V368" s="549"/>
      <c r="W368" s="549"/>
      <c r="X368" s="549"/>
      <c r="Y368" s="549"/>
      <c r="Z368" s="549"/>
    </row>
    <row r="369" spans="1:26" ht="15">
      <c r="A369" s="549"/>
      <c r="B369" s="554"/>
      <c r="C369" s="549"/>
      <c r="D369" s="549"/>
      <c r="E369" s="570"/>
      <c r="F369" s="549"/>
      <c r="G369" s="549"/>
      <c r="H369" s="549"/>
      <c r="I369" s="550"/>
      <c r="J369" s="549"/>
      <c r="K369" s="549"/>
      <c r="L369" s="549"/>
      <c r="M369" s="549"/>
      <c r="N369" s="551"/>
      <c r="O369" s="549"/>
      <c r="P369" s="549"/>
      <c r="Q369" s="549"/>
      <c r="R369" s="549"/>
      <c r="S369" s="549"/>
      <c r="T369" s="549"/>
      <c r="U369" s="549"/>
      <c r="V369" s="549"/>
      <c r="W369" s="549"/>
      <c r="X369" s="549"/>
      <c r="Y369" s="549"/>
      <c r="Z369" s="549"/>
    </row>
    <row r="370" spans="1:26" ht="15">
      <c r="A370" s="549"/>
      <c r="B370" s="554"/>
      <c r="C370" s="549"/>
      <c r="D370" s="549"/>
      <c r="E370" s="570"/>
      <c r="F370" s="549"/>
      <c r="G370" s="549"/>
      <c r="H370" s="549"/>
      <c r="I370" s="550"/>
      <c r="J370" s="549"/>
      <c r="K370" s="549"/>
      <c r="L370" s="549"/>
      <c r="M370" s="549"/>
      <c r="N370" s="551"/>
      <c r="O370" s="549"/>
      <c r="P370" s="549"/>
      <c r="Q370" s="549"/>
      <c r="R370" s="549"/>
      <c r="S370" s="549"/>
      <c r="T370" s="549"/>
      <c r="U370" s="549"/>
      <c r="V370" s="549"/>
      <c r="W370" s="549"/>
      <c r="X370" s="549"/>
      <c r="Y370" s="549"/>
      <c r="Z370" s="549"/>
    </row>
    <row r="371" spans="1:26" ht="15">
      <c r="A371" s="549"/>
      <c r="B371" s="554"/>
      <c r="C371" s="549"/>
      <c r="D371" s="549"/>
      <c r="E371" s="570"/>
      <c r="F371" s="549"/>
      <c r="G371" s="549"/>
      <c r="H371" s="549"/>
      <c r="I371" s="550"/>
      <c r="J371" s="549"/>
      <c r="K371" s="549"/>
      <c r="L371" s="549"/>
      <c r="M371" s="549"/>
      <c r="N371" s="551"/>
      <c r="O371" s="549"/>
      <c r="P371" s="549"/>
      <c r="Q371" s="549"/>
      <c r="R371" s="549"/>
      <c r="S371" s="549"/>
      <c r="T371" s="549"/>
      <c r="U371" s="549"/>
      <c r="V371" s="549"/>
      <c r="W371" s="549"/>
      <c r="X371" s="549"/>
      <c r="Y371" s="549"/>
      <c r="Z371" s="549"/>
    </row>
    <row r="372" spans="1:26" ht="15">
      <c r="A372" s="549"/>
      <c r="B372" s="554"/>
      <c r="C372" s="549"/>
      <c r="D372" s="549"/>
      <c r="E372" s="570"/>
      <c r="F372" s="549"/>
      <c r="G372" s="549"/>
      <c r="H372" s="549"/>
      <c r="I372" s="550"/>
      <c r="J372" s="549"/>
      <c r="K372" s="549"/>
      <c r="L372" s="549"/>
      <c r="M372" s="549"/>
      <c r="N372" s="551"/>
      <c r="O372" s="549"/>
      <c r="P372" s="549"/>
      <c r="Q372" s="549"/>
      <c r="R372" s="549"/>
      <c r="S372" s="549"/>
      <c r="T372" s="549"/>
      <c r="U372" s="549"/>
      <c r="V372" s="549"/>
      <c r="W372" s="549"/>
      <c r="X372" s="549"/>
      <c r="Y372" s="549"/>
      <c r="Z372" s="549"/>
    </row>
    <row r="373" spans="1:26" ht="15">
      <c r="A373" s="549"/>
      <c r="B373" s="554"/>
      <c r="C373" s="549"/>
      <c r="D373" s="549"/>
      <c r="E373" s="570"/>
      <c r="F373" s="549"/>
      <c r="G373" s="549"/>
      <c r="H373" s="549"/>
      <c r="I373" s="550"/>
      <c r="J373" s="549"/>
      <c r="K373" s="549"/>
      <c r="L373" s="549"/>
      <c r="M373" s="549"/>
      <c r="N373" s="551"/>
      <c r="O373" s="549"/>
      <c r="P373" s="549"/>
      <c r="Q373" s="549"/>
      <c r="R373" s="549"/>
      <c r="S373" s="549"/>
      <c r="T373" s="549"/>
      <c r="U373" s="549"/>
      <c r="V373" s="549"/>
      <c r="W373" s="549"/>
      <c r="X373" s="549"/>
      <c r="Y373" s="549"/>
      <c r="Z373" s="549"/>
    </row>
    <row r="374" spans="1:26" ht="15">
      <c r="A374" s="549"/>
      <c r="B374" s="554"/>
      <c r="C374" s="549"/>
      <c r="D374" s="549"/>
      <c r="E374" s="570"/>
      <c r="F374" s="549"/>
      <c r="G374" s="549"/>
      <c r="H374" s="549"/>
      <c r="I374" s="550"/>
      <c r="J374" s="549"/>
      <c r="K374" s="549"/>
      <c r="L374" s="549"/>
      <c r="M374" s="549"/>
      <c r="N374" s="551"/>
      <c r="O374" s="549"/>
      <c r="P374" s="549"/>
      <c r="Q374" s="549"/>
      <c r="R374" s="549"/>
      <c r="S374" s="549"/>
      <c r="T374" s="549"/>
      <c r="U374" s="549"/>
      <c r="V374" s="549"/>
      <c r="W374" s="549"/>
      <c r="X374" s="549"/>
      <c r="Y374" s="549"/>
      <c r="Z374" s="549"/>
    </row>
    <row r="375" spans="1:26" ht="15">
      <c r="A375" s="549"/>
      <c r="B375" s="554"/>
      <c r="C375" s="549"/>
      <c r="D375" s="549"/>
      <c r="E375" s="570"/>
      <c r="F375" s="549"/>
      <c r="G375" s="549"/>
      <c r="H375" s="549"/>
      <c r="I375" s="550"/>
      <c r="J375" s="549"/>
      <c r="K375" s="549"/>
      <c r="L375" s="549"/>
      <c r="M375" s="549"/>
      <c r="N375" s="551"/>
      <c r="O375" s="549"/>
      <c r="P375" s="549"/>
      <c r="Q375" s="549"/>
      <c r="R375" s="549"/>
      <c r="S375" s="549"/>
      <c r="T375" s="549"/>
      <c r="U375" s="549"/>
      <c r="V375" s="549"/>
      <c r="W375" s="549"/>
      <c r="X375" s="549"/>
      <c r="Y375" s="549"/>
      <c r="Z375" s="549"/>
    </row>
    <row r="376" spans="1:26" ht="15">
      <c r="A376" s="549"/>
      <c r="B376" s="554"/>
      <c r="C376" s="549"/>
      <c r="D376" s="549"/>
      <c r="E376" s="570"/>
      <c r="F376" s="549"/>
      <c r="G376" s="549"/>
      <c r="H376" s="549"/>
      <c r="I376" s="550"/>
      <c r="J376" s="549"/>
      <c r="K376" s="549"/>
      <c r="L376" s="549"/>
      <c r="M376" s="549"/>
      <c r="N376" s="551"/>
      <c r="O376" s="549"/>
      <c r="P376" s="549"/>
      <c r="Q376" s="549"/>
      <c r="R376" s="549"/>
      <c r="S376" s="549"/>
      <c r="T376" s="549"/>
      <c r="U376" s="549"/>
      <c r="V376" s="549"/>
      <c r="W376" s="549"/>
      <c r="X376" s="549"/>
      <c r="Y376" s="549"/>
      <c r="Z376" s="549"/>
    </row>
    <row r="377" spans="1:26" ht="15">
      <c r="A377" s="549"/>
      <c r="B377" s="554"/>
      <c r="C377" s="549"/>
      <c r="D377" s="549"/>
      <c r="E377" s="570"/>
      <c r="F377" s="549"/>
      <c r="G377" s="549"/>
      <c r="H377" s="549"/>
      <c r="I377" s="550"/>
      <c r="J377" s="549"/>
      <c r="K377" s="549"/>
      <c r="L377" s="549"/>
      <c r="M377" s="549"/>
      <c r="N377" s="551"/>
      <c r="O377" s="549"/>
      <c r="P377" s="549"/>
      <c r="Q377" s="549"/>
      <c r="R377" s="549"/>
      <c r="S377" s="549"/>
      <c r="T377" s="549"/>
      <c r="U377" s="549"/>
      <c r="V377" s="549"/>
      <c r="W377" s="549"/>
      <c r="X377" s="549"/>
      <c r="Y377" s="549"/>
      <c r="Z377" s="549"/>
    </row>
    <row r="378" spans="1:26" ht="15">
      <c r="A378" s="549"/>
      <c r="B378" s="554"/>
      <c r="C378" s="549"/>
      <c r="D378" s="549"/>
      <c r="E378" s="570"/>
      <c r="F378" s="549"/>
      <c r="G378" s="549"/>
      <c r="H378" s="549"/>
      <c r="I378" s="550"/>
      <c r="J378" s="549"/>
      <c r="K378" s="549"/>
      <c r="L378" s="549"/>
      <c r="M378" s="549"/>
      <c r="N378" s="551"/>
      <c r="O378" s="549"/>
      <c r="P378" s="549"/>
      <c r="Q378" s="549"/>
      <c r="R378" s="549"/>
      <c r="S378" s="549"/>
      <c r="T378" s="549"/>
      <c r="U378" s="549"/>
      <c r="V378" s="549"/>
      <c r="W378" s="549"/>
      <c r="X378" s="549"/>
      <c r="Y378" s="549"/>
      <c r="Z378" s="549"/>
    </row>
    <row r="379" spans="1:26" ht="15">
      <c r="A379" s="549"/>
      <c r="B379" s="554"/>
      <c r="C379" s="549"/>
      <c r="D379" s="549"/>
      <c r="E379" s="570"/>
      <c r="F379" s="549"/>
      <c r="G379" s="549"/>
      <c r="H379" s="549"/>
      <c r="I379" s="550"/>
      <c r="J379" s="549"/>
      <c r="K379" s="549"/>
      <c r="L379" s="549"/>
      <c r="M379" s="549"/>
      <c r="N379" s="551"/>
      <c r="O379" s="549"/>
      <c r="P379" s="549"/>
      <c r="Q379" s="549"/>
      <c r="R379" s="549"/>
      <c r="S379" s="549"/>
      <c r="T379" s="549"/>
      <c r="U379" s="549"/>
      <c r="V379" s="549"/>
      <c r="W379" s="549"/>
      <c r="X379" s="549"/>
      <c r="Y379" s="549"/>
      <c r="Z379" s="549"/>
    </row>
    <row r="380" spans="1:26" ht="15">
      <c r="A380" s="549"/>
      <c r="B380" s="554"/>
      <c r="C380" s="549"/>
      <c r="D380" s="549"/>
      <c r="E380" s="570"/>
      <c r="F380" s="549"/>
      <c r="G380" s="549"/>
      <c r="H380" s="549"/>
      <c r="I380" s="550"/>
      <c r="J380" s="549"/>
      <c r="K380" s="549"/>
      <c r="L380" s="549"/>
      <c r="M380" s="549"/>
      <c r="N380" s="551"/>
      <c r="O380" s="549"/>
      <c r="P380" s="549"/>
      <c r="Q380" s="549"/>
      <c r="R380" s="549"/>
      <c r="S380" s="549"/>
      <c r="T380" s="549"/>
      <c r="U380" s="549"/>
      <c r="V380" s="549"/>
      <c r="W380" s="549"/>
      <c r="X380" s="549"/>
      <c r="Y380" s="549"/>
      <c r="Z380" s="549"/>
    </row>
    <row r="381" spans="1:26" ht="15">
      <c r="A381" s="549"/>
      <c r="B381" s="554"/>
      <c r="C381" s="549"/>
      <c r="D381" s="549"/>
      <c r="E381" s="570"/>
      <c r="F381" s="549"/>
      <c r="G381" s="549"/>
      <c r="H381" s="549"/>
      <c r="I381" s="550"/>
      <c r="J381" s="549"/>
      <c r="K381" s="549"/>
      <c r="L381" s="549"/>
      <c r="M381" s="549"/>
      <c r="N381" s="551"/>
      <c r="O381" s="549"/>
      <c r="P381" s="549"/>
      <c r="Q381" s="549"/>
      <c r="R381" s="549"/>
      <c r="S381" s="549"/>
      <c r="T381" s="549"/>
      <c r="U381" s="549"/>
      <c r="V381" s="549"/>
      <c r="W381" s="549"/>
      <c r="X381" s="549"/>
      <c r="Y381" s="549"/>
      <c r="Z381" s="549"/>
    </row>
    <row r="382" spans="1:26" ht="15">
      <c r="A382" s="549"/>
      <c r="B382" s="554"/>
      <c r="C382" s="549"/>
      <c r="D382" s="549"/>
      <c r="E382" s="570"/>
      <c r="F382" s="549"/>
      <c r="G382" s="549"/>
      <c r="H382" s="549"/>
      <c r="I382" s="550"/>
      <c r="J382" s="549"/>
      <c r="K382" s="549"/>
      <c r="L382" s="549"/>
      <c r="M382" s="549"/>
      <c r="N382" s="551"/>
      <c r="O382" s="549"/>
      <c r="P382" s="549"/>
      <c r="Q382" s="549"/>
      <c r="R382" s="549"/>
      <c r="S382" s="549"/>
      <c r="T382" s="549"/>
      <c r="U382" s="549"/>
      <c r="V382" s="549"/>
      <c r="W382" s="549"/>
      <c r="X382" s="549"/>
      <c r="Y382" s="549"/>
      <c r="Z382" s="549"/>
    </row>
    <row r="383" spans="1:26" ht="15">
      <c r="A383" s="549"/>
      <c r="B383" s="554"/>
      <c r="C383" s="549"/>
      <c r="D383" s="549"/>
      <c r="E383" s="570"/>
      <c r="F383" s="549"/>
      <c r="G383" s="549"/>
      <c r="H383" s="549"/>
      <c r="I383" s="550"/>
      <c r="J383" s="549"/>
      <c r="K383" s="549"/>
      <c r="L383" s="549"/>
      <c r="M383" s="549"/>
      <c r="N383" s="551"/>
      <c r="O383" s="549"/>
      <c r="P383" s="549"/>
      <c r="Q383" s="549"/>
      <c r="R383" s="549"/>
      <c r="S383" s="549"/>
      <c r="T383" s="549"/>
      <c r="U383" s="549"/>
      <c r="V383" s="549"/>
      <c r="W383" s="549"/>
      <c r="X383" s="549"/>
      <c r="Y383" s="549"/>
      <c r="Z383" s="549"/>
    </row>
    <row r="384" spans="1:26" ht="15">
      <c r="A384" s="549"/>
      <c r="B384" s="554"/>
      <c r="C384" s="549"/>
      <c r="D384" s="549"/>
      <c r="E384" s="570"/>
      <c r="F384" s="549"/>
      <c r="G384" s="549"/>
      <c r="H384" s="549"/>
      <c r="I384" s="550"/>
      <c r="J384" s="549"/>
      <c r="K384" s="549"/>
      <c r="L384" s="549"/>
      <c r="M384" s="549"/>
      <c r="N384" s="551"/>
      <c r="O384" s="549"/>
      <c r="P384" s="549"/>
      <c r="Q384" s="549"/>
      <c r="R384" s="549"/>
      <c r="S384" s="549"/>
      <c r="T384" s="549"/>
      <c r="U384" s="549"/>
      <c r="V384" s="549"/>
      <c r="W384" s="549"/>
      <c r="X384" s="549"/>
      <c r="Y384" s="549"/>
      <c r="Z384" s="549"/>
    </row>
    <row r="385" spans="1:26" ht="15">
      <c r="A385" s="549"/>
      <c r="B385" s="554"/>
      <c r="C385" s="549"/>
      <c r="D385" s="549"/>
      <c r="E385" s="570"/>
      <c r="F385" s="549"/>
      <c r="G385" s="549"/>
      <c r="H385" s="549"/>
      <c r="I385" s="550"/>
      <c r="J385" s="549"/>
      <c r="K385" s="549"/>
      <c r="L385" s="549"/>
      <c r="M385" s="549"/>
      <c r="N385" s="551"/>
      <c r="O385" s="549"/>
      <c r="P385" s="549"/>
      <c r="Q385" s="549"/>
      <c r="R385" s="549"/>
      <c r="S385" s="549"/>
      <c r="T385" s="549"/>
      <c r="U385" s="549"/>
      <c r="V385" s="549"/>
      <c r="W385" s="549"/>
      <c r="X385" s="549"/>
      <c r="Y385" s="549"/>
      <c r="Z385" s="549"/>
    </row>
    <row r="386" spans="1:26" ht="15">
      <c r="A386" s="549"/>
      <c r="B386" s="554"/>
      <c r="C386" s="549"/>
      <c r="D386" s="549"/>
      <c r="E386" s="570"/>
      <c r="F386" s="549"/>
      <c r="G386" s="549"/>
      <c r="H386" s="549"/>
      <c r="I386" s="550"/>
      <c r="J386" s="549"/>
      <c r="K386" s="549"/>
      <c r="L386" s="549"/>
      <c r="M386" s="549"/>
      <c r="N386" s="551"/>
      <c r="O386" s="549"/>
      <c r="P386" s="549"/>
      <c r="Q386" s="549"/>
      <c r="R386" s="549"/>
      <c r="S386" s="549"/>
      <c r="T386" s="549"/>
      <c r="U386" s="549"/>
      <c r="V386" s="549"/>
      <c r="W386" s="549"/>
      <c r="X386" s="549"/>
      <c r="Y386" s="549"/>
      <c r="Z386" s="549"/>
    </row>
    <row r="387" spans="1:26" ht="15">
      <c r="A387" s="549"/>
      <c r="B387" s="554"/>
      <c r="C387" s="549"/>
      <c r="D387" s="549"/>
      <c r="E387" s="570"/>
      <c r="F387" s="549"/>
      <c r="G387" s="549"/>
      <c r="H387" s="549"/>
      <c r="I387" s="550"/>
      <c r="J387" s="549"/>
      <c r="K387" s="549"/>
      <c r="L387" s="549"/>
      <c r="M387" s="549"/>
      <c r="N387" s="551"/>
      <c r="O387" s="549"/>
      <c r="P387" s="549"/>
      <c r="Q387" s="549"/>
      <c r="R387" s="549"/>
      <c r="S387" s="549"/>
      <c r="T387" s="549"/>
      <c r="U387" s="549"/>
      <c r="V387" s="549"/>
      <c r="W387" s="549"/>
      <c r="X387" s="549"/>
      <c r="Y387" s="549"/>
      <c r="Z387" s="549"/>
    </row>
    <row r="388" spans="1:26" ht="15">
      <c r="A388" s="549"/>
      <c r="B388" s="554"/>
      <c r="C388" s="549"/>
      <c r="D388" s="549"/>
      <c r="E388" s="570"/>
      <c r="F388" s="549"/>
      <c r="G388" s="549"/>
      <c r="H388" s="549"/>
      <c r="I388" s="550"/>
      <c r="J388" s="549"/>
      <c r="K388" s="549"/>
      <c r="L388" s="549"/>
      <c r="M388" s="549"/>
      <c r="N388" s="551"/>
      <c r="O388" s="549"/>
      <c r="P388" s="549"/>
      <c r="Q388" s="549"/>
      <c r="R388" s="549"/>
      <c r="S388" s="549"/>
      <c r="T388" s="549"/>
      <c r="U388" s="549"/>
      <c r="V388" s="549"/>
      <c r="W388" s="549"/>
      <c r="X388" s="549"/>
      <c r="Y388" s="549"/>
      <c r="Z388" s="549"/>
    </row>
    <row r="389" spans="1:26" ht="15">
      <c r="A389" s="549"/>
      <c r="B389" s="554"/>
      <c r="C389" s="549"/>
      <c r="D389" s="549"/>
      <c r="E389" s="570"/>
      <c r="F389" s="549"/>
      <c r="G389" s="549"/>
      <c r="H389" s="549"/>
      <c r="I389" s="550"/>
      <c r="J389" s="549"/>
      <c r="K389" s="549"/>
      <c r="L389" s="549"/>
      <c r="M389" s="549"/>
      <c r="N389" s="551"/>
      <c r="O389" s="549"/>
      <c r="P389" s="549"/>
      <c r="Q389" s="549"/>
      <c r="R389" s="549"/>
      <c r="S389" s="549"/>
      <c r="T389" s="549"/>
      <c r="U389" s="549"/>
      <c r="V389" s="549"/>
      <c r="W389" s="549"/>
      <c r="X389" s="549"/>
      <c r="Y389" s="549"/>
      <c r="Z389" s="549"/>
    </row>
    <row r="390" spans="1:26" ht="15">
      <c r="A390" s="549"/>
      <c r="B390" s="554"/>
      <c r="C390" s="549"/>
      <c r="D390" s="549"/>
      <c r="E390" s="570"/>
      <c r="F390" s="549"/>
      <c r="G390" s="549"/>
      <c r="H390" s="549"/>
      <c r="I390" s="550"/>
      <c r="J390" s="549"/>
      <c r="K390" s="549"/>
      <c r="L390" s="549"/>
      <c r="M390" s="549"/>
      <c r="N390" s="551"/>
      <c r="O390" s="549"/>
      <c r="P390" s="549"/>
      <c r="Q390" s="549"/>
      <c r="R390" s="549"/>
      <c r="S390" s="549"/>
      <c r="T390" s="549"/>
      <c r="U390" s="549"/>
      <c r="V390" s="549"/>
      <c r="W390" s="549"/>
      <c r="X390" s="549"/>
      <c r="Y390" s="549"/>
      <c r="Z390" s="549"/>
    </row>
    <row r="391" spans="1:26" ht="15">
      <c r="A391" s="549"/>
      <c r="B391" s="554"/>
      <c r="C391" s="549"/>
      <c r="D391" s="549"/>
      <c r="E391" s="570"/>
      <c r="F391" s="549"/>
      <c r="G391" s="549"/>
      <c r="H391" s="549"/>
      <c r="I391" s="550"/>
      <c r="J391" s="549"/>
      <c r="K391" s="549"/>
      <c r="L391" s="549"/>
      <c r="M391" s="549"/>
      <c r="N391" s="551"/>
      <c r="O391" s="549"/>
      <c r="P391" s="549"/>
      <c r="Q391" s="549"/>
      <c r="R391" s="549"/>
      <c r="S391" s="549"/>
      <c r="T391" s="549"/>
      <c r="U391" s="549"/>
      <c r="V391" s="549"/>
      <c r="W391" s="549"/>
      <c r="X391" s="549"/>
      <c r="Y391" s="549"/>
      <c r="Z391" s="549"/>
    </row>
    <row r="392" spans="1:26" ht="15">
      <c r="A392" s="549"/>
      <c r="B392" s="554"/>
      <c r="C392" s="549"/>
      <c r="D392" s="549"/>
      <c r="E392" s="570"/>
      <c r="F392" s="549"/>
      <c r="G392" s="549"/>
      <c r="H392" s="549"/>
      <c r="I392" s="550"/>
      <c r="J392" s="549"/>
      <c r="K392" s="549"/>
      <c r="L392" s="549"/>
      <c r="M392" s="549"/>
      <c r="N392" s="551"/>
      <c r="O392" s="549"/>
      <c r="P392" s="549"/>
      <c r="Q392" s="549"/>
      <c r="R392" s="549"/>
      <c r="S392" s="549"/>
      <c r="T392" s="549"/>
      <c r="U392" s="549"/>
      <c r="V392" s="549"/>
      <c r="W392" s="549"/>
      <c r="X392" s="549"/>
      <c r="Y392" s="549"/>
      <c r="Z392" s="549"/>
    </row>
    <row r="393" spans="1:26" ht="15">
      <c r="A393" s="549"/>
      <c r="B393" s="554"/>
      <c r="C393" s="549"/>
      <c r="D393" s="549"/>
      <c r="E393" s="570"/>
      <c r="F393" s="549"/>
      <c r="G393" s="549"/>
      <c r="H393" s="549"/>
      <c r="I393" s="550"/>
      <c r="J393" s="549"/>
      <c r="K393" s="549"/>
      <c r="L393" s="549"/>
      <c r="M393" s="549"/>
      <c r="N393" s="551"/>
      <c r="O393" s="549"/>
      <c r="P393" s="549"/>
      <c r="Q393" s="549"/>
      <c r="R393" s="549"/>
      <c r="S393" s="549"/>
      <c r="T393" s="549"/>
      <c r="U393" s="549"/>
      <c r="V393" s="549"/>
      <c r="W393" s="549"/>
      <c r="X393" s="549"/>
      <c r="Y393" s="549"/>
      <c r="Z393" s="549"/>
    </row>
    <row r="394" spans="1:26" ht="15">
      <c r="A394" s="549"/>
      <c r="B394" s="554"/>
      <c r="C394" s="549"/>
      <c r="D394" s="549"/>
      <c r="E394" s="570"/>
      <c r="F394" s="549"/>
      <c r="G394" s="549"/>
      <c r="H394" s="549"/>
      <c r="I394" s="550"/>
      <c r="J394" s="549"/>
      <c r="K394" s="549"/>
      <c r="L394" s="549"/>
      <c r="M394" s="549"/>
      <c r="N394" s="551"/>
      <c r="O394" s="549"/>
      <c r="P394" s="549"/>
      <c r="Q394" s="549"/>
      <c r="R394" s="549"/>
      <c r="S394" s="549"/>
      <c r="T394" s="549"/>
      <c r="U394" s="549"/>
      <c r="V394" s="549"/>
      <c r="W394" s="549"/>
      <c r="X394" s="549"/>
      <c r="Y394" s="549"/>
      <c r="Z394" s="549"/>
    </row>
    <row r="395" spans="1:26" ht="15">
      <c r="A395" s="549"/>
      <c r="B395" s="554"/>
      <c r="C395" s="549"/>
      <c r="D395" s="549"/>
      <c r="E395" s="570"/>
      <c r="F395" s="549"/>
      <c r="G395" s="549"/>
      <c r="H395" s="549"/>
      <c r="I395" s="550"/>
      <c r="J395" s="549"/>
      <c r="K395" s="549"/>
      <c r="L395" s="549"/>
      <c r="M395" s="549"/>
      <c r="N395" s="551"/>
      <c r="O395" s="549"/>
      <c r="P395" s="549"/>
      <c r="Q395" s="549"/>
      <c r="R395" s="549"/>
      <c r="S395" s="549"/>
      <c r="T395" s="549"/>
      <c r="U395" s="549"/>
      <c r="V395" s="549"/>
      <c r="W395" s="549"/>
      <c r="X395" s="549"/>
      <c r="Y395" s="549"/>
      <c r="Z395" s="549"/>
    </row>
    <row r="396" spans="1:26" ht="15">
      <c r="A396" s="549"/>
      <c r="B396" s="554"/>
      <c r="C396" s="549"/>
      <c r="D396" s="549"/>
      <c r="E396" s="570"/>
      <c r="F396" s="549"/>
      <c r="G396" s="549"/>
      <c r="H396" s="549"/>
      <c r="I396" s="550"/>
      <c r="J396" s="549"/>
      <c r="K396" s="549"/>
      <c r="L396" s="549"/>
      <c r="M396" s="549"/>
      <c r="N396" s="551"/>
      <c r="O396" s="549"/>
      <c r="P396" s="549"/>
      <c r="Q396" s="549"/>
      <c r="R396" s="549"/>
      <c r="S396" s="549"/>
      <c r="T396" s="549"/>
      <c r="U396" s="549"/>
      <c r="V396" s="549"/>
      <c r="W396" s="549"/>
      <c r="X396" s="549"/>
      <c r="Y396" s="549"/>
      <c r="Z396" s="549"/>
    </row>
    <row r="397" spans="1:26" ht="15">
      <c r="A397" s="549"/>
      <c r="B397" s="554"/>
      <c r="C397" s="549"/>
      <c r="D397" s="549"/>
      <c r="E397" s="570"/>
      <c r="F397" s="549"/>
      <c r="G397" s="549"/>
      <c r="H397" s="549"/>
      <c r="I397" s="550"/>
      <c r="J397" s="549"/>
      <c r="K397" s="549"/>
      <c r="L397" s="549"/>
      <c r="M397" s="549"/>
      <c r="N397" s="551"/>
      <c r="O397" s="549"/>
      <c r="P397" s="549"/>
      <c r="Q397" s="549"/>
      <c r="R397" s="549"/>
      <c r="S397" s="549"/>
      <c r="T397" s="549"/>
      <c r="U397" s="549"/>
      <c r="V397" s="549"/>
      <c r="W397" s="549"/>
      <c r="X397" s="549"/>
      <c r="Y397" s="549"/>
      <c r="Z397" s="549"/>
    </row>
    <row r="398" spans="1:26" ht="15">
      <c r="A398" s="549"/>
      <c r="B398" s="554"/>
      <c r="C398" s="549"/>
      <c r="D398" s="549"/>
      <c r="E398" s="570"/>
      <c r="F398" s="549"/>
      <c r="G398" s="549"/>
      <c r="H398" s="549"/>
      <c r="I398" s="550"/>
      <c r="J398" s="549"/>
      <c r="K398" s="549"/>
      <c r="L398" s="549"/>
      <c r="M398" s="549"/>
      <c r="N398" s="551"/>
      <c r="O398" s="549"/>
      <c r="P398" s="549"/>
      <c r="Q398" s="549"/>
      <c r="R398" s="549"/>
      <c r="S398" s="549"/>
      <c r="T398" s="549"/>
      <c r="U398" s="549"/>
      <c r="V398" s="549"/>
      <c r="W398" s="549"/>
      <c r="X398" s="549"/>
      <c r="Y398" s="549"/>
      <c r="Z398" s="549"/>
    </row>
    <row r="399" spans="1:26" ht="15">
      <c r="A399" s="549"/>
      <c r="B399" s="554"/>
      <c r="C399" s="549"/>
      <c r="D399" s="549"/>
      <c r="E399" s="570"/>
      <c r="F399" s="549"/>
      <c r="G399" s="549"/>
      <c r="H399" s="549"/>
      <c r="I399" s="550"/>
      <c r="J399" s="549"/>
      <c r="K399" s="549"/>
      <c r="L399" s="549"/>
      <c r="M399" s="549"/>
      <c r="N399" s="551"/>
      <c r="O399" s="549"/>
      <c r="P399" s="549"/>
      <c r="Q399" s="549"/>
      <c r="R399" s="549"/>
      <c r="S399" s="549"/>
      <c r="T399" s="549"/>
      <c r="U399" s="549"/>
      <c r="V399" s="549"/>
      <c r="W399" s="549"/>
      <c r="X399" s="549"/>
      <c r="Y399" s="549"/>
      <c r="Z399" s="549"/>
    </row>
    <row r="400" spans="1:26" ht="15">
      <c r="A400" s="549"/>
      <c r="B400" s="554"/>
      <c r="C400" s="549"/>
      <c r="D400" s="549"/>
      <c r="E400" s="570"/>
      <c r="F400" s="549"/>
      <c r="G400" s="549"/>
      <c r="H400" s="549"/>
      <c r="I400" s="550"/>
      <c r="J400" s="549"/>
      <c r="K400" s="549"/>
      <c r="L400" s="549"/>
      <c r="M400" s="549"/>
      <c r="N400" s="551"/>
      <c r="O400" s="549"/>
      <c r="P400" s="549"/>
      <c r="Q400" s="549"/>
      <c r="R400" s="549"/>
      <c r="S400" s="549"/>
      <c r="T400" s="549"/>
      <c r="U400" s="549"/>
      <c r="V400" s="549"/>
      <c r="W400" s="549"/>
      <c r="X400" s="549"/>
      <c r="Y400" s="549"/>
      <c r="Z400" s="549"/>
    </row>
    <row r="401" spans="1:26" ht="15">
      <c r="A401" s="549"/>
      <c r="B401" s="554"/>
      <c r="C401" s="549"/>
      <c r="D401" s="549"/>
      <c r="E401" s="570"/>
      <c r="F401" s="549"/>
      <c r="G401" s="549"/>
      <c r="H401" s="549"/>
      <c r="I401" s="550"/>
      <c r="J401" s="549"/>
      <c r="K401" s="549"/>
      <c r="L401" s="549"/>
      <c r="M401" s="549"/>
      <c r="N401" s="551"/>
      <c r="O401" s="549"/>
      <c r="P401" s="549"/>
      <c r="Q401" s="549"/>
      <c r="R401" s="549"/>
      <c r="S401" s="549"/>
      <c r="T401" s="549"/>
      <c r="U401" s="549"/>
      <c r="V401" s="549"/>
      <c r="W401" s="549"/>
      <c r="X401" s="549"/>
      <c r="Y401" s="549"/>
      <c r="Z401" s="549"/>
    </row>
    <row r="402" spans="1:26" ht="15">
      <c r="A402" s="549"/>
      <c r="B402" s="554"/>
      <c r="C402" s="549"/>
      <c r="D402" s="549"/>
      <c r="E402" s="570"/>
      <c r="F402" s="549"/>
      <c r="G402" s="549"/>
      <c r="H402" s="549"/>
      <c r="I402" s="550"/>
      <c r="J402" s="549"/>
      <c r="K402" s="549"/>
      <c r="L402" s="549"/>
      <c r="M402" s="549"/>
      <c r="N402" s="551"/>
      <c r="O402" s="549"/>
      <c r="P402" s="549"/>
      <c r="Q402" s="549"/>
      <c r="R402" s="549"/>
      <c r="S402" s="549"/>
      <c r="T402" s="549"/>
      <c r="U402" s="549"/>
      <c r="V402" s="549"/>
      <c r="W402" s="549"/>
      <c r="X402" s="549"/>
      <c r="Y402" s="549"/>
      <c r="Z402" s="549"/>
    </row>
    <row r="403" spans="1:26" ht="15">
      <c r="A403" s="549"/>
      <c r="B403" s="554"/>
      <c r="C403" s="549"/>
      <c r="D403" s="549"/>
      <c r="E403" s="570"/>
      <c r="F403" s="549"/>
      <c r="G403" s="549"/>
      <c r="H403" s="549"/>
      <c r="I403" s="550"/>
      <c r="J403" s="549"/>
      <c r="K403" s="549"/>
      <c r="L403" s="549"/>
      <c r="M403" s="549"/>
      <c r="N403" s="551"/>
      <c r="O403" s="549"/>
      <c r="P403" s="549"/>
      <c r="Q403" s="549"/>
      <c r="R403" s="549"/>
      <c r="S403" s="549"/>
      <c r="T403" s="549"/>
      <c r="U403" s="549"/>
      <c r="V403" s="549"/>
      <c r="W403" s="549"/>
      <c r="X403" s="549"/>
      <c r="Y403" s="549"/>
      <c r="Z403" s="549"/>
    </row>
    <row r="404" spans="1:26" ht="15">
      <c r="A404" s="549"/>
      <c r="B404" s="554"/>
      <c r="C404" s="549"/>
      <c r="D404" s="549"/>
      <c r="E404" s="570"/>
      <c r="F404" s="549"/>
      <c r="G404" s="549"/>
      <c r="H404" s="549"/>
      <c r="I404" s="550"/>
      <c r="J404" s="549"/>
      <c r="K404" s="549"/>
      <c r="L404" s="549"/>
      <c r="M404" s="549"/>
      <c r="N404" s="551"/>
      <c r="O404" s="549"/>
      <c r="P404" s="549"/>
      <c r="Q404" s="549"/>
      <c r="R404" s="549"/>
      <c r="S404" s="549"/>
      <c r="T404" s="549"/>
      <c r="U404" s="549"/>
      <c r="V404" s="549"/>
      <c r="W404" s="549"/>
      <c r="X404" s="549"/>
      <c r="Y404" s="549"/>
      <c r="Z404" s="549"/>
    </row>
    <row r="405" spans="1:26" ht="15">
      <c r="A405" s="549"/>
      <c r="B405" s="554"/>
      <c r="C405" s="549"/>
      <c r="D405" s="549"/>
      <c r="E405" s="570"/>
      <c r="F405" s="549"/>
      <c r="G405" s="549"/>
      <c r="H405" s="549"/>
      <c r="I405" s="550"/>
      <c r="J405" s="549"/>
      <c r="K405" s="549"/>
      <c r="L405" s="549"/>
      <c r="M405" s="549"/>
      <c r="N405" s="551"/>
      <c r="O405" s="549"/>
      <c r="P405" s="549"/>
      <c r="Q405" s="549"/>
      <c r="R405" s="549"/>
      <c r="S405" s="549"/>
      <c r="T405" s="549"/>
      <c r="U405" s="549"/>
      <c r="V405" s="549"/>
      <c r="W405" s="549"/>
      <c r="X405" s="549"/>
      <c r="Y405" s="549"/>
      <c r="Z405" s="549"/>
    </row>
    <row r="406" spans="1:26" ht="15">
      <c r="A406" s="549"/>
      <c r="B406" s="554"/>
      <c r="C406" s="549"/>
      <c r="D406" s="549"/>
      <c r="E406" s="570"/>
      <c r="F406" s="549"/>
      <c r="G406" s="549"/>
      <c r="H406" s="549"/>
      <c r="I406" s="550"/>
      <c r="J406" s="549"/>
      <c r="K406" s="549"/>
      <c r="L406" s="549"/>
      <c r="M406" s="549"/>
      <c r="N406" s="551"/>
      <c r="O406" s="549"/>
      <c r="P406" s="549"/>
      <c r="Q406" s="549"/>
      <c r="R406" s="549"/>
      <c r="S406" s="549"/>
      <c r="T406" s="549"/>
      <c r="U406" s="549"/>
      <c r="V406" s="549"/>
      <c r="W406" s="549"/>
      <c r="X406" s="549"/>
      <c r="Y406" s="549"/>
      <c r="Z406" s="549"/>
    </row>
    <row r="407" spans="1:26" ht="15">
      <c r="A407" s="549"/>
      <c r="B407" s="554"/>
      <c r="C407" s="549"/>
      <c r="D407" s="549"/>
      <c r="E407" s="570"/>
      <c r="F407" s="549"/>
      <c r="G407" s="549"/>
      <c r="H407" s="549"/>
      <c r="I407" s="550"/>
      <c r="J407" s="549"/>
      <c r="K407" s="549"/>
      <c r="L407" s="549"/>
      <c r="M407" s="549"/>
      <c r="N407" s="551"/>
      <c r="O407" s="549"/>
      <c r="P407" s="549"/>
      <c r="Q407" s="549"/>
      <c r="R407" s="549"/>
      <c r="S407" s="549"/>
      <c r="T407" s="549"/>
      <c r="U407" s="549"/>
      <c r="V407" s="549"/>
      <c r="W407" s="549"/>
      <c r="X407" s="549"/>
      <c r="Y407" s="549"/>
      <c r="Z407" s="549"/>
    </row>
    <row r="408" spans="1:26" ht="15">
      <c r="A408" s="549"/>
      <c r="B408" s="554"/>
      <c r="C408" s="549"/>
      <c r="D408" s="549"/>
      <c r="E408" s="570"/>
      <c r="F408" s="549"/>
      <c r="G408" s="549"/>
      <c r="H408" s="549"/>
      <c r="I408" s="550"/>
      <c r="J408" s="549"/>
      <c r="K408" s="549"/>
      <c r="L408" s="549"/>
      <c r="M408" s="549"/>
      <c r="N408" s="551"/>
      <c r="O408" s="549"/>
      <c r="P408" s="549"/>
      <c r="Q408" s="549"/>
      <c r="R408" s="549"/>
      <c r="S408" s="549"/>
      <c r="T408" s="549"/>
      <c r="U408" s="549"/>
      <c r="V408" s="549"/>
      <c r="W408" s="549"/>
      <c r="X408" s="549"/>
      <c r="Y408" s="549"/>
      <c r="Z408" s="549"/>
    </row>
    <row r="409" spans="1:26" ht="15">
      <c r="A409" s="549"/>
      <c r="B409" s="554"/>
      <c r="C409" s="549"/>
      <c r="D409" s="549"/>
      <c r="E409" s="570"/>
      <c r="F409" s="549"/>
      <c r="G409" s="549"/>
      <c r="H409" s="549"/>
      <c r="I409" s="550"/>
      <c r="J409" s="549"/>
      <c r="K409" s="549"/>
      <c r="L409" s="549"/>
      <c r="M409" s="549"/>
      <c r="N409" s="551"/>
      <c r="O409" s="549"/>
      <c r="P409" s="549"/>
      <c r="Q409" s="549"/>
      <c r="R409" s="549"/>
      <c r="S409" s="549"/>
      <c r="T409" s="549"/>
      <c r="U409" s="549"/>
      <c r="V409" s="549"/>
      <c r="W409" s="549"/>
      <c r="X409" s="549"/>
      <c r="Y409" s="549"/>
      <c r="Z409" s="549"/>
    </row>
    <row r="410" spans="1:26" ht="15">
      <c r="A410" s="549"/>
      <c r="B410" s="554"/>
      <c r="C410" s="549"/>
      <c r="D410" s="549"/>
      <c r="E410" s="570"/>
      <c r="F410" s="549"/>
      <c r="G410" s="549"/>
      <c r="H410" s="549"/>
      <c r="I410" s="550"/>
      <c r="J410" s="549"/>
      <c r="K410" s="549"/>
      <c r="L410" s="549"/>
      <c r="M410" s="549"/>
      <c r="N410" s="551"/>
      <c r="O410" s="549"/>
      <c r="P410" s="549"/>
      <c r="Q410" s="549"/>
      <c r="R410" s="549"/>
      <c r="S410" s="549"/>
      <c r="T410" s="549"/>
      <c r="U410" s="549"/>
      <c r="V410" s="549"/>
      <c r="W410" s="549"/>
      <c r="X410" s="549"/>
      <c r="Y410" s="549"/>
      <c r="Z410" s="549"/>
    </row>
    <row r="411" spans="1:26" ht="15">
      <c r="A411" s="549"/>
      <c r="B411" s="554"/>
      <c r="C411" s="549"/>
      <c r="D411" s="549"/>
      <c r="E411" s="570"/>
      <c r="F411" s="549"/>
      <c r="G411" s="549"/>
      <c r="H411" s="549"/>
      <c r="I411" s="550"/>
      <c r="J411" s="549"/>
      <c r="K411" s="549"/>
      <c r="L411" s="549"/>
      <c r="M411" s="549"/>
      <c r="N411" s="551"/>
      <c r="O411" s="549"/>
      <c r="P411" s="549"/>
      <c r="Q411" s="549"/>
      <c r="R411" s="549"/>
      <c r="S411" s="549"/>
      <c r="T411" s="549"/>
      <c r="U411" s="549"/>
      <c r="V411" s="549"/>
      <c r="W411" s="549"/>
      <c r="X411" s="549"/>
      <c r="Y411" s="549"/>
      <c r="Z411" s="549"/>
    </row>
    <row r="412" spans="1:26" ht="15">
      <c r="A412" s="549"/>
      <c r="B412" s="554"/>
      <c r="C412" s="549"/>
      <c r="D412" s="549"/>
      <c r="E412" s="570"/>
      <c r="F412" s="549"/>
      <c r="G412" s="549"/>
      <c r="H412" s="549"/>
      <c r="I412" s="550"/>
      <c r="J412" s="549"/>
      <c r="K412" s="549"/>
      <c r="L412" s="549"/>
      <c r="M412" s="549"/>
      <c r="N412" s="551"/>
      <c r="O412" s="549"/>
      <c r="P412" s="549"/>
      <c r="Q412" s="549"/>
      <c r="R412" s="549"/>
      <c r="S412" s="549"/>
      <c r="T412" s="549"/>
      <c r="U412" s="549"/>
      <c r="V412" s="549"/>
      <c r="W412" s="549"/>
      <c r="X412" s="549"/>
      <c r="Y412" s="549"/>
      <c r="Z412" s="549"/>
    </row>
    <row r="413" spans="1:26" ht="15">
      <c r="A413" s="549"/>
      <c r="B413" s="554"/>
      <c r="C413" s="549"/>
      <c r="D413" s="549"/>
      <c r="E413" s="570"/>
      <c r="F413" s="549"/>
      <c r="G413" s="549"/>
      <c r="H413" s="549"/>
      <c r="I413" s="550"/>
      <c r="J413" s="549"/>
      <c r="K413" s="549"/>
      <c r="L413" s="549"/>
      <c r="M413" s="549"/>
      <c r="N413" s="551"/>
      <c r="O413" s="549"/>
      <c r="P413" s="549"/>
      <c r="Q413" s="549"/>
      <c r="R413" s="549"/>
      <c r="S413" s="549"/>
      <c r="T413" s="549"/>
      <c r="U413" s="549"/>
      <c r="V413" s="549"/>
      <c r="W413" s="549"/>
      <c r="X413" s="549"/>
      <c r="Y413" s="549"/>
      <c r="Z413" s="549"/>
    </row>
    <row r="414" spans="1:26" ht="15">
      <c r="A414" s="549"/>
      <c r="B414" s="554"/>
      <c r="C414" s="549"/>
      <c r="D414" s="549"/>
      <c r="E414" s="570"/>
      <c r="F414" s="549"/>
      <c r="G414" s="549"/>
      <c r="H414" s="549"/>
      <c r="I414" s="550"/>
      <c r="J414" s="549"/>
      <c r="K414" s="549"/>
      <c r="L414" s="549"/>
      <c r="M414" s="549"/>
      <c r="N414" s="551"/>
      <c r="O414" s="549"/>
      <c r="P414" s="549"/>
      <c r="Q414" s="549"/>
      <c r="R414" s="549"/>
      <c r="S414" s="549"/>
      <c r="T414" s="549"/>
      <c r="U414" s="549"/>
      <c r="V414" s="549"/>
      <c r="W414" s="549"/>
      <c r="X414" s="549"/>
      <c r="Y414" s="549"/>
      <c r="Z414" s="549"/>
    </row>
    <row r="415" spans="1:26" ht="15">
      <c r="A415" s="549"/>
      <c r="B415" s="554"/>
      <c r="C415" s="549"/>
      <c r="D415" s="549"/>
      <c r="E415" s="570"/>
      <c r="F415" s="549"/>
      <c r="G415" s="549"/>
      <c r="H415" s="549"/>
      <c r="I415" s="550"/>
      <c r="J415" s="549"/>
      <c r="K415" s="549"/>
      <c r="L415" s="549"/>
      <c r="M415" s="549"/>
      <c r="N415" s="551"/>
      <c r="O415" s="549"/>
      <c r="P415" s="549"/>
      <c r="Q415" s="549"/>
      <c r="R415" s="549"/>
      <c r="S415" s="549"/>
      <c r="T415" s="549"/>
      <c r="U415" s="549"/>
      <c r="V415" s="549"/>
      <c r="W415" s="549"/>
      <c r="X415" s="549"/>
      <c r="Y415" s="549"/>
      <c r="Z415" s="549"/>
    </row>
    <row r="416" spans="1:26" ht="15">
      <c r="A416" s="549"/>
      <c r="B416" s="554"/>
      <c r="C416" s="549"/>
      <c r="D416" s="549"/>
      <c r="E416" s="570"/>
      <c r="F416" s="549"/>
      <c r="G416" s="549"/>
      <c r="H416" s="549"/>
      <c r="I416" s="550"/>
      <c r="J416" s="549"/>
      <c r="K416" s="549"/>
      <c r="L416" s="549"/>
      <c r="M416" s="549"/>
      <c r="N416" s="551"/>
      <c r="O416" s="549"/>
      <c r="P416" s="549"/>
      <c r="Q416" s="549"/>
      <c r="R416" s="549"/>
      <c r="S416" s="549"/>
      <c r="T416" s="549"/>
      <c r="U416" s="549"/>
      <c r="V416" s="549"/>
      <c r="W416" s="549"/>
      <c r="X416" s="549"/>
      <c r="Y416" s="549"/>
      <c r="Z416" s="549"/>
    </row>
    <row r="417" spans="1:26" ht="15">
      <c r="A417" s="549"/>
      <c r="B417" s="554"/>
      <c r="C417" s="549"/>
      <c r="D417" s="549"/>
      <c r="E417" s="570"/>
      <c r="F417" s="549"/>
      <c r="G417" s="549"/>
      <c r="H417" s="549"/>
      <c r="I417" s="550"/>
      <c r="J417" s="549"/>
      <c r="K417" s="549"/>
      <c r="L417" s="549"/>
      <c r="M417" s="549"/>
      <c r="N417" s="551"/>
      <c r="O417" s="549"/>
      <c r="P417" s="549"/>
      <c r="Q417" s="549"/>
      <c r="R417" s="549"/>
      <c r="S417" s="549"/>
      <c r="T417" s="549"/>
      <c r="U417" s="549"/>
      <c r="V417" s="549"/>
      <c r="W417" s="549"/>
      <c r="X417" s="549"/>
      <c r="Y417" s="549"/>
      <c r="Z417" s="549"/>
    </row>
    <row r="418" spans="1:26" ht="15">
      <c r="A418" s="549"/>
      <c r="B418" s="554"/>
      <c r="C418" s="549"/>
      <c r="D418" s="549"/>
      <c r="E418" s="570"/>
      <c r="F418" s="549"/>
      <c r="G418" s="549"/>
      <c r="H418" s="549"/>
      <c r="I418" s="550"/>
      <c r="J418" s="549"/>
      <c r="K418" s="549"/>
      <c r="L418" s="549"/>
      <c r="M418" s="549"/>
      <c r="N418" s="551"/>
      <c r="O418" s="549"/>
      <c r="P418" s="549"/>
      <c r="Q418" s="549"/>
      <c r="R418" s="549"/>
      <c r="S418" s="549"/>
      <c r="T418" s="549"/>
      <c r="U418" s="549"/>
      <c r="V418" s="549"/>
      <c r="W418" s="549"/>
      <c r="X418" s="549"/>
      <c r="Y418" s="549"/>
      <c r="Z418" s="549"/>
    </row>
    <row r="419" spans="1:26" ht="15">
      <c r="A419" s="549"/>
      <c r="B419" s="554"/>
      <c r="C419" s="549"/>
      <c r="D419" s="549"/>
      <c r="E419" s="570"/>
      <c r="F419" s="549"/>
      <c r="G419" s="549"/>
      <c r="H419" s="549"/>
      <c r="I419" s="550"/>
      <c r="J419" s="549"/>
      <c r="K419" s="549"/>
      <c r="L419" s="549"/>
      <c r="M419" s="549"/>
      <c r="N419" s="551"/>
      <c r="O419" s="549"/>
      <c r="P419" s="549"/>
      <c r="Q419" s="549"/>
      <c r="R419" s="549"/>
      <c r="S419" s="549"/>
      <c r="T419" s="549"/>
      <c r="U419" s="549"/>
      <c r="V419" s="549"/>
      <c r="W419" s="549"/>
      <c r="X419" s="549"/>
      <c r="Y419" s="549"/>
      <c r="Z419" s="549"/>
    </row>
    <row r="420" spans="1:26" ht="15">
      <c r="A420" s="549"/>
      <c r="B420" s="554"/>
      <c r="C420" s="549"/>
      <c r="D420" s="549"/>
      <c r="E420" s="570"/>
      <c r="F420" s="549"/>
      <c r="G420" s="549"/>
      <c r="H420" s="549"/>
      <c r="I420" s="550"/>
      <c r="J420" s="549"/>
      <c r="K420" s="549"/>
      <c r="L420" s="549"/>
      <c r="M420" s="549"/>
      <c r="N420" s="551"/>
      <c r="O420" s="549"/>
      <c r="P420" s="549"/>
      <c r="Q420" s="549"/>
      <c r="R420" s="549"/>
      <c r="S420" s="549"/>
      <c r="T420" s="549"/>
      <c r="U420" s="549"/>
      <c r="V420" s="549"/>
      <c r="W420" s="549"/>
      <c r="X420" s="549"/>
      <c r="Y420" s="549"/>
      <c r="Z420" s="549"/>
    </row>
    <row r="421" spans="1:26" ht="15">
      <c r="A421" s="549"/>
      <c r="B421" s="554"/>
      <c r="C421" s="549"/>
      <c r="D421" s="549"/>
      <c r="E421" s="570"/>
      <c r="F421" s="549"/>
      <c r="G421" s="549"/>
      <c r="H421" s="549"/>
      <c r="I421" s="550"/>
      <c r="J421" s="549"/>
      <c r="K421" s="549"/>
      <c r="L421" s="549"/>
      <c r="M421" s="549"/>
      <c r="N421" s="551"/>
      <c r="O421" s="549"/>
      <c r="P421" s="549"/>
      <c r="Q421" s="549"/>
      <c r="R421" s="549"/>
      <c r="S421" s="549"/>
      <c r="T421" s="549"/>
      <c r="U421" s="549"/>
      <c r="V421" s="549"/>
      <c r="W421" s="549"/>
      <c r="X421" s="549"/>
      <c r="Y421" s="549"/>
      <c r="Z421" s="549"/>
    </row>
    <row r="422" spans="1:26" ht="15">
      <c r="A422" s="549"/>
      <c r="B422" s="554"/>
      <c r="C422" s="549"/>
      <c r="D422" s="549"/>
      <c r="E422" s="570"/>
      <c r="F422" s="549"/>
      <c r="G422" s="549"/>
      <c r="H422" s="549"/>
      <c r="I422" s="550"/>
      <c r="J422" s="549"/>
      <c r="K422" s="549"/>
      <c r="L422" s="549"/>
      <c r="M422" s="549"/>
      <c r="N422" s="551"/>
      <c r="O422" s="549"/>
      <c r="P422" s="549"/>
      <c r="Q422" s="549"/>
      <c r="R422" s="549"/>
      <c r="S422" s="549"/>
      <c r="T422" s="549"/>
      <c r="U422" s="549"/>
      <c r="V422" s="549"/>
      <c r="W422" s="549"/>
      <c r="X422" s="549"/>
      <c r="Y422" s="549"/>
      <c r="Z422" s="549"/>
    </row>
    <row r="423" spans="1:26" ht="15">
      <c r="A423" s="549"/>
      <c r="B423" s="554"/>
      <c r="C423" s="549"/>
      <c r="D423" s="549"/>
      <c r="E423" s="570"/>
      <c r="F423" s="549"/>
      <c r="G423" s="549"/>
      <c r="H423" s="549"/>
      <c r="I423" s="550"/>
      <c r="J423" s="549"/>
      <c r="K423" s="549"/>
      <c r="L423" s="549"/>
      <c r="M423" s="549"/>
      <c r="N423" s="551"/>
      <c r="O423" s="549"/>
      <c r="P423" s="549"/>
      <c r="Q423" s="549"/>
      <c r="R423" s="549"/>
      <c r="S423" s="549"/>
      <c r="T423" s="549"/>
      <c r="U423" s="549"/>
      <c r="V423" s="549"/>
      <c r="W423" s="549"/>
      <c r="X423" s="549"/>
      <c r="Y423" s="549"/>
      <c r="Z423" s="549"/>
    </row>
    <row r="424" spans="1:26" ht="15">
      <c r="A424" s="549"/>
      <c r="B424" s="554"/>
      <c r="C424" s="549"/>
      <c r="D424" s="549"/>
      <c r="E424" s="570"/>
      <c r="F424" s="549"/>
      <c r="G424" s="549"/>
      <c r="H424" s="549"/>
      <c r="I424" s="550"/>
      <c r="J424" s="549"/>
      <c r="K424" s="549"/>
      <c r="L424" s="549"/>
      <c r="M424" s="549"/>
      <c r="N424" s="551"/>
      <c r="O424" s="549"/>
      <c r="P424" s="549"/>
      <c r="Q424" s="549"/>
      <c r="R424" s="549"/>
      <c r="S424" s="549"/>
      <c r="T424" s="549"/>
      <c r="U424" s="549"/>
      <c r="V424" s="549"/>
      <c r="W424" s="549"/>
      <c r="X424" s="549"/>
      <c r="Y424" s="549"/>
      <c r="Z424" s="549"/>
    </row>
    <row r="425" spans="1:26" ht="15">
      <c r="A425" s="549"/>
      <c r="B425" s="554"/>
      <c r="C425" s="549"/>
      <c r="D425" s="549"/>
      <c r="E425" s="570"/>
      <c r="F425" s="549"/>
      <c r="G425" s="549"/>
      <c r="H425" s="549"/>
      <c r="I425" s="550"/>
      <c r="J425" s="549"/>
      <c r="K425" s="549"/>
      <c r="L425" s="549"/>
      <c r="M425" s="549"/>
      <c r="N425" s="551"/>
      <c r="O425" s="549"/>
      <c r="P425" s="549"/>
      <c r="Q425" s="549"/>
      <c r="R425" s="549"/>
      <c r="S425" s="549"/>
      <c r="T425" s="549"/>
      <c r="U425" s="549"/>
      <c r="V425" s="549"/>
      <c r="W425" s="549"/>
      <c r="X425" s="549"/>
      <c r="Y425" s="549"/>
      <c r="Z425" s="549"/>
    </row>
    <row r="426" spans="1:26" ht="15">
      <c r="A426" s="549"/>
      <c r="B426" s="554"/>
      <c r="C426" s="549"/>
      <c r="D426" s="549"/>
      <c r="E426" s="570"/>
      <c r="F426" s="549"/>
      <c r="G426" s="549"/>
      <c r="H426" s="549"/>
      <c r="I426" s="550"/>
      <c r="J426" s="549"/>
      <c r="K426" s="549"/>
      <c r="L426" s="549"/>
      <c r="M426" s="549"/>
      <c r="N426" s="551"/>
      <c r="O426" s="549"/>
      <c r="P426" s="549"/>
      <c r="Q426" s="549"/>
      <c r="R426" s="549"/>
      <c r="S426" s="549"/>
      <c r="T426" s="549"/>
      <c r="U426" s="549"/>
      <c r="V426" s="549"/>
      <c r="W426" s="549"/>
      <c r="X426" s="549"/>
      <c r="Y426" s="549"/>
      <c r="Z426" s="549"/>
    </row>
    <row r="427" spans="1:26" ht="15">
      <c r="A427" s="549"/>
      <c r="B427" s="554"/>
      <c r="C427" s="549"/>
      <c r="D427" s="549"/>
      <c r="E427" s="570"/>
      <c r="F427" s="549"/>
      <c r="G427" s="549"/>
      <c r="H427" s="549"/>
      <c r="I427" s="550"/>
      <c r="J427" s="549"/>
      <c r="K427" s="549"/>
      <c r="L427" s="549"/>
      <c r="M427" s="549"/>
      <c r="N427" s="551"/>
      <c r="O427" s="549"/>
      <c r="P427" s="549"/>
      <c r="Q427" s="549"/>
      <c r="R427" s="549"/>
      <c r="S427" s="549"/>
      <c r="T427" s="549"/>
      <c r="U427" s="549"/>
      <c r="V427" s="549"/>
      <c r="W427" s="549"/>
      <c r="X427" s="549"/>
      <c r="Y427" s="549"/>
      <c r="Z427" s="549"/>
    </row>
    <row r="428" spans="1:26" ht="15">
      <c r="A428" s="549"/>
      <c r="B428" s="554"/>
      <c r="C428" s="549"/>
      <c r="D428" s="549"/>
      <c r="E428" s="570"/>
      <c r="F428" s="549"/>
      <c r="G428" s="549"/>
      <c r="H428" s="549"/>
      <c r="I428" s="550"/>
      <c r="J428" s="549"/>
      <c r="K428" s="549"/>
      <c r="L428" s="549"/>
      <c r="M428" s="549"/>
      <c r="N428" s="551"/>
      <c r="O428" s="549"/>
      <c r="P428" s="549"/>
      <c r="Q428" s="549"/>
      <c r="R428" s="549"/>
      <c r="S428" s="549"/>
      <c r="T428" s="549"/>
      <c r="U428" s="549"/>
      <c r="V428" s="549"/>
      <c r="W428" s="549"/>
      <c r="X428" s="549"/>
      <c r="Y428" s="549"/>
      <c r="Z428" s="549"/>
    </row>
    <row r="429" spans="1:26" ht="15">
      <c r="A429" s="549"/>
      <c r="B429" s="554"/>
      <c r="C429" s="549"/>
      <c r="D429" s="549"/>
      <c r="E429" s="570"/>
      <c r="F429" s="549"/>
      <c r="G429" s="549"/>
      <c r="H429" s="549"/>
      <c r="I429" s="550"/>
      <c r="J429" s="549"/>
      <c r="K429" s="549"/>
      <c r="L429" s="549"/>
      <c r="M429" s="549"/>
      <c r="N429" s="551"/>
      <c r="O429" s="549"/>
      <c r="P429" s="549"/>
      <c r="Q429" s="549"/>
      <c r="R429" s="549"/>
      <c r="S429" s="549"/>
      <c r="T429" s="549"/>
      <c r="U429" s="549"/>
      <c r="V429" s="549"/>
      <c r="W429" s="549"/>
      <c r="X429" s="549"/>
      <c r="Y429" s="549"/>
      <c r="Z429" s="549"/>
    </row>
    <row r="430" spans="1:26" ht="15">
      <c r="A430" s="549"/>
      <c r="B430" s="554"/>
      <c r="C430" s="549"/>
      <c r="D430" s="549"/>
      <c r="E430" s="570"/>
      <c r="F430" s="549"/>
      <c r="G430" s="549"/>
      <c r="H430" s="549"/>
      <c r="I430" s="550"/>
      <c r="J430" s="549"/>
      <c r="K430" s="549"/>
      <c r="L430" s="549"/>
      <c r="M430" s="549"/>
      <c r="N430" s="551"/>
      <c r="O430" s="549"/>
      <c r="P430" s="549"/>
      <c r="Q430" s="549"/>
      <c r="R430" s="549"/>
      <c r="S430" s="549"/>
      <c r="T430" s="549"/>
      <c r="U430" s="549"/>
      <c r="V430" s="549"/>
      <c r="W430" s="549"/>
      <c r="X430" s="549"/>
      <c r="Y430" s="549"/>
      <c r="Z430" s="549"/>
    </row>
    <row r="431" spans="1:26" ht="15">
      <c r="A431" s="549"/>
      <c r="B431" s="554"/>
      <c r="C431" s="549"/>
      <c r="D431" s="549"/>
      <c r="E431" s="570"/>
      <c r="F431" s="549"/>
      <c r="G431" s="549"/>
      <c r="H431" s="549"/>
      <c r="I431" s="550"/>
      <c r="J431" s="549"/>
      <c r="K431" s="549"/>
      <c r="L431" s="549"/>
      <c r="M431" s="549"/>
      <c r="N431" s="551"/>
      <c r="O431" s="549"/>
      <c r="P431" s="549"/>
      <c r="Q431" s="549"/>
      <c r="R431" s="549"/>
      <c r="S431" s="549"/>
      <c r="T431" s="549"/>
      <c r="U431" s="549"/>
      <c r="V431" s="549"/>
      <c r="W431" s="549"/>
      <c r="X431" s="549"/>
      <c r="Y431" s="549"/>
      <c r="Z431" s="549"/>
    </row>
    <row r="432" spans="1:26" ht="15">
      <c r="A432" s="549"/>
      <c r="B432" s="554"/>
      <c r="C432" s="549"/>
      <c r="D432" s="549"/>
      <c r="E432" s="570"/>
      <c r="F432" s="549"/>
      <c r="G432" s="549"/>
      <c r="H432" s="549"/>
      <c r="I432" s="550"/>
      <c r="J432" s="549"/>
      <c r="K432" s="549"/>
      <c r="L432" s="549"/>
      <c r="M432" s="549"/>
      <c r="N432" s="551"/>
      <c r="O432" s="549"/>
      <c r="P432" s="549"/>
      <c r="Q432" s="549"/>
      <c r="R432" s="549"/>
      <c r="S432" s="549"/>
      <c r="T432" s="549"/>
      <c r="U432" s="549"/>
      <c r="V432" s="549"/>
      <c r="W432" s="549"/>
      <c r="X432" s="549"/>
      <c r="Y432" s="549"/>
      <c r="Z432" s="549"/>
    </row>
    <row r="433" spans="1:26" ht="15">
      <c r="A433" s="549"/>
      <c r="B433" s="554"/>
      <c r="C433" s="549"/>
      <c r="D433" s="549"/>
      <c r="E433" s="570"/>
      <c r="F433" s="549"/>
      <c r="G433" s="549"/>
      <c r="H433" s="549"/>
      <c r="I433" s="550"/>
      <c r="J433" s="549"/>
      <c r="K433" s="549"/>
      <c r="L433" s="549"/>
      <c r="M433" s="549"/>
      <c r="N433" s="551"/>
      <c r="O433" s="549"/>
      <c r="P433" s="549"/>
      <c r="Q433" s="549"/>
      <c r="R433" s="549"/>
      <c r="S433" s="549"/>
      <c r="T433" s="549"/>
      <c r="U433" s="549"/>
      <c r="V433" s="549"/>
      <c r="W433" s="549"/>
      <c r="X433" s="549"/>
      <c r="Y433" s="549"/>
      <c r="Z433" s="549"/>
    </row>
    <row r="434" spans="1:26" ht="15">
      <c r="A434" s="549"/>
      <c r="B434" s="554"/>
      <c r="C434" s="549"/>
      <c r="D434" s="549"/>
      <c r="E434" s="570"/>
      <c r="F434" s="549"/>
      <c r="G434" s="549"/>
      <c r="H434" s="549"/>
      <c r="I434" s="550"/>
      <c r="J434" s="549"/>
      <c r="K434" s="549"/>
      <c r="L434" s="549"/>
      <c r="M434" s="549"/>
      <c r="N434" s="551"/>
      <c r="O434" s="549"/>
      <c r="P434" s="549"/>
      <c r="Q434" s="549"/>
      <c r="R434" s="549"/>
      <c r="S434" s="549"/>
      <c r="T434" s="549"/>
      <c r="U434" s="549"/>
      <c r="V434" s="549"/>
      <c r="W434" s="549"/>
      <c r="X434" s="549"/>
      <c r="Y434" s="549"/>
      <c r="Z434" s="549"/>
    </row>
    <row r="435" spans="1:26" ht="15">
      <c r="A435" s="549"/>
      <c r="B435" s="554"/>
      <c r="C435" s="549"/>
      <c r="D435" s="549"/>
      <c r="E435" s="570"/>
      <c r="F435" s="549"/>
      <c r="G435" s="549"/>
      <c r="H435" s="549"/>
      <c r="I435" s="550"/>
      <c r="J435" s="549"/>
      <c r="K435" s="549"/>
      <c r="L435" s="549"/>
      <c r="M435" s="549"/>
      <c r="N435" s="551"/>
      <c r="O435" s="549"/>
      <c r="P435" s="549"/>
      <c r="Q435" s="549"/>
      <c r="R435" s="549"/>
      <c r="S435" s="549"/>
      <c r="T435" s="549"/>
      <c r="U435" s="549"/>
      <c r="V435" s="549"/>
      <c r="W435" s="549"/>
      <c r="X435" s="549"/>
      <c r="Y435" s="549"/>
      <c r="Z435" s="549"/>
    </row>
    <row r="436" spans="1:26" ht="15">
      <c r="A436" s="549"/>
      <c r="B436" s="554"/>
      <c r="C436" s="549"/>
      <c r="D436" s="549"/>
      <c r="E436" s="570"/>
      <c r="F436" s="549"/>
      <c r="G436" s="549"/>
      <c r="H436" s="549"/>
      <c r="I436" s="550"/>
      <c r="J436" s="549"/>
      <c r="K436" s="549"/>
      <c r="L436" s="549"/>
      <c r="M436" s="549"/>
      <c r="N436" s="551"/>
      <c r="O436" s="549"/>
      <c r="P436" s="549"/>
      <c r="Q436" s="549"/>
      <c r="R436" s="549"/>
      <c r="S436" s="549"/>
      <c r="T436" s="549"/>
      <c r="U436" s="549"/>
      <c r="V436" s="549"/>
      <c r="W436" s="549"/>
      <c r="X436" s="549"/>
      <c r="Y436" s="549"/>
      <c r="Z436" s="549"/>
    </row>
    <row r="437" spans="1:26" ht="15">
      <c r="A437" s="549"/>
      <c r="B437" s="554"/>
      <c r="C437" s="549"/>
      <c r="D437" s="549"/>
      <c r="E437" s="570"/>
      <c r="F437" s="549"/>
      <c r="G437" s="549"/>
      <c r="H437" s="549"/>
      <c r="I437" s="550"/>
      <c r="J437" s="549"/>
      <c r="K437" s="549"/>
      <c r="L437" s="549"/>
      <c r="M437" s="549"/>
      <c r="N437" s="551"/>
      <c r="O437" s="549"/>
      <c r="P437" s="549"/>
      <c r="Q437" s="549"/>
      <c r="R437" s="549"/>
      <c r="S437" s="549"/>
      <c r="T437" s="549"/>
      <c r="U437" s="549"/>
      <c r="V437" s="549"/>
      <c r="W437" s="549"/>
      <c r="X437" s="549"/>
      <c r="Y437" s="549"/>
      <c r="Z437" s="549"/>
    </row>
    <row r="438" spans="1:26" ht="15">
      <c r="A438" s="549"/>
      <c r="B438" s="554"/>
      <c r="C438" s="549"/>
      <c r="D438" s="549"/>
      <c r="E438" s="570"/>
      <c r="F438" s="549"/>
      <c r="G438" s="549"/>
      <c r="H438" s="549"/>
      <c r="I438" s="550"/>
      <c r="J438" s="549"/>
      <c r="K438" s="549"/>
      <c r="L438" s="549"/>
      <c r="M438" s="549"/>
      <c r="N438" s="551"/>
      <c r="O438" s="549"/>
      <c r="P438" s="549"/>
      <c r="Q438" s="549"/>
      <c r="R438" s="549"/>
      <c r="S438" s="549"/>
      <c r="T438" s="549"/>
      <c r="U438" s="549"/>
      <c r="V438" s="549"/>
      <c r="W438" s="549"/>
      <c r="X438" s="549"/>
      <c r="Y438" s="549"/>
      <c r="Z438" s="549"/>
    </row>
    <row r="439" spans="1:26" ht="15">
      <c r="A439" s="549"/>
      <c r="B439" s="554"/>
      <c r="C439" s="549"/>
      <c r="D439" s="549"/>
      <c r="E439" s="570"/>
      <c r="F439" s="549"/>
      <c r="G439" s="549"/>
      <c r="H439" s="549"/>
      <c r="I439" s="550"/>
      <c r="J439" s="549"/>
      <c r="K439" s="549"/>
      <c r="L439" s="549"/>
      <c r="M439" s="549"/>
      <c r="N439" s="551"/>
      <c r="O439" s="549"/>
      <c r="P439" s="549"/>
      <c r="Q439" s="549"/>
      <c r="R439" s="549"/>
      <c r="S439" s="549"/>
      <c r="T439" s="549"/>
      <c r="U439" s="549"/>
      <c r="V439" s="549"/>
      <c r="W439" s="549"/>
      <c r="X439" s="549"/>
      <c r="Y439" s="549"/>
      <c r="Z439" s="549"/>
    </row>
    <row r="440" spans="1:26" ht="15">
      <c r="A440" s="549"/>
      <c r="B440" s="554"/>
      <c r="C440" s="549"/>
      <c r="D440" s="549"/>
      <c r="E440" s="570"/>
      <c r="F440" s="549"/>
      <c r="G440" s="549"/>
      <c r="H440" s="549"/>
      <c r="I440" s="550"/>
      <c r="J440" s="549"/>
      <c r="K440" s="549"/>
      <c r="L440" s="549"/>
      <c r="M440" s="549"/>
      <c r="N440" s="551"/>
      <c r="O440" s="549"/>
      <c r="P440" s="549"/>
      <c r="Q440" s="549"/>
      <c r="R440" s="549"/>
      <c r="S440" s="549"/>
      <c r="T440" s="549"/>
      <c r="U440" s="549"/>
      <c r="V440" s="549"/>
      <c r="W440" s="549"/>
      <c r="X440" s="549"/>
      <c r="Y440" s="549"/>
      <c r="Z440" s="549"/>
    </row>
    <row r="441" spans="1:26" ht="15">
      <c r="A441" s="549"/>
      <c r="B441" s="554"/>
      <c r="C441" s="549"/>
      <c r="D441" s="549"/>
      <c r="E441" s="570"/>
      <c r="F441" s="549"/>
      <c r="G441" s="549"/>
      <c r="H441" s="549"/>
      <c r="I441" s="550"/>
      <c r="J441" s="549"/>
      <c r="K441" s="549"/>
      <c r="L441" s="549"/>
      <c r="M441" s="549"/>
      <c r="N441" s="551"/>
      <c r="O441" s="549"/>
      <c r="P441" s="549"/>
      <c r="Q441" s="549"/>
      <c r="R441" s="549"/>
      <c r="S441" s="549"/>
      <c r="T441" s="549"/>
      <c r="U441" s="549"/>
      <c r="V441" s="549"/>
      <c r="W441" s="549"/>
      <c r="X441" s="549"/>
      <c r="Y441" s="549"/>
      <c r="Z441" s="549"/>
    </row>
    <row r="442" spans="1:26" ht="15">
      <c r="A442" s="549"/>
      <c r="B442" s="554"/>
      <c r="C442" s="549"/>
      <c r="D442" s="549"/>
      <c r="E442" s="570"/>
      <c r="F442" s="549"/>
      <c r="G442" s="549"/>
      <c r="H442" s="549"/>
      <c r="I442" s="550"/>
      <c r="J442" s="549"/>
      <c r="K442" s="549"/>
      <c r="L442" s="549"/>
      <c r="M442" s="549"/>
      <c r="N442" s="551"/>
      <c r="O442" s="549"/>
      <c r="P442" s="549"/>
      <c r="Q442" s="549"/>
      <c r="R442" s="549"/>
      <c r="S442" s="549"/>
      <c r="T442" s="549"/>
      <c r="U442" s="549"/>
      <c r="V442" s="549"/>
      <c r="W442" s="549"/>
      <c r="X442" s="549"/>
      <c r="Y442" s="549"/>
      <c r="Z442" s="549"/>
    </row>
    <row r="443" spans="1:26" ht="15">
      <c r="A443" s="549"/>
      <c r="B443" s="554"/>
      <c r="C443" s="549"/>
      <c r="D443" s="549"/>
      <c r="E443" s="570"/>
      <c r="F443" s="549"/>
      <c r="G443" s="549"/>
      <c r="H443" s="549"/>
      <c r="I443" s="550"/>
      <c r="J443" s="549"/>
      <c r="K443" s="549"/>
      <c r="L443" s="549"/>
      <c r="M443" s="549"/>
      <c r="N443" s="551"/>
      <c r="O443" s="549"/>
      <c r="P443" s="549"/>
      <c r="Q443" s="549"/>
      <c r="R443" s="549"/>
      <c r="S443" s="549"/>
      <c r="T443" s="549"/>
      <c r="U443" s="549"/>
      <c r="V443" s="549"/>
      <c r="W443" s="549"/>
      <c r="X443" s="549"/>
      <c r="Y443" s="549"/>
      <c r="Z443" s="549"/>
    </row>
    <row r="444" spans="1:26" ht="15">
      <c r="A444" s="549"/>
      <c r="B444" s="554"/>
      <c r="C444" s="549"/>
      <c r="D444" s="549"/>
      <c r="E444" s="570"/>
      <c r="F444" s="549"/>
      <c r="G444" s="549"/>
      <c r="H444" s="549"/>
      <c r="I444" s="550"/>
      <c r="J444" s="549"/>
      <c r="K444" s="549"/>
      <c r="L444" s="549"/>
      <c r="M444" s="549"/>
      <c r="N444" s="551"/>
      <c r="O444" s="549"/>
      <c r="P444" s="549"/>
      <c r="Q444" s="549"/>
      <c r="R444" s="549"/>
      <c r="S444" s="549"/>
      <c r="T444" s="549"/>
      <c r="U444" s="549"/>
      <c r="V444" s="549"/>
      <c r="W444" s="549"/>
      <c r="X444" s="549"/>
      <c r="Y444" s="549"/>
      <c r="Z444" s="549"/>
    </row>
    <row r="445" spans="1:26" ht="15">
      <c r="A445" s="549"/>
      <c r="B445" s="554"/>
      <c r="C445" s="549"/>
      <c r="D445" s="549"/>
      <c r="E445" s="570"/>
      <c r="F445" s="549"/>
      <c r="G445" s="549"/>
      <c r="H445" s="549"/>
      <c r="I445" s="550"/>
      <c r="J445" s="549"/>
      <c r="K445" s="549"/>
      <c r="L445" s="549"/>
      <c r="M445" s="549"/>
      <c r="N445" s="551"/>
      <c r="O445" s="549"/>
      <c r="P445" s="549"/>
      <c r="Q445" s="549"/>
      <c r="R445" s="549"/>
      <c r="S445" s="549"/>
      <c r="T445" s="549"/>
      <c r="U445" s="549"/>
      <c r="V445" s="549"/>
      <c r="W445" s="549"/>
      <c r="X445" s="549"/>
      <c r="Y445" s="549"/>
      <c r="Z445" s="549"/>
    </row>
    <row r="446" spans="1:26" ht="15">
      <c r="A446" s="549"/>
      <c r="B446" s="554"/>
      <c r="C446" s="549"/>
      <c r="D446" s="549"/>
      <c r="E446" s="570"/>
      <c r="F446" s="549"/>
      <c r="G446" s="549"/>
      <c r="H446" s="549"/>
      <c r="I446" s="550"/>
      <c r="J446" s="549"/>
      <c r="K446" s="549"/>
      <c r="L446" s="549"/>
      <c r="M446" s="549"/>
      <c r="N446" s="551"/>
      <c r="O446" s="549"/>
      <c r="P446" s="549"/>
      <c r="Q446" s="549"/>
      <c r="R446" s="549"/>
      <c r="S446" s="549"/>
      <c r="T446" s="549"/>
      <c r="U446" s="549"/>
      <c r="V446" s="549"/>
      <c r="W446" s="549"/>
      <c r="X446" s="549"/>
      <c r="Y446" s="549"/>
      <c r="Z446" s="549"/>
    </row>
    <row r="447" spans="1:26" ht="15">
      <c r="A447" s="549"/>
      <c r="B447" s="554"/>
      <c r="C447" s="549"/>
      <c r="D447" s="549"/>
      <c r="E447" s="570"/>
      <c r="F447" s="549"/>
      <c r="G447" s="549"/>
      <c r="H447" s="549"/>
      <c r="I447" s="550"/>
      <c r="J447" s="549"/>
      <c r="K447" s="549"/>
      <c r="L447" s="549"/>
      <c r="M447" s="549"/>
      <c r="N447" s="551"/>
      <c r="O447" s="549"/>
      <c r="P447" s="549"/>
      <c r="Q447" s="549"/>
      <c r="R447" s="549"/>
      <c r="S447" s="549"/>
      <c r="T447" s="549"/>
      <c r="U447" s="549"/>
      <c r="V447" s="549"/>
      <c r="W447" s="549"/>
      <c r="X447" s="549"/>
      <c r="Y447" s="549"/>
      <c r="Z447" s="549"/>
    </row>
    <row r="448" spans="1:26" ht="15">
      <c r="A448" s="549"/>
      <c r="B448" s="554"/>
      <c r="C448" s="549"/>
      <c r="D448" s="549"/>
      <c r="E448" s="570"/>
      <c r="F448" s="549"/>
      <c r="G448" s="549"/>
      <c r="H448" s="549"/>
      <c r="I448" s="550"/>
      <c r="J448" s="549"/>
      <c r="K448" s="549"/>
      <c r="L448" s="549"/>
      <c r="M448" s="549"/>
      <c r="N448" s="551"/>
      <c r="O448" s="549"/>
      <c r="P448" s="549"/>
      <c r="Q448" s="549"/>
      <c r="R448" s="549"/>
      <c r="S448" s="549"/>
      <c r="T448" s="549"/>
      <c r="U448" s="549"/>
      <c r="V448" s="549"/>
      <c r="W448" s="549"/>
      <c r="X448" s="549"/>
      <c r="Y448" s="549"/>
      <c r="Z448" s="549"/>
    </row>
    <row r="449" spans="1:26" ht="15">
      <c r="A449" s="549"/>
      <c r="B449" s="554"/>
      <c r="C449" s="549"/>
      <c r="D449" s="549"/>
      <c r="E449" s="570"/>
      <c r="F449" s="549"/>
      <c r="G449" s="549"/>
      <c r="H449" s="549"/>
      <c r="I449" s="550"/>
      <c r="J449" s="549"/>
      <c r="K449" s="549"/>
      <c r="L449" s="549"/>
      <c r="M449" s="549"/>
      <c r="N449" s="551"/>
      <c r="O449" s="549"/>
      <c r="P449" s="549"/>
      <c r="Q449" s="549"/>
      <c r="R449" s="549"/>
      <c r="S449" s="549"/>
      <c r="T449" s="549"/>
      <c r="U449" s="549"/>
      <c r="V449" s="549"/>
      <c r="W449" s="549"/>
      <c r="X449" s="549"/>
      <c r="Y449" s="549"/>
      <c r="Z449" s="549"/>
    </row>
    <row r="450" spans="1:26" ht="15">
      <c r="A450" s="549"/>
      <c r="B450" s="554"/>
      <c r="C450" s="549"/>
      <c r="D450" s="549"/>
      <c r="E450" s="570"/>
      <c r="F450" s="549"/>
      <c r="G450" s="549"/>
      <c r="H450" s="549"/>
      <c r="I450" s="550"/>
      <c r="J450" s="549"/>
      <c r="K450" s="549"/>
      <c r="L450" s="549"/>
      <c r="M450" s="549"/>
      <c r="N450" s="551"/>
      <c r="O450" s="549"/>
      <c r="P450" s="549"/>
      <c r="Q450" s="549"/>
      <c r="R450" s="549"/>
      <c r="S450" s="549"/>
      <c r="T450" s="549"/>
      <c r="U450" s="549"/>
      <c r="V450" s="549"/>
      <c r="W450" s="549"/>
      <c r="X450" s="549"/>
      <c r="Y450" s="549"/>
      <c r="Z450" s="549"/>
    </row>
    <row r="451" spans="1:26" ht="15">
      <c r="A451" s="549"/>
      <c r="B451" s="554"/>
      <c r="C451" s="549"/>
      <c r="D451" s="549"/>
      <c r="E451" s="570"/>
      <c r="F451" s="549"/>
      <c r="G451" s="549"/>
      <c r="H451" s="549"/>
      <c r="I451" s="550"/>
      <c r="J451" s="549"/>
      <c r="K451" s="549"/>
      <c r="L451" s="549"/>
      <c r="M451" s="549"/>
      <c r="N451" s="551"/>
      <c r="O451" s="549"/>
      <c r="P451" s="549"/>
      <c r="Q451" s="549"/>
      <c r="R451" s="549"/>
      <c r="S451" s="549"/>
      <c r="T451" s="549"/>
      <c r="U451" s="549"/>
      <c r="V451" s="549"/>
      <c r="W451" s="549"/>
      <c r="X451" s="549"/>
      <c r="Y451" s="549"/>
      <c r="Z451" s="549"/>
    </row>
    <row r="452" spans="1:26" ht="15">
      <c r="A452" s="549"/>
      <c r="B452" s="554"/>
      <c r="C452" s="549"/>
      <c r="D452" s="549"/>
      <c r="E452" s="570"/>
      <c r="F452" s="549"/>
      <c r="G452" s="549"/>
      <c r="H452" s="549"/>
      <c r="I452" s="550"/>
      <c r="J452" s="549"/>
      <c r="K452" s="549"/>
      <c r="L452" s="549"/>
      <c r="M452" s="549"/>
      <c r="N452" s="551"/>
      <c r="O452" s="549"/>
      <c r="P452" s="549"/>
      <c r="Q452" s="549"/>
      <c r="R452" s="549"/>
      <c r="S452" s="549"/>
      <c r="T452" s="549"/>
      <c r="U452" s="549"/>
      <c r="V452" s="549"/>
      <c r="W452" s="549"/>
      <c r="X452" s="549"/>
      <c r="Y452" s="549"/>
      <c r="Z452" s="549"/>
    </row>
    <row r="453" spans="1:26" ht="15">
      <c r="A453" s="549"/>
      <c r="B453" s="554"/>
      <c r="C453" s="549"/>
      <c r="D453" s="549"/>
      <c r="E453" s="570"/>
      <c r="F453" s="549"/>
      <c r="G453" s="549"/>
      <c r="H453" s="549"/>
      <c r="I453" s="550"/>
      <c r="J453" s="549"/>
      <c r="K453" s="549"/>
      <c r="L453" s="549"/>
      <c r="M453" s="549"/>
      <c r="N453" s="551"/>
      <c r="O453" s="549"/>
      <c r="P453" s="549"/>
      <c r="Q453" s="549"/>
      <c r="R453" s="549"/>
      <c r="S453" s="549"/>
      <c r="T453" s="549"/>
      <c r="U453" s="549"/>
      <c r="V453" s="549"/>
      <c r="W453" s="549"/>
      <c r="X453" s="549"/>
      <c r="Y453" s="549"/>
      <c r="Z453" s="549"/>
    </row>
    <row r="454" spans="1:26" ht="15">
      <c r="A454" s="549"/>
      <c r="B454" s="554"/>
      <c r="C454" s="549"/>
      <c r="D454" s="549"/>
      <c r="E454" s="570"/>
      <c r="F454" s="549"/>
      <c r="G454" s="549"/>
      <c r="H454" s="549"/>
      <c r="I454" s="550"/>
      <c r="J454" s="549"/>
      <c r="K454" s="549"/>
      <c r="L454" s="549"/>
      <c r="M454" s="549"/>
      <c r="N454" s="551"/>
      <c r="O454" s="549"/>
      <c r="P454" s="549"/>
      <c r="Q454" s="549"/>
      <c r="R454" s="549"/>
      <c r="S454" s="549"/>
      <c r="T454" s="549"/>
      <c r="U454" s="549"/>
      <c r="V454" s="549"/>
      <c r="W454" s="549"/>
      <c r="X454" s="549"/>
      <c r="Y454" s="549"/>
      <c r="Z454" s="549"/>
    </row>
    <row r="455" spans="1:26" ht="15">
      <c r="A455" s="549"/>
      <c r="B455" s="554"/>
      <c r="C455" s="549"/>
      <c r="D455" s="549"/>
      <c r="E455" s="570"/>
      <c r="F455" s="549"/>
      <c r="G455" s="549"/>
      <c r="H455" s="549"/>
      <c r="I455" s="550"/>
      <c r="J455" s="549"/>
      <c r="K455" s="549"/>
      <c r="L455" s="549"/>
      <c r="M455" s="549"/>
      <c r="N455" s="551"/>
      <c r="O455" s="549"/>
      <c r="P455" s="549"/>
      <c r="Q455" s="549"/>
      <c r="R455" s="549"/>
      <c r="S455" s="549"/>
      <c r="T455" s="549"/>
      <c r="U455" s="549"/>
      <c r="V455" s="549"/>
      <c r="W455" s="549"/>
      <c r="X455" s="549"/>
      <c r="Y455" s="549"/>
      <c r="Z455" s="549"/>
    </row>
    <row r="456" spans="1:26" ht="15">
      <c r="A456" s="549"/>
      <c r="B456" s="554"/>
      <c r="C456" s="549"/>
      <c r="D456" s="549"/>
      <c r="E456" s="570"/>
      <c r="F456" s="549"/>
      <c r="G456" s="549"/>
      <c r="H456" s="549"/>
      <c r="I456" s="550"/>
      <c r="J456" s="549"/>
      <c r="K456" s="549"/>
      <c r="L456" s="549"/>
      <c r="M456" s="549"/>
      <c r="N456" s="551"/>
      <c r="O456" s="549"/>
      <c r="P456" s="549"/>
      <c r="Q456" s="549"/>
      <c r="R456" s="549"/>
      <c r="S456" s="549"/>
      <c r="T456" s="549"/>
      <c r="U456" s="549"/>
      <c r="V456" s="549"/>
      <c r="W456" s="549"/>
      <c r="X456" s="549"/>
      <c r="Y456" s="549"/>
      <c r="Z456" s="549"/>
    </row>
    <row r="457" spans="1:26" ht="15">
      <c r="A457" s="549"/>
      <c r="B457" s="554"/>
      <c r="C457" s="549"/>
      <c r="D457" s="549"/>
      <c r="E457" s="570"/>
      <c r="F457" s="549"/>
      <c r="G457" s="549"/>
      <c r="H457" s="549"/>
      <c r="I457" s="550"/>
      <c r="J457" s="549"/>
      <c r="K457" s="549"/>
      <c r="L457" s="549"/>
      <c r="M457" s="549"/>
      <c r="N457" s="551"/>
      <c r="O457" s="549"/>
      <c r="P457" s="549"/>
      <c r="Q457" s="549"/>
      <c r="R457" s="549"/>
      <c r="S457" s="549"/>
      <c r="T457" s="549"/>
      <c r="U457" s="549"/>
      <c r="V457" s="549"/>
      <c r="W457" s="549"/>
      <c r="X457" s="549"/>
      <c r="Y457" s="549"/>
      <c r="Z457" s="549"/>
    </row>
    <row r="458" spans="1:26" ht="15">
      <c r="A458" s="549"/>
      <c r="B458" s="554"/>
      <c r="C458" s="549"/>
      <c r="D458" s="549"/>
      <c r="E458" s="570"/>
      <c r="F458" s="549"/>
      <c r="G458" s="549"/>
      <c r="H458" s="549"/>
      <c r="I458" s="550"/>
      <c r="J458" s="549"/>
      <c r="K458" s="549"/>
      <c r="L458" s="549"/>
      <c r="M458" s="549"/>
      <c r="N458" s="551"/>
      <c r="O458" s="549"/>
      <c r="P458" s="549"/>
      <c r="Q458" s="549"/>
      <c r="R458" s="549"/>
      <c r="S458" s="549"/>
      <c r="T458" s="549"/>
      <c r="U458" s="549"/>
      <c r="V458" s="549"/>
      <c r="W458" s="549"/>
      <c r="X458" s="549"/>
      <c r="Y458" s="549"/>
      <c r="Z458" s="549"/>
    </row>
    <row r="459" spans="1:26" ht="15">
      <c r="A459" s="549"/>
      <c r="B459" s="554"/>
      <c r="C459" s="549"/>
      <c r="D459" s="549"/>
      <c r="E459" s="570"/>
      <c r="F459" s="549"/>
      <c r="G459" s="549"/>
      <c r="H459" s="549"/>
      <c r="I459" s="550"/>
      <c r="J459" s="549"/>
      <c r="K459" s="549"/>
      <c r="L459" s="549"/>
      <c r="M459" s="549"/>
      <c r="N459" s="551"/>
      <c r="O459" s="549"/>
      <c r="P459" s="549"/>
      <c r="Q459" s="549"/>
      <c r="R459" s="549"/>
      <c r="S459" s="549"/>
      <c r="T459" s="549"/>
      <c r="U459" s="549"/>
      <c r="V459" s="549"/>
      <c r="W459" s="549"/>
      <c r="X459" s="549"/>
      <c r="Y459" s="549"/>
      <c r="Z459" s="549"/>
    </row>
    <row r="460" spans="1:26" ht="15">
      <c r="A460" s="549"/>
      <c r="B460" s="554"/>
      <c r="C460" s="549"/>
      <c r="D460" s="549"/>
      <c r="E460" s="570"/>
      <c r="F460" s="549"/>
      <c r="G460" s="549"/>
      <c r="H460" s="549"/>
      <c r="I460" s="550"/>
      <c r="J460" s="549"/>
      <c r="K460" s="549"/>
      <c r="L460" s="549"/>
      <c r="M460" s="549"/>
      <c r="N460" s="551"/>
      <c r="O460" s="549"/>
      <c r="P460" s="549"/>
      <c r="Q460" s="549"/>
      <c r="R460" s="549"/>
      <c r="S460" s="549"/>
      <c r="T460" s="549"/>
      <c r="U460" s="549"/>
      <c r="V460" s="549"/>
      <c r="W460" s="549"/>
      <c r="X460" s="549"/>
      <c r="Y460" s="549"/>
      <c r="Z460" s="549"/>
    </row>
    <row r="461" spans="1:26" ht="15">
      <c r="A461" s="549"/>
      <c r="B461" s="554"/>
      <c r="C461" s="549"/>
      <c r="D461" s="549"/>
      <c r="E461" s="570"/>
      <c r="F461" s="549"/>
      <c r="G461" s="549"/>
      <c r="H461" s="549"/>
      <c r="I461" s="550"/>
      <c r="J461" s="549"/>
      <c r="K461" s="549"/>
      <c r="L461" s="549"/>
      <c r="M461" s="549"/>
      <c r="N461" s="551"/>
      <c r="O461" s="549"/>
      <c r="P461" s="549"/>
      <c r="Q461" s="549"/>
      <c r="R461" s="549"/>
      <c r="S461" s="549"/>
      <c r="T461" s="549"/>
      <c r="U461" s="549"/>
      <c r="V461" s="549"/>
      <c r="W461" s="549"/>
      <c r="X461" s="549"/>
      <c r="Y461" s="549"/>
      <c r="Z461" s="549"/>
    </row>
    <row r="462" spans="1:26" ht="15">
      <c r="A462" s="549"/>
      <c r="B462" s="554"/>
      <c r="C462" s="549"/>
      <c r="D462" s="549"/>
      <c r="E462" s="570"/>
      <c r="F462" s="549"/>
      <c r="G462" s="549"/>
      <c r="H462" s="549"/>
      <c r="I462" s="550"/>
      <c r="J462" s="549"/>
      <c r="K462" s="549"/>
      <c r="L462" s="549"/>
      <c r="M462" s="549"/>
      <c r="N462" s="551"/>
      <c r="O462" s="549"/>
      <c r="P462" s="549"/>
      <c r="Q462" s="549"/>
      <c r="R462" s="549"/>
      <c r="S462" s="549"/>
      <c r="T462" s="549"/>
      <c r="U462" s="549"/>
      <c r="V462" s="549"/>
      <c r="W462" s="549"/>
      <c r="X462" s="549"/>
      <c r="Y462" s="549"/>
      <c r="Z462" s="549"/>
    </row>
    <row r="463" spans="1:26" ht="15">
      <c r="A463" s="549"/>
      <c r="B463" s="554"/>
      <c r="C463" s="549"/>
      <c r="D463" s="549"/>
      <c r="E463" s="570"/>
      <c r="F463" s="549"/>
      <c r="G463" s="549"/>
      <c r="H463" s="549"/>
      <c r="I463" s="550"/>
      <c r="J463" s="549"/>
      <c r="K463" s="549"/>
      <c r="L463" s="549"/>
      <c r="M463" s="549"/>
      <c r="N463" s="551"/>
      <c r="O463" s="549"/>
      <c r="P463" s="549"/>
      <c r="Q463" s="549"/>
      <c r="R463" s="549"/>
      <c r="S463" s="549"/>
      <c r="T463" s="549"/>
      <c r="U463" s="549"/>
      <c r="V463" s="549"/>
      <c r="W463" s="549"/>
      <c r="X463" s="549"/>
      <c r="Y463" s="549"/>
      <c r="Z463" s="549"/>
    </row>
    <row r="464" spans="1:26" ht="15">
      <c r="A464" s="549"/>
      <c r="B464" s="554"/>
      <c r="C464" s="549"/>
      <c r="D464" s="549"/>
      <c r="E464" s="570"/>
      <c r="F464" s="549"/>
      <c r="G464" s="549"/>
      <c r="H464" s="549"/>
      <c r="I464" s="550"/>
      <c r="J464" s="549"/>
      <c r="K464" s="549"/>
      <c r="L464" s="549"/>
      <c r="M464" s="549"/>
      <c r="N464" s="551"/>
      <c r="O464" s="549"/>
      <c r="P464" s="549"/>
      <c r="Q464" s="549"/>
      <c r="R464" s="549"/>
      <c r="S464" s="549"/>
      <c r="T464" s="549"/>
      <c r="U464" s="549"/>
      <c r="V464" s="549"/>
      <c r="W464" s="549"/>
      <c r="X464" s="549"/>
      <c r="Y464" s="549"/>
      <c r="Z464" s="549"/>
    </row>
    <row r="465" spans="1:26" ht="15">
      <c r="A465" s="549"/>
      <c r="B465" s="554"/>
      <c r="C465" s="549"/>
      <c r="D465" s="549"/>
      <c r="E465" s="570"/>
      <c r="F465" s="549"/>
      <c r="G465" s="549"/>
      <c r="H465" s="549"/>
      <c r="I465" s="550"/>
      <c r="J465" s="549"/>
      <c r="K465" s="549"/>
      <c r="L465" s="549"/>
      <c r="M465" s="549"/>
      <c r="N465" s="551"/>
      <c r="O465" s="549"/>
      <c r="P465" s="549"/>
      <c r="Q465" s="549"/>
      <c r="R465" s="549"/>
      <c r="S465" s="549"/>
      <c r="T465" s="549"/>
      <c r="U465" s="549"/>
      <c r="V465" s="549"/>
      <c r="W465" s="549"/>
      <c r="X465" s="549"/>
      <c r="Y465" s="549"/>
      <c r="Z465" s="549"/>
    </row>
    <row r="466" spans="1:26" ht="15">
      <c r="A466" s="549"/>
      <c r="B466" s="554"/>
      <c r="C466" s="549"/>
      <c r="D466" s="549"/>
      <c r="E466" s="570"/>
      <c r="F466" s="549"/>
      <c r="G466" s="549"/>
      <c r="H466" s="549"/>
      <c r="I466" s="550"/>
      <c r="J466" s="549"/>
      <c r="K466" s="549"/>
      <c r="L466" s="549"/>
      <c r="M466" s="549"/>
      <c r="N466" s="551"/>
      <c r="O466" s="549"/>
      <c r="P466" s="549"/>
      <c r="Q466" s="549"/>
      <c r="R466" s="549"/>
      <c r="S466" s="549"/>
      <c r="T466" s="549"/>
      <c r="U466" s="549"/>
      <c r="V466" s="549"/>
      <c r="W466" s="549"/>
      <c r="X466" s="549"/>
      <c r="Y466" s="549"/>
      <c r="Z466" s="549"/>
    </row>
    <row r="467" spans="1:26" ht="15">
      <c r="A467" s="549"/>
      <c r="B467" s="554"/>
      <c r="C467" s="549"/>
      <c r="D467" s="549"/>
      <c r="E467" s="570"/>
      <c r="F467" s="549"/>
      <c r="G467" s="549"/>
      <c r="H467" s="549"/>
      <c r="I467" s="550"/>
      <c r="J467" s="549"/>
      <c r="K467" s="549"/>
      <c r="L467" s="549"/>
      <c r="M467" s="549"/>
      <c r="N467" s="551"/>
      <c r="O467" s="549"/>
      <c r="P467" s="549"/>
      <c r="Q467" s="549"/>
      <c r="R467" s="549"/>
      <c r="S467" s="549"/>
      <c r="T467" s="549"/>
      <c r="U467" s="549"/>
      <c r="V467" s="549"/>
      <c r="W467" s="549"/>
      <c r="X467" s="549"/>
      <c r="Y467" s="549"/>
      <c r="Z467" s="549"/>
    </row>
    <row r="468" spans="1:26" ht="15">
      <c r="A468" s="549"/>
      <c r="B468" s="554"/>
      <c r="C468" s="549"/>
      <c r="D468" s="549"/>
      <c r="E468" s="570"/>
      <c r="F468" s="549"/>
      <c r="G468" s="549"/>
      <c r="H468" s="549"/>
      <c r="I468" s="550"/>
      <c r="J468" s="549"/>
      <c r="K468" s="549"/>
      <c r="L468" s="549"/>
      <c r="M468" s="549"/>
      <c r="N468" s="551"/>
      <c r="O468" s="549"/>
      <c r="P468" s="549"/>
      <c r="Q468" s="549"/>
      <c r="R468" s="549"/>
      <c r="S468" s="549"/>
      <c r="T468" s="549"/>
      <c r="U468" s="549"/>
      <c r="V468" s="549"/>
      <c r="W468" s="549"/>
      <c r="X468" s="549"/>
      <c r="Y468" s="549"/>
      <c r="Z468" s="549"/>
    </row>
    <row r="469" spans="1:26" ht="15">
      <c r="A469" s="549"/>
      <c r="B469" s="554"/>
      <c r="C469" s="549"/>
      <c r="D469" s="549"/>
      <c r="E469" s="570"/>
      <c r="F469" s="549"/>
      <c r="G469" s="549"/>
      <c r="H469" s="549"/>
      <c r="I469" s="550"/>
      <c r="J469" s="549"/>
      <c r="K469" s="549"/>
      <c r="L469" s="549"/>
      <c r="M469" s="549"/>
      <c r="N469" s="551"/>
      <c r="O469" s="549"/>
      <c r="P469" s="549"/>
      <c r="Q469" s="549"/>
      <c r="R469" s="549"/>
      <c r="S469" s="549"/>
      <c r="T469" s="549"/>
      <c r="U469" s="549"/>
      <c r="V469" s="549"/>
      <c r="W469" s="549"/>
      <c r="X469" s="549"/>
      <c r="Y469" s="549"/>
      <c r="Z469" s="549"/>
    </row>
    <row r="470" spans="1:26" ht="15">
      <c r="A470" s="549"/>
      <c r="B470" s="554"/>
      <c r="C470" s="549"/>
      <c r="D470" s="549"/>
      <c r="E470" s="570"/>
      <c r="F470" s="549"/>
      <c r="G470" s="549"/>
      <c r="H470" s="549"/>
      <c r="I470" s="550"/>
      <c r="J470" s="549"/>
      <c r="K470" s="549"/>
      <c r="L470" s="549"/>
      <c r="M470" s="549"/>
      <c r="N470" s="551"/>
      <c r="O470" s="549"/>
      <c r="P470" s="549"/>
      <c r="Q470" s="549"/>
      <c r="R470" s="549"/>
      <c r="S470" s="549"/>
      <c r="T470" s="549"/>
      <c r="U470" s="549"/>
      <c r="V470" s="549"/>
      <c r="W470" s="549"/>
      <c r="X470" s="549"/>
      <c r="Y470" s="549"/>
      <c r="Z470" s="549"/>
    </row>
    <row r="471" spans="1:26" ht="15">
      <c r="A471" s="549"/>
      <c r="B471" s="554"/>
      <c r="C471" s="549"/>
      <c r="D471" s="549"/>
      <c r="E471" s="570"/>
      <c r="F471" s="549"/>
      <c r="G471" s="549"/>
      <c r="H471" s="549"/>
      <c r="I471" s="550"/>
      <c r="J471" s="549"/>
      <c r="K471" s="549"/>
      <c r="L471" s="549"/>
      <c r="M471" s="549"/>
      <c r="N471" s="551"/>
      <c r="O471" s="549"/>
      <c r="P471" s="549"/>
      <c r="Q471" s="549"/>
      <c r="R471" s="549"/>
      <c r="S471" s="549"/>
      <c r="T471" s="549"/>
      <c r="U471" s="549"/>
      <c r="V471" s="549"/>
      <c r="W471" s="549"/>
      <c r="X471" s="549"/>
      <c r="Y471" s="549"/>
      <c r="Z471" s="549"/>
    </row>
    <row r="472" spans="1:26" ht="15">
      <c r="A472" s="549"/>
      <c r="B472" s="554"/>
      <c r="C472" s="549"/>
      <c r="D472" s="549"/>
      <c r="E472" s="570"/>
      <c r="F472" s="549"/>
      <c r="G472" s="549"/>
      <c r="H472" s="549"/>
      <c r="I472" s="550"/>
      <c r="J472" s="549"/>
      <c r="K472" s="549"/>
      <c r="L472" s="549"/>
      <c r="M472" s="549"/>
      <c r="N472" s="551"/>
      <c r="O472" s="549"/>
      <c r="P472" s="549"/>
      <c r="Q472" s="549"/>
      <c r="R472" s="549"/>
      <c r="S472" s="549"/>
      <c r="T472" s="549"/>
      <c r="U472" s="549"/>
      <c r="V472" s="549"/>
      <c r="W472" s="549"/>
      <c r="X472" s="549"/>
      <c r="Y472" s="549"/>
      <c r="Z472" s="549"/>
    </row>
    <row r="473" spans="1:26" ht="15">
      <c r="A473" s="549"/>
      <c r="B473" s="554"/>
      <c r="C473" s="549"/>
      <c r="D473" s="549"/>
      <c r="E473" s="570"/>
      <c r="F473" s="549"/>
      <c r="G473" s="549"/>
      <c r="H473" s="549"/>
      <c r="I473" s="550"/>
      <c r="J473" s="549"/>
      <c r="K473" s="549"/>
      <c r="L473" s="549"/>
      <c r="M473" s="549"/>
      <c r="N473" s="551"/>
      <c r="O473" s="549"/>
      <c r="P473" s="549"/>
      <c r="Q473" s="549"/>
      <c r="R473" s="549"/>
      <c r="S473" s="549"/>
      <c r="T473" s="549"/>
      <c r="U473" s="549"/>
      <c r="V473" s="549"/>
      <c r="W473" s="549"/>
      <c r="X473" s="549"/>
      <c r="Y473" s="549"/>
      <c r="Z473" s="549"/>
    </row>
    <row r="474" spans="1:26" ht="15">
      <c r="A474" s="549"/>
      <c r="B474" s="554"/>
      <c r="C474" s="549"/>
      <c r="D474" s="549"/>
      <c r="E474" s="570"/>
      <c r="F474" s="549"/>
      <c r="G474" s="549"/>
      <c r="H474" s="549"/>
      <c r="I474" s="550"/>
      <c r="J474" s="549"/>
      <c r="K474" s="549"/>
      <c r="L474" s="549"/>
      <c r="M474" s="549"/>
      <c r="N474" s="551"/>
      <c r="O474" s="549"/>
      <c r="P474" s="549"/>
      <c r="Q474" s="549"/>
      <c r="R474" s="549"/>
      <c r="S474" s="549"/>
      <c r="T474" s="549"/>
      <c r="U474" s="549"/>
      <c r="V474" s="549"/>
      <c r="W474" s="549"/>
      <c r="X474" s="549"/>
      <c r="Y474" s="549"/>
      <c r="Z474" s="549"/>
    </row>
    <row r="475" spans="1:26" ht="15">
      <c r="A475" s="549"/>
      <c r="B475" s="554"/>
      <c r="C475" s="549"/>
      <c r="D475" s="549"/>
      <c r="E475" s="570"/>
      <c r="F475" s="549"/>
      <c r="G475" s="549"/>
      <c r="H475" s="549"/>
      <c r="I475" s="550"/>
      <c r="J475" s="549"/>
      <c r="K475" s="549"/>
      <c r="L475" s="549"/>
      <c r="M475" s="549"/>
      <c r="N475" s="551"/>
      <c r="O475" s="549"/>
      <c r="P475" s="549"/>
      <c r="Q475" s="549"/>
      <c r="R475" s="549"/>
      <c r="S475" s="549"/>
      <c r="T475" s="549"/>
      <c r="U475" s="549"/>
      <c r="V475" s="549"/>
      <c r="W475" s="549"/>
      <c r="X475" s="549"/>
      <c r="Y475" s="549"/>
      <c r="Z475" s="549"/>
    </row>
    <row r="476" spans="1:26" ht="15">
      <c r="A476" s="549"/>
      <c r="B476" s="554"/>
      <c r="C476" s="549"/>
      <c r="D476" s="549"/>
      <c r="E476" s="570"/>
      <c r="F476" s="549"/>
      <c r="G476" s="549"/>
      <c r="H476" s="549"/>
      <c r="I476" s="550"/>
      <c r="J476" s="549"/>
      <c r="K476" s="549"/>
      <c r="L476" s="549"/>
      <c r="M476" s="549"/>
      <c r="N476" s="551"/>
      <c r="O476" s="549"/>
      <c r="P476" s="549"/>
      <c r="Q476" s="549"/>
      <c r="R476" s="549"/>
      <c r="S476" s="549"/>
      <c r="T476" s="549"/>
      <c r="U476" s="549"/>
      <c r="V476" s="549"/>
      <c r="W476" s="549"/>
      <c r="X476" s="549"/>
      <c r="Y476" s="549"/>
      <c r="Z476" s="549"/>
    </row>
    <row r="477" spans="1:26" ht="15">
      <c r="A477" s="549"/>
      <c r="B477" s="554"/>
      <c r="C477" s="549"/>
      <c r="D477" s="549"/>
      <c r="E477" s="570"/>
      <c r="F477" s="549"/>
      <c r="G477" s="549"/>
      <c r="H477" s="549"/>
      <c r="I477" s="550"/>
      <c r="J477" s="549"/>
      <c r="K477" s="549"/>
      <c r="L477" s="549"/>
      <c r="M477" s="549"/>
      <c r="N477" s="551"/>
      <c r="O477" s="549"/>
      <c r="P477" s="549"/>
      <c r="Q477" s="549"/>
      <c r="R477" s="549"/>
      <c r="S477" s="549"/>
      <c r="T477" s="549"/>
      <c r="U477" s="549"/>
      <c r="V477" s="549"/>
      <c r="W477" s="549"/>
      <c r="X477" s="549"/>
      <c r="Y477" s="549"/>
      <c r="Z477" s="549"/>
    </row>
    <row r="478" spans="1:26" ht="15">
      <c r="A478" s="549"/>
      <c r="B478" s="554"/>
      <c r="C478" s="549"/>
      <c r="D478" s="549"/>
      <c r="E478" s="570"/>
      <c r="F478" s="549"/>
      <c r="G478" s="549"/>
      <c r="H478" s="549"/>
      <c r="I478" s="550"/>
      <c r="J478" s="549"/>
      <c r="K478" s="549"/>
      <c r="L478" s="549"/>
      <c r="M478" s="549"/>
      <c r="N478" s="551"/>
      <c r="O478" s="549"/>
      <c r="P478" s="549"/>
      <c r="Q478" s="549"/>
      <c r="R478" s="549"/>
      <c r="S478" s="549"/>
      <c r="T478" s="549"/>
      <c r="U478" s="549"/>
      <c r="V478" s="549"/>
      <c r="W478" s="549"/>
      <c r="X478" s="549"/>
      <c r="Y478" s="549"/>
      <c r="Z478" s="549"/>
    </row>
    <row r="479" spans="1:26" ht="15">
      <c r="A479" s="549"/>
      <c r="B479" s="554"/>
      <c r="C479" s="549"/>
      <c r="D479" s="549"/>
      <c r="E479" s="570"/>
      <c r="F479" s="549"/>
      <c r="G479" s="549"/>
      <c r="H479" s="549"/>
      <c r="I479" s="550"/>
      <c r="J479" s="549"/>
      <c r="K479" s="549"/>
      <c r="L479" s="549"/>
      <c r="M479" s="549"/>
      <c r="N479" s="551"/>
      <c r="O479" s="549"/>
      <c r="P479" s="549"/>
      <c r="Q479" s="549"/>
      <c r="R479" s="549"/>
      <c r="S479" s="549"/>
      <c r="T479" s="549"/>
      <c r="U479" s="549"/>
      <c r="V479" s="549"/>
      <c r="W479" s="549"/>
      <c r="X479" s="549"/>
      <c r="Y479" s="549"/>
      <c r="Z479" s="549"/>
    </row>
    <row r="480" spans="1:26" ht="15">
      <c r="A480" s="549"/>
      <c r="B480" s="554"/>
      <c r="C480" s="549"/>
      <c r="D480" s="549"/>
      <c r="E480" s="570"/>
      <c r="F480" s="549"/>
      <c r="G480" s="549"/>
      <c r="H480" s="549"/>
      <c r="I480" s="550"/>
      <c r="J480" s="549"/>
      <c r="K480" s="549"/>
      <c r="L480" s="549"/>
      <c r="M480" s="549"/>
      <c r="N480" s="551"/>
      <c r="O480" s="549"/>
      <c r="P480" s="549"/>
      <c r="Q480" s="549"/>
      <c r="R480" s="549"/>
      <c r="S480" s="549"/>
      <c r="T480" s="549"/>
      <c r="U480" s="549"/>
      <c r="V480" s="549"/>
      <c r="W480" s="549"/>
      <c r="X480" s="549"/>
      <c r="Y480" s="549"/>
      <c r="Z480" s="549"/>
    </row>
    <row r="481" spans="1:26" ht="15">
      <c r="A481" s="549"/>
      <c r="B481" s="554"/>
      <c r="C481" s="549"/>
      <c r="D481" s="549"/>
      <c r="E481" s="570"/>
      <c r="F481" s="549"/>
      <c r="G481" s="549"/>
      <c r="H481" s="549"/>
      <c r="I481" s="550"/>
      <c r="J481" s="549"/>
      <c r="K481" s="549"/>
      <c r="L481" s="549"/>
      <c r="M481" s="549"/>
      <c r="N481" s="551"/>
      <c r="O481" s="549"/>
      <c r="P481" s="549"/>
      <c r="Q481" s="549"/>
      <c r="R481" s="549"/>
      <c r="S481" s="549"/>
      <c r="T481" s="549"/>
      <c r="U481" s="549"/>
      <c r="V481" s="549"/>
      <c r="W481" s="549"/>
      <c r="X481" s="549"/>
      <c r="Y481" s="549"/>
      <c r="Z481" s="549"/>
    </row>
    <row r="482" spans="1:26" ht="15">
      <c r="A482" s="549"/>
      <c r="B482" s="554"/>
      <c r="C482" s="549"/>
      <c r="D482" s="549"/>
      <c r="E482" s="570"/>
      <c r="F482" s="549"/>
      <c r="G482" s="549"/>
      <c r="H482" s="549"/>
      <c r="I482" s="550"/>
      <c r="J482" s="549"/>
      <c r="K482" s="549"/>
      <c r="L482" s="549"/>
      <c r="M482" s="549"/>
      <c r="N482" s="551"/>
      <c r="O482" s="549"/>
      <c r="P482" s="549"/>
      <c r="Q482" s="549"/>
      <c r="R482" s="549"/>
      <c r="S482" s="549"/>
      <c r="T482" s="549"/>
      <c r="U482" s="549"/>
      <c r="V482" s="549"/>
      <c r="W482" s="549"/>
      <c r="X482" s="549"/>
      <c r="Y482" s="549"/>
      <c r="Z482" s="549"/>
    </row>
    <row r="483" spans="1:26" ht="15">
      <c r="A483" s="549"/>
      <c r="B483" s="554"/>
      <c r="C483" s="549"/>
      <c r="D483" s="549"/>
      <c r="E483" s="570"/>
      <c r="F483" s="549"/>
      <c r="G483" s="549"/>
      <c r="H483" s="549"/>
      <c r="I483" s="550"/>
      <c r="J483" s="549"/>
      <c r="K483" s="549"/>
      <c r="L483" s="549"/>
      <c r="M483" s="549"/>
      <c r="N483" s="551"/>
      <c r="O483" s="549"/>
      <c r="P483" s="549"/>
      <c r="Q483" s="549"/>
      <c r="R483" s="549"/>
      <c r="S483" s="549"/>
      <c r="T483" s="549"/>
      <c r="U483" s="549"/>
      <c r="V483" s="549"/>
      <c r="W483" s="549"/>
      <c r="X483" s="549"/>
      <c r="Y483" s="549"/>
      <c r="Z483" s="549"/>
    </row>
    <row r="484" spans="1:26" ht="15">
      <c r="A484" s="549"/>
      <c r="B484" s="554"/>
      <c r="C484" s="549"/>
      <c r="D484" s="549"/>
      <c r="E484" s="570"/>
      <c r="F484" s="549"/>
      <c r="G484" s="549"/>
      <c r="H484" s="549"/>
      <c r="I484" s="550"/>
      <c r="J484" s="549"/>
      <c r="K484" s="549"/>
      <c r="L484" s="549"/>
      <c r="M484" s="549"/>
      <c r="N484" s="551"/>
      <c r="O484" s="549"/>
      <c r="P484" s="549"/>
      <c r="Q484" s="549"/>
      <c r="R484" s="549"/>
      <c r="S484" s="549"/>
      <c r="T484" s="549"/>
      <c r="U484" s="549"/>
      <c r="V484" s="549"/>
      <c r="W484" s="549"/>
      <c r="X484" s="549"/>
      <c r="Y484" s="549"/>
      <c r="Z484" s="549"/>
    </row>
    <row r="485" spans="1:26" ht="15">
      <c r="A485" s="549"/>
      <c r="B485" s="554"/>
      <c r="C485" s="549"/>
      <c r="D485" s="549"/>
      <c r="E485" s="570"/>
      <c r="F485" s="549"/>
      <c r="G485" s="549"/>
      <c r="H485" s="549"/>
      <c r="I485" s="550"/>
      <c r="J485" s="549"/>
      <c r="K485" s="549"/>
      <c r="L485" s="549"/>
      <c r="M485" s="549"/>
      <c r="N485" s="551"/>
      <c r="O485" s="549"/>
      <c r="P485" s="549"/>
      <c r="Q485" s="549"/>
      <c r="R485" s="549"/>
      <c r="S485" s="549"/>
      <c r="T485" s="549"/>
      <c r="U485" s="549"/>
      <c r="V485" s="549"/>
      <c r="W485" s="549"/>
      <c r="X485" s="549"/>
      <c r="Y485" s="549"/>
      <c r="Z485" s="549"/>
    </row>
    <row r="486" spans="1:26" ht="15">
      <c r="A486" s="549"/>
      <c r="B486" s="554"/>
      <c r="C486" s="549"/>
      <c r="D486" s="549"/>
      <c r="E486" s="570"/>
      <c r="F486" s="549"/>
      <c r="G486" s="549"/>
      <c r="H486" s="549"/>
      <c r="I486" s="550"/>
      <c r="J486" s="549"/>
      <c r="K486" s="549"/>
      <c r="L486" s="549"/>
      <c r="M486" s="549"/>
      <c r="N486" s="551"/>
      <c r="O486" s="549"/>
      <c r="P486" s="549"/>
      <c r="Q486" s="549"/>
      <c r="R486" s="549"/>
      <c r="S486" s="549"/>
      <c r="T486" s="549"/>
      <c r="U486" s="549"/>
      <c r="V486" s="549"/>
      <c r="W486" s="549"/>
      <c r="X486" s="549"/>
      <c r="Y486" s="549"/>
      <c r="Z486" s="549"/>
    </row>
    <row r="487" spans="1:26" ht="15">
      <c r="A487" s="549"/>
      <c r="B487" s="554"/>
      <c r="C487" s="549"/>
      <c r="D487" s="549"/>
      <c r="E487" s="570"/>
      <c r="F487" s="549"/>
      <c r="G487" s="549"/>
      <c r="H487" s="549"/>
      <c r="I487" s="550"/>
      <c r="J487" s="549"/>
      <c r="K487" s="549"/>
      <c r="L487" s="549"/>
      <c r="M487" s="549"/>
      <c r="N487" s="551"/>
      <c r="O487" s="549"/>
      <c r="P487" s="549"/>
      <c r="Q487" s="549"/>
      <c r="R487" s="549"/>
      <c r="S487" s="549"/>
      <c r="T487" s="549"/>
      <c r="U487" s="549"/>
      <c r="V487" s="549"/>
      <c r="W487" s="549"/>
      <c r="X487" s="549"/>
      <c r="Y487" s="549"/>
      <c r="Z487" s="549"/>
    </row>
    <row r="488" spans="1:26" ht="15">
      <c r="A488" s="549"/>
      <c r="B488" s="554"/>
      <c r="C488" s="549"/>
      <c r="D488" s="549"/>
      <c r="E488" s="570"/>
      <c r="F488" s="549"/>
      <c r="G488" s="549"/>
      <c r="H488" s="549"/>
      <c r="I488" s="550"/>
      <c r="J488" s="549"/>
      <c r="K488" s="549"/>
      <c r="L488" s="549"/>
      <c r="M488" s="549"/>
      <c r="N488" s="551"/>
      <c r="O488" s="549"/>
      <c r="P488" s="549"/>
      <c r="Q488" s="549"/>
      <c r="R488" s="549"/>
      <c r="S488" s="549"/>
      <c r="T488" s="549"/>
      <c r="U488" s="549"/>
      <c r="V488" s="549"/>
      <c r="W488" s="549"/>
      <c r="X488" s="549"/>
      <c r="Y488" s="549"/>
      <c r="Z488" s="549"/>
    </row>
    <row r="489" spans="1:26" ht="15">
      <c r="A489" s="549"/>
      <c r="B489" s="554"/>
      <c r="C489" s="549"/>
      <c r="D489" s="549"/>
      <c r="E489" s="570"/>
      <c r="F489" s="549"/>
      <c r="G489" s="549"/>
      <c r="H489" s="549"/>
      <c r="I489" s="550"/>
      <c r="J489" s="549"/>
      <c r="K489" s="549"/>
      <c r="L489" s="549"/>
      <c r="M489" s="549"/>
      <c r="N489" s="551"/>
      <c r="O489" s="549"/>
      <c r="P489" s="549"/>
      <c r="Q489" s="549"/>
      <c r="R489" s="549"/>
      <c r="S489" s="549"/>
      <c r="T489" s="549"/>
      <c r="U489" s="549"/>
      <c r="V489" s="549"/>
      <c r="W489" s="549"/>
      <c r="X489" s="549"/>
      <c r="Y489" s="549"/>
      <c r="Z489" s="549"/>
    </row>
    <row r="490" spans="1:26" ht="15">
      <c r="A490" s="549"/>
      <c r="B490" s="554"/>
      <c r="C490" s="549"/>
      <c r="D490" s="549"/>
      <c r="E490" s="570"/>
      <c r="F490" s="549"/>
      <c r="G490" s="549"/>
      <c r="H490" s="549"/>
      <c r="I490" s="550"/>
      <c r="J490" s="549"/>
      <c r="K490" s="549"/>
      <c r="L490" s="549"/>
      <c r="M490" s="549"/>
      <c r="N490" s="551"/>
      <c r="O490" s="549"/>
      <c r="P490" s="549"/>
      <c r="Q490" s="549"/>
      <c r="R490" s="549"/>
      <c r="S490" s="549"/>
      <c r="T490" s="549"/>
      <c r="U490" s="549"/>
      <c r="V490" s="549"/>
      <c r="W490" s="549"/>
      <c r="X490" s="549"/>
      <c r="Y490" s="549"/>
      <c r="Z490" s="549"/>
    </row>
    <row r="491" spans="1:26" ht="15">
      <c r="A491" s="549"/>
      <c r="B491" s="554"/>
      <c r="C491" s="549"/>
      <c r="D491" s="549"/>
      <c r="E491" s="570"/>
      <c r="F491" s="549"/>
      <c r="G491" s="549"/>
      <c r="H491" s="549"/>
      <c r="I491" s="550"/>
      <c r="J491" s="549"/>
      <c r="K491" s="549"/>
      <c r="L491" s="549"/>
      <c r="M491" s="549"/>
      <c r="N491" s="551"/>
      <c r="O491" s="549"/>
      <c r="P491" s="549"/>
      <c r="Q491" s="549"/>
      <c r="R491" s="549"/>
      <c r="S491" s="549"/>
      <c r="T491" s="549"/>
      <c r="U491" s="549"/>
      <c r="V491" s="549"/>
      <c r="W491" s="549"/>
      <c r="X491" s="549"/>
      <c r="Y491" s="549"/>
      <c r="Z491" s="549"/>
    </row>
    <row r="492" spans="1:26" ht="15">
      <c r="A492" s="549"/>
      <c r="B492" s="554"/>
      <c r="C492" s="549"/>
      <c r="D492" s="549"/>
      <c r="E492" s="570"/>
      <c r="F492" s="549"/>
      <c r="G492" s="549"/>
      <c r="H492" s="549"/>
      <c r="I492" s="550"/>
      <c r="J492" s="549"/>
      <c r="K492" s="549"/>
      <c r="L492" s="549"/>
      <c r="M492" s="549"/>
      <c r="N492" s="551"/>
      <c r="O492" s="549"/>
      <c r="P492" s="549"/>
      <c r="Q492" s="549"/>
      <c r="R492" s="549"/>
      <c r="S492" s="549"/>
      <c r="T492" s="549"/>
      <c r="U492" s="549"/>
      <c r="V492" s="549"/>
      <c r="W492" s="549"/>
      <c r="X492" s="549"/>
      <c r="Y492" s="549"/>
      <c r="Z492" s="549"/>
    </row>
    <row r="493" spans="1:26" ht="15">
      <c r="A493" s="549"/>
      <c r="B493" s="554"/>
      <c r="C493" s="549"/>
      <c r="D493" s="549"/>
      <c r="E493" s="570"/>
      <c r="F493" s="549"/>
      <c r="G493" s="549"/>
      <c r="H493" s="549"/>
      <c r="I493" s="550"/>
      <c r="J493" s="549"/>
      <c r="K493" s="549"/>
      <c r="L493" s="549"/>
      <c r="M493" s="549"/>
      <c r="N493" s="551"/>
      <c r="O493" s="549"/>
      <c r="P493" s="549"/>
      <c r="Q493" s="549"/>
      <c r="R493" s="549"/>
      <c r="S493" s="549"/>
      <c r="T493" s="549"/>
      <c r="U493" s="549"/>
      <c r="V493" s="549"/>
      <c r="W493" s="549"/>
      <c r="X493" s="549"/>
      <c r="Y493" s="549"/>
      <c r="Z493" s="549"/>
    </row>
    <row r="494" spans="1:26" ht="15">
      <c r="A494" s="549"/>
      <c r="B494" s="554"/>
      <c r="C494" s="549"/>
      <c r="D494" s="549"/>
      <c r="E494" s="570"/>
      <c r="F494" s="549"/>
      <c r="G494" s="549"/>
      <c r="H494" s="549"/>
      <c r="I494" s="550"/>
      <c r="J494" s="549"/>
      <c r="K494" s="549"/>
      <c r="L494" s="549"/>
      <c r="M494" s="549"/>
      <c r="N494" s="551"/>
      <c r="O494" s="549"/>
      <c r="P494" s="549"/>
      <c r="Q494" s="549"/>
      <c r="R494" s="549"/>
      <c r="S494" s="549"/>
      <c r="T494" s="549"/>
      <c r="U494" s="549"/>
      <c r="V494" s="549"/>
      <c r="W494" s="549"/>
      <c r="X494" s="549"/>
      <c r="Y494" s="549"/>
      <c r="Z494" s="549"/>
    </row>
    <row r="495" spans="1:26" ht="15">
      <c r="A495" s="549"/>
      <c r="B495" s="554"/>
      <c r="C495" s="549"/>
      <c r="D495" s="549"/>
      <c r="E495" s="570"/>
      <c r="F495" s="549"/>
      <c r="G495" s="549"/>
      <c r="H495" s="549"/>
      <c r="I495" s="550"/>
      <c r="J495" s="549"/>
      <c r="K495" s="549"/>
      <c r="L495" s="549"/>
      <c r="M495" s="549"/>
      <c r="N495" s="551"/>
      <c r="O495" s="549"/>
      <c r="P495" s="549"/>
      <c r="Q495" s="549"/>
      <c r="R495" s="549"/>
      <c r="S495" s="549"/>
      <c r="T495" s="549"/>
      <c r="U495" s="549"/>
      <c r="V495" s="549"/>
      <c r="W495" s="549"/>
      <c r="X495" s="549"/>
      <c r="Y495" s="549"/>
      <c r="Z495" s="549"/>
    </row>
    <row r="496" spans="1:26" ht="15">
      <c r="A496" s="549"/>
      <c r="B496" s="554"/>
      <c r="C496" s="549"/>
      <c r="D496" s="549"/>
      <c r="E496" s="570"/>
      <c r="F496" s="549"/>
      <c r="G496" s="549"/>
      <c r="H496" s="549"/>
      <c r="I496" s="550"/>
      <c r="J496" s="549"/>
      <c r="K496" s="549"/>
      <c r="L496" s="549"/>
      <c r="M496" s="549"/>
      <c r="N496" s="551"/>
      <c r="O496" s="549"/>
      <c r="P496" s="549"/>
      <c r="Q496" s="549"/>
      <c r="R496" s="549"/>
      <c r="S496" s="549"/>
      <c r="T496" s="549"/>
      <c r="U496" s="549"/>
      <c r="V496" s="549"/>
      <c r="W496" s="549"/>
      <c r="X496" s="549"/>
      <c r="Y496" s="549"/>
      <c r="Z496" s="549"/>
    </row>
    <row r="497" spans="1:26" ht="15">
      <c r="A497" s="549"/>
      <c r="B497" s="554"/>
      <c r="C497" s="549"/>
      <c r="D497" s="549"/>
      <c r="E497" s="570"/>
      <c r="F497" s="549"/>
      <c r="G497" s="549"/>
      <c r="H497" s="549"/>
      <c r="I497" s="550"/>
      <c r="J497" s="549"/>
      <c r="K497" s="549"/>
      <c r="L497" s="549"/>
      <c r="M497" s="549"/>
      <c r="N497" s="551"/>
      <c r="O497" s="549"/>
      <c r="P497" s="549"/>
      <c r="Q497" s="549"/>
      <c r="R497" s="549"/>
      <c r="S497" s="549"/>
      <c r="T497" s="549"/>
      <c r="U497" s="549"/>
      <c r="V497" s="549"/>
      <c r="W497" s="549"/>
      <c r="X497" s="549"/>
      <c r="Y497" s="549"/>
      <c r="Z497" s="549"/>
    </row>
    <row r="498" spans="1:26" ht="15">
      <c r="A498" s="549"/>
      <c r="B498" s="554"/>
      <c r="C498" s="549"/>
      <c r="D498" s="549"/>
      <c r="E498" s="570"/>
      <c r="F498" s="549"/>
      <c r="G498" s="549"/>
      <c r="H498" s="549"/>
      <c r="I498" s="550"/>
      <c r="J498" s="549"/>
      <c r="K498" s="549"/>
      <c r="L498" s="549"/>
      <c r="M498" s="549"/>
      <c r="N498" s="551"/>
      <c r="O498" s="549"/>
      <c r="P498" s="549"/>
      <c r="Q498" s="549"/>
      <c r="R498" s="549"/>
      <c r="S498" s="549"/>
      <c r="T498" s="549"/>
      <c r="U498" s="549"/>
      <c r="V498" s="549"/>
      <c r="W498" s="549"/>
      <c r="X498" s="549"/>
      <c r="Y498" s="549"/>
      <c r="Z498" s="549"/>
    </row>
    <row r="499" spans="1:26" ht="15">
      <c r="A499" s="549"/>
      <c r="B499" s="554"/>
      <c r="C499" s="549"/>
      <c r="D499" s="549"/>
      <c r="E499" s="570"/>
      <c r="F499" s="549"/>
      <c r="G499" s="549"/>
      <c r="H499" s="549"/>
      <c r="I499" s="550"/>
      <c r="J499" s="549"/>
      <c r="K499" s="549"/>
      <c r="L499" s="549"/>
      <c r="M499" s="549"/>
      <c r="N499" s="551"/>
      <c r="O499" s="549"/>
      <c r="P499" s="549"/>
      <c r="Q499" s="549"/>
      <c r="R499" s="549"/>
      <c r="S499" s="549"/>
      <c r="T499" s="549"/>
      <c r="U499" s="549"/>
      <c r="V499" s="549"/>
      <c r="W499" s="549"/>
      <c r="X499" s="549"/>
      <c r="Y499" s="549"/>
      <c r="Z499" s="549"/>
    </row>
    <row r="500" spans="1:26" ht="15">
      <c r="A500" s="549"/>
      <c r="B500" s="554"/>
      <c r="C500" s="549"/>
      <c r="D500" s="549"/>
      <c r="E500" s="570"/>
      <c r="F500" s="549"/>
      <c r="G500" s="549"/>
      <c r="H500" s="549"/>
      <c r="I500" s="550"/>
      <c r="J500" s="549"/>
      <c r="K500" s="549"/>
      <c r="L500" s="549"/>
      <c r="M500" s="549"/>
      <c r="N500" s="551"/>
      <c r="O500" s="549"/>
      <c r="P500" s="549"/>
      <c r="Q500" s="549"/>
      <c r="R500" s="549"/>
      <c r="S500" s="549"/>
      <c r="T500" s="549"/>
      <c r="U500" s="549"/>
      <c r="V500" s="549"/>
      <c r="W500" s="549"/>
      <c r="X500" s="549"/>
      <c r="Y500" s="549"/>
      <c r="Z500" s="549"/>
    </row>
    <row r="501" spans="1:26" ht="15">
      <c r="A501" s="549"/>
      <c r="B501" s="554"/>
      <c r="C501" s="549"/>
      <c r="D501" s="549"/>
      <c r="E501" s="570"/>
      <c r="F501" s="549"/>
      <c r="G501" s="549"/>
      <c r="H501" s="549"/>
      <c r="I501" s="550"/>
      <c r="J501" s="549"/>
      <c r="K501" s="549"/>
      <c r="L501" s="549"/>
      <c r="M501" s="549"/>
      <c r="N501" s="551"/>
      <c r="O501" s="549"/>
      <c r="P501" s="549"/>
      <c r="Q501" s="549"/>
      <c r="R501" s="549"/>
      <c r="S501" s="549"/>
      <c r="T501" s="549"/>
      <c r="U501" s="549"/>
      <c r="V501" s="549"/>
      <c r="W501" s="549"/>
      <c r="X501" s="549"/>
      <c r="Y501" s="549"/>
      <c r="Z501" s="549"/>
    </row>
    <row r="502" spans="1:26" ht="15">
      <c r="A502" s="549"/>
      <c r="B502" s="554"/>
      <c r="C502" s="549"/>
      <c r="D502" s="549"/>
      <c r="E502" s="570"/>
      <c r="F502" s="549"/>
      <c r="G502" s="549"/>
      <c r="H502" s="549"/>
      <c r="I502" s="550"/>
      <c r="J502" s="549"/>
      <c r="K502" s="549"/>
      <c r="L502" s="549"/>
      <c r="M502" s="549"/>
      <c r="N502" s="551"/>
      <c r="O502" s="549"/>
      <c r="P502" s="549"/>
      <c r="Q502" s="549"/>
      <c r="R502" s="549"/>
      <c r="S502" s="549"/>
      <c r="T502" s="549"/>
      <c r="U502" s="549"/>
      <c r="V502" s="549"/>
      <c r="W502" s="549"/>
      <c r="X502" s="549"/>
      <c r="Y502" s="549"/>
      <c r="Z502" s="549"/>
    </row>
    <row r="503" spans="1:26" ht="15">
      <c r="A503" s="549"/>
      <c r="B503" s="554"/>
      <c r="C503" s="549"/>
      <c r="D503" s="549"/>
      <c r="E503" s="570"/>
      <c r="F503" s="549"/>
      <c r="G503" s="549"/>
      <c r="H503" s="549"/>
      <c r="I503" s="550"/>
      <c r="J503" s="549"/>
      <c r="K503" s="549"/>
      <c r="L503" s="549"/>
      <c r="M503" s="549"/>
      <c r="N503" s="551"/>
      <c r="O503" s="549"/>
      <c r="P503" s="549"/>
      <c r="Q503" s="549"/>
      <c r="R503" s="549"/>
      <c r="S503" s="549"/>
      <c r="T503" s="549"/>
      <c r="U503" s="549"/>
      <c r="V503" s="549"/>
      <c r="W503" s="549"/>
      <c r="X503" s="549"/>
      <c r="Y503" s="549"/>
      <c r="Z503" s="549"/>
    </row>
    <row r="504" spans="1:26" ht="15">
      <c r="A504" s="549"/>
      <c r="B504" s="554"/>
      <c r="C504" s="549"/>
      <c r="D504" s="549"/>
      <c r="E504" s="570"/>
      <c r="F504" s="549"/>
      <c r="G504" s="549"/>
      <c r="H504" s="549"/>
      <c r="I504" s="550"/>
      <c r="J504" s="549"/>
      <c r="K504" s="549"/>
      <c r="L504" s="549"/>
      <c r="M504" s="549"/>
      <c r="N504" s="551"/>
      <c r="O504" s="549"/>
      <c r="P504" s="549"/>
      <c r="Q504" s="549"/>
      <c r="R504" s="549"/>
      <c r="S504" s="549"/>
      <c r="T504" s="549"/>
      <c r="U504" s="549"/>
      <c r="V504" s="549"/>
      <c r="W504" s="549"/>
      <c r="X504" s="549"/>
      <c r="Y504" s="549"/>
      <c r="Z504" s="549"/>
    </row>
    <row r="505" spans="1:26" ht="15">
      <c r="A505" s="549"/>
      <c r="B505" s="554"/>
      <c r="C505" s="549"/>
      <c r="D505" s="549"/>
      <c r="E505" s="570"/>
      <c r="F505" s="549"/>
      <c r="G505" s="549"/>
      <c r="H505" s="549"/>
      <c r="I505" s="550"/>
      <c r="J505" s="549"/>
      <c r="K505" s="549"/>
      <c r="L505" s="549"/>
      <c r="M505" s="549"/>
      <c r="N505" s="551"/>
      <c r="O505" s="549"/>
      <c r="P505" s="549"/>
      <c r="Q505" s="549"/>
      <c r="R505" s="549"/>
      <c r="S505" s="549"/>
      <c r="T505" s="549"/>
      <c r="U505" s="549"/>
      <c r="V505" s="549"/>
      <c r="W505" s="549"/>
      <c r="X505" s="549"/>
      <c r="Y505" s="549"/>
      <c r="Z505" s="549"/>
    </row>
    <row r="506" spans="1:26" ht="15">
      <c r="A506" s="549"/>
      <c r="B506" s="554"/>
      <c r="C506" s="549"/>
      <c r="D506" s="549"/>
      <c r="E506" s="570"/>
      <c r="F506" s="549"/>
      <c r="G506" s="549"/>
      <c r="H506" s="549"/>
      <c r="I506" s="550"/>
      <c r="J506" s="549"/>
      <c r="K506" s="549"/>
      <c r="L506" s="549"/>
      <c r="M506" s="549"/>
      <c r="N506" s="551"/>
      <c r="O506" s="549"/>
      <c r="P506" s="549"/>
      <c r="Q506" s="549"/>
      <c r="R506" s="549"/>
      <c r="S506" s="549"/>
      <c r="T506" s="549"/>
      <c r="U506" s="549"/>
      <c r="V506" s="549"/>
      <c r="W506" s="549"/>
      <c r="X506" s="549"/>
      <c r="Y506" s="549"/>
      <c r="Z506" s="549"/>
    </row>
    <row r="507" spans="1:26" ht="15">
      <c r="A507" s="549"/>
      <c r="B507" s="554"/>
      <c r="C507" s="549"/>
      <c r="D507" s="549"/>
      <c r="E507" s="570"/>
      <c r="F507" s="549"/>
      <c r="G507" s="549"/>
      <c r="H507" s="549"/>
      <c r="I507" s="550"/>
      <c r="J507" s="549"/>
      <c r="K507" s="549"/>
      <c r="L507" s="549"/>
      <c r="M507" s="549"/>
      <c r="N507" s="551"/>
      <c r="O507" s="549"/>
      <c r="P507" s="549"/>
      <c r="Q507" s="549"/>
      <c r="R507" s="549"/>
      <c r="S507" s="549"/>
      <c r="T507" s="549"/>
      <c r="U507" s="549"/>
      <c r="V507" s="549"/>
      <c r="W507" s="549"/>
      <c r="X507" s="549"/>
      <c r="Y507" s="549"/>
      <c r="Z507" s="549"/>
    </row>
    <row r="508" spans="1:26" ht="15">
      <c r="A508" s="549"/>
      <c r="B508" s="554"/>
      <c r="C508" s="549"/>
      <c r="D508" s="549"/>
      <c r="E508" s="570"/>
      <c r="F508" s="549"/>
      <c r="G508" s="549"/>
      <c r="H508" s="549"/>
      <c r="I508" s="550"/>
      <c r="J508" s="549"/>
      <c r="K508" s="549"/>
      <c r="L508" s="549"/>
      <c r="M508" s="549"/>
      <c r="N508" s="551"/>
      <c r="O508" s="549"/>
      <c r="P508" s="549"/>
      <c r="Q508" s="549"/>
      <c r="R508" s="549"/>
      <c r="S508" s="549"/>
      <c r="T508" s="549"/>
      <c r="U508" s="549"/>
      <c r="V508" s="549"/>
      <c r="W508" s="549"/>
      <c r="X508" s="549"/>
      <c r="Y508" s="549"/>
      <c r="Z508" s="549"/>
    </row>
    <row r="509" spans="1:26" ht="15">
      <c r="A509" s="549"/>
      <c r="B509" s="554"/>
      <c r="C509" s="549"/>
      <c r="D509" s="549"/>
      <c r="E509" s="570"/>
      <c r="F509" s="549"/>
      <c r="G509" s="549"/>
      <c r="H509" s="549"/>
      <c r="I509" s="550"/>
      <c r="J509" s="549"/>
      <c r="K509" s="549"/>
      <c r="L509" s="549"/>
      <c r="M509" s="549"/>
      <c r="N509" s="551"/>
      <c r="O509" s="549"/>
      <c r="P509" s="549"/>
      <c r="Q509" s="549"/>
      <c r="R509" s="549"/>
      <c r="S509" s="549"/>
      <c r="T509" s="549"/>
      <c r="U509" s="549"/>
      <c r="V509" s="549"/>
      <c r="W509" s="549"/>
      <c r="X509" s="549"/>
      <c r="Y509" s="549"/>
      <c r="Z509" s="549"/>
    </row>
    <row r="510" spans="1:26" ht="15">
      <c r="A510" s="549"/>
      <c r="B510" s="554"/>
      <c r="C510" s="549"/>
      <c r="D510" s="549"/>
      <c r="E510" s="570"/>
      <c r="F510" s="549"/>
      <c r="G510" s="549"/>
      <c r="H510" s="549"/>
      <c r="I510" s="550"/>
      <c r="J510" s="549"/>
      <c r="K510" s="549"/>
      <c r="L510" s="549"/>
      <c r="M510" s="549"/>
      <c r="N510" s="551"/>
      <c r="O510" s="549"/>
      <c r="P510" s="549"/>
      <c r="Q510" s="549"/>
      <c r="R510" s="549"/>
      <c r="S510" s="549"/>
      <c r="T510" s="549"/>
      <c r="U510" s="549"/>
      <c r="V510" s="549"/>
      <c r="W510" s="549"/>
      <c r="X510" s="549"/>
      <c r="Y510" s="549"/>
      <c r="Z510" s="549"/>
    </row>
    <row r="511" spans="1:26" ht="15">
      <c r="A511" s="549"/>
      <c r="B511" s="554"/>
      <c r="C511" s="549"/>
      <c r="D511" s="549"/>
      <c r="E511" s="570"/>
      <c r="F511" s="549"/>
      <c r="G511" s="549"/>
      <c r="H511" s="549"/>
      <c r="I511" s="550"/>
      <c r="J511" s="549"/>
      <c r="K511" s="549"/>
      <c r="L511" s="549"/>
      <c r="M511" s="549"/>
      <c r="N511" s="551"/>
      <c r="O511" s="549"/>
      <c r="P511" s="549"/>
      <c r="Q511" s="549"/>
      <c r="R511" s="549"/>
      <c r="S511" s="549"/>
      <c r="T511" s="549"/>
      <c r="U511" s="549"/>
      <c r="V511" s="549"/>
      <c r="W511" s="549"/>
      <c r="X511" s="549"/>
      <c r="Y511" s="549"/>
      <c r="Z511" s="549"/>
    </row>
    <row r="512" spans="1:26" ht="15">
      <c r="A512" s="549"/>
      <c r="B512" s="554"/>
      <c r="C512" s="549"/>
      <c r="D512" s="549"/>
      <c r="E512" s="570"/>
      <c r="F512" s="549"/>
      <c r="G512" s="549"/>
      <c r="H512" s="549"/>
      <c r="I512" s="550"/>
      <c r="J512" s="549"/>
      <c r="K512" s="549"/>
      <c r="L512" s="549"/>
      <c r="M512" s="549"/>
      <c r="N512" s="551"/>
      <c r="O512" s="549"/>
      <c r="P512" s="549"/>
      <c r="Q512" s="549"/>
      <c r="R512" s="549"/>
      <c r="S512" s="549"/>
      <c r="T512" s="549"/>
      <c r="U512" s="549"/>
      <c r="V512" s="549"/>
      <c r="W512" s="549"/>
      <c r="X512" s="549"/>
      <c r="Y512" s="549"/>
      <c r="Z512" s="549"/>
    </row>
    <row r="513" spans="1:26" ht="15">
      <c r="A513" s="549"/>
      <c r="B513" s="554"/>
      <c r="C513" s="549"/>
      <c r="D513" s="549"/>
      <c r="E513" s="570"/>
      <c r="F513" s="549"/>
      <c r="G513" s="549"/>
      <c r="H513" s="549"/>
      <c r="I513" s="550"/>
      <c r="J513" s="549"/>
      <c r="K513" s="549"/>
      <c r="L513" s="549"/>
      <c r="M513" s="549"/>
      <c r="N513" s="551"/>
      <c r="O513" s="549"/>
      <c r="P513" s="549"/>
      <c r="Q513" s="549"/>
      <c r="R513" s="549"/>
      <c r="S513" s="549"/>
      <c r="T513" s="549"/>
      <c r="U513" s="549"/>
      <c r="V513" s="549"/>
      <c r="W513" s="549"/>
      <c r="X513" s="549"/>
      <c r="Y513" s="549"/>
      <c r="Z513" s="549"/>
    </row>
    <row r="514" spans="1:26" ht="15">
      <c r="A514" s="549"/>
      <c r="B514" s="554"/>
      <c r="C514" s="549"/>
      <c r="D514" s="549"/>
      <c r="E514" s="570"/>
      <c r="F514" s="549"/>
      <c r="G514" s="549"/>
      <c r="H514" s="549"/>
      <c r="I514" s="550"/>
      <c r="J514" s="549"/>
      <c r="K514" s="549"/>
      <c r="L514" s="549"/>
      <c r="M514" s="549"/>
      <c r="N514" s="551"/>
      <c r="O514" s="549"/>
      <c r="P514" s="549"/>
      <c r="Q514" s="549"/>
      <c r="R514" s="549"/>
      <c r="S514" s="549"/>
      <c r="T514" s="549"/>
      <c r="U514" s="549"/>
      <c r="V514" s="549"/>
      <c r="W514" s="549"/>
      <c r="X514" s="549"/>
      <c r="Y514" s="549"/>
      <c r="Z514" s="549"/>
    </row>
    <row r="515" spans="1:26" ht="15">
      <c r="A515" s="549"/>
      <c r="B515" s="554"/>
      <c r="C515" s="549"/>
      <c r="D515" s="549"/>
      <c r="E515" s="570"/>
      <c r="F515" s="549"/>
      <c r="G515" s="549"/>
      <c r="H515" s="549"/>
      <c r="I515" s="550"/>
      <c r="J515" s="549"/>
      <c r="K515" s="549"/>
      <c r="L515" s="549"/>
      <c r="M515" s="549"/>
      <c r="N515" s="551"/>
      <c r="O515" s="549"/>
      <c r="P515" s="549"/>
      <c r="Q515" s="549"/>
      <c r="R515" s="549"/>
      <c r="S515" s="549"/>
      <c r="T515" s="549"/>
      <c r="U515" s="549"/>
      <c r="V515" s="549"/>
      <c r="W515" s="549"/>
      <c r="X515" s="549"/>
      <c r="Y515" s="549"/>
      <c r="Z515" s="549"/>
    </row>
    <row r="516" spans="1:26" ht="15">
      <c r="A516" s="549"/>
      <c r="B516" s="554"/>
      <c r="C516" s="549"/>
      <c r="D516" s="549"/>
      <c r="E516" s="570"/>
      <c r="F516" s="549"/>
      <c r="G516" s="549"/>
      <c r="H516" s="549"/>
      <c r="I516" s="550"/>
      <c r="J516" s="549"/>
      <c r="K516" s="549"/>
      <c r="L516" s="549"/>
      <c r="M516" s="549"/>
      <c r="N516" s="551"/>
      <c r="O516" s="549"/>
      <c r="P516" s="549"/>
      <c r="Q516" s="549"/>
      <c r="R516" s="549"/>
      <c r="S516" s="549"/>
      <c r="T516" s="549"/>
      <c r="U516" s="549"/>
      <c r="V516" s="549"/>
      <c r="W516" s="549"/>
      <c r="X516" s="549"/>
      <c r="Y516" s="549"/>
      <c r="Z516" s="549"/>
    </row>
    <row r="517" spans="1:26" ht="15">
      <c r="A517" s="549"/>
      <c r="B517" s="554"/>
      <c r="C517" s="549"/>
      <c r="D517" s="549"/>
      <c r="E517" s="570"/>
      <c r="F517" s="549"/>
      <c r="G517" s="549"/>
      <c r="H517" s="549"/>
      <c r="I517" s="550"/>
      <c r="J517" s="549"/>
      <c r="K517" s="549"/>
      <c r="L517" s="549"/>
      <c r="M517" s="549"/>
      <c r="N517" s="551"/>
      <c r="O517" s="549"/>
      <c r="P517" s="549"/>
      <c r="Q517" s="549"/>
      <c r="R517" s="549"/>
      <c r="S517" s="549"/>
      <c r="T517" s="549"/>
      <c r="U517" s="549"/>
      <c r="V517" s="549"/>
      <c r="W517" s="549"/>
      <c r="X517" s="549"/>
      <c r="Y517" s="549"/>
      <c r="Z517" s="549"/>
    </row>
    <row r="518" spans="1:26" ht="15">
      <c r="A518" s="549"/>
      <c r="B518" s="554"/>
      <c r="C518" s="549"/>
      <c r="D518" s="549"/>
      <c r="E518" s="570"/>
      <c r="F518" s="549"/>
      <c r="G518" s="549"/>
      <c r="H518" s="549"/>
      <c r="I518" s="550"/>
      <c r="J518" s="549"/>
      <c r="K518" s="549"/>
      <c r="L518" s="549"/>
      <c r="M518" s="549"/>
      <c r="N518" s="551"/>
      <c r="O518" s="549"/>
      <c r="P518" s="549"/>
      <c r="Q518" s="549"/>
      <c r="R518" s="549"/>
      <c r="S518" s="549"/>
      <c r="T518" s="549"/>
      <c r="U518" s="549"/>
      <c r="V518" s="549"/>
      <c r="W518" s="549"/>
      <c r="X518" s="549"/>
      <c r="Y518" s="549"/>
      <c r="Z518" s="549"/>
    </row>
    <row r="519" spans="1:26" ht="15">
      <c r="A519" s="549"/>
      <c r="B519" s="554"/>
      <c r="C519" s="549"/>
      <c r="D519" s="549"/>
      <c r="E519" s="570"/>
      <c r="F519" s="549"/>
      <c r="G519" s="549"/>
      <c r="H519" s="549"/>
      <c r="I519" s="550"/>
      <c r="J519" s="549"/>
      <c r="K519" s="549"/>
      <c r="L519" s="549"/>
      <c r="M519" s="549"/>
      <c r="N519" s="551"/>
      <c r="O519" s="549"/>
      <c r="P519" s="549"/>
      <c r="Q519" s="549"/>
      <c r="R519" s="549"/>
      <c r="S519" s="549"/>
      <c r="T519" s="549"/>
      <c r="U519" s="549"/>
      <c r="V519" s="549"/>
      <c r="W519" s="549"/>
      <c r="X519" s="549"/>
      <c r="Y519" s="549"/>
      <c r="Z519" s="549"/>
    </row>
    <row r="520" spans="1:26" ht="15">
      <c r="A520" s="549"/>
      <c r="B520" s="554"/>
      <c r="C520" s="549"/>
      <c r="D520" s="549"/>
      <c r="E520" s="570"/>
      <c r="F520" s="549"/>
      <c r="G520" s="549"/>
      <c r="H520" s="549"/>
      <c r="I520" s="550"/>
      <c r="J520" s="549"/>
      <c r="K520" s="549"/>
      <c r="L520" s="549"/>
      <c r="M520" s="549"/>
      <c r="N520" s="551"/>
      <c r="O520" s="549"/>
      <c r="P520" s="549"/>
      <c r="Q520" s="549"/>
      <c r="R520" s="549"/>
      <c r="S520" s="549"/>
      <c r="T520" s="549"/>
      <c r="U520" s="549"/>
      <c r="V520" s="549"/>
      <c r="W520" s="549"/>
      <c r="X520" s="549"/>
      <c r="Y520" s="549"/>
      <c r="Z520" s="549"/>
    </row>
    <row r="521" spans="1:26" ht="15">
      <c r="A521" s="549"/>
      <c r="B521" s="554"/>
      <c r="C521" s="549"/>
      <c r="D521" s="549"/>
      <c r="E521" s="570"/>
      <c r="F521" s="549"/>
      <c r="G521" s="549"/>
      <c r="H521" s="549"/>
      <c r="I521" s="550"/>
      <c r="J521" s="549"/>
      <c r="K521" s="549"/>
      <c r="L521" s="549"/>
      <c r="M521" s="549"/>
      <c r="N521" s="551"/>
      <c r="O521" s="549"/>
      <c r="P521" s="549"/>
      <c r="Q521" s="549"/>
      <c r="R521" s="549"/>
      <c r="S521" s="549"/>
      <c r="T521" s="549"/>
      <c r="U521" s="549"/>
      <c r="V521" s="549"/>
      <c r="W521" s="549"/>
      <c r="X521" s="549"/>
      <c r="Y521" s="549"/>
      <c r="Z521" s="549"/>
    </row>
    <row r="522" spans="1:26" ht="15">
      <c r="A522" s="549"/>
      <c r="B522" s="554"/>
      <c r="C522" s="549"/>
      <c r="D522" s="549"/>
      <c r="E522" s="570"/>
      <c r="F522" s="549"/>
      <c r="G522" s="549"/>
      <c r="H522" s="549"/>
      <c r="I522" s="550"/>
      <c r="J522" s="549"/>
      <c r="K522" s="549"/>
      <c r="L522" s="549"/>
      <c r="M522" s="549"/>
      <c r="N522" s="551"/>
      <c r="O522" s="549"/>
      <c r="P522" s="549"/>
      <c r="Q522" s="549"/>
      <c r="R522" s="549"/>
      <c r="S522" s="549"/>
      <c r="T522" s="549"/>
      <c r="U522" s="549"/>
      <c r="V522" s="549"/>
      <c r="W522" s="549"/>
      <c r="X522" s="549"/>
      <c r="Y522" s="549"/>
      <c r="Z522" s="549"/>
    </row>
    <row r="523" spans="1:26" ht="15">
      <c r="A523" s="549"/>
      <c r="B523" s="554"/>
      <c r="C523" s="549"/>
      <c r="D523" s="549"/>
      <c r="E523" s="570"/>
      <c r="F523" s="549"/>
      <c r="G523" s="549"/>
      <c r="H523" s="549"/>
      <c r="I523" s="550"/>
      <c r="J523" s="549"/>
      <c r="K523" s="549"/>
      <c r="L523" s="549"/>
      <c r="M523" s="549"/>
      <c r="N523" s="551"/>
      <c r="O523" s="549"/>
      <c r="P523" s="549"/>
      <c r="Q523" s="549"/>
      <c r="R523" s="549"/>
      <c r="S523" s="549"/>
      <c r="T523" s="549"/>
      <c r="U523" s="549"/>
      <c r="V523" s="549"/>
      <c r="W523" s="549"/>
      <c r="X523" s="549"/>
      <c r="Y523" s="549"/>
      <c r="Z523" s="549"/>
    </row>
    <row r="524" spans="1:26" ht="15">
      <c r="A524" s="549"/>
      <c r="B524" s="554"/>
      <c r="C524" s="549"/>
      <c r="D524" s="549"/>
      <c r="E524" s="570"/>
      <c r="F524" s="549"/>
      <c r="G524" s="549"/>
      <c r="H524" s="549"/>
      <c r="I524" s="550"/>
      <c r="J524" s="549"/>
      <c r="K524" s="549"/>
      <c r="L524" s="549"/>
      <c r="M524" s="549"/>
      <c r="N524" s="551"/>
      <c r="O524" s="549"/>
      <c r="P524" s="549"/>
      <c r="Q524" s="549"/>
      <c r="R524" s="549"/>
      <c r="S524" s="549"/>
      <c r="T524" s="549"/>
      <c r="U524" s="549"/>
      <c r="V524" s="549"/>
      <c r="W524" s="549"/>
      <c r="X524" s="549"/>
      <c r="Y524" s="549"/>
      <c r="Z524" s="549"/>
    </row>
    <row r="525" spans="1:26" ht="15">
      <c r="A525" s="549"/>
      <c r="B525" s="554"/>
      <c r="C525" s="549"/>
      <c r="D525" s="549"/>
      <c r="E525" s="570"/>
      <c r="F525" s="549"/>
      <c r="G525" s="549"/>
      <c r="H525" s="549"/>
      <c r="I525" s="550"/>
      <c r="J525" s="549"/>
      <c r="K525" s="549"/>
      <c r="L525" s="549"/>
      <c r="M525" s="549"/>
      <c r="N525" s="551"/>
      <c r="O525" s="549"/>
      <c r="P525" s="549"/>
      <c r="Q525" s="549"/>
      <c r="R525" s="549"/>
      <c r="S525" s="549"/>
      <c r="T525" s="549"/>
      <c r="U525" s="549"/>
      <c r="V525" s="549"/>
      <c r="W525" s="549"/>
      <c r="X525" s="549"/>
      <c r="Y525" s="549"/>
      <c r="Z525" s="549"/>
    </row>
    <row r="526" spans="1:26" ht="15">
      <c r="A526" s="549"/>
      <c r="B526" s="554"/>
      <c r="C526" s="549"/>
      <c r="D526" s="549"/>
      <c r="E526" s="570"/>
      <c r="F526" s="549"/>
      <c r="G526" s="549"/>
      <c r="H526" s="549"/>
      <c r="I526" s="550"/>
      <c r="J526" s="549"/>
      <c r="K526" s="549"/>
      <c r="L526" s="549"/>
      <c r="M526" s="549"/>
      <c r="N526" s="551"/>
      <c r="O526" s="549"/>
      <c r="P526" s="549"/>
      <c r="Q526" s="549"/>
      <c r="R526" s="549"/>
      <c r="S526" s="549"/>
      <c r="T526" s="549"/>
      <c r="U526" s="549"/>
      <c r="V526" s="549"/>
      <c r="W526" s="549"/>
      <c r="X526" s="549"/>
      <c r="Y526" s="549"/>
      <c r="Z526" s="549"/>
    </row>
    <row r="527" spans="1:26" ht="15">
      <c r="A527" s="549"/>
      <c r="B527" s="554"/>
      <c r="C527" s="549"/>
      <c r="D527" s="549"/>
      <c r="E527" s="570"/>
      <c r="F527" s="549"/>
      <c r="G527" s="549"/>
      <c r="H527" s="549"/>
      <c r="I527" s="550"/>
      <c r="J527" s="549"/>
      <c r="K527" s="549"/>
      <c r="L527" s="549"/>
      <c r="M527" s="549"/>
      <c r="N527" s="551"/>
      <c r="O527" s="549"/>
      <c r="P527" s="549"/>
      <c r="Q527" s="549"/>
      <c r="R527" s="549"/>
      <c r="S527" s="549"/>
      <c r="T527" s="549"/>
      <c r="U527" s="549"/>
      <c r="V527" s="549"/>
      <c r="W527" s="549"/>
      <c r="X527" s="549"/>
      <c r="Y527" s="549"/>
      <c r="Z527" s="549"/>
    </row>
    <row r="528" spans="1:26" ht="15">
      <c r="A528" s="549"/>
      <c r="B528" s="554"/>
      <c r="C528" s="549"/>
      <c r="D528" s="549"/>
      <c r="E528" s="570"/>
      <c r="F528" s="549"/>
      <c r="G528" s="549"/>
      <c r="H528" s="549"/>
      <c r="I528" s="550"/>
      <c r="J528" s="549"/>
      <c r="K528" s="549"/>
      <c r="L528" s="549"/>
      <c r="M528" s="549"/>
      <c r="N528" s="551"/>
      <c r="O528" s="549"/>
      <c r="P528" s="549"/>
      <c r="Q528" s="549"/>
      <c r="R528" s="549"/>
      <c r="S528" s="549"/>
      <c r="T528" s="549"/>
      <c r="U528" s="549"/>
      <c r="V528" s="549"/>
      <c r="W528" s="549"/>
      <c r="X528" s="549"/>
      <c r="Y528" s="549"/>
      <c r="Z528" s="549"/>
    </row>
    <row r="529" spans="1:26" ht="15">
      <c r="A529" s="549"/>
      <c r="B529" s="554"/>
      <c r="C529" s="549"/>
      <c r="D529" s="549"/>
      <c r="E529" s="570"/>
      <c r="F529" s="549"/>
      <c r="G529" s="549"/>
      <c r="H529" s="549"/>
      <c r="I529" s="550"/>
      <c r="J529" s="549"/>
      <c r="K529" s="549"/>
      <c r="L529" s="549"/>
      <c r="M529" s="549"/>
      <c r="N529" s="551"/>
      <c r="O529" s="549"/>
      <c r="P529" s="549"/>
      <c r="Q529" s="549"/>
      <c r="R529" s="549"/>
      <c r="S529" s="549"/>
      <c r="T529" s="549"/>
      <c r="U529" s="549"/>
      <c r="V529" s="549"/>
      <c r="W529" s="549"/>
      <c r="X529" s="549"/>
      <c r="Y529" s="549"/>
      <c r="Z529" s="549"/>
    </row>
    <row r="530" spans="1:26" ht="15">
      <c r="A530" s="549"/>
      <c r="B530" s="554"/>
      <c r="C530" s="549"/>
      <c r="D530" s="549"/>
      <c r="E530" s="570"/>
      <c r="F530" s="549"/>
      <c r="G530" s="549"/>
      <c r="H530" s="549"/>
      <c r="I530" s="550"/>
      <c r="J530" s="549"/>
      <c r="K530" s="549"/>
      <c r="L530" s="549"/>
      <c r="M530" s="549"/>
      <c r="N530" s="551"/>
      <c r="O530" s="549"/>
      <c r="P530" s="549"/>
      <c r="Q530" s="549"/>
      <c r="R530" s="549"/>
      <c r="S530" s="549"/>
      <c r="T530" s="549"/>
      <c r="U530" s="549"/>
      <c r="V530" s="549"/>
      <c r="W530" s="549"/>
      <c r="X530" s="549"/>
      <c r="Y530" s="549"/>
      <c r="Z530" s="549"/>
    </row>
    <row r="531" spans="1:26" ht="15">
      <c r="A531" s="549"/>
      <c r="B531" s="554"/>
      <c r="C531" s="549"/>
      <c r="D531" s="549"/>
      <c r="E531" s="570"/>
      <c r="F531" s="549"/>
      <c r="G531" s="549"/>
      <c r="H531" s="549"/>
      <c r="I531" s="550"/>
      <c r="J531" s="549"/>
      <c r="K531" s="549"/>
      <c r="L531" s="549"/>
      <c r="M531" s="549"/>
      <c r="N531" s="551"/>
      <c r="O531" s="549"/>
      <c r="P531" s="549"/>
      <c r="Q531" s="549"/>
      <c r="R531" s="549"/>
      <c r="S531" s="549"/>
      <c r="T531" s="549"/>
      <c r="U531" s="549"/>
      <c r="V531" s="549"/>
      <c r="W531" s="549"/>
      <c r="X531" s="549"/>
      <c r="Y531" s="549"/>
      <c r="Z531" s="549"/>
    </row>
    <row r="532" spans="1:26" ht="15">
      <c r="A532" s="549"/>
      <c r="B532" s="554"/>
      <c r="C532" s="549"/>
      <c r="D532" s="549"/>
      <c r="E532" s="570"/>
      <c r="F532" s="549"/>
      <c r="G532" s="549"/>
      <c r="H532" s="549"/>
      <c r="I532" s="550"/>
      <c r="J532" s="549"/>
      <c r="K532" s="549"/>
      <c r="L532" s="549"/>
      <c r="M532" s="549"/>
      <c r="N532" s="551"/>
      <c r="O532" s="549"/>
      <c r="P532" s="549"/>
      <c r="Q532" s="549"/>
      <c r="R532" s="549"/>
      <c r="S532" s="549"/>
      <c r="T532" s="549"/>
      <c r="U532" s="549"/>
      <c r="V532" s="549"/>
      <c r="W532" s="549"/>
      <c r="X532" s="549"/>
      <c r="Y532" s="549"/>
      <c r="Z532" s="549"/>
    </row>
    <row r="533" spans="1:26" ht="15">
      <c r="A533" s="549"/>
      <c r="B533" s="554"/>
      <c r="C533" s="549"/>
      <c r="D533" s="549"/>
      <c r="E533" s="570"/>
      <c r="F533" s="549"/>
      <c r="G533" s="549"/>
      <c r="H533" s="549"/>
      <c r="I533" s="550"/>
      <c r="J533" s="549"/>
      <c r="K533" s="549"/>
      <c r="L533" s="549"/>
      <c r="M533" s="549"/>
      <c r="N533" s="551"/>
      <c r="O533" s="549"/>
      <c r="P533" s="549"/>
      <c r="Q533" s="549"/>
      <c r="R533" s="549"/>
      <c r="S533" s="549"/>
      <c r="T533" s="549"/>
      <c r="U533" s="549"/>
      <c r="V533" s="549"/>
      <c r="W533" s="549"/>
      <c r="X533" s="549"/>
      <c r="Y533" s="549"/>
      <c r="Z533" s="549"/>
    </row>
    <row r="534" spans="1:26" ht="15">
      <c r="A534" s="549"/>
      <c r="B534" s="554"/>
      <c r="C534" s="549"/>
      <c r="D534" s="549"/>
      <c r="E534" s="570"/>
      <c r="F534" s="549"/>
      <c r="G534" s="549"/>
      <c r="H534" s="549"/>
      <c r="I534" s="550"/>
      <c r="J534" s="549"/>
      <c r="K534" s="549"/>
      <c r="L534" s="549"/>
      <c r="M534" s="549"/>
      <c r="N534" s="551"/>
      <c r="O534" s="549"/>
      <c r="P534" s="549"/>
      <c r="Q534" s="549"/>
      <c r="R534" s="549"/>
      <c r="S534" s="549"/>
      <c r="T534" s="549"/>
      <c r="U534" s="549"/>
      <c r="V534" s="549"/>
      <c r="W534" s="549"/>
      <c r="X534" s="549"/>
      <c r="Y534" s="549"/>
      <c r="Z534" s="549"/>
    </row>
    <row r="535" spans="1:26" ht="15">
      <c r="A535" s="549"/>
      <c r="B535" s="554"/>
      <c r="C535" s="549"/>
      <c r="D535" s="549"/>
      <c r="E535" s="570"/>
      <c r="F535" s="549"/>
      <c r="G535" s="549"/>
      <c r="H535" s="549"/>
      <c r="I535" s="550"/>
      <c r="J535" s="549"/>
      <c r="K535" s="549"/>
      <c r="L535" s="549"/>
      <c r="M535" s="549"/>
      <c r="N535" s="551"/>
      <c r="O535" s="549"/>
      <c r="P535" s="549"/>
      <c r="Q535" s="549"/>
      <c r="R535" s="549"/>
      <c r="S535" s="549"/>
      <c r="T535" s="549"/>
      <c r="U535" s="549"/>
      <c r="V535" s="549"/>
      <c r="W535" s="549"/>
      <c r="X535" s="549"/>
      <c r="Y535" s="549"/>
      <c r="Z535" s="549"/>
    </row>
    <row r="536" spans="1:26" ht="15">
      <c r="A536" s="549"/>
      <c r="B536" s="554"/>
      <c r="C536" s="549"/>
      <c r="D536" s="549"/>
      <c r="E536" s="570"/>
      <c r="F536" s="549"/>
      <c r="G536" s="549"/>
      <c r="H536" s="549"/>
      <c r="I536" s="550"/>
      <c r="J536" s="549"/>
      <c r="K536" s="549"/>
      <c r="L536" s="549"/>
      <c r="M536" s="549"/>
      <c r="N536" s="551"/>
      <c r="O536" s="549"/>
      <c r="P536" s="549"/>
      <c r="Q536" s="549"/>
      <c r="R536" s="549"/>
      <c r="S536" s="549"/>
      <c r="T536" s="549"/>
      <c r="U536" s="549"/>
      <c r="V536" s="549"/>
      <c r="W536" s="549"/>
      <c r="X536" s="549"/>
      <c r="Y536" s="549"/>
      <c r="Z536" s="549"/>
    </row>
    <row r="537" spans="1:26" ht="15">
      <c r="A537" s="549"/>
      <c r="B537" s="554"/>
      <c r="C537" s="549"/>
      <c r="D537" s="549"/>
      <c r="E537" s="570"/>
      <c r="F537" s="549"/>
      <c r="G537" s="549"/>
      <c r="H537" s="549"/>
      <c r="I537" s="550"/>
      <c r="J537" s="549"/>
      <c r="K537" s="549"/>
      <c r="L537" s="549"/>
      <c r="M537" s="549"/>
      <c r="N537" s="551"/>
      <c r="O537" s="549"/>
      <c r="P537" s="549"/>
      <c r="Q537" s="549"/>
      <c r="R537" s="549"/>
      <c r="S537" s="549"/>
      <c r="T537" s="549"/>
      <c r="U537" s="549"/>
      <c r="V537" s="549"/>
      <c r="W537" s="549"/>
      <c r="X537" s="549"/>
      <c r="Y537" s="549"/>
      <c r="Z537" s="549"/>
    </row>
    <row r="538" spans="1:26" ht="15">
      <c r="A538" s="549"/>
      <c r="B538" s="554"/>
      <c r="C538" s="549"/>
      <c r="D538" s="549"/>
      <c r="E538" s="570"/>
      <c r="F538" s="549"/>
      <c r="G538" s="549"/>
      <c r="H538" s="549"/>
      <c r="I538" s="550"/>
      <c r="J538" s="549"/>
      <c r="K538" s="549"/>
      <c r="L538" s="549"/>
      <c r="M538" s="549"/>
      <c r="N538" s="551"/>
      <c r="O538" s="549"/>
      <c r="P538" s="549"/>
      <c r="Q538" s="549"/>
      <c r="R538" s="549"/>
      <c r="S538" s="549"/>
      <c r="T538" s="549"/>
      <c r="U538" s="549"/>
      <c r="V538" s="549"/>
      <c r="W538" s="549"/>
      <c r="X538" s="549"/>
      <c r="Y538" s="549"/>
      <c r="Z538" s="549"/>
    </row>
    <row r="539" spans="1:26" ht="15">
      <c r="A539" s="549"/>
      <c r="B539" s="554"/>
      <c r="C539" s="549"/>
      <c r="D539" s="549"/>
      <c r="E539" s="570"/>
      <c r="F539" s="549"/>
      <c r="G539" s="549"/>
      <c r="H539" s="549"/>
      <c r="I539" s="550"/>
      <c r="J539" s="549"/>
      <c r="K539" s="549"/>
      <c r="L539" s="549"/>
      <c r="M539" s="549"/>
      <c r="N539" s="551"/>
      <c r="O539" s="549"/>
      <c r="P539" s="549"/>
      <c r="Q539" s="549"/>
      <c r="R539" s="549"/>
      <c r="S539" s="549"/>
      <c r="T539" s="549"/>
      <c r="U539" s="549"/>
      <c r="V539" s="549"/>
      <c r="W539" s="549"/>
      <c r="X539" s="549"/>
      <c r="Y539" s="549"/>
      <c r="Z539" s="549"/>
    </row>
    <row r="540" spans="1:26" ht="15">
      <c r="A540" s="549"/>
      <c r="B540" s="554"/>
      <c r="C540" s="549"/>
      <c r="D540" s="549"/>
      <c r="E540" s="570"/>
      <c r="F540" s="549"/>
      <c r="G540" s="549"/>
      <c r="H540" s="549"/>
      <c r="I540" s="550"/>
      <c r="J540" s="549"/>
      <c r="K540" s="549"/>
      <c r="L540" s="549"/>
      <c r="M540" s="549"/>
      <c r="N540" s="551"/>
      <c r="O540" s="549"/>
      <c r="P540" s="549"/>
      <c r="Q540" s="549"/>
      <c r="R540" s="549"/>
      <c r="S540" s="549"/>
      <c r="T540" s="549"/>
      <c r="U540" s="549"/>
      <c r="V540" s="549"/>
      <c r="W540" s="549"/>
      <c r="X540" s="549"/>
      <c r="Y540" s="549"/>
      <c r="Z540" s="549"/>
    </row>
    <row r="541" spans="1:26" ht="15">
      <c r="A541" s="549"/>
      <c r="B541" s="554"/>
      <c r="C541" s="549"/>
      <c r="D541" s="549"/>
      <c r="E541" s="570"/>
      <c r="F541" s="549"/>
      <c r="G541" s="549"/>
      <c r="H541" s="549"/>
      <c r="I541" s="550"/>
      <c r="J541" s="549"/>
      <c r="K541" s="549"/>
      <c r="L541" s="549"/>
      <c r="M541" s="549"/>
      <c r="N541" s="551"/>
      <c r="O541" s="549"/>
      <c r="P541" s="549"/>
      <c r="Q541" s="549"/>
      <c r="R541" s="549"/>
      <c r="S541" s="549"/>
      <c r="T541" s="549"/>
      <c r="U541" s="549"/>
      <c r="V541" s="549"/>
      <c r="W541" s="549"/>
      <c r="X541" s="549"/>
      <c r="Y541" s="549"/>
      <c r="Z541" s="549"/>
    </row>
    <row r="542" spans="1:26" ht="15">
      <c r="A542" s="549"/>
      <c r="B542" s="554"/>
      <c r="C542" s="549"/>
      <c r="D542" s="549"/>
      <c r="E542" s="570"/>
      <c r="F542" s="549"/>
      <c r="G542" s="549"/>
      <c r="H542" s="549"/>
      <c r="I542" s="550"/>
      <c r="J542" s="549"/>
      <c r="K542" s="549"/>
      <c r="L542" s="549"/>
      <c r="M542" s="549"/>
      <c r="N542" s="551"/>
      <c r="O542" s="549"/>
      <c r="P542" s="549"/>
      <c r="Q542" s="549"/>
      <c r="R542" s="549"/>
      <c r="S542" s="549"/>
      <c r="T542" s="549"/>
      <c r="U542" s="549"/>
      <c r="V542" s="549"/>
      <c r="W542" s="549"/>
      <c r="X542" s="549"/>
      <c r="Y542" s="549"/>
      <c r="Z542" s="549"/>
    </row>
    <row r="543" spans="1:26" ht="15">
      <c r="A543" s="549"/>
      <c r="B543" s="554"/>
      <c r="C543" s="549"/>
      <c r="D543" s="549"/>
      <c r="E543" s="570"/>
      <c r="F543" s="549"/>
      <c r="G543" s="549"/>
      <c r="H543" s="549"/>
      <c r="I543" s="550"/>
      <c r="J543" s="549"/>
      <c r="K543" s="549"/>
      <c r="L543" s="549"/>
      <c r="M543" s="549"/>
      <c r="N543" s="551"/>
      <c r="O543" s="549"/>
      <c r="P543" s="549"/>
      <c r="Q543" s="549"/>
      <c r="R543" s="549"/>
      <c r="S543" s="549"/>
      <c r="T543" s="549"/>
      <c r="U543" s="549"/>
      <c r="V543" s="549"/>
      <c r="W543" s="549"/>
      <c r="X543" s="549"/>
      <c r="Y543" s="549"/>
      <c r="Z543" s="549"/>
    </row>
    <row r="544" spans="1:26" ht="15">
      <c r="A544" s="549"/>
      <c r="B544" s="554"/>
      <c r="C544" s="549"/>
      <c r="D544" s="549"/>
      <c r="E544" s="570"/>
      <c r="F544" s="549"/>
      <c r="G544" s="549"/>
      <c r="H544" s="549"/>
      <c r="I544" s="550"/>
      <c r="J544" s="549"/>
      <c r="K544" s="549"/>
      <c r="L544" s="549"/>
      <c r="M544" s="549"/>
      <c r="N544" s="551"/>
      <c r="O544" s="549"/>
      <c r="P544" s="549"/>
      <c r="Q544" s="549"/>
      <c r="R544" s="549"/>
      <c r="S544" s="549"/>
      <c r="T544" s="549"/>
      <c r="U544" s="549"/>
      <c r="V544" s="549"/>
      <c r="W544" s="549"/>
      <c r="X544" s="549"/>
      <c r="Y544" s="549"/>
      <c r="Z544" s="549"/>
    </row>
    <row r="545" spans="1:26" ht="15">
      <c r="A545" s="549"/>
      <c r="B545" s="554"/>
      <c r="C545" s="549"/>
      <c r="D545" s="549"/>
      <c r="E545" s="570"/>
      <c r="F545" s="549"/>
      <c r="G545" s="549"/>
      <c r="H545" s="549"/>
      <c r="I545" s="550"/>
      <c r="J545" s="549"/>
      <c r="K545" s="549"/>
      <c r="L545" s="549"/>
      <c r="M545" s="549"/>
      <c r="N545" s="551"/>
      <c r="O545" s="549"/>
      <c r="P545" s="549"/>
      <c r="Q545" s="549"/>
      <c r="R545" s="549"/>
      <c r="S545" s="549"/>
      <c r="T545" s="549"/>
      <c r="U545" s="549"/>
      <c r="V545" s="549"/>
      <c r="W545" s="549"/>
      <c r="X545" s="549"/>
      <c r="Y545" s="549"/>
      <c r="Z545" s="549"/>
    </row>
    <row r="546" spans="1:26" ht="15">
      <c r="A546" s="549"/>
      <c r="B546" s="554"/>
      <c r="C546" s="549"/>
      <c r="D546" s="549"/>
      <c r="E546" s="570"/>
      <c r="F546" s="549"/>
      <c r="G546" s="549"/>
      <c r="H546" s="549"/>
      <c r="I546" s="550"/>
      <c r="J546" s="549"/>
      <c r="K546" s="549"/>
      <c r="L546" s="549"/>
      <c r="M546" s="549"/>
      <c r="N546" s="551"/>
      <c r="O546" s="549"/>
      <c r="P546" s="549"/>
      <c r="Q546" s="549"/>
      <c r="R546" s="549"/>
      <c r="S546" s="549"/>
      <c r="T546" s="549"/>
      <c r="U546" s="549"/>
      <c r="V546" s="549"/>
      <c r="W546" s="549"/>
      <c r="X546" s="549"/>
      <c r="Y546" s="549"/>
      <c r="Z546" s="549"/>
    </row>
    <row r="547" spans="1:26" ht="15">
      <c r="A547" s="549"/>
      <c r="B547" s="554"/>
      <c r="C547" s="549"/>
      <c r="D547" s="549"/>
      <c r="E547" s="570"/>
      <c r="F547" s="549"/>
      <c r="G547" s="549"/>
      <c r="H547" s="549"/>
      <c r="I547" s="550"/>
      <c r="J547" s="549"/>
      <c r="K547" s="549"/>
      <c r="L547" s="549"/>
      <c r="M547" s="549"/>
      <c r="N547" s="551"/>
      <c r="O547" s="549"/>
      <c r="P547" s="549"/>
      <c r="Q547" s="549"/>
      <c r="R547" s="549"/>
      <c r="S547" s="549"/>
      <c r="T547" s="549"/>
      <c r="U547" s="549"/>
      <c r="V547" s="549"/>
      <c r="W547" s="549"/>
      <c r="X547" s="549"/>
      <c r="Y547" s="549"/>
      <c r="Z547" s="549"/>
    </row>
    <row r="548" spans="1:26" ht="15">
      <c r="A548" s="549"/>
      <c r="B548" s="554"/>
      <c r="C548" s="549"/>
      <c r="D548" s="549"/>
      <c r="E548" s="570"/>
      <c r="F548" s="549"/>
      <c r="G548" s="549"/>
      <c r="H548" s="549"/>
      <c r="I548" s="550"/>
      <c r="J548" s="549"/>
      <c r="K548" s="549"/>
      <c r="L548" s="549"/>
      <c r="M548" s="549"/>
      <c r="N548" s="551"/>
      <c r="O548" s="549"/>
      <c r="P548" s="549"/>
      <c r="Q548" s="549"/>
      <c r="R548" s="549"/>
      <c r="S548" s="549"/>
      <c r="T548" s="549"/>
      <c r="U548" s="549"/>
      <c r="V548" s="549"/>
      <c r="W548" s="549"/>
      <c r="X548" s="549"/>
      <c r="Y548" s="549"/>
      <c r="Z548" s="549"/>
    </row>
    <row r="549" spans="1:26" ht="15">
      <c r="A549" s="549"/>
      <c r="B549" s="554"/>
      <c r="C549" s="549"/>
      <c r="D549" s="549"/>
      <c r="E549" s="570"/>
      <c r="F549" s="549"/>
      <c r="G549" s="549"/>
      <c r="H549" s="549"/>
      <c r="I549" s="550"/>
      <c r="J549" s="549"/>
      <c r="K549" s="549"/>
      <c r="L549" s="549"/>
      <c r="M549" s="549"/>
      <c r="N549" s="551"/>
      <c r="O549" s="549"/>
      <c r="P549" s="549"/>
      <c r="Q549" s="549"/>
      <c r="R549" s="549"/>
      <c r="S549" s="549"/>
      <c r="T549" s="549"/>
      <c r="U549" s="549"/>
      <c r="V549" s="549"/>
      <c r="W549" s="549"/>
      <c r="X549" s="549"/>
      <c r="Y549" s="549"/>
      <c r="Z549" s="549"/>
    </row>
    <row r="550" spans="1:26" ht="15">
      <c r="A550" s="549"/>
      <c r="B550" s="554"/>
      <c r="C550" s="549"/>
      <c r="D550" s="549"/>
      <c r="E550" s="570"/>
      <c r="F550" s="549"/>
      <c r="G550" s="549"/>
      <c r="H550" s="549"/>
      <c r="I550" s="550"/>
      <c r="J550" s="549"/>
      <c r="K550" s="549"/>
      <c r="L550" s="549"/>
      <c r="M550" s="549"/>
      <c r="N550" s="551"/>
      <c r="O550" s="549"/>
      <c r="P550" s="549"/>
      <c r="Q550" s="549"/>
      <c r="R550" s="549"/>
      <c r="S550" s="549"/>
      <c r="T550" s="549"/>
      <c r="U550" s="549"/>
      <c r="V550" s="549"/>
      <c r="W550" s="549"/>
      <c r="X550" s="549"/>
      <c r="Y550" s="549"/>
      <c r="Z550" s="549"/>
    </row>
    <row r="551" spans="1:26" ht="15">
      <c r="A551" s="549"/>
      <c r="B551" s="554"/>
      <c r="C551" s="549"/>
      <c r="D551" s="549"/>
      <c r="E551" s="570"/>
      <c r="F551" s="549"/>
      <c r="G551" s="549"/>
      <c r="H551" s="549"/>
      <c r="I551" s="550"/>
      <c r="J551" s="549"/>
      <c r="K551" s="549"/>
      <c r="L551" s="549"/>
      <c r="M551" s="549"/>
      <c r="N551" s="551"/>
      <c r="O551" s="549"/>
      <c r="P551" s="549"/>
      <c r="Q551" s="549"/>
      <c r="R551" s="549"/>
      <c r="S551" s="549"/>
      <c r="T551" s="549"/>
      <c r="U551" s="549"/>
      <c r="V551" s="549"/>
      <c r="W551" s="549"/>
      <c r="X551" s="549"/>
      <c r="Y551" s="549"/>
      <c r="Z551" s="549"/>
    </row>
    <row r="552" spans="1:26" ht="15">
      <c r="A552" s="549"/>
      <c r="B552" s="554"/>
      <c r="C552" s="549"/>
      <c r="D552" s="549"/>
      <c r="E552" s="570"/>
      <c r="F552" s="549"/>
      <c r="G552" s="549"/>
      <c r="H552" s="549"/>
      <c r="I552" s="550"/>
      <c r="J552" s="549"/>
      <c r="K552" s="549"/>
      <c r="L552" s="549"/>
      <c r="M552" s="549"/>
      <c r="N552" s="551"/>
      <c r="O552" s="549"/>
      <c r="P552" s="549"/>
      <c r="Q552" s="549"/>
      <c r="R552" s="549"/>
      <c r="S552" s="549"/>
      <c r="T552" s="549"/>
      <c r="U552" s="549"/>
      <c r="V552" s="549"/>
      <c r="W552" s="549"/>
      <c r="X552" s="549"/>
      <c r="Y552" s="549"/>
      <c r="Z552" s="549"/>
    </row>
    <row r="553" spans="1:26" ht="15">
      <c r="A553" s="549"/>
      <c r="B553" s="554"/>
      <c r="C553" s="549"/>
      <c r="D553" s="549"/>
      <c r="E553" s="570"/>
      <c r="F553" s="549"/>
      <c r="G553" s="549"/>
      <c r="H553" s="549"/>
      <c r="I553" s="550"/>
      <c r="J553" s="549"/>
      <c r="K553" s="549"/>
      <c r="L553" s="549"/>
      <c r="M553" s="549"/>
      <c r="N553" s="551"/>
      <c r="O553" s="549"/>
      <c r="P553" s="549"/>
      <c r="Q553" s="549"/>
      <c r="R553" s="549"/>
      <c r="S553" s="549"/>
      <c r="T553" s="549"/>
      <c r="U553" s="549"/>
      <c r="V553" s="549"/>
      <c r="W553" s="549"/>
      <c r="X553" s="549"/>
      <c r="Y553" s="549"/>
      <c r="Z553" s="549"/>
    </row>
    <row r="554" spans="1:26" ht="15">
      <c r="A554" s="549"/>
      <c r="B554" s="554"/>
      <c r="C554" s="549"/>
      <c r="D554" s="549"/>
      <c r="E554" s="570"/>
      <c r="F554" s="549"/>
      <c r="G554" s="549"/>
      <c r="H554" s="549"/>
      <c r="I554" s="550"/>
      <c r="J554" s="549"/>
      <c r="K554" s="549"/>
      <c r="L554" s="549"/>
      <c r="M554" s="549"/>
      <c r="N554" s="551"/>
      <c r="O554" s="549"/>
      <c r="P554" s="549"/>
      <c r="Q554" s="549"/>
      <c r="R554" s="549"/>
      <c r="S554" s="549"/>
      <c r="T554" s="549"/>
      <c r="U554" s="549"/>
      <c r="V554" s="549"/>
      <c r="W554" s="549"/>
      <c r="X554" s="549"/>
      <c r="Y554" s="549"/>
      <c r="Z554" s="549"/>
    </row>
    <row r="555" spans="1:26" ht="15">
      <c r="A555" s="549"/>
      <c r="B555" s="554"/>
      <c r="C555" s="549"/>
      <c r="D555" s="549"/>
      <c r="E555" s="570"/>
      <c r="F555" s="549"/>
      <c r="G555" s="549"/>
      <c r="H555" s="549"/>
      <c r="I555" s="550"/>
      <c r="J555" s="549"/>
      <c r="K555" s="549"/>
      <c r="L555" s="549"/>
      <c r="M555" s="549"/>
      <c r="N555" s="551"/>
      <c r="O555" s="549"/>
      <c r="P555" s="549"/>
      <c r="Q555" s="549"/>
      <c r="R555" s="549"/>
      <c r="S555" s="549"/>
      <c r="T555" s="549"/>
      <c r="U555" s="549"/>
      <c r="V555" s="549"/>
      <c r="W555" s="549"/>
      <c r="X555" s="549"/>
      <c r="Y555" s="549"/>
      <c r="Z555" s="549"/>
    </row>
    <row r="556" spans="1:26" ht="15">
      <c r="A556" s="549"/>
      <c r="B556" s="554"/>
      <c r="C556" s="549"/>
      <c r="D556" s="549"/>
      <c r="E556" s="570"/>
      <c r="F556" s="549"/>
      <c r="G556" s="549"/>
      <c r="H556" s="549"/>
      <c r="I556" s="550"/>
      <c r="J556" s="549"/>
      <c r="K556" s="549"/>
      <c r="L556" s="549"/>
      <c r="M556" s="549"/>
      <c r="N556" s="551"/>
      <c r="O556" s="549"/>
      <c r="P556" s="549"/>
      <c r="Q556" s="549"/>
      <c r="R556" s="549"/>
      <c r="S556" s="549"/>
      <c r="T556" s="549"/>
      <c r="U556" s="549"/>
      <c r="V556" s="549"/>
      <c r="W556" s="549"/>
      <c r="X556" s="549"/>
      <c r="Y556" s="549"/>
      <c r="Z556" s="549"/>
    </row>
    <row r="557" spans="1:26" ht="15">
      <c r="A557" s="549"/>
      <c r="B557" s="554"/>
      <c r="C557" s="549"/>
      <c r="D557" s="549"/>
      <c r="E557" s="570"/>
      <c r="F557" s="549"/>
      <c r="G557" s="549"/>
      <c r="H557" s="549"/>
      <c r="I557" s="550"/>
      <c r="J557" s="549"/>
      <c r="K557" s="549"/>
      <c r="L557" s="549"/>
      <c r="M557" s="549"/>
      <c r="N557" s="551"/>
      <c r="O557" s="549"/>
      <c r="P557" s="549"/>
      <c r="Q557" s="549"/>
      <c r="R557" s="549"/>
      <c r="S557" s="549"/>
      <c r="T557" s="549"/>
      <c r="U557" s="549"/>
      <c r="V557" s="549"/>
      <c r="W557" s="549"/>
      <c r="X557" s="549"/>
      <c r="Y557" s="549"/>
      <c r="Z557" s="549"/>
    </row>
    <row r="558" spans="1:26" ht="15">
      <c r="A558" s="549"/>
      <c r="B558" s="554"/>
      <c r="C558" s="549"/>
      <c r="D558" s="549"/>
      <c r="E558" s="570"/>
      <c r="F558" s="549"/>
      <c r="G558" s="549"/>
      <c r="H558" s="549"/>
      <c r="I558" s="550"/>
      <c r="J558" s="549"/>
      <c r="K558" s="549"/>
      <c r="L558" s="549"/>
      <c r="M558" s="549"/>
      <c r="N558" s="551"/>
      <c r="O558" s="549"/>
      <c r="P558" s="549"/>
      <c r="Q558" s="549"/>
      <c r="R558" s="549"/>
      <c r="S558" s="549"/>
      <c r="T558" s="549"/>
      <c r="U558" s="549"/>
      <c r="V558" s="549"/>
      <c r="W558" s="549"/>
      <c r="X558" s="549"/>
      <c r="Y558" s="549"/>
      <c r="Z558" s="549"/>
    </row>
    <row r="559" spans="1:26" ht="15">
      <c r="A559" s="549"/>
      <c r="B559" s="554"/>
      <c r="C559" s="549"/>
      <c r="D559" s="549"/>
      <c r="E559" s="570"/>
      <c r="F559" s="549"/>
      <c r="G559" s="549"/>
      <c r="H559" s="549"/>
      <c r="I559" s="550"/>
      <c r="J559" s="549"/>
      <c r="K559" s="549"/>
      <c r="L559" s="549"/>
      <c r="M559" s="549"/>
      <c r="N559" s="551"/>
      <c r="O559" s="549"/>
      <c r="P559" s="549"/>
      <c r="Q559" s="549"/>
      <c r="R559" s="549"/>
      <c r="S559" s="549"/>
      <c r="T559" s="549"/>
      <c r="U559" s="549"/>
      <c r="V559" s="549"/>
      <c r="W559" s="549"/>
      <c r="X559" s="549"/>
      <c r="Y559" s="549"/>
      <c r="Z559" s="549"/>
    </row>
    <row r="560" spans="1:26" ht="15">
      <c r="A560" s="549"/>
      <c r="B560" s="554"/>
      <c r="C560" s="549"/>
      <c r="D560" s="549"/>
      <c r="E560" s="570"/>
      <c r="F560" s="549"/>
      <c r="G560" s="549"/>
      <c r="H560" s="549"/>
      <c r="I560" s="550"/>
      <c r="J560" s="549"/>
      <c r="K560" s="549"/>
      <c r="L560" s="549"/>
      <c r="M560" s="549"/>
      <c r="N560" s="551"/>
      <c r="O560" s="549"/>
      <c r="P560" s="549"/>
      <c r="Q560" s="549"/>
      <c r="R560" s="549"/>
      <c r="S560" s="549"/>
      <c r="T560" s="549"/>
      <c r="U560" s="549"/>
      <c r="V560" s="549"/>
      <c r="W560" s="549"/>
      <c r="X560" s="549"/>
      <c r="Y560" s="549"/>
      <c r="Z560" s="549"/>
    </row>
    <row r="561" spans="1:26" ht="15">
      <c r="A561" s="549"/>
      <c r="B561" s="554"/>
      <c r="C561" s="549"/>
      <c r="D561" s="549"/>
      <c r="E561" s="570"/>
      <c r="F561" s="549"/>
      <c r="G561" s="549"/>
      <c r="H561" s="549"/>
      <c r="I561" s="550"/>
      <c r="J561" s="549"/>
      <c r="K561" s="549"/>
      <c r="L561" s="549"/>
      <c r="M561" s="549"/>
      <c r="N561" s="551"/>
      <c r="O561" s="549"/>
      <c r="P561" s="549"/>
      <c r="Q561" s="549"/>
      <c r="R561" s="549"/>
      <c r="S561" s="549"/>
      <c r="T561" s="549"/>
      <c r="U561" s="549"/>
      <c r="V561" s="549"/>
      <c r="W561" s="549"/>
      <c r="X561" s="549"/>
      <c r="Y561" s="549"/>
      <c r="Z561" s="549"/>
    </row>
    <row r="562" spans="1:26" ht="15">
      <c r="A562" s="549"/>
      <c r="B562" s="554"/>
      <c r="C562" s="549"/>
      <c r="D562" s="549"/>
      <c r="E562" s="570"/>
      <c r="F562" s="549"/>
      <c r="G562" s="549"/>
      <c r="H562" s="549"/>
      <c r="I562" s="550"/>
      <c r="J562" s="549"/>
      <c r="K562" s="549"/>
      <c r="L562" s="549"/>
      <c r="M562" s="549"/>
      <c r="N562" s="551"/>
      <c r="O562" s="549"/>
      <c r="P562" s="549"/>
      <c r="Q562" s="549"/>
      <c r="R562" s="549"/>
      <c r="S562" s="549"/>
      <c r="T562" s="549"/>
      <c r="U562" s="549"/>
      <c r="V562" s="549"/>
      <c r="W562" s="549"/>
      <c r="X562" s="549"/>
      <c r="Y562" s="549"/>
      <c r="Z562" s="549"/>
    </row>
    <row r="563" spans="1:26" ht="15">
      <c r="A563" s="549"/>
      <c r="B563" s="554"/>
      <c r="C563" s="549"/>
      <c r="D563" s="549"/>
      <c r="E563" s="570"/>
      <c r="F563" s="549"/>
      <c r="G563" s="549"/>
      <c r="H563" s="549"/>
      <c r="I563" s="550"/>
      <c r="J563" s="549"/>
      <c r="K563" s="549"/>
      <c r="L563" s="549"/>
      <c r="M563" s="549"/>
      <c r="N563" s="551"/>
      <c r="O563" s="549"/>
      <c r="P563" s="549"/>
      <c r="Q563" s="549"/>
      <c r="R563" s="549"/>
      <c r="S563" s="549"/>
      <c r="T563" s="549"/>
      <c r="U563" s="549"/>
      <c r="V563" s="549"/>
      <c r="W563" s="549"/>
      <c r="X563" s="549"/>
      <c r="Y563" s="549"/>
      <c r="Z563" s="549"/>
    </row>
    <row r="564" spans="1:26" ht="15">
      <c r="A564" s="549"/>
      <c r="B564" s="554"/>
      <c r="C564" s="549"/>
      <c r="D564" s="549"/>
      <c r="E564" s="570"/>
      <c r="F564" s="549"/>
      <c r="G564" s="549"/>
      <c r="H564" s="549"/>
      <c r="I564" s="550"/>
      <c r="J564" s="549"/>
      <c r="K564" s="549"/>
      <c r="L564" s="549"/>
      <c r="M564" s="549"/>
      <c r="N564" s="551"/>
      <c r="O564" s="549"/>
      <c r="P564" s="549"/>
      <c r="Q564" s="549"/>
      <c r="R564" s="549"/>
      <c r="S564" s="549"/>
      <c r="T564" s="549"/>
      <c r="U564" s="549"/>
      <c r="V564" s="549"/>
      <c r="W564" s="549"/>
      <c r="X564" s="549"/>
      <c r="Y564" s="549"/>
      <c r="Z564" s="549"/>
    </row>
    <row r="565" spans="1:26" ht="15">
      <c r="A565" s="549"/>
      <c r="B565" s="554"/>
      <c r="C565" s="549"/>
      <c r="D565" s="549"/>
      <c r="E565" s="570"/>
      <c r="F565" s="549"/>
      <c r="G565" s="549"/>
      <c r="H565" s="549"/>
      <c r="I565" s="550"/>
      <c r="J565" s="549"/>
      <c r="K565" s="549"/>
      <c r="L565" s="549"/>
      <c r="M565" s="549"/>
      <c r="N565" s="551"/>
      <c r="O565" s="549"/>
      <c r="P565" s="549"/>
      <c r="Q565" s="549"/>
      <c r="R565" s="549"/>
      <c r="S565" s="549"/>
      <c r="T565" s="549"/>
      <c r="U565" s="549"/>
      <c r="V565" s="549"/>
      <c r="W565" s="549"/>
      <c r="X565" s="549"/>
      <c r="Y565" s="549"/>
      <c r="Z565" s="549"/>
    </row>
    <row r="566" spans="1:26" ht="15">
      <c r="A566" s="549"/>
      <c r="B566" s="554"/>
      <c r="C566" s="549"/>
      <c r="D566" s="549"/>
      <c r="E566" s="570"/>
      <c r="F566" s="549"/>
      <c r="G566" s="549"/>
      <c r="H566" s="549"/>
      <c r="I566" s="550"/>
      <c r="J566" s="549"/>
      <c r="K566" s="549"/>
      <c r="L566" s="549"/>
      <c r="M566" s="549"/>
      <c r="N566" s="551"/>
      <c r="O566" s="549"/>
      <c r="P566" s="549"/>
      <c r="Q566" s="549"/>
      <c r="R566" s="549"/>
      <c r="S566" s="549"/>
      <c r="T566" s="549"/>
      <c r="U566" s="549"/>
      <c r="V566" s="549"/>
      <c r="W566" s="549"/>
      <c r="X566" s="549"/>
      <c r="Y566" s="549"/>
      <c r="Z566" s="549"/>
    </row>
    <row r="567" spans="1:26" ht="15">
      <c r="A567" s="549"/>
      <c r="B567" s="554"/>
      <c r="C567" s="549"/>
      <c r="D567" s="549"/>
      <c r="E567" s="570"/>
      <c r="F567" s="549"/>
      <c r="G567" s="549"/>
      <c r="H567" s="549"/>
      <c r="I567" s="550"/>
      <c r="J567" s="549"/>
      <c r="K567" s="549"/>
      <c r="L567" s="549"/>
      <c r="M567" s="549"/>
      <c r="N567" s="551"/>
      <c r="O567" s="549"/>
      <c r="P567" s="549"/>
      <c r="Q567" s="549"/>
      <c r="R567" s="549"/>
      <c r="S567" s="549"/>
      <c r="T567" s="549"/>
      <c r="U567" s="549"/>
      <c r="V567" s="549"/>
      <c r="W567" s="549"/>
      <c r="X567" s="549"/>
      <c r="Y567" s="549"/>
      <c r="Z567" s="549"/>
    </row>
    <row r="568" spans="1:26" ht="15">
      <c r="A568" s="549"/>
      <c r="B568" s="554"/>
      <c r="C568" s="549"/>
      <c r="D568" s="549"/>
      <c r="E568" s="570"/>
      <c r="F568" s="549"/>
      <c r="G568" s="549"/>
      <c r="H568" s="549"/>
      <c r="I568" s="550"/>
      <c r="J568" s="549"/>
      <c r="K568" s="549"/>
      <c r="L568" s="549"/>
      <c r="M568" s="549"/>
      <c r="N568" s="551"/>
      <c r="O568" s="549"/>
      <c r="P568" s="549"/>
      <c r="Q568" s="549"/>
      <c r="R568" s="549"/>
      <c r="S568" s="549"/>
      <c r="T568" s="549"/>
      <c r="U568" s="549"/>
      <c r="V568" s="549"/>
      <c r="W568" s="549"/>
      <c r="X568" s="549"/>
      <c r="Y568" s="549"/>
      <c r="Z568" s="549"/>
    </row>
    <row r="569" spans="1:26" ht="15">
      <c r="A569" s="549"/>
      <c r="B569" s="554"/>
      <c r="C569" s="549"/>
      <c r="D569" s="549"/>
      <c r="E569" s="570"/>
      <c r="F569" s="549"/>
      <c r="G569" s="549"/>
      <c r="H569" s="549"/>
      <c r="I569" s="550"/>
      <c r="J569" s="549"/>
      <c r="K569" s="549"/>
      <c r="L569" s="549"/>
      <c r="M569" s="549"/>
      <c r="N569" s="551"/>
      <c r="O569" s="549"/>
      <c r="P569" s="549"/>
      <c r="Q569" s="549"/>
      <c r="R569" s="549"/>
      <c r="S569" s="549"/>
      <c r="T569" s="549"/>
      <c r="U569" s="549"/>
      <c r="V569" s="549"/>
      <c r="W569" s="549"/>
      <c r="X569" s="549"/>
      <c r="Y569" s="549"/>
      <c r="Z569" s="549"/>
    </row>
    <row r="570" spans="1:26" ht="15">
      <c r="A570" s="549"/>
      <c r="B570" s="554"/>
      <c r="C570" s="549"/>
      <c r="D570" s="549"/>
      <c r="E570" s="570"/>
      <c r="F570" s="549"/>
      <c r="G570" s="549"/>
      <c r="H570" s="549"/>
      <c r="I570" s="550"/>
      <c r="J570" s="549"/>
      <c r="K570" s="549"/>
      <c r="L570" s="549"/>
      <c r="M570" s="549"/>
      <c r="N570" s="551"/>
      <c r="O570" s="549"/>
      <c r="P570" s="549"/>
      <c r="Q570" s="549"/>
      <c r="R570" s="549"/>
      <c r="S570" s="549"/>
      <c r="T570" s="549"/>
      <c r="U570" s="549"/>
      <c r="V570" s="549"/>
      <c r="W570" s="549"/>
      <c r="X570" s="549"/>
      <c r="Y570" s="549"/>
      <c r="Z570" s="549"/>
    </row>
    <row r="571" spans="1:26" ht="15">
      <c r="A571" s="549"/>
      <c r="B571" s="554"/>
      <c r="C571" s="549"/>
      <c r="D571" s="549"/>
      <c r="E571" s="570"/>
      <c r="F571" s="549"/>
      <c r="G571" s="549"/>
      <c r="H571" s="549"/>
      <c r="I571" s="550"/>
      <c r="J571" s="549"/>
      <c r="K571" s="549"/>
      <c r="L571" s="549"/>
      <c r="M571" s="549"/>
      <c r="N571" s="551"/>
      <c r="O571" s="549"/>
      <c r="P571" s="549"/>
      <c r="Q571" s="549"/>
      <c r="R571" s="549"/>
      <c r="S571" s="549"/>
      <c r="T571" s="549"/>
      <c r="U571" s="549"/>
      <c r="V571" s="549"/>
      <c r="W571" s="549"/>
      <c r="X571" s="549"/>
      <c r="Y571" s="549"/>
      <c r="Z571" s="549"/>
    </row>
    <row r="572" spans="1:26" ht="15">
      <c r="A572" s="549"/>
      <c r="B572" s="554"/>
      <c r="C572" s="549"/>
      <c r="D572" s="549"/>
      <c r="E572" s="570"/>
      <c r="F572" s="549"/>
      <c r="G572" s="549"/>
      <c r="H572" s="549"/>
      <c r="I572" s="550"/>
      <c r="J572" s="549"/>
      <c r="K572" s="549"/>
      <c r="L572" s="549"/>
      <c r="M572" s="549"/>
      <c r="N572" s="551"/>
      <c r="O572" s="549"/>
      <c r="P572" s="549"/>
      <c r="Q572" s="549"/>
      <c r="R572" s="549"/>
      <c r="S572" s="549"/>
      <c r="T572" s="549"/>
      <c r="U572" s="549"/>
      <c r="V572" s="549"/>
      <c r="W572" s="549"/>
      <c r="X572" s="549"/>
      <c r="Y572" s="549"/>
      <c r="Z572" s="549"/>
    </row>
    <row r="573" spans="1:26" ht="15">
      <c r="A573" s="549"/>
      <c r="B573" s="554"/>
      <c r="C573" s="549"/>
      <c r="D573" s="549"/>
      <c r="E573" s="570"/>
      <c r="F573" s="549"/>
      <c r="G573" s="549"/>
      <c r="H573" s="549"/>
      <c r="I573" s="550"/>
      <c r="J573" s="549"/>
      <c r="K573" s="549"/>
      <c r="L573" s="549"/>
      <c r="M573" s="549"/>
      <c r="N573" s="551"/>
      <c r="O573" s="549"/>
      <c r="P573" s="549"/>
      <c r="Q573" s="549"/>
      <c r="R573" s="549"/>
      <c r="S573" s="549"/>
      <c r="T573" s="549"/>
      <c r="U573" s="549"/>
      <c r="V573" s="549"/>
      <c r="W573" s="549"/>
      <c r="X573" s="549"/>
      <c r="Y573" s="549"/>
      <c r="Z573" s="549"/>
    </row>
    <row r="574" spans="1:26" ht="15">
      <c r="A574" s="549"/>
      <c r="B574" s="554"/>
      <c r="C574" s="549"/>
      <c r="D574" s="549"/>
      <c r="E574" s="570"/>
      <c r="F574" s="549"/>
      <c r="G574" s="549"/>
      <c r="H574" s="549"/>
      <c r="I574" s="550"/>
      <c r="J574" s="549"/>
      <c r="K574" s="549"/>
      <c r="L574" s="549"/>
      <c r="M574" s="549"/>
      <c r="N574" s="551"/>
      <c r="O574" s="549"/>
      <c r="P574" s="549"/>
      <c r="Q574" s="549"/>
      <c r="R574" s="549"/>
      <c r="S574" s="549"/>
      <c r="T574" s="549"/>
      <c r="U574" s="549"/>
      <c r="V574" s="549"/>
      <c r="W574" s="549"/>
      <c r="X574" s="549"/>
      <c r="Y574" s="549"/>
      <c r="Z574" s="549"/>
    </row>
    <row r="575" spans="1:26" ht="15">
      <c r="A575" s="549"/>
      <c r="B575" s="554"/>
      <c r="C575" s="549"/>
      <c r="D575" s="549"/>
      <c r="E575" s="570"/>
      <c r="F575" s="549"/>
      <c r="G575" s="549"/>
      <c r="H575" s="549"/>
      <c r="I575" s="550"/>
      <c r="J575" s="549"/>
      <c r="K575" s="549"/>
      <c r="L575" s="549"/>
      <c r="M575" s="549"/>
      <c r="N575" s="551"/>
      <c r="O575" s="549"/>
      <c r="P575" s="549"/>
      <c r="Q575" s="549"/>
      <c r="R575" s="549"/>
      <c r="S575" s="549"/>
      <c r="T575" s="549"/>
      <c r="U575" s="549"/>
      <c r="V575" s="549"/>
      <c r="W575" s="549"/>
      <c r="X575" s="549"/>
      <c r="Y575" s="549"/>
      <c r="Z575" s="549"/>
    </row>
    <row r="576" spans="1:26" ht="15">
      <c r="A576" s="549"/>
      <c r="B576" s="554"/>
      <c r="C576" s="549"/>
      <c r="D576" s="549"/>
      <c r="E576" s="570"/>
      <c r="F576" s="549"/>
      <c r="G576" s="549"/>
      <c r="H576" s="549"/>
      <c r="I576" s="550"/>
      <c r="J576" s="549"/>
      <c r="K576" s="549"/>
      <c r="L576" s="549"/>
      <c r="M576" s="549"/>
      <c r="N576" s="551"/>
      <c r="O576" s="549"/>
      <c r="P576" s="549"/>
      <c r="Q576" s="549"/>
      <c r="R576" s="549"/>
      <c r="S576" s="549"/>
      <c r="T576" s="549"/>
      <c r="U576" s="549"/>
      <c r="V576" s="549"/>
      <c r="W576" s="549"/>
      <c r="X576" s="549"/>
      <c r="Y576" s="549"/>
      <c r="Z576" s="549"/>
    </row>
    <row r="577" spans="1:26" ht="15">
      <c r="A577" s="549"/>
      <c r="B577" s="554"/>
      <c r="C577" s="549"/>
      <c r="D577" s="549"/>
      <c r="E577" s="570"/>
      <c r="F577" s="549"/>
      <c r="G577" s="549"/>
      <c r="H577" s="549"/>
      <c r="I577" s="550"/>
      <c r="J577" s="549"/>
      <c r="K577" s="549"/>
      <c r="L577" s="549"/>
      <c r="M577" s="549"/>
      <c r="N577" s="551"/>
      <c r="O577" s="549"/>
      <c r="P577" s="549"/>
      <c r="Q577" s="549"/>
      <c r="R577" s="549"/>
      <c r="S577" s="549"/>
      <c r="T577" s="549"/>
      <c r="U577" s="549"/>
      <c r="V577" s="549"/>
      <c r="W577" s="549"/>
      <c r="X577" s="549"/>
      <c r="Y577" s="549"/>
      <c r="Z577" s="549"/>
    </row>
    <row r="578" spans="1:26" ht="15">
      <c r="A578" s="549"/>
      <c r="B578" s="554"/>
      <c r="C578" s="549"/>
      <c r="D578" s="549"/>
      <c r="E578" s="570"/>
      <c r="F578" s="549"/>
      <c r="G578" s="549"/>
      <c r="H578" s="549"/>
      <c r="I578" s="550"/>
      <c r="J578" s="549"/>
      <c r="K578" s="549"/>
      <c r="L578" s="549"/>
      <c r="M578" s="549"/>
      <c r="N578" s="551"/>
      <c r="O578" s="549"/>
      <c r="P578" s="549"/>
      <c r="Q578" s="549"/>
      <c r="R578" s="549"/>
      <c r="S578" s="549"/>
      <c r="T578" s="549"/>
      <c r="U578" s="549"/>
      <c r="V578" s="549"/>
      <c r="W578" s="549"/>
      <c r="X578" s="549"/>
      <c r="Y578" s="549"/>
      <c r="Z578" s="549"/>
    </row>
    <row r="579" spans="1:26" ht="15">
      <c r="A579" s="549"/>
      <c r="B579" s="554"/>
      <c r="C579" s="549"/>
      <c r="D579" s="549"/>
      <c r="E579" s="570"/>
      <c r="F579" s="549"/>
      <c r="G579" s="549"/>
      <c r="H579" s="549"/>
      <c r="I579" s="550"/>
      <c r="J579" s="549"/>
      <c r="K579" s="549"/>
      <c r="L579" s="549"/>
      <c r="M579" s="549"/>
      <c r="N579" s="551"/>
      <c r="O579" s="549"/>
      <c r="P579" s="549"/>
      <c r="Q579" s="549"/>
      <c r="R579" s="549"/>
      <c r="S579" s="549"/>
      <c r="T579" s="549"/>
      <c r="U579" s="549"/>
      <c r="V579" s="549"/>
      <c r="W579" s="549"/>
      <c r="X579" s="549"/>
      <c r="Y579" s="549"/>
      <c r="Z579" s="549"/>
    </row>
    <row r="580" spans="1:26" ht="15">
      <c r="A580" s="549"/>
      <c r="B580" s="554"/>
      <c r="C580" s="549"/>
      <c r="D580" s="549"/>
      <c r="E580" s="570"/>
      <c r="F580" s="549"/>
      <c r="G580" s="549"/>
      <c r="H580" s="549"/>
      <c r="I580" s="550"/>
      <c r="J580" s="549"/>
      <c r="K580" s="549"/>
      <c r="L580" s="549"/>
      <c r="M580" s="549"/>
      <c r="N580" s="551"/>
      <c r="O580" s="549"/>
      <c r="P580" s="549"/>
      <c r="Q580" s="549"/>
      <c r="R580" s="549"/>
      <c r="S580" s="549"/>
      <c r="T580" s="549"/>
      <c r="U580" s="549"/>
      <c r="V580" s="549"/>
      <c r="W580" s="549"/>
      <c r="X580" s="549"/>
      <c r="Y580" s="549"/>
      <c r="Z580" s="549"/>
    </row>
    <row r="581" spans="1:26" ht="15">
      <c r="A581" s="549"/>
      <c r="B581" s="554"/>
      <c r="C581" s="549"/>
      <c r="D581" s="549"/>
      <c r="E581" s="570"/>
      <c r="F581" s="549"/>
      <c r="G581" s="549"/>
      <c r="H581" s="549"/>
      <c r="I581" s="550"/>
      <c r="J581" s="549"/>
      <c r="K581" s="549"/>
      <c r="L581" s="549"/>
      <c r="M581" s="549"/>
      <c r="N581" s="551"/>
      <c r="O581" s="549"/>
      <c r="P581" s="549"/>
      <c r="Q581" s="549"/>
      <c r="R581" s="549"/>
      <c r="S581" s="549"/>
      <c r="T581" s="549"/>
      <c r="U581" s="549"/>
      <c r="V581" s="549"/>
      <c r="W581" s="549"/>
      <c r="X581" s="549"/>
      <c r="Y581" s="549"/>
      <c r="Z581" s="549"/>
    </row>
    <row r="582" spans="1:26" ht="15">
      <c r="A582" s="549"/>
      <c r="B582" s="554"/>
      <c r="C582" s="549"/>
      <c r="D582" s="549"/>
      <c r="E582" s="570"/>
      <c r="F582" s="549"/>
      <c r="G582" s="549"/>
      <c r="H582" s="549"/>
      <c r="I582" s="550"/>
      <c r="J582" s="549"/>
      <c r="K582" s="549"/>
      <c r="L582" s="549"/>
      <c r="M582" s="549"/>
      <c r="N582" s="551"/>
      <c r="O582" s="549"/>
      <c r="P582" s="549"/>
      <c r="Q582" s="549"/>
      <c r="R582" s="549"/>
      <c r="S582" s="549"/>
      <c r="T582" s="549"/>
      <c r="U582" s="549"/>
      <c r="V582" s="549"/>
      <c r="W582" s="549"/>
      <c r="X582" s="549"/>
      <c r="Y582" s="549"/>
      <c r="Z582" s="549"/>
    </row>
    <row r="583" spans="1:26" ht="15">
      <c r="A583" s="549"/>
      <c r="B583" s="554"/>
      <c r="C583" s="549"/>
      <c r="D583" s="549"/>
      <c r="E583" s="570"/>
      <c r="F583" s="549"/>
      <c r="G583" s="549"/>
      <c r="H583" s="549"/>
      <c r="I583" s="550"/>
      <c r="J583" s="549"/>
      <c r="K583" s="549"/>
      <c r="L583" s="549"/>
      <c r="M583" s="549"/>
      <c r="N583" s="551"/>
      <c r="O583" s="549"/>
      <c r="P583" s="549"/>
      <c r="Q583" s="549"/>
      <c r="R583" s="549"/>
      <c r="S583" s="549"/>
      <c r="T583" s="549"/>
      <c r="U583" s="549"/>
      <c r="V583" s="549"/>
      <c r="W583" s="549"/>
      <c r="X583" s="549"/>
      <c r="Y583" s="549"/>
      <c r="Z583" s="549"/>
    </row>
    <row r="584" spans="1:26" ht="15">
      <c r="A584" s="549"/>
      <c r="B584" s="554"/>
      <c r="C584" s="549"/>
      <c r="D584" s="549"/>
      <c r="E584" s="570"/>
      <c r="F584" s="549"/>
      <c r="G584" s="549"/>
      <c r="H584" s="549"/>
      <c r="I584" s="550"/>
      <c r="J584" s="549"/>
      <c r="K584" s="549"/>
      <c r="L584" s="549"/>
      <c r="M584" s="549"/>
      <c r="N584" s="551"/>
      <c r="O584" s="549"/>
      <c r="P584" s="549"/>
      <c r="Q584" s="549"/>
      <c r="R584" s="549"/>
      <c r="S584" s="549"/>
      <c r="T584" s="549"/>
      <c r="U584" s="549"/>
      <c r="V584" s="549"/>
      <c r="W584" s="549"/>
      <c r="X584" s="549"/>
      <c r="Y584" s="549"/>
      <c r="Z584" s="549"/>
    </row>
    <row r="585" spans="1:26" ht="15">
      <c r="A585" s="549"/>
      <c r="B585" s="554"/>
      <c r="C585" s="549"/>
      <c r="D585" s="549"/>
      <c r="E585" s="570"/>
      <c r="F585" s="549"/>
      <c r="G585" s="549"/>
      <c r="H585" s="549"/>
      <c r="I585" s="550"/>
      <c r="J585" s="549"/>
      <c r="K585" s="549"/>
      <c r="L585" s="549"/>
      <c r="M585" s="549"/>
      <c r="N585" s="551"/>
      <c r="O585" s="549"/>
      <c r="P585" s="549"/>
      <c r="Q585" s="549"/>
      <c r="R585" s="549"/>
      <c r="S585" s="549"/>
      <c r="T585" s="549"/>
      <c r="U585" s="549"/>
      <c r="V585" s="549"/>
      <c r="W585" s="549"/>
      <c r="X585" s="549"/>
      <c r="Y585" s="549"/>
      <c r="Z585" s="549"/>
    </row>
    <row r="586" spans="1:26" ht="15">
      <c r="A586" s="549"/>
      <c r="B586" s="554"/>
      <c r="C586" s="549"/>
      <c r="D586" s="549"/>
      <c r="E586" s="570"/>
      <c r="F586" s="549"/>
      <c r="G586" s="549"/>
      <c r="H586" s="549"/>
      <c r="I586" s="550"/>
      <c r="J586" s="549"/>
      <c r="K586" s="549"/>
      <c r="L586" s="549"/>
      <c r="M586" s="549"/>
      <c r="N586" s="551"/>
      <c r="O586" s="549"/>
      <c r="P586" s="549"/>
      <c r="Q586" s="549"/>
      <c r="R586" s="549"/>
      <c r="S586" s="549"/>
      <c r="T586" s="549"/>
      <c r="U586" s="549"/>
      <c r="V586" s="549"/>
      <c r="W586" s="549"/>
      <c r="X586" s="549"/>
      <c r="Y586" s="549"/>
      <c r="Z586" s="549"/>
    </row>
    <row r="587" spans="1:26" ht="15">
      <c r="A587" s="549"/>
      <c r="B587" s="554"/>
      <c r="C587" s="549"/>
      <c r="D587" s="549"/>
      <c r="E587" s="570"/>
      <c r="F587" s="549"/>
      <c r="G587" s="549"/>
      <c r="H587" s="549"/>
      <c r="I587" s="550"/>
      <c r="J587" s="549"/>
      <c r="K587" s="549"/>
      <c r="L587" s="549"/>
      <c r="M587" s="549"/>
      <c r="N587" s="551"/>
      <c r="O587" s="549"/>
      <c r="P587" s="549"/>
      <c r="Q587" s="549"/>
      <c r="R587" s="549"/>
      <c r="S587" s="549"/>
      <c r="T587" s="549"/>
      <c r="U587" s="549"/>
      <c r="V587" s="549"/>
      <c r="W587" s="549"/>
      <c r="X587" s="549"/>
      <c r="Y587" s="549"/>
      <c r="Z587" s="549"/>
    </row>
    <row r="588" spans="1:26" ht="15">
      <c r="A588" s="549"/>
      <c r="B588" s="554"/>
      <c r="C588" s="549"/>
      <c r="D588" s="549"/>
      <c r="E588" s="570"/>
      <c r="F588" s="549"/>
      <c r="G588" s="549"/>
      <c r="H588" s="549"/>
      <c r="I588" s="550"/>
      <c r="J588" s="549"/>
      <c r="K588" s="549"/>
      <c r="L588" s="549"/>
      <c r="M588" s="549"/>
      <c r="N588" s="551"/>
      <c r="O588" s="549"/>
      <c r="P588" s="549"/>
      <c r="Q588" s="549"/>
      <c r="R588" s="549"/>
      <c r="S588" s="549"/>
      <c r="T588" s="549"/>
      <c r="U588" s="549"/>
      <c r="V588" s="549"/>
      <c r="W588" s="549"/>
      <c r="X588" s="549"/>
      <c r="Y588" s="549"/>
      <c r="Z588" s="549"/>
    </row>
    <row r="589" spans="1:26" ht="15">
      <c r="A589" s="549"/>
      <c r="B589" s="554"/>
      <c r="C589" s="549"/>
      <c r="D589" s="549"/>
      <c r="E589" s="570"/>
      <c r="F589" s="549"/>
      <c r="G589" s="549"/>
      <c r="H589" s="549"/>
      <c r="I589" s="550"/>
      <c r="J589" s="549"/>
      <c r="K589" s="549"/>
      <c r="L589" s="549"/>
      <c r="M589" s="549"/>
      <c r="N589" s="551"/>
      <c r="O589" s="549"/>
      <c r="P589" s="549"/>
      <c r="Q589" s="549"/>
      <c r="R589" s="549"/>
      <c r="S589" s="549"/>
      <c r="T589" s="549"/>
      <c r="U589" s="549"/>
      <c r="V589" s="549"/>
      <c r="W589" s="549"/>
      <c r="X589" s="549"/>
      <c r="Y589" s="549"/>
      <c r="Z589" s="549"/>
    </row>
    <row r="590" spans="1:26" ht="15">
      <c r="A590" s="549"/>
      <c r="B590" s="554"/>
      <c r="C590" s="549"/>
      <c r="D590" s="549"/>
      <c r="E590" s="570"/>
      <c r="F590" s="549"/>
      <c r="G590" s="549"/>
      <c r="H590" s="549"/>
      <c r="I590" s="550"/>
      <c r="J590" s="549"/>
      <c r="K590" s="549"/>
      <c r="L590" s="549"/>
      <c r="M590" s="549"/>
      <c r="N590" s="551"/>
      <c r="O590" s="549"/>
      <c r="P590" s="549"/>
      <c r="Q590" s="549"/>
      <c r="R590" s="549"/>
      <c r="S590" s="549"/>
      <c r="T590" s="549"/>
      <c r="U590" s="549"/>
      <c r="V590" s="549"/>
      <c r="W590" s="549"/>
      <c r="X590" s="549"/>
      <c r="Y590" s="549"/>
      <c r="Z590" s="549"/>
    </row>
    <row r="591" spans="1:26" ht="15">
      <c r="A591" s="549"/>
      <c r="B591" s="554"/>
      <c r="C591" s="549"/>
      <c r="D591" s="549"/>
      <c r="E591" s="570"/>
      <c r="F591" s="549"/>
      <c r="G591" s="549"/>
      <c r="H591" s="549"/>
      <c r="I591" s="550"/>
      <c r="J591" s="549"/>
      <c r="K591" s="549"/>
      <c r="L591" s="549"/>
      <c r="M591" s="549"/>
      <c r="N591" s="551"/>
      <c r="O591" s="549"/>
      <c r="P591" s="549"/>
      <c r="Q591" s="549"/>
      <c r="R591" s="549"/>
      <c r="S591" s="549"/>
      <c r="T591" s="549"/>
      <c r="U591" s="549"/>
      <c r="V591" s="549"/>
      <c r="W591" s="549"/>
      <c r="X591" s="549"/>
      <c r="Y591" s="549"/>
      <c r="Z591" s="549"/>
    </row>
    <row r="592" spans="1:26" ht="15">
      <c r="A592" s="549"/>
      <c r="B592" s="554"/>
      <c r="C592" s="549"/>
      <c r="D592" s="549"/>
      <c r="E592" s="570"/>
      <c r="F592" s="549"/>
      <c r="G592" s="549"/>
      <c r="H592" s="549"/>
      <c r="I592" s="550"/>
      <c r="J592" s="549"/>
      <c r="K592" s="549"/>
      <c r="L592" s="549"/>
      <c r="M592" s="549"/>
      <c r="N592" s="551"/>
      <c r="O592" s="549"/>
      <c r="P592" s="549"/>
      <c r="Q592" s="549"/>
      <c r="R592" s="549"/>
      <c r="S592" s="549"/>
      <c r="T592" s="549"/>
      <c r="U592" s="549"/>
      <c r="V592" s="549"/>
      <c r="W592" s="549"/>
      <c r="X592" s="549"/>
      <c r="Y592" s="549"/>
      <c r="Z592" s="549"/>
    </row>
    <row r="593" spans="1:26" ht="15">
      <c r="A593" s="549"/>
      <c r="B593" s="554"/>
      <c r="C593" s="549"/>
      <c r="D593" s="549"/>
      <c r="E593" s="570"/>
      <c r="F593" s="549"/>
      <c r="G593" s="549"/>
      <c r="H593" s="549"/>
      <c r="I593" s="550"/>
      <c r="J593" s="549"/>
      <c r="K593" s="549"/>
      <c r="L593" s="549"/>
      <c r="M593" s="549"/>
      <c r="N593" s="551"/>
      <c r="O593" s="549"/>
      <c r="P593" s="549"/>
      <c r="Q593" s="549"/>
      <c r="R593" s="549"/>
      <c r="S593" s="549"/>
      <c r="T593" s="549"/>
      <c r="U593" s="549"/>
      <c r="V593" s="549"/>
      <c r="W593" s="549"/>
      <c r="X593" s="549"/>
      <c r="Y593" s="549"/>
      <c r="Z593" s="549"/>
    </row>
    <row r="594" spans="1:26" ht="15">
      <c r="A594" s="549"/>
      <c r="B594" s="554"/>
      <c r="C594" s="549"/>
      <c r="D594" s="549"/>
      <c r="E594" s="570"/>
      <c r="F594" s="549"/>
      <c r="G594" s="549"/>
      <c r="H594" s="549"/>
      <c r="I594" s="550"/>
      <c r="J594" s="549"/>
      <c r="K594" s="549"/>
      <c r="L594" s="549"/>
      <c r="M594" s="549"/>
      <c r="N594" s="551"/>
      <c r="O594" s="549"/>
      <c r="P594" s="549"/>
      <c r="Q594" s="549"/>
      <c r="R594" s="549"/>
      <c r="S594" s="549"/>
      <c r="T594" s="549"/>
      <c r="U594" s="549"/>
      <c r="V594" s="549"/>
      <c r="W594" s="549"/>
      <c r="X594" s="549"/>
      <c r="Y594" s="549"/>
      <c r="Z594" s="549"/>
    </row>
    <row r="595" spans="1:26" ht="15">
      <c r="A595" s="549"/>
      <c r="B595" s="554"/>
      <c r="C595" s="549"/>
      <c r="D595" s="549"/>
      <c r="E595" s="570"/>
      <c r="F595" s="549"/>
      <c r="G595" s="549"/>
      <c r="H595" s="549"/>
      <c r="I595" s="550"/>
      <c r="J595" s="549"/>
      <c r="K595" s="549"/>
      <c r="L595" s="549"/>
      <c r="M595" s="549"/>
      <c r="N595" s="551"/>
      <c r="O595" s="549"/>
      <c r="P595" s="549"/>
      <c r="Q595" s="549"/>
      <c r="R595" s="549"/>
      <c r="S595" s="549"/>
      <c r="T595" s="549"/>
      <c r="U595" s="549"/>
      <c r="V595" s="549"/>
      <c r="W595" s="549"/>
      <c r="X595" s="549"/>
      <c r="Y595" s="549"/>
      <c r="Z595" s="549"/>
    </row>
    <row r="596" spans="1:26" ht="15">
      <c r="A596" s="549"/>
      <c r="B596" s="554"/>
      <c r="C596" s="549"/>
      <c r="D596" s="549"/>
      <c r="E596" s="570"/>
      <c r="F596" s="549"/>
      <c r="G596" s="549"/>
      <c r="H596" s="549"/>
      <c r="I596" s="550"/>
      <c r="J596" s="549"/>
      <c r="K596" s="549"/>
      <c r="L596" s="549"/>
      <c r="M596" s="549"/>
      <c r="N596" s="551"/>
      <c r="O596" s="549"/>
      <c r="P596" s="549"/>
      <c r="Q596" s="549"/>
      <c r="R596" s="549"/>
      <c r="S596" s="549"/>
      <c r="T596" s="549"/>
      <c r="U596" s="549"/>
      <c r="V596" s="549"/>
      <c r="W596" s="549"/>
      <c r="X596" s="549"/>
      <c r="Y596" s="549"/>
      <c r="Z596" s="549"/>
    </row>
    <row r="597" spans="1:26" ht="15">
      <c r="A597" s="549"/>
      <c r="B597" s="554"/>
      <c r="C597" s="549"/>
      <c r="D597" s="549"/>
      <c r="E597" s="570"/>
      <c r="F597" s="549"/>
      <c r="G597" s="549"/>
      <c r="H597" s="549"/>
      <c r="I597" s="550"/>
      <c r="J597" s="549"/>
      <c r="K597" s="549"/>
      <c r="L597" s="549"/>
      <c r="M597" s="549"/>
      <c r="N597" s="551"/>
      <c r="O597" s="549"/>
      <c r="P597" s="549"/>
      <c r="Q597" s="549"/>
      <c r="R597" s="549"/>
      <c r="S597" s="549"/>
      <c r="T597" s="549"/>
      <c r="U597" s="549"/>
      <c r="V597" s="549"/>
      <c r="W597" s="549"/>
      <c r="X597" s="549"/>
      <c r="Y597" s="549"/>
      <c r="Z597" s="549"/>
    </row>
    <row r="598" spans="1:26" ht="15">
      <c r="A598" s="549"/>
      <c r="B598" s="554"/>
      <c r="C598" s="549"/>
      <c r="D598" s="549"/>
      <c r="E598" s="570"/>
      <c r="F598" s="549"/>
      <c r="G598" s="549"/>
      <c r="H598" s="549"/>
      <c r="I598" s="550"/>
      <c r="J598" s="549"/>
      <c r="K598" s="549"/>
      <c r="L598" s="549"/>
      <c r="M598" s="549"/>
      <c r="N598" s="551"/>
      <c r="O598" s="549"/>
      <c r="P598" s="549"/>
      <c r="Q598" s="549"/>
      <c r="R598" s="549"/>
      <c r="S598" s="549"/>
      <c r="T598" s="549"/>
      <c r="U598" s="549"/>
      <c r="V598" s="549"/>
      <c r="W598" s="549"/>
      <c r="X598" s="549"/>
      <c r="Y598" s="549"/>
      <c r="Z598" s="549"/>
    </row>
    <row r="599" spans="1:26" ht="15">
      <c r="A599" s="549"/>
      <c r="B599" s="554"/>
      <c r="C599" s="549"/>
      <c r="D599" s="549"/>
      <c r="E599" s="570"/>
      <c r="F599" s="549"/>
      <c r="G599" s="549"/>
      <c r="H599" s="549"/>
      <c r="I599" s="550"/>
      <c r="J599" s="549"/>
      <c r="K599" s="549"/>
      <c r="L599" s="549"/>
      <c r="M599" s="549"/>
      <c r="N599" s="551"/>
      <c r="O599" s="549"/>
      <c r="P599" s="549"/>
      <c r="Q599" s="549"/>
      <c r="R599" s="549"/>
      <c r="S599" s="549"/>
      <c r="T599" s="549"/>
      <c r="U599" s="549"/>
      <c r="V599" s="549"/>
      <c r="W599" s="549"/>
      <c r="X599" s="549"/>
      <c r="Y599" s="549"/>
      <c r="Z599" s="549"/>
    </row>
    <row r="600" spans="1:26" ht="15">
      <c r="A600" s="549"/>
      <c r="B600" s="554"/>
      <c r="C600" s="549"/>
      <c r="D600" s="549"/>
      <c r="E600" s="570"/>
      <c r="F600" s="549"/>
      <c r="G600" s="549"/>
      <c r="H600" s="549"/>
      <c r="I600" s="550"/>
      <c r="J600" s="549"/>
      <c r="K600" s="549"/>
      <c r="L600" s="549"/>
      <c r="M600" s="549"/>
      <c r="N600" s="551"/>
      <c r="O600" s="549"/>
      <c r="P600" s="549"/>
      <c r="Q600" s="549"/>
      <c r="R600" s="549"/>
      <c r="S600" s="549"/>
      <c r="T600" s="549"/>
      <c r="U600" s="549"/>
      <c r="V600" s="549"/>
      <c r="W600" s="549"/>
      <c r="X600" s="549"/>
      <c r="Y600" s="549"/>
      <c r="Z600" s="549"/>
    </row>
    <row r="601" spans="1:26" ht="15">
      <c r="A601" s="549"/>
      <c r="B601" s="554"/>
      <c r="C601" s="549"/>
      <c r="D601" s="549"/>
      <c r="E601" s="570"/>
      <c r="F601" s="549"/>
      <c r="G601" s="549"/>
      <c r="H601" s="549"/>
      <c r="I601" s="550"/>
      <c r="J601" s="549"/>
      <c r="K601" s="549"/>
      <c r="L601" s="549"/>
      <c r="M601" s="549"/>
      <c r="N601" s="551"/>
      <c r="O601" s="549"/>
      <c r="P601" s="549"/>
      <c r="Q601" s="549"/>
      <c r="R601" s="549"/>
      <c r="S601" s="549"/>
      <c r="T601" s="549"/>
      <c r="U601" s="549"/>
      <c r="V601" s="549"/>
      <c r="W601" s="549"/>
      <c r="X601" s="549"/>
      <c r="Y601" s="549"/>
      <c r="Z601" s="549"/>
    </row>
    <row r="602" spans="1:26" ht="15">
      <c r="A602" s="549"/>
      <c r="B602" s="554"/>
      <c r="C602" s="549"/>
      <c r="D602" s="549"/>
      <c r="E602" s="570"/>
      <c r="F602" s="549"/>
      <c r="G602" s="549"/>
      <c r="H602" s="549"/>
      <c r="I602" s="550"/>
      <c r="J602" s="549"/>
      <c r="K602" s="549"/>
      <c r="L602" s="549"/>
      <c r="M602" s="549"/>
      <c r="N602" s="551"/>
      <c r="O602" s="549"/>
      <c r="P602" s="549"/>
      <c r="Q602" s="549"/>
      <c r="R602" s="549"/>
      <c r="S602" s="549"/>
      <c r="T602" s="549"/>
      <c r="U602" s="549"/>
      <c r="V602" s="549"/>
      <c r="W602" s="549"/>
      <c r="X602" s="549"/>
      <c r="Y602" s="549"/>
      <c r="Z602" s="549"/>
    </row>
    <row r="603" spans="1:26" ht="15">
      <c r="A603" s="549"/>
      <c r="B603" s="554"/>
      <c r="C603" s="549"/>
      <c r="D603" s="549"/>
      <c r="E603" s="570"/>
      <c r="F603" s="549"/>
      <c r="G603" s="549"/>
      <c r="H603" s="549"/>
      <c r="I603" s="550"/>
      <c r="J603" s="549"/>
      <c r="K603" s="549"/>
      <c r="L603" s="549"/>
      <c r="M603" s="549"/>
      <c r="N603" s="551"/>
      <c r="O603" s="549"/>
      <c r="P603" s="549"/>
      <c r="Q603" s="549"/>
      <c r="R603" s="549"/>
      <c r="S603" s="549"/>
      <c r="T603" s="549"/>
      <c r="U603" s="549"/>
      <c r="V603" s="549"/>
      <c r="W603" s="549"/>
      <c r="X603" s="549"/>
      <c r="Y603" s="549"/>
      <c r="Z603" s="549"/>
    </row>
    <row r="604" spans="1:26" ht="15">
      <c r="A604" s="549"/>
      <c r="B604" s="554"/>
      <c r="C604" s="549"/>
      <c r="D604" s="549"/>
      <c r="E604" s="570"/>
      <c r="F604" s="549"/>
      <c r="G604" s="549"/>
      <c r="H604" s="549"/>
      <c r="I604" s="550"/>
      <c r="J604" s="549"/>
      <c r="K604" s="549"/>
      <c r="L604" s="549"/>
      <c r="M604" s="549"/>
      <c r="N604" s="551"/>
      <c r="O604" s="549"/>
      <c r="P604" s="549"/>
      <c r="Q604" s="549"/>
      <c r="R604" s="549"/>
      <c r="S604" s="549"/>
      <c r="T604" s="549"/>
      <c r="U604" s="549"/>
      <c r="V604" s="549"/>
      <c r="W604" s="549"/>
      <c r="X604" s="549"/>
      <c r="Y604" s="549"/>
      <c r="Z604" s="549"/>
    </row>
    <row r="605" spans="1:26" ht="15">
      <c r="A605" s="549"/>
      <c r="B605" s="554"/>
      <c r="C605" s="549"/>
      <c r="D605" s="549"/>
      <c r="E605" s="570"/>
      <c r="F605" s="549"/>
      <c r="G605" s="549"/>
      <c r="H605" s="549"/>
      <c r="I605" s="550"/>
      <c r="J605" s="549"/>
      <c r="K605" s="549"/>
      <c r="L605" s="549"/>
      <c r="M605" s="549"/>
      <c r="N605" s="551"/>
      <c r="O605" s="549"/>
      <c r="P605" s="549"/>
      <c r="Q605" s="549"/>
      <c r="R605" s="549"/>
      <c r="S605" s="549"/>
      <c r="T605" s="549"/>
      <c r="U605" s="549"/>
      <c r="V605" s="549"/>
      <c r="W605" s="549"/>
      <c r="X605" s="549"/>
      <c r="Y605" s="549"/>
      <c r="Z605" s="549"/>
    </row>
    <row r="606" spans="1:26" ht="15">
      <c r="A606" s="549"/>
      <c r="B606" s="554"/>
      <c r="C606" s="549"/>
      <c r="D606" s="549"/>
      <c r="E606" s="570"/>
      <c r="F606" s="549"/>
      <c r="G606" s="549"/>
      <c r="H606" s="549"/>
      <c r="I606" s="550"/>
      <c r="J606" s="549"/>
      <c r="K606" s="549"/>
      <c r="L606" s="549"/>
      <c r="M606" s="549"/>
      <c r="N606" s="551"/>
      <c r="O606" s="549"/>
      <c r="P606" s="549"/>
      <c r="Q606" s="549"/>
      <c r="R606" s="549"/>
      <c r="S606" s="549"/>
      <c r="T606" s="549"/>
      <c r="U606" s="549"/>
      <c r="V606" s="549"/>
      <c r="W606" s="549"/>
      <c r="X606" s="549"/>
      <c r="Y606" s="549"/>
      <c r="Z606" s="549"/>
    </row>
    <row r="607" spans="1:26" ht="15">
      <c r="A607" s="549"/>
      <c r="B607" s="554"/>
      <c r="C607" s="549"/>
      <c r="D607" s="549"/>
      <c r="E607" s="570"/>
      <c r="F607" s="549"/>
      <c r="G607" s="549"/>
      <c r="H607" s="549"/>
      <c r="I607" s="550"/>
      <c r="J607" s="549"/>
      <c r="K607" s="549"/>
      <c r="L607" s="549"/>
      <c r="M607" s="549"/>
      <c r="N607" s="551"/>
      <c r="O607" s="549"/>
      <c r="P607" s="549"/>
      <c r="Q607" s="549"/>
      <c r="R607" s="549"/>
      <c r="S607" s="549"/>
      <c r="T607" s="549"/>
      <c r="U607" s="549"/>
      <c r="V607" s="549"/>
      <c r="W607" s="549"/>
      <c r="X607" s="549"/>
      <c r="Y607" s="549"/>
      <c r="Z607" s="549"/>
    </row>
    <row r="608" spans="1:26" ht="15">
      <c r="A608" s="549"/>
      <c r="B608" s="554"/>
      <c r="C608" s="549"/>
      <c r="D608" s="549"/>
      <c r="E608" s="570"/>
      <c r="F608" s="549"/>
      <c r="G608" s="549"/>
      <c r="H608" s="549"/>
      <c r="I608" s="550"/>
      <c r="J608" s="549"/>
      <c r="K608" s="549"/>
      <c r="L608" s="549"/>
      <c r="M608" s="549"/>
      <c r="N608" s="551"/>
      <c r="O608" s="549"/>
      <c r="P608" s="549"/>
      <c r="Q608" s="549"/>
      <c r="R608" s="549"/>
      <c r="S608" s="549"/>
      <c r="T608" s="549"/>
      <c r="U608" s="549"/>
      <c r="V608" s="549"/>
      <c r="W608" s="549"/>
      <c r="X608" s="549"/>
      <c r="Y608" s="549"/>
      <c r="Z608" s="549"/>
    </row>
    <row r="609" spans="1:26" ht="15">
      <c r="A609" s="549"/>
      <c r="B609" s="554"/>
      <c r="C609" s="549"/>
      <c r="D609" s="549"/>
      <c r="E609" s="570"/>
      <c r="F609" s="549"/>
      <c r="G609" s="549"/>
      <c r="H609" s="549"/>
      <c r="I609" s="550"/>
      <c r="J609" s="549"/>
      <c r="K609" s="549"/>
      <c r="L609" s="549"/>
      <c r="M609" s="549"/>
      <c r="N609" s="551"/>
      <c r="O609" s="549"/>
      <c r="P609" s="549"/>
      <c r="Q609" s="549"/>
      <c r="R609" s="549"/>
      <c r="S609" s="549"/>
      <c r="T609" s="549"/>
      <c r="U609" s="549"/>
      <c r="V609" s="549"/>
      <c r="W609" s="549"/>
      <c r="X609" s="549"/>
      <c r="Y609" s="549"/>
      <c r="Z609" s="549"/>
    </row>
    <row r="610" spans="1:26" ht="15">
      <c r="A610" s="549"/>
      <c r="B610" s="554"/>
      <c r="C610" s="549"/>
      <c r="D610" s="549"/>
      <c r="E610" s="570"/>
      <c r="F610" s="549"/>
      <c r="G610" s="549"/>
      <c r="H610" s="549"/>
      <c r="I610" s="550"/>
      <c r="J610" s="549"/>
      <c r="K610" s="549"/>
      <c r="L610" s="549"/>
      <c r="M610" s="549"/>
      <c r="N610" s="551"/>
      <c r="O610" s="549"/>
      <c r="P610" s="549"/>
      <c r="Q610" s="549"/>
      <c r="R610" s="549"/>
      <c r="S610" s="549"/>
      <c r="T610" s="549"/>
      <c r="U610" s="549"/>
      <c r="V610" s="549"/>
      <c r="W610" s="549"/>
      <c r="X610" s="549"/>
      <c r="Y610" s="549"/>
      <c r="Z610" s="549"/>
    </row>
    <row r="611" spans="1:26" ht="15">
      <c r="A611" s="549"/>
      <c r="B611" s="554"/>
      <c r="C611" s="549"/>
      <c r="D611" s="549"/>
      <c r="E611" s="570"/>
      <c r="F611" s="549"/>
      <c r="G611" s="549"/>
      <c r="H611" s="549"/>
      <c r="I611" s="550"/>
      <c r="J611" s="549"/>
      <c r="K611" s="549"/>
      <c r="L611" s="549"/>
      <c r="M611" s="549"/>
      <c r="N611" s="551"/>
      <c r="O611" s="549"/>
      <c r="P611" s="549"/>
      <c r="Q611" s="549"/>
      <c r="R611" s="549"/>
      <c r="S611" s="549"/>
      <c r="T611" s="549"/>
      <c r="U611" s="549"/>
      <c r="V611" s="549"/>
      <c r="W611" s="549"/>
      <c r="X611" s="549"/>
      <c r="Y611" s="549"/>
      <c r="Z611" s="549"/>
    </row>
    <row r="612" spans="1:26" ht="15">
      <c r="A612" s="549"/>
      <c r="B612" s="554"/>
      <c r="C612" s="549"/>
      <c r="D612" s="549"/>
      <c r="E612" s="570"/>
      <c r="F612" s="549"/>
      <c r="G612" s="549"/>
      <c r="H612" s="549"/>
      <c r="I612" s="550"/>
      <c r="J612" s="549"/>
      <c r="K612" s="549"/>
      <c r="L612" s="549"/>
      <c r="M612" s="549"/>
      <c r="N612" s="551"/>
      <c r="O612" s="549"/>
      <c r="P612" s="549"/>
      <c r="Q612" s="549"/>
      <c r="R612" s="549"/>
      <c r="S612" s="549"/>
      <c r="T612" s="549"/>
      <c r="U612" s="549"/>
      <c r="V612" s="549"/>
      <c r="W612" s="549"/>
      <c r="X612" s="549"/>
      <c r="Y612" s="549"/>
      <c r="Z612" s="549"/>
    </row>
    <row r="613" spans="1:26" ht="15">
      <c r="A613" s="549"/>
      <c r="B613" s="554"/>
      <c r="C613" s="549"/>
      <c r="D613" s="549"/>
      <c r="E613" s="570"/>
      <c r="F613" s="549"/>
      <c r="G613" s="549"/>
      <c r="H613" s="549"/>
      <c r="I613" s="550"/>
      <c r="J613" s="549"/>
      <c r="K613" s="549"/>
      <c r="L613" s="549"/>
      <c r="M613" s="549"/>
      <c r="N613" s="551"/>
      <c r="O613" s="549"/>
      <c r="P613" s="549"/>
      <c r="Q613" s="549"/>
      <c r="R613" s="549"/>
      <c r="S613" s="549"/>
      <c r="T613" s="549"/>
      <c r="U613" s="549"/>
      <c r="V613" s="549"/>
      <c r="W613" s="549"/>
      <c r="X613" s="549"/>
      <c r="Y613" s="549"/>
      <c r="Z613" s="549"/>
    </row>
    <row r="614" spans="1:26" ht="15">
      <c r="A614" s="549"/>
      <c r="B614" s="554"/>
      <c r="C614" s="549"/>
      <c r="D614" s="549"/>
      <c r="E614" s="570"/>
      <c r="F614" s="549"/>
      <c r="G614" s="549"/>
      <c r="H614" s="549"/>
      <c r="I614" s="550"/>
      <c r="J614" s="549"/>
      <c r="K614" s="549"/>
      <c r="L614" s="549"/>
      <c r="M614" s="549"/>
      <c r="N614" s="551"/>
      <c r="O614" s="549"/>
      <c r="P614" s="549"/>
      <c r="Q614" s="549"/>
      <c r="R614" s="549"/>
      <c r="S614" s="549"/>
      <c r="T614" s="549"/>
      <c r="U614" s="549"/>
      <c r="V614" s="549"/>
      <c r="W614" s="549"/>
      <c r="X614" s="549"/>
      <c r="Y614" s="549"/>
      <c r="Z614" s="549"/>
    </row>
    <row r="615" spans="1:26" ht="15">
      <c r="A615" s="549"/>
      <c r="B615" s="554"/>
      <c r="C615" s="549"/>
      <c r="D615" s="549"/>
      <c r="E615" s="570"/>
      <c r="F615" s="549"/>
      <c r="G615" s="549"/>
      <c r="H615" s="549"/>
      <c r="I615" s="550"/>
      <c r="J615" s="549"/>
      <c r="K615" s="549"/>
      <c r="L615" s="549"/>
      <c r="M615" s="549"/>
      <c r="N615" s="551"/>
      <c r="O615" s="549"/>
      <c r="P615" s="549"/>
      <c r="Q615" s="549"/>
      <c r="R615" s="549"/>
      <c r="S615" s="549"/>
      <c r="T615" s="549"/>
      <c r="U615" s="549"/>
      <c r="V615" s="549"/>
      <c r="W615" s="549"/>
      <c r="X615" s="549"/>
      <c r="Y615" s="549"/>
      <c r="Z615" s="549"/>
    </row>
    <row r="616" spans="1:26" ht="15">
      <c r="A616" s="549"/>
      <c r="B616" s="554"/>
      <c r="C616" s="549"/>
      <c r="D616" s="549"/>
      <c r="E616" s="570"/>
      <c r="F616" s="549"/>
      <c r="G616" s="549"/>
      <c r="H616" s="549"/>
      <c r="I616" s="550"/>
      <c r="J616" s="549"/>
      <c r="K616" s="549"/>
      <c r="L616" s="549"/>
      <c r="M616" s="549"/>
      <c r="N616" s="551"/>
      <c r="O616" s="549"/>
      <c r="P616" s="549"/>
      <c r="Q616" s="549"/>
      <c r="R616" s="549"/>
      <c r="S616" s="549"/>
      <c r="T616" s="549"/>
      <c r="U616" s="549"/>
      <c r="V616" s="549"/>
      <c r="W616" s="549"/>
      <c r="X616" s="549"/>
      <c r="Y616" s="549"/>
      <c r="Z616" s="549"/>
    </row>
    <row r="617" spans="1:26" ht="15">
      <c r="A617" s="549"/>
      <c r="B617" s="554"/>
      <c r="C617" s="549"/>
      <c r="D617" s="549"/>
      <c r="E617" s="570"/>
      <c r="F617" s="549"/>
      <c r="G617" s="549"/>
      <c r="H617" s="549"/>
      <c r="I617" s="550"/>
      <c r="J617" s="549"/>
      <c r="K617" s="549"/>
      <c r="L617" s="549"/>
      <c r="M617" s="549"/>
      <c r="N617" s="551"/>
      <c r="O617" s="549"/>
      <c r="P617" s="549"/>
      <c r="Q617" s="549"/>
      <c r="R617" s="549"/>
      <c r="S617" s="549"/>
      <c r="T617" s="549"/>
      <c r="U617" s="549"/>
      <c r="V617" s="549"/>
      <c r="W617" s="549"/>
      <c r="X617" s="549"/>
      <c r="Y617" s="549"/>
      <c r="Z617" s="549"/>
    </row>
    <row r="618" spans="1:26" ht="15">
      <c r="A618" s="549"/>
      <c r="B618" s="554"/>
      <c r="C618" s="549"/>
      <c r="D618" s="549"/>
      <c r="E618" s="570"/>
      <c r="F618" s="549"/>
      <c r="G618" s="549"/>
      <c r="H618" s="549"/>
      <c r="I618" s="550"/>
      <c r="J618" s="549"/>
      <c r="K618" s="549"/>
      <c r="L618" s="549"/>
      <c r="M618" s="549"/>
      <c r="N618" s="551"/>
      <c r="O618" s="549"/>
      <c r="P618" s="549"/>
      <c r="Q618" s="549"/>
      <c r="R618" s="549"/>
      <c r="S618" s="549"/>
      <c r="T618" s="549"/>
      <c r="U618" s="549"/>
      <c r="V618" s="549"/>
      <c r="W618" s="549"/>
      <c r="X618" s="549"/>
      <c r="Y618" s="549"/>
      <c r="Z618" s="549"/>
    </row>
    <row r="619" spans="1:26" ht="15">
      <c r="A619" s="549"/>
      <c r="B619" s="554"/>
      <c r="C619" s="549"/>
      <c r="D619" s="549"/>
      <c r="E619" s="570"/>
      <c r="F619" s="549"/>
      <c r="G619" s="549"/>
      <c r="H619" s="549"/>
      <c r="I619" s="550"/>
      <c r="J619" s="549"/>
      <c r="K619" s="549"/>
      <c r="L619" s="549"/>
      <c r="M619" s="549"/>
      <c r="N619" s="551"/>
      <c r="O619" s="549"/>
      <c r="P619" s="549"/>
      <c r="Q619" s="549"/>
      <c r="R619" s="549"/>
      <c r="S619" s="549"/>
      <c r="T619" s="549"/>
      <c r="U619" s="549"/>
      <c r="V619" s="549"/>
      <c r="W619" s="549"/>
      <c r="X619" s="549"/>
      <c r="Y619" s="549"/>
      <c r="Z619" s="549"/>
    </row>
    <row r="620" spans="1:26" ht="15">
      <c r="A620" s="549"/>
      <c r="B620" s="554"/>
      <c r="C620" s="549"/>
      <c r="D620" s="549"/>
      <c r="E620" s="570"/>
      <c r="F620" s="549"/>
      <c r="G620" s="549"/>
      <c r="H620" s="549"/>
      <c r="I620" s="550"/>
      <c r="J620" s="549"/>
      <c r="K620" s="549"/>
      <c r="L620" s="549"/>
      <c r="M620" s="549"/>
      <c r="N620" s="551"/>
      <c r="O620" s="549"/>
      <c r="P620" s="549"/>
      <c r="Q620" s="549"/>
      <c r="R620" s="549"/>
      <c r="S620" s="549"/>
      <c r="T620" s="549"/>
      <c r="U620" s="549"/>
      <c r="V620" s="549"/>
      <c r="W620" s="549"/>
      <c r="X620" s="549"/>
      <c r="Y620" s="549"/>
      <c r="Z620" s="549"/>
    </row>
    <row r="621" spans="1:26" ht="15">
      <c r="A621" s="549"/>
      <c r="B621" s="554"/>
      <c r="C621" s="549"/>
      <c r="D621" s="549"/>
      <c r="E621" s="570"/>
      <c r="F621" s="549"/>
      <c r="G621" s="549"/>
      <c r="H621" s="549"/>
      <c r="I621" s="550"/>
      <c r="J621" s="549"/>
      <c r="K621" s="549"/>
      <c r="L621" s="549"/>
      <c r="M621" s="549"/>
      <c r="N621" s="551"/>
      <c r="O621" s="549"/>
      <c r="P621" s="549"/>
      <c r="Q621" s="549"/>
      <c r="R621" s="549"/>
      <c r="S621" s="549"/>
      <c r="T621" s="549"/>
      <c r="U621" s="549"/>
      <c r="V621" s="549"/>
      <c r="W621" s="549"/>
      <c r="X621" s="549"/>
      <c r="Y621" s="549"/>
      <c r="Z621" s="549"/>
    </row>
    <row r="622" spans="1:26" ht="15">
      <c r="A622" s="549"/>
      <c r="B622" s="554"/>
      <c r="C622" s="549"/>
      <c r="D622" s="549"/>
      <c r="E622" s="570"/>
      <c r="F622" s="549"/>
      <c r="G622" s="549"/>
      <c r="H622" s="549"/>
      <c r="I622" s="550"/>
      <c r="J622" s="549"/>
      <c r="K622" s="549"/>
      <c r="L622" s="549"/>
      <c r="M622" s="549"/>
      <c r="N622" s="551"/>
      <c r="O622" s="549"/>
      <c r="P622" s="549"/>
      <c r="Q622" s="549"/>
      <c r="R622" s="549"/>
      <c r="S622" s="549"/>
      <c r="T622" s="549"/>
      <c r="U622" s="549"/>
      <c r="V622" s="549"/>
      <c r="W622" s="549"/>
      <c r="X622" s="549"/>
      <c r="Y622" s="549"/>
      <c r="Z622" s="549"/>
    </row>
    <row r="623" spans="1:26" ht="15">
      <c r="A623" s="549"/>
      <c r="B623" s="554"/>
      <c r="C623" s="549"/>
      <c r="D623" s="549"/>
      <c r="E623" s="570"/>
      <c r="F623" s="549"/>
      <c r="G623" s="549"/>
      <c r="H623" s="549"/>
      <c r="I623" s="550"/>
      <c r="J623" s="549"/>
      <c r="K623" s="549"/>
      <c r="L623" s="549"/>
      <c r="M623" s="549"/>
      <c r="N623" s="551"/>
      <c r="O623" s="549"/>
      <c r="P623" s="549"/>
      <c r="Q623" s="549"/>
      <c r="R623" s="549"/>
      <c r="S623" s="549"/>
      <c r="T623" s="549"/>
      <c r="U623" s="549"/>
      <c r="V623" s="549"/>
      <c r="W623" s="549"/>
      <c r="X623" s="549"/>
      <c r="Y623" s="549"/>
      <c r="Z623" s="549"/>
    </row>
    <row r="624" spans="1:26" ht="15">
      <c r="A624" s="549"/>
      <c r="B624" s="554"/>
      <c r="C624" s="549"/>
      <c r="D624" s="549"/>
      <c r="E624" s="570"/>
      <c r="F624" s="549"/>
      <c r="G624" s="549"/>
      <c r="H624" s="549"/>
      <c r="I624" s="550"/>
      <c r="J624" s="549"/>
      <c r="K624" s="549"/>
      <c r="L624" s="549"/>
      <c r="M624" s="549"/>
      <c r="N624" s="551"/>
      <c r="O624" s="549"/>
      <c r="P624" s="549"/>
      <c r="Q624" s="549"/>
      <c r="R624" s="549"/>
      <c r="S624" s="549"/>
      <c r="T624" s="549"/>
      <c r="U624" s="549"/>
      <c r="V624" s="549"/>
      <c r="W624" s="549"/>
      <c r="X624" s="549"/>
      <c r="Y624" s="549"/>
      <c r="Z624" s="549"/>
    </row>
    <row r="625" spans="1:26" ht="15">
      <c r="A625" s="549"/>
      <c r="B625" s="554"/>
      <c r="C625" s="549"/>
      <c r="D625" s="549"/>
      <c r="E625" s="570"/>
      <c r="F625" s="549"/>
      <c r="G625" s="549"/>
      <c r="H625" s="549"/>
      <c r="I625" s="550"/>
      <c r="J625" s="549"/>
      <c r="K625" s="549"/>
      <c r="L625" s="549"/>
      <c r="M625" s="549"/>
      <c r="N625" s="551"/>
      <c r="O625" s="549"/>
      <c r="P625" s="549"/>
      <c r="Q625" s="549"/>
      <c r="R625" s="549"/>
      <c r="S625" s="549"/>
      <c r="T625" s="549"/>
      <c r="U625" s="549"/>
      <c r="V625" s="549"/>
      <c r="W625" s="549"/>
      <c r="X625" s="549"/>
      <c r="Y625" s="549"/>
      <c r="Z625" s="549"/>
    </row>
    <row r="626" spans="1:26" ht="15">
      <c r="A626" s="549"/>
      <c r="B626" s="554"/>
      <c r="C626" s="549"/>
      <c r="D626" s="549"/>
      <c r="E626" s="570"/>
      <c r="F626" s="549"/>
      <c r="G626" s="549"/>
      <c r="H626" s="549"/>
      <c r="I626" s="550"/>
      <c r="J626" s="549"/>
      <c r="K626" s="549"/>
      <c r="L626" s="549"/>
      <c r="M626" s="549"/>
      <c r="N626" s="551"/>
      <c r="O626" s="549"/>
      <c r="P626" s="549"/>
      <c r="Q626" s="549"/>
      <c r="R626" s="549"/>
      <c r="S626" s="549"/>
      <c r="T626" s="549"/>
      <c r="U626" s="549"/>
      <c r="V626" s="549"/>
      <c r="W626" s="549"/>
      <c r="X626" s="549"/>
      <c r="Y626" s="549"/>
      <c r="Z626" s="549"/>
    </row>
    <row r="627" spans="1:26" ht="15">
      <c r="A627" s="549"/>
      <c r="B627" s="554"/>
      <c r="C627" s="549"/>
      <c r="D627" s="549"/>
      <c r="E627" s="570"/>
      <c r="F627" s="549"/>
      <c r="G627" s="549"/>
      <c r="H627" s="549"/>
      <c r="I627" s="550"/>
      <c r="J627" s="549"/>
      <c r="K627" s="549"/>
      <c r="L627" s="549"/>
      <c r="M627" s="549"/>
      <c r="N627" s="551"/>
      <c r="O627" s="549"/>
      <c r="P627" s="549"/>
      <c r="Q627" s="549"/>
      <c r="R627" s="549"/>
      <c r="S627" s="549"/>
      <c r="T627" s="549"/>
      <c r="U627" s="549"/>
      <c r="V627" s="549"/>
      <c r="W627" s="549"/>
      <c r="X627" s="549"/>
      <c r="Y627" s="549"/>
      <c r="Z627" s="549"/>
    </row>
    <row r="628" spans="1:26" ht="15">
      <c r="A628" s="549"/>
      <c r="B628" s="554"/>
      <c r="C628" s="549"/>
      <c r="D628" s="549"/>
      <c r="E628" s="570"/>
      <c r="F628" s="549"/>
      <c r="G628" s="549"/>
      <c r="H628" s="549"/>
      <c r="I628" s="550"/>
      <c r="J628" s="549"/>
      <c r="K628" s="549"/>
      <c r="L628" s="549"/>
      <c r="M628" s="549"/>
      <c r="N628" s="551"/>
      <c r="O628" s="549"/>
      <c r="P628" s="549"/>
      <c r="Q628" s="549"/>
      <c r="R628" s="549"/>
      <c r="S628" s="549"/>
      <c r="T628" s="549"/>
      <c r="U628" s="549"/>
      <c r="V628" s="549"/>
      <c r="W628" s="549"/>
      <c r="X628" s="549"/>
      <c r="Y628" s="549"/>
      <c r="Z628" s="549"/>
    </row>
    <row r="629" spans="1:26" ht="15">
      <c r="A629" s="549"/>
      <c r="B629" s="554"/>
      <c r="C629" s="549"/>
      <c r="D629" s="549"/>
      <c r="E629" s="570"/>
      <c r="F629" s="549"/>
      <c r="G629" s="549"/>
      <c r="H629" s="549"/>
      <c r="I629" s="550"/>
      <c r="J629" s="549"/>
      <c r="K629" s="549"/>
      <c r="L629" s="549"/>
      <c r="M629" s="549"/>
      <c r="N629" s="551"/>
      <c r="O629" s="549"/>
      <c r="P629" s="549"/>
      <c r="Q629" s="549"/>
      <c r="R629" s="549"/>
      <c r="S629" s="549"/>
      <c r="T629" s="549"/>
      <c r="U629" s="549"/>
      <c r="V629" s="549"/>
      <c r="W629" s="549"/>
      <c r="X629" s="549"/>
      <c r="Y629" s="549"/>
      <c r="Z629" s="549"/>
    </row>
    <row r="630" spans="1:26" ht="15">
      <c r="A630" s="549"/>
      <c r="B630" s="554"/>
      <c r="C630" s="549"/>
      <c r="D630" s="549"/>
      <c r="E630" s="570"/>
      <c r="F630" s="549"/>
      <c r="G630" s="549"/>
      <c r="H630" s="549"/>
      <c r="I630" s="550"/>
      <c r="J630" s="549"/>
      <c r="K630" s="549"/>
      <c r="L630" s="549"/>
      <c r="M630" s="549"/>
      <c r="N630" s="551"/>
      <c r="O630" s="549"/>
      <c r="P630" s="549"/>
      <c r="Q630" s="549"/>
      <c r="R630" s="549"/>
      <c r="S630" s="549"/>
      <c r="T630" s="549"/>
      <c r="U630" s="549"/>
      <c r="V630" s="549"/>
      <c r="W630" s="549"/>
      <c r="X630" s="549"/>
      <c r="Y630" s="549"/>
      <c r="Z630" s="549"/>
    </row>
    <row r="631" spans="1:26" ht="15">
      <c r="A631" s="549"/>
      <c r="B631" s="554"/>
      <c r="C631" s="549"/>
      <c r="D631" s="549"/>
      <c r="E631" s="570"/>
      <c r="F631" s="549"/>
      <c r="G631" s="549"/>
      <c r="H631" s="549"/>
      <c r="I631" s="550"/>
      <c r="J631" s="549"/>
      <c r="K631" s="549"/>
      <c r="L631" s="549"/>
      <c r="M631" s="549"/>
      <c r="N631" s="551"/>
      <c r="O631" s="549"/>
      <c r="P631" s="549"/>
      <c r="Q631" s="549"/>
      <c r="R631" s="549"/>
      <c r="S631" s="549"/>
      <c r="T631" s="549"/>
      <c r="U631" s="549"/>
      <c r="V631" s="549"/>
      <c r="W631" s="549"/>
      <c r="X631" s="549"/>
      <c r="Y631" s="549"/>
      <c r="Z631" s="549"/>
    </row>
    <row r="632" spans="1:26" ht="15">
      <c r="A632" s="549"/>
      <c r="B632" s="554"/>
      <c r="C632" s="549"/>
      <c r="D632" s="549"/>
      <c r="E632" s="570"/>
      <c r="F632" s="549"/>
      <c r="G632" s="549"/>
      <c r="H632" s="549"/>
      <c r="I632" s="550"/>
      <c r="J632" s="549"/>
      <c r="K632" s="549"/>
      <c r="L632" s="549"/>
      <c r="M632" s="549"/>
      <c r="N632" s="551"/>
      <c r="O632" s="549"/>
      <c r="P632" s="549"/>
      <c r="Q632" s="549"/>
      <c r="R632" s="549"/>
      <c r="S632" s="549"/>
      <c r="T632" s="549"/>
      <c r="U632" s="549"/>
      <c r="V632" s="549"/>
      <c r="W632" s="549"/>
      <c r="X632" s="549"/>
      <c r="Y632" s="549"/>
      <c r="Z632" s="549"/>
    </row>
    <row r="633" spans="1:26" ht="15">
      <c r="A633" s="549"/>
      <c r="B633" s="554"/>
      <c r="C633" s="549"/>
      <c r="D633" s="549"/>
      <c r="E633" s="570"/>
      <c r="F633" s="549"/>
      <c r="G633" s="549"/>
      <c r="H633" s="549"/>
      <c r="I633" s="550"/>
      <c r="J633" s="549"/>
      <c r="K633" s="549"/>
      <c r="L633" s="549"/>
      <c r="M633" s="549"/>
      <c r="N633" s="551"/>
      <c r="O633" s="549"/>
      <c r="P633" s="549"/>
      <c r="Q633" s="549"/>
      <c r="R633" s="549"/>
      <c r="S633" s="549"/>
      <c r="T633" s="549"/>
      <c r="U633" s="549"/>
      <c r="V633" s="549"/>
      <c r="W633" s="549"/>
      <c r="X633" s="549"/>
      <c r="Y633" s="549"/>
      <c r="Z633" s="549"/>
    </row>
    <row r="634" spans="1:26" ht="15">
      <c r="A634" s="549"/>
      <c r="B634" s="554"/>
      <c r="C634" s="549"/>
      <c r="D634" s="549"/>
      <c r="E634" s="570"/>
      <c r="F634" s="549"/>
      <c r="G634" s="549"/>
      <c r="H634" s="549"/>
      <c r="I634" s="550"/>
      <c r="J634" s="549"/>
      <c r="K634" s="549"/>
      <c r="L634" s="549"/>
      <c r="M634" s="549"/>
      <c r="N634" s="551"/>
      <c r="O634" s="549"/>
      <c r="P634" s="549"/>
      <c r="Q634" s="549"/>
      <c r="R634" s="549"/>
      <c r="S634" s="549"/>
      <c r="T634" s="549"/>
      <c r="U634" s="549"/>
      <c r="V634" s="549"/>
      <c r="W634" s="549"/>
      <c r="X634" s="549"/>
      <c r="Y634" s="549"/>
      <c r="Z634" s="549"/>
    </row>
    <row r="635" spans="1:26" ht="15">
      <c r="A635" s="549"/>
      <c r="B635" s="554"/>
      <c r="C635" s="549"/>
      <c r="D635" s="549"/>
      <c r="E635" s="570"/>
      <c r="F635" s="549"/>
      <c r="G635" s="549"/>
      <c r="H635" s="549"/>
      <c r="I635" s="550"/>
      <c r="J635" s="549"/>
      <c r="K635" s="549"/>
      <c r="L635" s="549"/>
      <c r="M635" s="549"/>
      <c r="N635" s="551"/>
      <c r="O635" s="549"/>
      <c r="P635" s="549"/>
      <c r="Q635" s="549"/>
      <c r="R635" s="549"/>
      <c r="S635" s="549"/>
      <c r="T635" s="549"/>
      <c r="U635" s="549"/>
      <c r="V635" s="549"/>
      <c r="W635" s="549"/>
      <c r="X635" s="549"/>
      <c r="Y635" s="549"/>
      <c r="Z635" s="549"/>
    </row>
    <row r="636" spans="1:26" ht="15">
      <c r="A636" s="549"/>
      <c r="B636" s="554"/>
      <c r="C636" s="549"/>
      <c r="D636" s="549"/>
      <c r="E636" s="570"/>
      <c r="F636" s="549"/>
      <c r="G636" s="549"/>
      <c r="H636" s="549"/>
      <c r="I636" s="550"/>
      <c r="J636" s="549"/>
      <c r="K636" s="549"/>
      <c r="L636" s="549"/>
      <c r="M636" s="549"/>
      <c r="N636" s="551"/>
      <c r="O636" s="549"/>
      <c r="P636" s="549"/>
      <c r="Q636" s="549"/>
      <c r="R636" s="549"/>
      <c r="S636" s="549"/>
      <c r="T636" s="549"/>
      <c r="U636" s="549"/>
      <c r="V636" s="549"/>
      <c r="W636" s="549"/>
      <c r="X636" s="549"/>
      <c r="Y636" s="549"/>
      <c r="Z636" s="549"/>
    </row>
    <row r="637" spans="1:26" ht="15">
      <c r="A637" s="549"/>
      <c r="B637" s="554"/>
      <c r="C637" s="549"/>
      <c r="D637" s="549"/>
      <c r="E637" s="570"/>
      <c r="F637" s="549"/>
      <c r="G637" s="549"/>
      <c r="H637" s="549"/>
      <c r="I637" s="550"/>
      <c r="J637" s="549"/>
      <c r="K637" s="549"/>
      <c r="L637" s="549"/>
      <c r="M637" s="549"/>
      <c r="N637" s="551"/>
      <c r="O637" s="549"/>
      <c r="P637" s="549"/>
      <c r="Q637" s="549"/>
      <c r="R637" s="549"/>
      <c r="S637" s="549"/>
      <c r="T637" s="549"/>
      <c r="U637" s="549"/>
      <c r="V637" s="549"/>
      <c r="W637" s="549"/>
      <c r="X637" s="549"/>
      <c r="Y637" s="549"/>
      <c r="Z637" s="549"/>
    </row>
    <row r="638" spans="1:26" ht="15">
      <c r="A638" s="549"/>
      <c r="B638" s="554"/>
      <c r="C638" s="549"/>
      <c r="D638" s="549"/>
      <c r="E638" s="570"/>
      <c r="F638" s="549"/>
      <c r="G638" s="549"/>
      <c r="H638" s="549"/>
      <c r="I638" s="550"/>
      <c r="J638" s="549"/>
      <c r="K638" s="549"/>
      <c r="L638" s="549"/>
      <c r="M638" s="549"/>
      <c r="N638" s="551"/>
      <c r="O638" s="549"/>
      <c r="P638" s="549"/>
      <c r="Q638" s="549"/>
      <c r="R638" s="549"/>
      <c r="S638" s="549"/>
      <c r="T638" s="549"/>
      <c r="U638" s="549"/>
      <c r="V638" s="549"/>
      <c r="W638" s="549"/>
      <c r="X638" s="549"/>
      <c r="Y638" s="549"/>
      <c r="Z638" s="549"/>
    </row>
    <row r="639" spans="1:26" ht="15">
      <c r="A639" s="549"/>
      <c r="B639" s="554"/>
      <c r="C639" s="549"/>
      <c r="D639" s="549"/>
      <c r="E639" s="570"/>
      <c r="F639" s="549"/>
      <c r="G639" s="549"/>
      <c r="H639" s="549"/>
      <c r="I639" s="550"/>
      <c r="J639" s="549"/>
      <c r="K639" s="549"/>
      <c r="L639" s="549"/>
      <c r="M639" s="549"/>
      <c r="N639" s="551"/>
      <c r="O639" s="549"/>
      <c r="P639" s="549"/>
      <c r="Q639" s="549"/>
      <c r="R639" s="549"/>
      <c r="S639" s="549"/>
      <c r="T639" s="549"/>
      <c r="U639" s="549"/>
      <c r="V639" s="549"/>
      <c r="W639" s="549"/>
      <c r="X639" s="549"/>
      <c r="Y639" s="549"/>
      <c r="Z639" s="549"/>
    </row>
    <row r="640" spans="1:26" ht="15">
      <c r="A640" s="549"/>
      <c r="B640" s="554"/>
      <c r="C640" s="549"/>
      <c r="D640" s="549"/>
      <c r="E640" s="570"/>
      <c r="F640" s="549"/>
      <c r="G640" s="549"/>
      <c r="H640" s="549"/>
      <c r="I640" s="550"/>
      <c r="J640" s="549"/>
      <c r="K640" s="549"/>
      <c r="L640" s="549"/>
      <c r="M640" s="549"/>
      <c r="N640" s="551"/>
      <c r="O640" s="549"/>
      <c r="P640" s="549"/>
      <c r="Q640" s="549"/>
      <c r="R640" s="549"/>
      <c r="S640" s="549"/>
      <c r="T640" s="549"/>
      <c r="U640" s="549"/>
      <c r="V640" s="549"/>
      <c r="W640" s="549"/>
      <c r="X640" s="549"/>
      <c r="Y640" s="549"/>
      <c r="Z640" s="549"/>
    </row>
    <row r="641" spans="1:26" ht="15">
      <c r="A641" s="549"/>
      <c r="B641" s="554"/>
      <c r="C641" s="549"/>
      <c r="D641" s="549"/>
      <c r="E641" s="570"/>
      <c r="F641" s="549"/>
      <c r="G641" s="549"/>
      <c r="H641" s="549"/>
      <c r="I641" s="550"/>
      <c r="J641" s="549"/>
      <c r="K641" s="549"/>
      <c r="L641" s="549"/>
      <c r="M641" s="549"/>
      <c r="N641" s="551"/>
      <c r="O641" s="549"/>
      <c r="P641" s="549"/>
      <c r="Q641" s="549"/>
      <c r="R641" s="549"/>
      <c r="S641" s="549"/>
      <c r="T641" s="549"/>
      <c r="U641" s="549"/>
      <c r="V641" s="549"/>
      <c r="W641" s="549"/>
      <c r="X641" s="549"/>
      <c r="Y641" s="549"/>
      <c r="Z641" s="549"/>
    </row>
    <row r="642" spans="1:26" ht="15">
      <c r="A642" s="549"/>
      <c r="B642" s="554"/>
      <c r="C642" s="549"/>
      <c r="D642" s="549"/>
      <c r="E642" s="570"/>
      <c r="F642" s="549"/>
      <c r="G642" s="549"/>
      <c r="H642" s="549"/>
      <c r="I642" s="550"/>
      <c r="J642" s="549"/>
      <c r="K642" s="549"/>
      <c r="L642" s="549"/>
      <c r="M642" s="549"/>
      <c r="N642" s="551"/>
      <c r="O642" s="549"/>
      <c r="P642" s="549"/>
      <c r="Q642" s="549"/>
      <c r="R642" s="549"/>
      <c r="S642" s="549"/>
      <c r="T642" s="549"/>
      <c r="U642" s="549"/>
      <c r="V642" s="549"/>
      <c r="W642" s="549"/>
      <c r="X642" s="549"/>
      <c r="Y642" s="549"/>
      <c r="Z642" s="549"/>
    </row>
    <row r="643" spans="1:26" ht="15">
      <c r="A643" s="549"/>
      <c r="B643" s="554"/>
      <c r="C643" s="549"/>
      <c r="D643" s="549"/>
      <c r="E643" s="570"/>
      <c r="F643" s="549"/>
      <c r="G643" s="549"/>
      <c r="H643" s="549"/>
      <c r="I643" s="550"/>
      <c r="J643" s="549"/>
      <c r="K643" s="549"/>
      <c r="L643" s="549"/>
      <c r="M643" s="549"/>
      <c r="N643" s="551"/>
      <c r="O643" s="549"/>
      <c r="P643" s="549"/>
      <c r="Q643" s="549"/>
      <c r="R643" s="549"/>
      <c r="S643" s="549"/>
      <c r="T643" s="549"/>
      <c r="U643" s="549"/>
      <c r="V643" s="549"/>
      <c r="W643" s="549"/>
      <c r="X643" s="549"/>
      <c r="Y643" s="549"/>
      <c r="Z643" s="549"/>
    </row>
    <row r="644" spans="1:26" ht="15">
      <c r="A644" s="549"/>
      <c r="B644" s="554"/>
      <c r="C644" s="549"/>
      <c r="D644" s="549"/>
      <c r="E644" s="570"/>
      <c r="F644" s="549"/>
      <c r="G644" s="549"/>
      <c r="H644" s="549"/>
      <c r="I644" s="550"/>
      <c r="J644" s="549"/>
      <c r="K644" s="549"/>
      <c r="L644" s="549"/>
      <c r="M644" s="549"/>
      <c r="N644" s="551"/>
      <c r="O644" s="549"/>
      <c r="P644" s="549"/>
      <c r="Q644" s="549"/>
      <c r="R644" s="549"/>
      <c r="S644" s="549"/>
      <c r="T644" s="549"/>
      <c r="U644" s="549"/>
      <c r="V644" s="549"/>
      <c r="W644" s="549"/>
      <c r="X644" s="549"/>
      <c r="Y644" s="549"/>
      <c r="Z644" s="549"/>
    </row>
    <row r="645" spans="1:26" ht="15">
      <c r="A645" s="549"/>
      <c r="B645" s="554"/>
      <c r="C645" s="549"/>
      <c r="D645" s="549"/>
      <c r="E645" s="570"/>
      <c r="F645" s="549"/>
      <c r="G645" s="549"/>
      <c r="H645" s="549"/>
      <c r="I645" s="550"/>
      <c r="J645" s="549"/>
      <c r="K645" s="549"/>
      <c r="L645" s="549"/>
      <c r="M645" s="549"/>
      <c r="N645" s="551"/>
      <c r="O645" s="549"/>
      <c r="P645" s="549"/>
      <c r="Q645" s="549"/>
      <c r="R645" s="549"/>
      <c r="S645" s="549"/>
      <c r="T645" s="549"/>
      <c r="U645" s="549"/>
      <c r="V645" s="549"/>
      <c r="W645" s="549"/>
      <c r="X645" s="549"/>
      <c r="Y645" s="549"/>
      <c r="Z645" s="549"/>
    </row>
    <row r="646" spans="1:26" ht="15">
      <c r="A646" s="549"/>
      <c r="B646" s="554"/>
      <c r="C646" s="549"/>
      <c r="D646" s="549"/>
      <c r="E646" s="570"/>
      <c r="F646" s="549"/>
      <c r="G646" s="549"/>
      <c r="H646" s="549"/>
      <c r="I646" s="550"/>
      <c r="J646" s="549"/>
      <c r="K646" s="549"/>
      <c r="L646" s="549"/>
      <c r="M646" s="549"/>
      <c r="N646" s="551"/>
      <c r="O646" s="549"/>
      <c r="P646" s="549"/>
      <c r="Q646" s="549"/>
      <c r="R646" s="549"/>
      <c r="S646" s="549"/>
      <c r="T646" s="549"/>
      <c r="U646" s="549"/>
      <c r="V646" s="549"/>
      <c r="W646" s="549"/>
      <c r="X646" s="549"/>
      <c r="Y646" s="549"/>
      <c r="Z646" s="549"/>
    </row>
    <row r="647" spans="1:26" ht="15">
      <c r="A647" s="549"/>
      <c r="B647" s="554"/>
      <c r="C647" s="549"/>
      <c r="D647" s="549"/>
      <c r="E647" s="570"/>
      <c r="F647" s="549"/>
      <c r="G647" s="549"/>
      <c r="H647" s="549"/>
      <c r="I647" s="550"/>
      <c r="J647" s="549"/>
      <c r="K647" s="549"/>
      <c r="L647" s="549"/>
      <c r="M647" s="549"/>
      <c r="N647" s="551"/>
      <c r="O647" s="549"/>
      <c r="P647" s="549"/>
      <c r="Q647" s="549"/>
      <c r="R647" s="549"/>
      <c r="S647" s="549"/>
      <c r="T647" s="549"/>
      <c r="U647" s="549"/>
      <c r="V647" s="549"/>
      <c r="W647" s="549"/>
      <c r="X647" s="549"/>
      <c r="Y647" s="549"/>
      <c r="Z647" s="549"/>
    </row>
    <row r="648" spans="1:26" ht="15">
      <c r="A648" s="549"/>
      <c r="B648" s="554"/>
      <c r="C648" s="549"/>
      <c r="D648" s="549"/>
      <c r="E648" s="570"/>
      <c r="F648" s="549"/>
      <c r="G648" s="549"/>
      <c r="H648" s="549"/>
      <c r="I648" s="550"/>
      <c r="J648" s="549"/>
      <c r="K648" s="549"/>
      <c r="L648" s="549"/>
      <c r="M648" s="549"/>
      <c r="N648" s="551"/>
      <c r="O648" s="549"/>
      <c r="P648" s="549"/>
      <c r="Q648" s="549"/>
      <c r="R648" s="549"/>
      <c r="S648" s="549"/>
      <c r="T648" s="549"/>
      <c r="U648" s="549"/>
      <c r="V648" s="549"/>
      <c r="W648" s="549"/>
      <c r="X648" s="549"/>
      <c r="Y648" s="549"/>
      <c r="Z648" s="549"/>
    </row>
    <row r="649" spans="1:26" ht="15">
      <c r="A649" s="549"/>
      <c r="B649" s="554"/>
      <c r="C649" s="549"/>
      <c r="D649" s="549"/>
      <c r="E649" s="570"/>
      <c r="F649" s="549"/>
      <c r="G649" s="549"/>
      <c r="H649" s="549"/>
      <c r="I649" s="550"/>
      <c r="J649" s="549"/>
      <c r="K649" s="549"/>
      <c r="L649" s="549"/>
      <c r="M649" s="549"/>
      <c r="N649" s="551"/>
      <c r="O649" s="549"/>
      <c r="P649" s="549"/>
      <c r="Q649" s="549"/>
      <c r="R649" s="549"/>
      <c r="S649" s="549"/>
      <c r="T649" s="549"/>
      <c r="U649" s="549"/>
      <c r="V649" s="549"/>
      <c r="W649" s="549"/>
      <c r="X649" s="549"/>
      <c r="Y649" s="549"/>
      <c r="Z649" s="549"/>
    </row>
    <row r="650" spans="1:26" ht="15">
      <c r="A650" s="549"/>
      <c r="B650" s="554"/>
      <c r="C650" s="549"/>
      <c r="D650" s="549"/>
      <c r="E650" s="570"/>
      <c r="F650" s="549"/>
      <c r="G650" s="549"/>
      <c r="H650" s="549"/>
      <c r="I650" s="550"/>
      <c r="J650" s="549"/>
      <c r="K650" s="549"/>
      <c r="L650" s="549"/>
      <c r="M650" s="549"/>
      <c r="N650" s="551"/>
      <c r="O650" s="549"/>
      <c r="P650" s="549"/>
      <c r="Q650" s="549"/>
      <c r="R650" s="549"/>
      <c r="S650" s="549"/>
      <c r="T650" s="549"/>
      <c r="U650" s="549"/>
      <c r="V650" s="549"/>
      <c r="W650" s="549"/>
      <c r="X650" s="549"/>
      <c r="Y650" s="549"/>
      <c r="Z650" s="549"/>
    </row>
    <row r="651" spans="1:26" ht="15">
      <c r="A651" s="549"/>
      <c r="B651" s="554"/>
      <c r="C651" s="549"/>
      <c r="D651" s="549"/>
      <c r="E651" s="570"/>
      <c r="F651" s="549"/>
      <c r="G651" s="549"/>
      <c r="H651" s="549"/>
      <c r="I651" s="550"/>
      <c r="J651" s="549"/>
      <c r="K651" s="549"/>
      <c r="L651" s="549"/>
      <c r="M651" s="549"/>
      <c r="N651" s="551"/>
      <c r="O651" s="549"/>
      <c r="P651" s="549"/>
      <c r="Q651" s="549"/>
      <c r="R651" s="549"/>
      <c r="S651" s="549"/>
      <c r="T651" s="549"/>
      <c r="U651" s="549"/>
      <c r="V651" s="549"/>
      <c r="W651" s="549"/>
      <c r="X651" s="549"/>
      <c r="Y651" s="549"/>
      <c r="Z651" s="549"/>
    </row>
    <row r="652" spans="1:26" ht="15">
      <c r="A652" s="549"/>
      <c r="B652" s="554"/>
      <c r="C652" s="549"/>
      <c r="D652" s="549"/>
      <c r="E652" s="570"/>
      <c r="F652" s="549"/>
      <c r="G652" s="549"/>
      <c r="H652" s="549"/>
      <c r="I652" s="550"/>
      <c r="J652" s="549"/>
      <c r="K652" s="549"/>
      <c r="L652" s="549"/>
      <c r="M652" s="549"/>
      <c r="N652" s="551"/>
      <c r="O652" s="549"/>
      <c r="P652" s="549"/>
      <c r="Q652" s="549"/>
      <c r="R652" s="549"/>
      <c r="S652" s="549"/>
      <c r="T652" s="549"/>
      <c r="U652" s="549"/>
      <c r="V652" s="549"/>
      <c r="W652" s="549"/>
      <c r="X652" s="549"/>
      <c r="Y652" s="549"/>
      <c r="Z652" s="549"/>
    </row>
    <row r="653" spans="1:26" ht="15">
      <c r="A653" s="549"/>
      <c r="B653" s="554"/>
      <c r="C653" s="549"/>
      <c r="D653" s="549"/>
      <c r="E653" s="570"/>
      <c r="F653" s="549"/>
      <c r="G653" s="549"/>
      <c r="H653" s="549"/>
      <c r="I653" s="550"/>
      <c r="J653" s="549"/>
      <c r="K653" s="549"/>
      <c r="L653" s="549"/>
      <c r="M653" s="549"/>
      <c r="N653" s="551"/>
      <c r="O653" s="549"/>
      <c r="P653" s="549"/>
      <c r="Q653" s="549"/>
      <c r="R653" s="549"/>
      <c r="S653" s="549"/>
      <c r="T653" s="549"/>
      <c r="U653" s="549"/>
      <c r="V653" s="549"/>
      <c r="W653" s="549"/>
      <c r="X653" s="549"/>
      <c r="Y653" s="549"/>
      <c r="Z653" s="549"/>
    </row>
    <row r="654" spans="1:26" ht="15">
      <c r="A654" s="549"/>
      <c r="B654" s="554"/>
      <c r="C654" s="549"/>
      <c r="D654" s="549"/>
      <c r="E654" s="570"/>
      <c r="F654" s="549"/>
      <c r="G654" s="549"/>
      <c r="H654" s="549"/>
      <c r="I654" s="550"/>
      <c r="J654" s="549"/>
      <c r="K654" s="549"/>
      <c r="L654" s="549"/>
      <c r="M654" s="549"/>
      <c r="N654" s="551"/>
      <c r="O654" s="549"/>
      <c r="P654" s="549"/>
      <c r="Q654" s="549"/>
      <c r="R654" s="549"/>
      <c r="S654" s="549"/>
      <c r="T654" s="549"/>
      <c r="U654" s="549"/>
      <c r="V654" s="549"/>
      <c r="W654" s="549"/>
      <c r="X654" s="549"/>
      <c r="Y654" s="549"/>
      <c r="Z654" s="549"/>
    </row>
    <row r="655" spans="1:26" ht="15">
      <c r="A655" s="549"/>
      <c r="B655" s="554"/>
      <c r="C655" s="549"/>
      <c r="D655" s="549"/>
      <c r="E655" s="570"/>
      <c r="F655" s="549"/>
      <c r="G655" s="549"/>
      <c r="H655" s="549"/>
      <c r="I655" s="550"/>
      <c r="J655" s="549"/>
      <c r="K655" s="549"/>
      <c r="L655" s="549"/>
      <c r="M655" s="549"/>
      <c r="N655" s="551"/>
      <c r="O655" s="549"/>
      <c r="P655" s="549"/>
      <c r="Q655" s="549"/>
      <c r="R655" s="549"/>
      <c r="S655" s="549"/>
      <c r="T655" s="549"/>
      <c r="U655" s="549"/>
      <c r="V655" s="549"/>
      <c r="W655" s="549"/>
      <c r="X655" s="549"/>
      <c r="Y655" s="549"/>
      <c r="Z655" s="549"/>
    </row>
    <row r="656" spans="1:26" ht="15">
      <c r="A656" s="549"/>
      <c r="B656" s="554"/>
      <c r="C656" s="549"/>
      <c r="D656" s="549"/>
      <c r="E656" s="570"/>
      <c r="F656" s="549"/>
      <c r="G656" s="549"/>
      <c r="H656" s="549"/>
      <c r="I656" s="550"/>
      <c r="J656" s="549"/>
      <c r="K656" s="549"/>
      <c r="L656" s="549"/>
      <c r="M656" s="549"/>
      <c r="N656" s="551"/>
      <c r="O656" s="549"/>
      <c r="P656" s="549"/>
      <c r="Q656" s="549"/>
      <c r="R656" s="549"/>
      <c r="S656" s="549"/>
      <c r="T656" s="549"/>
      <c r="U656" s="549"/>
      <c r="V656" s="549"/>
      <c r="W656" s="549"/>
      <c r="X656" s="549"/>
      <c r="Y656" s="549"/>
      <c r="Z656" s="549"/>
    </row>
    <row r="657" spans="1:26" ht="15">
      <c r="A657" s="549"/>
      <c r="B657" s="554"/>
      <c r="C657" s="549"/>
      <c r="D657" s="549"/>
      <c r="E657" s="570"/>
      <c r="F657" s="549"/>
      <c r="G657" s="549"/>
      <c r="H657" s="549"/>
      <c r="I657" s="550"/>
      <c r="J657" s="549"/>
      <c r="K657" s="549"/>
      <c r="L657" s="549"/>
      <c r="M657" s="549"/>
      <c r="N657" s="551"/>
      <c r="O657" s="549"/>
      <c r="P657" s="549"/>
      <c r="Q657" s="549"/>
      <c r="R657" s="549"/>
      <c r="S657" s="549"/>
      <c r="T657" s="549"/>
      <c r="U657" s="549"/>
      <c r="V657" s="549"/>
      <c r="W657" s="549"/>
      <c r="X657" s="549"/>
      <c r="Y657" s="549"/>
      <c r="Z657" s="549"/>
    </row>
    <row r="658" spans="1:26" ht="15">
      <c r="A658" s="549"/>
      <c r="B658" s="554"/>
      <c r="C658" s="549"/>
      <c r="D658" s="549"/>
      <c r="E658" s="570"/>
      <c r="F658" s="549"/>
      <c r="G658" s="549"/>
      <c r="H658" s="549"/>
      <c r="I658" s="550"/>
      <c r="J658" s="549"/>
      <c r="K658" s="549"/>
      <c r="L658" s="549"/>
      <c r="M658" s="549"/>
      <c r="N658" s="551"/>
      <c r="O658" s="549"/>
      <c r="P658" s="549"/>
      <c r="Q658" s="549"/>
      <c r="R658" s="549"/>
      <c r="S658" s="549"/>
      <c r="T658" s="549"/>
      <c r="U658" s="549"/>
      <c r="V658" s="549"/>
      <c r="W658" s="549"/>
      <c r="X658" s="549"/>
      <c r="Y658" s="549"/>
      <c r="Z658" s="549"/>
    </row>
    <row r="659" spans="1:26" ht="15">
      <c r="A659" s="549"/>
      <c r="B659" s="554"/>
      <c r="C659" s="549"/>
      <c r="D659" s="549"/>
      <c r="E659" s="570"/>
      <c r="F659" s="549"/>
      <c r="G659" s="549"/>
      <c r="H659" s="549"/>
      <c r="I659" s="550"/>
      <c r="J659" s="549"/>
      <c r="K659" s="549"/>
      <c r="L659" s="549"/>
      <c r="M659" s="549"/>
      <c r="N659" s="551"/>
      <c r="O659" s="549"/>
      <c r="P659" s="549"/>
      <c r="Q659" s="549"/>
      <c r="R659" s="549"/>
      <c r="S659" s="549"/>
      <c r="T659" s="549"/>
      <c r="U659" s="549"/>
      <c r="V659" s="549"/>
      <c r="W659" s="549"/>
      <c r="X659" s="549"/>
      <c r="Y659" s="549"/>
      <c r="Z659" s="549"/>
    </row>
    <row r="660" spans="1:26" ht="15">
      <c r="A660" s="549"/>
      <c r="B660" s="554"/>
      <c r="C660" s="549"/>
      <c r="D660" s="549"/>
      <c r="E660" s="570"/>
      <c r="F660" s="549"/>
      <c r="G660" s="549"/>
      <c r="H660" s="549"/>
      <c r="I660" s="550"/>
      <c r="J660" s="549"/>
      <c r="K660" s="549"/>
      <c r="L660" s="549"/>
      <c r="M660" s="549"/>
      <c r="N660" s="551"/>
      <c r="O660" s="549"/>
      <c r="P660" s="549"/>
      <c r="Q660" s="549"/>
      <c r="R660" s="549"/>
      <c r="S660" s="549"/>
      <c r="T660" s="549"/>
      <c r="U660" s="549"/>
      <c r="V660" s="549"/>
      <c r="W660" s="549"/>
      <c r="X660" s="549"/>
      <c r="Y660" s="549"/>
      <c r="Z660" s="549"/>
    </row>
    <row r="661" spans="1:26" ht="15">
      <c r="A661" s="549"/>
      <c r="B661" s="554"/>
      <c r="C661" s="549"/>
      <c r="D661" s="549"/>
      <c r="E661" s="570"/>
      <c r="F661" s="549"/>
      <c r="G661" s="549"/>
      <c r="H661" s="549"/>
      <c r="I661" s="550"/>
      <c r="J661" s="549"/>
      <c r="K661" s="549"/>
      <c r="L661" s="549"/>
      <c r="M661" s="549"/>
      <c r="N661" s="551"/>
      <c r="O661" s="549"/>
      <c r="P661" s="549"/>
      <c r="Q661" s="549"/>
      <c r="R661" s="549"/>
      <c r="S661" s="549"/>
      <c r="T661" s="549"/>
      <c r="U661" s="549"/>
      <c r="V661" s="549"/>
      <c r="W661" s="549"/>
      <c r="X661" s="549"/>
      <c r="Y661" s="549"/>
      <c r="Z661" s="549"/>
    </row>
    <row r="662" spans="1:26" ht="15">
      <c r="A662" s="549"/>
      <c r="B662" s="554"/>
      <c r="C662" s="549"/>
      <c r="D662" s="549"/>
      <c r="E662" s="570"/>
      <c r="F662" s="549"/>
      <c r="G662" s="549"/>
      <c r="H662" s="549"/>
      <c r="I662" s="550"/>
      <c r="J662" s="549"/>
      <c r="K662" s="549"/>
      <c r="L662" s="549"/>
      <c r="M662" s="549"/>
      <c r="N662" s="551"/>
      <c r="O662" s="549"/>
      <c r="P662" s="549"/>
      <c r="Q662" s="549"/>
      <c r="R662" s="549"/>
      <c r="S662" s="549"/>
      <c r="T662" s="549"/>
      <c r="U662" s="549"/>
      <c r="V662" s="549"/>
      <c r="W662" s="549"/>
      <c r="X662" s="549"/>
      <c r="Y662" s="549"/>
      <c r="Z662" s="549"/>
    </row>
    <row r="663" spans="1:26" ht="15">
      <c r="A663" s="549"/>
      <c r="B663" s="554"/>
      <c r="C663" s="549"/>
      <c r="D663" s="549"/>
      <c r="E663" s="570"/>
      <c r="F663" s="549"/>
      <c r="G663" s="549"/>
      <c r="H663" s="549"/>
      <c r="I663" s="550"/>
      <c r="J663" s="549"/>
      <c r="K663" s="549"/>
      <c r="L663" s="549"/>
      <c r="M663" s="549"/>
      <c r="N663" s="551"/>
      <c r="O663" s="549"/>
      <c r="P663" s="549"/>
      <c r="Q663" s="549"/>
      <c r="R663" s="549"/>
      <c r="S663" s="549"/>
      <c r="T663" s="549"/>
      <c r="U663" s="549"/>
      <c r="V663" s="549"/>
      <c r="W663" s="549"/>
      <c r="X663" s="549"/>
      <c r="Y663" s="549"/>
      <c r="Z663" s="549"/>
    </row>
    <row r="664" spans="1:26" ht="15">
      <c r="A664" s="549"/>
      <c r="B664" s="554"/>
      <c r="C664" s="549"/>
      <c r="D664" s="549"/>
      <c r="E664" s="570"/>
      <c r="F664" s="549"/>
      <c r="G664" s="549"/>
      <c r="H664" s="549"/>
      <c r="I664" s="550"/>
      <c r="J664" s="549"/>
      <c r="K664" s="549"/>
      <c r="L664" s="549"/>
      <c r="M664" s="549"/>
      <c r="N664" s="551"/>
      <c r="O664" s="549"/>
      <c r="P664" s="549"/>
      <c r="Q664" s="549"/>
      <c r="R664" s="549"/>
      <c r="S664" s="549"/>
      <c r="T664" s="549"/>
      <c r="U664" s="549"/>
      <c r="V664" s="549"/>
      <c r="W664" s="549"/>
      <c r="X664" s="549"/>
      <c r="Y664" s="549"/>
      <c r="Z664" s="549"/>
    </row>
    <row r="665" spans="1:26" ht="15">
      <c r="A665" s="549"/>
      <c r="B665" s="554"/>
      <c r="C665" s="549"/>
      <c r="D665" s="549"/>
      <c r="E665" s="570"/>
      <c r="F665" s="549"/>
      <c r="G665" s="549"/>
      <c r="H665" s="549"/>
      <c r="I665" s="550"/>
      <c r="J665" s="549"/>
      <c r="K665" s="549"/>
      <c r="L665" s="549"/>
      <c r="M665" s="549"/>
      <c r="N665" s="551"/>
      <c r="O665" s="549"/>
      <c r="P665" s="549"/>
      <c r="Q665" s="549"/>
      <c r="R665" s="549"/>
      <c r="S665" s="549"/>
      <c r="T665" s="549"/>
      <c r="U665" s="549"/>
      <c r="V665" s="549"/>
      <c r="W665" s="549"/>
      <c r="X665" s="549"/>
      <c r="Y665" s="549"/>
      <c r="Z665" s="549"/>
    </row>
    <row r="666" spans="1:26" ht="15">
      <c r="A666" s="549"/>
      <c r="B666" s="554"/>
      <c r="C666" s="549"/>
      <c r="D666" s="549"/>
      <c r="E666" s="570"/>
      <c r="F666" s="549"/>
      <c r="G666" s="549"/>
      <c r="H666" s="549"/>
      <c r="I666" s="550"/>
      <c r="J666" s="549"/>
      <c r="K666" s="549"/>
      <c r="L666" s="549"/>
      <c r="M666" s="549"/>
      <c r="N666" s="551"/>
      <c r="O666" s="549"/>
      <c r="P666" s="549"/>
      <c r="Q666" s="549"/>
      <c r="R666" s="549"/>
      <c r="S666" s="549"/>
      <c r="T666" s="549"/>
      <c r="U666" s="549"/>
      <c r="V666" s="549"/>
      <c r="W666" s="549"/>
      <c r="X666" s="549"/>
      <c r="Y666" s="549"/>
      <c r="Z666" s="549"/>
    </row>
    <row r="667" spans="1:26" ht="15">
      <c r="A667" s="549"/>
      <c r="B667" s="554"/>
      <c r="C667" s="549"/>
      <c r="D667" s="549"/>
      <c r="E667" s="570"/>
      <c r="F667" s="549"/>
      <c r="G667" s="549"/>
      <c r="H667" s="549"/>
      <c r="I667" s="550"/>
      <c r="J667" s="549"/>
      <c r="K667" s="549"/>
      <c r="L667" s="549"/>
      <c r="M667" s="549"/>
      <c r="N667" s="551"/>
      <c r="O667" s="549"/>
      <c r="P667" s="549"/>
      <c r="Q667" s="549"/>
      <c r="R667" s="549"/>
      <c r="S667" s="549"/>
      <c r="T667" s="549"/>
      <c r="U667" s="549"/>
      <c r="V667" s="549"/>
      <c r="W667" s="549"/>
      <c r="X667" s="549"/>
      <c r="Y667" s="549"/>
      <c r="Z667" s="549"/>
    </row>
    <row r="668" spans="1:26" ht="15">
      <c r="A668" s="549"/>
      <c r="B668" s="554"/>
      <c r="C668" s="549"/>
      <c r="D668" s="549"/>
      <c r="E668" s="570"/>
      <c r="F668" s="549"/>
      <c r="G668" s="549"/>
      <c r="H668" s="549"/>
      <c r="I668" s="550"/>
      <c r="J668" s="549"/>
      <c r="K668" s="549"/>
      <c r="L668" s="549"/>
      <c r="M668" s="549"/>
      <c r="N668" s="551"/>
      <c r="O668" s="549"/>
      <c r="P668" s="549"/>
      <c r="Q668" s="549"/>
      <c r="R668" s="549"/>
      <c r="S668" s="549"/>
      <c r="T668" s="549"/>
      <c r="U668" s="549"/>
      <c r="V668" s="549"/>
      <c r="W668" s="549"/>
      <c r="X668" s="549"/>
      <c r="Y668" s="549"/>
      <c r="Z668" s="549"/>
    </row>
    <row r="669" spans="1:26" ht="15">
      <c r="A669" s="549"/>
      <c r="B669" s="554"/>
      <c r="C669" s="549"/>
      <c r="D669" s="549"/>
      <c r="E669" s="570"/>
      <c r="F669" s="549"/>
      <c r="G669" s="549"/>
      <c r="H669" s="549"/>
      <c r="I669" s="550"/>
      <c r="J669" s="549"/>
      <c r="K669" s="549"/>
      <c r="L669" s="549"/>
      <c r="M669" s="549"/>
      <c r="N669" s="551"/>
      <c r="O669" s="549"/>
      <c r="P669" s="549"/>
      <c r="Q669" s="549"/>
      <c r="R669" s="549"/>
      <c r="S669" s="549"/>
      <c r="T669" s="549"/>
      <c r="U669" s="549"/>
      <c r="V669" s="549"/>
      <c r="W669" s="549"/>
      <c r="X669" s="549"/>
      <c r="Y669" s="549"/>
      <c r="Z669" s="549"/>
    </row>
    <row r="670" spans="1:26" ht="15">
      <c r="A670" s="549"/>
      <c r="B670" s="554"/>
      <c r="C670" s="549"/>
      <c r="D670" s="549"/>
      <c r="E670" s="570"/>
      <c r="F670" s="549"/>
      <c r="G670" s="549"/>
      <c r="H670" s="549"/>
      <c r="I670" s="550"/>
      <c r="J670" s="549"/>
      <c r="K670" s="549"/>
      <c r="L670" s="549"/>
      <c r="M670" s="549"/>
      <c r="N670" s="551"/>
      <c r="O670" s="549"/>
      <c r="P670" s="549"/>
      <c r="Q670" s="549"/>
      <c r="R670" s="549"/>
      <c r="S670" s="549"/>
      <c r="T670" s="549"/>
      <c r="U670" s="549"/>
      <c r="V670" s="549"/>
      <c r="W670" s="549"/>
      <c r="X670" s="549"/>
      <c r="Y670" s="549"/>
      <c r="Z670" s="549"/>
    </row>
    <row r="671" spans="1:26" ht="15">
      <c r="A671" s="549"/>
      <c r="B671" s="554"/>
      <c r="C671" s="549"/>
      <c r="D671" s="549"/>
      <c r="E671" s="570"/>
      <c r="F671" s="549"/>
      <c r="G671" s="549"/>
      <c r="H671" s="549"/>
      <c r="I671" s="550"/>
      <c r="J671" s="549"/>
      <c r="K671" s="549"/>
      <c r="L671" s="549"/>
      <c r="M671" s="549"/>
      <c r="N671" s="551"/>
      <c r="O671" s="549"/>
      <c r="P671" s="549"/>
      <c r="Q671" s="549"/>
      <c r="R671" s="549"/>
      <c r="S671" s="549"/>
      <c r="T671" s="549"/>
      <c r="U671" s="549"/>
      <c r="V671" s="549"/>
      <c r="W671" s="549"/>
      <c r="X671" s="549"/>
      <c r="Y671" s="549"/>
      <c r="Z671" s="549"/>
    </row>
    <row r="672" spans="1:26" ht="15">
      <c r="A672" s="549"/>
      <c r="B672" s="554"/>
      <c r="C672" s="549"/>
      <c r="D672" s="549"/>
      <c r="E672" s="570"/>
      <c r="F672" s="549"/>
      <c r="G672" s="549"/>
      <c r="H672" s="549"/>
      <c r="I672" s="550"/>
      <c r="J672" s="549"/>
      <c r="K672" s="549"/>
      <c r="L672" s="549"/>
      <c r="M672" s="549"/>
      <c r="N672" s="551"/>
      <c r="O672" s="549"/>
      <c r="P672" s="549"/>
      <c r="Q672" s="549"/>
      <c r="R672" s="549"/>
      <c r="S672" s="549"/>
      <c r="T672" s="549"/>
      <c r="U672" s="549"/>
      <c r="V672" s="549"/>
      <c r="W672" s="549"/>
      <c r="X672" s="549"/>
      <c r="Y672" s="549"/>
      <c r="Z672" s="549"/>
    </row>
    <row r="673" spans="1:26" ht="15">
      <c r="A673" s="549"/>
      <c r="B673" s="554"/>
      <c r="C673" s="549"/>
      <c r="D673" s="549"/>
      <c r="E673" s="570"/>
      <c r="F673" s="549"/>
      <c r="G673" s="549"/>
      <c r="H673" s="549"/>
      <c r="I673" s="550"/>
      <c r="J673" s="549"/>
      <c r="K673" s="549"/>
      <c r="L673" s="549"/>
      <c r="M673" s="549"/>
      <c r="N673" s="551"/>
      <c r="O673" s="549"/>
      <c r="P673" s="549"/>
      <c r="Q673" s="549"/>
      <c r="R673" s="549"/>
      <c r="S673" s="549"/>
      <c r="T673" s="549"/>
      <c r="U673" s="549"/>
      <c r="V673" s="549"/>
      <c r="W673" s="549"/>
      <c r="X673" s="549"/>
      <c r="Y673" s="549"/>
      <c r="Z673" s="549"/>
    </row>
    <row r="674" spans="1:26" ht="15">
      <c r="A674" s="549"/>
      <c r="B674" s="554"/>
      <c r="C674" s="549"/>
      <c r="D674" s="549"/>
      <c r="E674" s="570"/>
      <c r="F674" s="549"/>
      <c r="G674" s="549"/>
      <c r="H674" s="549"/>
      <c r="I674" s="550"/>
      <c r="J674" s="549"/>
      <c r="K674" s="549"/>
      <c r="L674" s="549"/>
      <c r="M674" s="549"/>
      <c r="N674" s="551"/>
      <c r="O674" s="549"/>
      <c r="P674" s="549"/>
      <c r="Q674" s="549"/>
      <c r="R674" s="549"/>
      <c r="S674" s="549"/>
      <c r="T674" s="549"/>
      <c r="U674" s="549"/>
      <c r="V674" s="549"/>
      <c r="W674" s="549"/>
      <c r="X674" s="549"/>
      <c r="Y674" s="549"/>
      <c r="Z674" s="549"/>
    </row>
    <row r="675" spans="1:26" ht="15">
      <c r="A675" s="549"/>
      <c r="B675" s="554"/>
      <c r="C675" s="549"/>
      <c r="D675" s="549"/>
      <c r="E675" s="570"/>
      <c r="F675" s="549"/>
      <c r="G675" s="549"/>
      <c r="H675" s="549"/>
      <c r="I675" s="550"/>
      <c r="J675" s="549"/>
      <c r="K675" s="549"/>
      <c r="L675" s="549"/>
      <c r="M675" s="549"/>
      <c r="N675" s="551"/>
      <c r="O675" s="549"/>
      <c r="P675" s="549"/>
      <c r="Q675" s="549"/>
      <c r="R675" s="549"/>
      <c r="S675" s="549"/>
      <c r="T675" s="549"/>
      <c r="U675" s="549"/>
      <c r="V675" s="549"/>
      <c r="W675" s="549"/>
      <c r="X675" s="549"/>
      <c r="Y675" s="549"/>
      <c r="Z675" s="549"/>
    </row>
    <row r="676" spans="1:26" ht="15">
      <c r="A676" s="549"/>
      <c r="B676" s="554"/>
      <c r="C676" s="549"/>
      <c r="D676" s="549"/>
      <c r="E676" s="570"/>
      <c r="F676" s="549"/>
      <c r="G676" s="549"/>
      <c r="H676" s="549"/>
      <c r="I676" s="550"/>
      <c r="J676" s="549"/>
      <c r="K676" s="549"/>
      <c r="L676" s="549"/>
      <c r="M676" s="549"/>
      <c r="N676" s="551"/>
      <c r="O676" s="549"/>
      <c r="P676" s="549"/>
      <c r="Q676" s="549"/>
      <c r="R676" s="549"/>
      <c r="S676" s="549"/>
      <c r="T676" s="549"/>
      <c r="U676" s="549"/>
      <c r="V676" s="549"/>
      <c r="W676" s="549"/>
      <c r="X676" s="549"/>
      <c r="Y676" s="549"/>
      <c r="Z676" s="549"/>
    </row>
    <row r="677" spans="1:26" ht="15">
      <c r="A677" s="549"/>
      <c r="B677" s="554"/>
      <c r="C677" s="549"/>
      <c r="D677" s="549"/>
      <c r="E677" s="570"/>
      <c r="F677" s="549"/>
      <c r="G677" s="549"/>
      <c r="H677" s="549"/>
      <c r="I677" s="550"/>
      <c r="J677" s="549"/>
      <c r="K677" s="549"/>
      <c r="L677" s="549"/>
      <c r="M677" s="549"/>
      <c r="N677" s="551"/>
      <c r="O677" s="549"/>
      <c r="P677" s="549"/>
      <c r="Q677" s="549"/>
      <c r="R677" s="549"/>
      <c r="S677" s="549"/>
      <c r="T677" s="549"/>
      <c r="U677" s="549"/>
      <c r="V677" s="549"/>
      <c r="W677" s="549"/>
      <c r="X677" s="549"/>
      <c r="Y677" s="549"/>
      <c r="Z677" s="549"/>
    </row>
    <row r="678" spans="1:26" ht="15">
      <c r="A678" s="549"/>
      <c r="B678" s="554"/>
      <c r="C678" s="549"/>
      <c r="D678" s="549"/>
      <c r="E678" s="570"/>
      <c r="F678" s="549"/>
      <c r="G678" s="549"/>
      <c r="H678" s="549"/>
      <c r="I678" s="550"/>
      <c r="J678" s="549"/>
      <c r="K678" s="549"/>
      <c r="L678" s="549"/>
      <c r="M678" s="549"/>
      <c r="N678" s="551"/>
      <c r="O678" s="549"/>
      <c r="P678" s="549"/>
      <c r="Q678" s="549"/>
      <c r="R678" s="549"/>
      <c r="S678" s="549"/>
      <c r="T678" s="549"/>
      <c r="U678" s="549"/>
      <c r="V678" s="549"/>
      <c r="W678" s="549"/>
      <c r="X678" s="549"/>
      <c r="Y678" s="549"/>
      <c r="Z678" s="549"/>
    </row>
    <row r="679" spans="1:26" ht="15">
      <c r="A679" s="549"/>
      <c r="B679" s="554"/>
      <c r="C679" s="549"/>
      <c r="D679" s="549"/>
      <c r="E679" s="570"/>
      <c r="F679" s="549"/>
      <c r="G679" s="549"/>
      <c r="H679" s="549"/>
      <c r="I679" s="550"/>
      <c r="J679" s="549"/>
      <c r="K679" s="549"/>
      <c r="L679" s="549"/>
      <c r="M679" s="549"/>
      <c r="N679" s="551"/>
      <c r="O679" s="549"/>
      <c r="P679" s="549"/>
      <c r="Q679" s="549"/>
      <c r="R679" s="549"/>
      <c r="S679" s="549"/>
      <c r="T679" s="549"/>
      <c r="U679" s="549"/>
      <c r="V679" s="549"/>
      <c r="W679" s="549"/>
      <c r="X679" s="549"/>
      <c r="Y679" s="549"/>
      <c r="Z679" s="549"/>
    </row>
    <row r="680" spans="1:26" ht="15">
      <c r="A680" s="549"/>
      <c r="B680" s="554"/>
      <c r="C680" s="549"/>
      <c r="D680" s="549"/>
      <c r="E680" s="570"/>
      <c r="F680" s="549"/>
      <c r="G680" s="549"/>
      <c r="H680" s="549"/>
      <c r="I680" s="550"/>
      <c r="J680" s="549"/>
      <c r="K680" s="549"/>
      <c r="L680" s="549"/>
      <c r="M680" s="549"/>
      <c r="N680" s="551"/>
      <c r="O680" s="549"/>
      <c r="P680" s="549"/>
      <c r="Q680" s="549"/>
      <c r="R680" s="549"/>
      <c r="S680" s="549"/>
      <c r="T680" s="549"/>
      <c r="U680" s="549"/>
      <c r="V680" s="549"/>
      <c r="W680" s="549"/>
      <c r="X680" s="549"/>
      <c r="Y680" s="549"/>
      <c r="Z680" s="549"/>
    </row>
    <row r="681" spans="1:26" ht="15">
      <c r="A681" s="549"/>
      <c r="B681" s="554"/>
      <c r="C681" s="549"/>
      <c r="D681" s="549"/>
      <c r="E681" s="570"/>
      <c r="F681" s="549"/>
      <c r="G681" s="549"/>
      <c r="H681" s="549"/>
      <c r="I681" s="550"/>
      <c r="J681" s="549"/>
      <c r="K681" s="549"/>
      <c r="L681" s="549"/>
      <c r="M681" s="549"/>
      <c r="N681" s="551"/>
      <c r="O681" s="549"/>
      <c r="P681" s="549"/>
      <c r="Q681" s="549"/>
      <c r="R681" s="549"/>
      <c r="S681" s="549"/>
      <c r="T681" s="549"/>
      <c r="U681" s="549"/>
      <c r="V681" s="549"/>
      <c r="W681" s="549"/>
      <c r="X681" s="549"/>
      <c r="Y681" s="549"/>
      <c r="Z681" s="549"/>
    </row>
    <row r="682" spans="1:26" ht="15">
      <c r="A682" s="549"/>
      <c r="B682" s="554"/>
      <c r="C682" s="549"/>
      <c r="D682" s="549"/>
      <c r="E682" s="570"/>
      <c r="F682" s="549"/>
      <c r="G682" s="549"/>
      <c r="H682" s="549"/>
      <c r="I682" s="550"/>
      <c r="J682" s="549"/>
      <c r="K682" s="549"/>
      <c r="L682" s="549"/>
      <c r="M682" s="549"/>
      <c r="N682" s="551"/>
      <c r="O682" s="549"/>
      <c r="P682" s="549"/>
      <c r="Q682" s="549"/>
      <c r="R682" s="549"/>
      <c r="S682" s="549"/>
      <c r="T682" s="549"/>
      <c r="U682" s="549"/>
      <c r="V682" s="549"/>
      <c r="W682" s="549"/>
      <c r="X682" s="549"/>
      <c r="Y682" s="549"/>
      <c r="Z682" s="549"/>
    </row>
    <row r="683" spans="1:26" ht="15">
      <c r="A683" s="549"/>
      <c r="B683" s="554"/>
      <c r="C683" s="549"/>
      <c r="D683" s="549"/>
      <c r="E683" s="570"/>
      <c r="F683" s="549"/>
      <c r="G683" s="549"/>
      <c r="H683" s="549"/>
      <c r="I683" s="550"/>
      <c r="J683" s="549"/>
      <c r="K683" s="549"/>
      <c r="L683" s="549"/>
      <c r="M683" s="549"/>
      <c r="N683" s="551"/>
      <c r="O683" s="549"/>
      <c r="P683" s="549"/>
      <c r="Q683" s="549"/>
      <c r="R683" s="549"/>
      <c r="S683" s="549"/>
      <c r="T683" s="549"/>
      <c r="U683" s="549"/>
      <c r="V683" s="549"/>
      <c r="W683" s="549"/>
      <c r="X683" s="549"/>
      <c r="Y683" s="549"/>
      <c r="Z683" s="549"/>
    </row>
    <row r="684" spans="1:26" ht="15">
      <c r="A684" s="549"/>
      <c r="B684" s="554"/>
      <c r="C684" s="549"/>
      <c r="D684" s="549"/>
      <c r="E684" s="570"/>
      <c r="F684" s="549"/>
      <c r="G684" s="549"/>
      <c r="H684" s="549"/>
      <c r="I684" s="550"/>
      <c r="J684" s="549"/>
      <c r="K684" s="549"/>
      <c r="L684" s="549"/>
      <c r="M684" s="549"/>
      <c r="N684" s="551"/>
      <c r="O684" s="549"/>
      <c r="P684" s="549"/>
      <c r="Q684" s="549"/>
      <c r="R684" s="549"/>
      <c r="S684" s="549"/>
      <c r="T684" s="549"/>
      <c r="U684" s="549"/>
      <c r="V684" s="549"/>
      <c r="W684" s="549"/>
      <c r="X684" s="549"/>
      <c r="Y684" s="549"/>
      <c r="Z684" s="549"/>
    </row>
    <row r="685" spans="1:26" ht="15">
      <c r="A685" s="549"/>
      <c r="B685" s="554"/>
      <c r="C685" s="549"/>
      <c r="D685" s="549"/>
      <c r="E685" s="570"/>
      <c r="F685" s="549"/>
      <c r="G685" s="549"/>
      <c r="H685" s="549"/>
      <c r="I685" s="550"/>
      <c r="J685" s="549"/>
      <c r="K685" s="549"/>
      <c r="L685" s="549"/>
      <c r="M685" s="549"/>
      <c r="N685" s="551"/>
      <c r="O685" s="549"/>
      <c r="P685" s="549"/>
      <c r="Q685" s="549"/>
      <c r="R685" s="549"/>
      <c r="S685" s="549"/>
      <c r="T685" s="549"/>
      <c r="U685" s="549"/>
      <c r="V685" s="549"/>
      <c r="W685" s="549"/>
      <c r="X685" s="549"/>
      <c r="Y685" s="549"/>
      <c r="Z685" s="549"/>
    </row>
    <row r="686" spans="1:26" ht="15">
      <c r="A686" s="549"/>
      <c r="B686" s="554"/>
      <c r="C686" s="549"/>
      <c r="D686" s="549"/>
      <c r="E686" s="570"/>
      <c r="F686" s="549"/>
      <c r="G686" s="549"/>
      <c r="H686" s="549"/>
      <c r="I686" s="550"/>
      <c r="J686" s="549"/>
      <c r="K686" s="549"/>
      <c r="L686" s="549"/>
      <c r="M686" s="549"/>
      <c r="N686" s="551"/>
      <c r="O686" s="549"/>
      <c r="P686" s="549"/>
      <c r="Q686" s="549"/>
      <c r="R686" s="549"/>
      <c r="S686" s="549"/>
      <c r="T686" s="549"/>
      <c r="U686" s="549"/>
      <c r="V686" s="549"/>
      <c r="W686" s="549"/>
      <c r="X686" s="549"/>
      <c r="Y686" s="549"/>
      <c r="Z686" s="549"/>
    </row>
    <row r="687" spans="1:26" ht="15">
      <c r="A687" s="549"/>
      <c r="B687" s="554"/>
      <c r="C687" s="549"/>
      <c r="D687" s="549"/>
      <c r="E687" s="570"/>
      <c r="F687" s="549"/>
      <c r="G687" s="549"/>
      <c r="H687" s="549"/>
      <c r="I687" s="550"/>
      <c r="J687" s="549"/>
      <c r="K687" s="549"/>
      <c r="L687" s="549"/>
      <c r="M687" s="549"/>
      <c r="N687" s="551"/>
      <c r="O687" s="549"/>
      <c r="P687" s="549"/>
      <c r="Q687" s="549"/>
      <c r="R687" s="549"/>
      <c r="S687" s="549"/>
      <c r="T687" s="549"/>
      <c r="U687" s="549"/>
      <c r="V687" s="549"/>
      <c r="W687" s="549"/>
      <c r="X687" s="549"/>
      <c r="Y687" s="549"/>
      <c r="Z687" s="549"/>
    </row>
    <row r="688" spans="1:26" ht="15">
      <c r="A688" s="549"/>
      <c r="B688" s="554"/>
      <c r="C688" s="549"/>
      <c r="D688" s="549"/>
      <c r="E688" s="570"/>
      <c r="F688" s="549"/>
      <c r="G688" s="549"/>
      <c r="H688" s="549"/>
      <c r="I688" s="550"/>
      <c r="J688" s="549"/>
      <c r="K688" s="549"/>
      <c r="L688" s="549"/>
      <c r="M688" s="549"/>
      <c r="N688" s="551"/>
      <c r="O688" s="549"/>
      <c r="P688" s="549"/>
      <c r="Q688" s="549"/>
      <c r="R688" s="549"/>
      <c r="S688" s="549"/>
      <c r="T688" s="549"/>
      <c r="U688" s="549"/>
      <c r="V688" s="549"/>
      <c r="W688" s="549"/>
      <c r="X688" s="549"/>
      <c r="Y688" s="549"/>
      <c r="Z688" s="549"/>
    </row>
    <row r="689" spans="1:26" ht="15">
      <c r="A689" s="549"/>
      <c r="B689" s="554"/>
      <c r="C689" s="549"/>
      <c r="D689" s="549"/>
      <c r="E689" s="570"/>
      <c r="F689" s="549"/>
      <c r="G689" s="549"/>
      <c r="H689" s="549"/>
      <c r="I689" s="550"/>
      <c r="J689" s="549"/>
      <c r="K689" s="549"/>
      <c r="L689" s="549"/>
      <c r="M689" s="549"/>
      <c r="N689" s="551"/>
      <c r="O689" s="549"/>
      <c r="P689" s="549"/>
      <c r="Q689" s="549"/>
      <c r="R689" s="549"/>
      <c r="S689" s="549"/>
      <c r="T689" s="549"/>
      <c r="U689" s="549"/>
      <c r="V689" s="549"/>
      <c r="W689" s="549"/>
      <c r="X689" s="549"/>
      <c r="Y689" s="549"/>
      <c r="Z689" s="549"/>
    </row>
    <row r="690" spans="1:26" ht="15">
      <c r="A690" s="549"/>
      <c r="B690" s="554"/>
      <c r="C690" s="549"/>
      <c r="D690" s="549"/>
      <c r="E690" s="570"/>
      <c r="F690" s="549"/>
      <c r="G690" s="549"/>
      <c r="H690" s="549"/>
      <c r="I690" s="550"/>
      <c r="J690" s="549"/>
      <c r="K690" s="549"/>
      <c r="L690" s="549"/>
      <c r="M690" s="549"/>
      <c r="N690" s="551"/>
      <c r="O690" s="549"/>
      <c r="P690" s="549"/>
      <c r="Q690" s="549"/>
      <c r="R690" s="549"/>
      <c r="S690" s="549"/>
      <c r="T690" s="549"/>
      <c r="U690" s="549"/>
      <c r="V690" s="549"/>
      <c r="W690" s="549"/>
      <c r="X690" s="549"/>
      <c r="Y690" s="549"/>
      <c r="Z690" s="549"/>
    </row>
    <row r="691" spans="1:26" ht="15">
      <c r="A691" s="549"/>
      <c r="B691" s="554"/>
      <c r="C691" s="549"/>
      <c r="D691" s="549"/>
      <c r="E691" s="570"/>
      <c r="F691" s="549"/>
      <c r="G691" s="549"/>
      <c r="H691" s="549"/>
      <c r="I691" s="550"/>
      <c r="J691" s="549"/>
      <c r="K691" s="549"/>
      <c r="L691" s="549"/>
      <c r="M691" s="549"/>
      <c r="N691" s="551"/>
      <c r="O691" s="549"/>
      <c r="P691" s="549"/>
      <c r="Q691" s="549"/>
      <c r="R691" s="549"/>
      <c r="S691" s="549"/>
      <c r="T691" s="549"/>
      <c r="U691" s="549"/>
      <c r="V691" s="549"/>
      <c r="W691" s="549"/>
      <c r="X691" s="549"/>
      <c r="Y691" s="549"/>
      <c r="Z691" s="549"/>
    </row>
    <row r="692" spans="1:26" ht="15">
      <c r="A692" s="549"/>
      <c r="B692" s="554"/>
      <c r="C692" s="549"/>
      <c r="D692" s="549"/>
      <c r="E692" s="570"/>
      <c r="F692" s="549"/>
      <c r="G692" s="549"/>
      <c r="H692" s="549"/>
      <c r="I692" s="550"/>
      <c r="J692" s="549"/>
      <c r="K692" s="549"/>
      <c r="L692" s="549"/>
      <c r="M692" s="549"/>
      <c r="N692" s="551"/>
      <c r="O692" s="549"/>
      <c r="P692" s="549"/>
      <c r="Q692" s="549"/>
      <c r="R692" s="549"/>
      <c r="S692" s="549"/>
      <c r="T692" s="549"/>
      <c r="U692" s="549"/>
      <c r="V692" s="549"/>
      <c r="W692" s="549"/>
      <c r="X692" s="549"/>
      <c r="Y692" s="549"/>
      <c r="Z692" s="549"/>
    </row>
    <row r="693" spans="1:26" ht="15">
      <c r="A693" s="549"/>
      <c r="B693" s="554"/>
      <c r="C693" s="549"/>
      <c r="D693" s="549"/>
      <c r="E693" s="570"/>
      <c r="F693" s="549"/>
      <c r="G693" s="549"/>
      <c r="H693" s="549"/>
      <c r="I693" s="550"/>
      <c r="J693" s="549"/>
      <c r="K693" s="549"/>
      <c r="L693" s="549"/>
      <c r="M693" s="549"/>
      <c r="N693" s="551"/>
      <c r="O693" s="549"/>
      <c r="P693" s="549"/>
      <c r="Q693" s="549"/>
      <c r="R693" s="549"/>
      <c r="S693" s="549"/>
      <c r="T693" s="549"/>
      <c r="U693" s="549"/>
      <c r="V693" s="549"/>
      <c r="W693" s="549"/>
      <c r="X693" s="549"/>
      <c r="Y693" s="549"/>
      <c r="Z693" s="549"/>
    </row>
    <row r="694" spans="1:26" ht="15">
      <c r="A694" s="549"/>
      <c r="B694" s="554"/>
      <c r="C694" s="549"/>
      <c r="D694" s="549"/>
      <c r="E694" s="570"/>
      <c r="F694" s="549"/>
      <c r="G694" s="549"/>
      <c r="H694" s="549"/>
      <c r="I694" s="550"/>
      <c r="J694" s="549"/>
      <c r="K694" s="549"/>
      <c r="L694" s="549"/>
      <c r="M694" s="549"/>
      <c r="N694" s="551"/>
      <c r="O694" s="549"/>
      <c r="P694" s="549"/>
      <c r="Q694" s="549"/>
      <c r="R694" s="549"/>
      <c r="S694" s="549"/>
      <c r="T694" s="549"/>
      <c r="U694" s="549"/>
      <c r="V694" s="549"/>
      <c r="W694" s="549"/>
      <c r="X694" s="549"/>
      <c r="Y694" s="549"/>
      <c r="Z694" s="549"/>
    </row>
    <row r="695" spans="1:26" ht="15">
      <c r="A695" s="549"/>
      <c r="B695" s="554"/>
      <c r="C695" s="549"/>
      <c r="D695" s="549"/>
      <c r="E695" s="570"/>
      <c r="F695" s="549"/>
      <c r="G695" s="549"/>
      <c r="H695" s="549"/>
      <c r="I695" s="550"/>
      <c r="J695" s="549"/>
      <c r="K695" s="549"/>
      <c r="L695" s="549"/>
      <c r="M695" s="549"/>
      <c r="N695" s="551"/>
      <c r="O695" s="549"/>
      <c r="P695" s="549"/>
      <c r="Q695" s="549"/>
      <c r="R695" s="549"/>
      <c r="S695" s="549"/>
      <c r="T695" s="549"/>
      <c r="U695" s="549"/>
      <c r="V695" s="549"/>
      <c r="W695" s="549"/>
      <c r="X695" s="549"/>
      <c r="Y695" s="549"/>
      <c r="Z695" s="549"/>
    </row>
    <row r="696" spans="1:26" ht="15">
      <c r="A696" s="549"/>
      <c r="B696" s="554"/>
      <c r="C696" s="549"/>
      <c r="D696" s="549"/>
      <c r="E696" s="570"/>
      <c r="F696" s="549"/>
      <c r="G696" s="549"/>
      <c r="H696" s="549"/>
      <c r="I696" s="550"/>
      <c r="J696" s="549"/>
      <c r="K696" s="549"/>
      <c r="L696" s="549"/>
      <c r="M696" s="549"/>
      <c r="N696" s="551"/>
      <c r="O696" s="549"/>
      <c r="P696" s="549"/>
      <c r="Q696" s="549"/>
      <c r="R696" s="549"/>
      <c r="S696" s="549"/>
      <c r="T696" s="549"/>
      <c r="U696" s="549"/>
      <c r="V696" s="549"/>
      <c r="W696" s="549"/>
      <c r="X696" s="549"/>
      <c r="Y696" s="549"/>
      <c r="Z696" s="549"/>
    </row>
    <row r="697" spans="1:26" ht="15">
      <c r="A697" s="549"/>
      <c r="B697" s="554"/>
      <c r="C697" s="549"/>
      <c r="D697" s="549"/>
      <c r="E697" s="570"/>
      <c r="F697" s="549"/>
      <c r="G697" s="549"/>
      <c r="H697" s="549"/>
      <c r="I697" s="550"/>
      <c r="J697" s="549"/>
      <c r="K697" s="549"/>
      <c r="L697" s="549"/>
      <c r="M697" s="549"/>
      <c r="N697" s="551"/>
      <c r="O697" s="549"/>
      <c r="P697" s="549"/>
      <c r="Q697" s="549"/>
      <c r="R697" s="549"/>
      <c r="S697" s="549"/>
      <c r="T697" s="549"/>
      <c r="U697" s="549"/>
      <c r="V697" s="549"/>
      <c r="W697" s="549"/>
      <c r="X697" s="549"/>
      <c r="Y697" s="549"/>
      <c r="Z697" s="549"/>
    </row>
    <row r="698" spans="1:26" ht="15">
      <c r="A698" s="549"/>
      <c r="B698" s="554"/>
      <c r="C698" s="549"/>
      <c r="D698" s="549"/>
      <c r="E698" s="570"/>
      <c r="F698" s="549"/>
      <c r="G698" s="549"/>
      <c r="H698" s="549"/>
      <c r="I698" s="550"/>
      <c r="J698" s="549"/>
      <c r="K698" s="549"/>
      <c r="L698" s="549"/>
      <c r="M698" s="549"/>
      <c r="N698" s="551"/>
      <c r="O698" s="549"/>
      <c r="P698" s="549"/>
      <c r="Q698" s="549"/>
      <c r="R698" s="549"/>
      <c r="S698" s="549"/>
      <c r="T698" s="549"/>
      <c r="U698" s="549"/>
      <c r="V698" s="549"/>
      <c r="W698" s="549"/>
      <c r="X698" s="549"/>
      <c r="Y698" s="549"/>
      <c r="Z698" s="549"/>
    </row>
    <row r="699" spans="1:26" ht="15">
      <c r="A699" s="549"/>
      <c r="B699" s="554"/>
      <c r="C699" s="549"/>
      <c r="D699" s="549"/>
      <c r="E699" s="570"/>
      <c r="F699" s="549"/>
      <c r="G699" s="549"/>
      <c r="H699" s="549"/>
      <c r="I699" s="550"/>
      <c r="J699" s="549"/>
      <c r="K699" s="549"/>
      <c r="L699" s="549"/>
      <c r="M699" s="549"/>
      <c r="N699" s="551"/>
      <c r="O699" s="549"/>
      <c r="P699" s="549"/>
      <c r="Q699" s="549"/>
      <c r="R699" s="549"/>
      <c r="S699" s="549"/>
      <c r="T699" s="549"/>
      <c r="U699" s="549"/>
      <c r="V699" s="549"/>
      <c r="W699" s="549"/>
      <c r="X699" s="549"/>
      <c r="Y699" s="549"/>
      <c r="Z699" s="549"/>
    </row>
    <row r="700" spans="1:26" ht="15">
      <c r="A700" s="549"/>
      <c r="B700" s="554"/>
      <c r="C700" s="549"/>
      <c r="D700" s="549"/>
      <c r="E700" s="570"/>
      <c r="F700" s="549"/>
      <c r="G700" s="549"/>
      <c r="H700" s="549"/>
      <c r="I700" s="550"/>
      <c r="J700" s="549"/>
      <c r="K700" s="549"/>
      <c r="L700" s="549"/>
      <c r="M700" s="549"/>
      <c r="N700" s="551"/>
      <c r="O700" s="549"/>
      <c r="P700" s="549"/>
      <c r="Q700" s="549"/>
      <c r="R700" s="549"/>
      <c r="S700" s="549"/>
      <c r="T700" s="549"/>
      <c r="U700" s="549"/>
      <c r="V700" s="549"/>
      <c r="W700" s="549"/>
      <c r="X700" s="549"/>
      <c r="Y700" s="549"/>
      <c r="Z700" s="549"/>
    </row>
    <row r="701" spans="1:26" ht="15">
      <c r="A701" s="549"/>
      <c r="B701" s="554"/>
      <c r="C701" s="549"/>
      <c r="D701" s="549"/>
      <c r="E701" s="570"/>
      <c r="F701" s="549"/>
      <c r="G701" s="549"/>
      <c r="H701" s="549"/>
      <c r="I701" s="550"/>
      <c r="J701" s="549"/>
      <c r="K701" s="549"/>
      <c r="L701" s="549"/>
      <c r="M701" s="549"/>
      <c r="N701" s="551"/>
      <c r="O701" s="549"/>
      <c r="P701" s="549"/>
      <c r="Q701" s="549"/>
      <c r="R701" s="549"/>
      <c r="S701" s="549"/>
      <c r="T701" s="549"/>
      <c r="U701" s="549"/>
      <c r="V701" s="549"/>
      <c r="W701" s="549"/>
      <c r="X701" s="549"/>
      <c r="Y701" s="549"/>
      <c r="Z701" s="549"/>
    </row>
    <row r="702" spans="1:26" ht="15">
      <c r="A702" s="549"/>
      <c r="B702" s="554"/>
      <c r="C702" s="549"/>
      <c r="D702" s="549"/>
      <c r="E702" s="570"/>
      <c r="F702" s="549"/>
      <c r="G702" s="549"/>
      <c r="H702" s="549"/>
      <c r="I702" s="550"/>
      <c r="J702" s="549"/>
      <c r="K702" s="549"/>
      <c r="L702" s="549"/>
      <c r="M702" s="549"/>
      <c r="N702" s="551"/>
      <c r="O702" s="549"/>
      <c r="P702" s="549"/>
      <c r="Q702" s="549"/>
      <c r="R702" s="549"/>
      <c r="S702" s="549"/>
      <c r="T702" s="549"/>
      <c r="U702" s="549"/>
      <c r="V702" s="549"/>
      <c r="W702" s="549"/>
      <c r="X702" s="549"/>
      <c r="Y702" s="549"/>
      <c r="Z702" s="549"/>
    </row>
    <row r="703" spans="1:26" ht="15">
      <c r="A703" s="549"/>
      <c r="B703" s="554"/>
      <c r="C703" s="549"/>
      <c r="D703" s="549"/>
      <c r="E703" s="570"/>
      <c r="F703" s="549"/>
      <c r="G703" s="549"/>
      <c r="H703" s="549"/>
      <c r="I703" s="550"/>
      <c r="J703" s="549"/>
      <c r="K703" s="549"/>
      <c r="L703" s="549"/>
      <c r="M703" s="549"/>
      <c r="N703" s="551"/>
      <c r="O703" s="549"/>
      <c r="P703" s="549"/>
      <c r="Q703" s="549"/>
      <c r="R703" s="549"/>
      <c r="S703" s="549"/>
      <c r="T703" s="549"/>
      <c r="U703" s="549"/>
      <c r="V703" s="549"/>
      <c r="W703" s="549"/>
      <c r="X703" s="549"/>
      <c r="Y703" s="549"/>
      <c r="Z703" s="549"/>
    </row>
    <row r="704" spans="1:26" ht="15">
      <c r="A704" s="549"/>
      <c r="B704" s="554"/>
      <c r="C704" s="549"/>
      <c r="D704" s="549"/>
      <c r="E704" s="570"/>
      <c r="F704" s="549"/>
      <c r="G704" s="549"/>
      <c r="H704" s="549"/>
      <c r="I704" s="550"/>
      <c r="J704" s="549"/>
      <c r="K704" s="549"/>
      <c r="L704" s="549"/>
      <c r="M704" s="549"/>
      <c r="N704" s="551"/>
      <c r="O704" s="549"/>
      <c r="P704" s="549"/>
      <c r="Q704" s="549"/>
      <c r="R704" s="549"/>
      <c r="S704" s="549"/>
      <c r="T704" s="549"/>
      <c r="U704" s="549"/>
      <c r="V704" s="549"/>
      <c r="W704" s="549"/>
      <c r="X704" s="549"/>
      <c r="Y704" s="549"/>
      <c r="Z704" s="549"/>
    </row>
    <row r="705" spans="1:26" ht="15">
      <c r="A705" s="549"/>
      <c r="B705" s="554"/>
      <c r="C705" s="549"/>
      <c r="D705" s="549"/>
      <c r="E705" s="570"/>
      <c r="F705" s="549"/>
      <c r="G705" s="549"/>
      <c r="H705" s="549"/>
      <c r="I705" s="550"/>
      <c r="J705" s="549"/>
      <c r="K705" s="549"/>
      <c r="L705" s="549"/>
      <c r="M705" s="549"/>
      <c r="N705" s="551"/>
      <c r="O705" s="549"/>
      <c r="P705" s="549"/>
      <c r="Q705" s="549"/>
      <c r="R705" s="549"/>
      <c r="S705" s="549"/>
      <c r="T705" s="549"/>
      <c r="U705" s="549"/>
      <c r="V705" s="549"/>
      <c r="W705" s="549"/>
      <c r="X705" s="549"/>
      <c r="Y705" s="549"/>
      <c r="Z705" s="549"/>
    </row>
    <row r="706" spans="1:26" ht="15">
      <c r="A706" s="549"/>
      <c r="B706" s="554"/>
      <c r="C706" s="549"/>
      <c r="D706" s="549"/>
      <c r="E706" s="570"/>
      <c r="F706" s="549"/>
      <c r="G706" s="549"/>
      <c r="H706" s="549"/>
      <c r="I706" s="550"/>
      <c r="J706" s="549"/>
      <c r="K706" s="549"/>
      <c r="L706" s="549"/>
      <c r="M706" s="549"/>
      <c r="N706" s="551"/>
      <c r="O706" s="549"/>
      <c r="P706" s="549"/>
      <c r="Q706" s="549"/>
      <c r="R706" s="549"/>
      <c r="S706" s="549"/>
      <c r="T706" s="549"/>
      <c r="U706" s="549"/>
      <c r="V706" s="549"/>
      <c r="W706" s="549"/>
      <c r="X706" s="549"/>
      <c r="Y706" s="549"/>
      <c r="Z706" s="549"/>
    </row>
    <row r="707" spans="1:26" ht="15">
      <c r="A707" s="549"/>
      <c r="B707" s="554"/>
      <c r="C707" s="549"/>
      <c r="D707" s="549"/>
      <c r="E707" s="570"/>
      <c r="F707" s="549"/>
      <c r="G707" s="549"/>
      <c r="H707" s="549"/>
      <c r="I707" s="550"/>
      <c r="J707" s="549"/>
      <c r="K707" s="549"/>
      <c r="L707" s="549"/>
      <c r="M707" s="549"/>
      <c r="N707" s="551"/>
      <c r="O707" s="549"/>
      <c r="P707" s="549"/>
      <c r="Q707" s="549"/>
      <c r="R707" s="549"/>
      <c r="S707" s="549"/>
      <c r="T707" s="549"/>
      <c r="U707" s="549"/>
      <c r="V707" s="549"/>
      <c r="W707" s="549"/>
      <c r="X707" s="549"/>
      <c r="Y707" s="549"/>
      <c r="Z707" s="549"/>
    </row>
    <row r="708" spans="1:26" ht="15">
      <c r="A708" s="549"/>
      <c r="B708" s="554"/>
      <c r="C708" s="549"/>
      <c r="D708" s="549"/>
      <c r="E708" s="570"/>
      <c r="F708" s="549"/>
      <c r="G708" s="549"/>
      <c r="H708" s="549"/>
      <c r="I708" s="550"/>
      <c r="J708" s="549"/>
      <c r="K708" s="549"/>
      <c r="L708" s="549"/>
      <c r="M708" s="549"/>
      <c r="N708" s="551"/>
      <c r="O708" s="549"/>
      <c r="P708" s="549"/>
      <c r="Q708" s="549"/>
      <c r="R708" s="549"/>
      <c r="S708" s="549"/>
      <c r="T708" s="549"/>
      <c r="U708" s="549"/>
      <c r="V708" s="549"/>
      <c r="W708" s="549"/>
      <c r="X708" s="549"/>
      <c r="Y708" s="549"/>
      <c r="Z708" s="549"/>
    </row>
    <row r="709" spans="1:26" ht="15">
      <c r="A709" s="549"/>
      <c r="B709" s="554"/>
      <c r="C709" s="549"/>
      <c r="D709" s="549"/>
      <c r="E709" s="570"/>
      <c r="F709" s="549"/>
      <c r="G709" s="549"/>
      <c r="H709" s="549"/>
      <c r="I709" s="550"/>
      <c r="J709" s="549"/>
      <c r="K709" s="549"/>
      <c r="L709" s="549"/>
      <c r="M709" s="549"/>
      <c r="N709" s="551"/>
      <c r="O709" s="549"/>
      <c r="P709" s="549"/>
      <c r="Q709" s="549"/>
      <c r="R709" s="549"/>
      <c r="S709" s="549"/>
      <c r="T709" s="549"/>
      <c r="U709" s="549"/>
      <c r="V709" s="549"/>
      <c r="W709" s="549"/>
      <c r="X709" s="549"/>
      <c r="Y709" s="549"/>
      <c r="Z709" s="549"/>
    </row>
    <row r="710" spans="1:26" ht="15">
      <c r="A710" s="549"/>
      <c r="B710" s="554"/>
      <c r="C710" s="549"/>
      <c r="D710" s="549"/>
      <c r="E710" s="570"/>
      <c r="F710" s="549"/>
      <c r="G710" s="549"/>
      <c r="H710" s="549"/>
      <c r="I710" s="550"/>
      <c r="J710" s="549"/>
      <c r="K710" s="549"/>
      <c r="L710" s="549"/>
      <c r="M710" s="549"/>
      <c r="N710" s="551"/>
      <c r="O710" s="549"/>
      <c r="P710" s="549"/>
      <c r="Q710" s="549"/>
      <c r="R710" s="549"/>
      <c r="S710" s="549"/>
      <c r="T710" s="549"/>
      <c r="U710" s="549"/>
      <c r="V710" s="549"/>
      <c r="W710" s="549"/>
      <c r="X710" s="549"/>
      <c r="Y710" s="549"/>
      <c r="Z710" s="549"/>
    </row>
    <row r="711" spans="1:26" ht="15">
      <c r="A711" s="549"/>
      <c r="B711" s="554"/>
      <c r="C711" s="549"/>
      <c r="D711" s="549"/>
      <c r="E711" s="570"/>
      <c r="F711" s="549"/>
      <c r="G711" s="549"/>
      <c r="H711" s="549"/>
      <c r="I711" s="550"/>
      <c r="J711" s="549"/>
      <c r="K711" s="549"/>
      <c r="L711" s="549"/>
      <c r="M711" s="549"/>
      <c r="N711" s="551"/>
      <c r="O711" s="549"/>
      <c r="P711" s="549"/>
      <c r="Q711" s="549"/>
      <c r="R711" s="549"/>
      <c r="S711" s="549"/>
      <c r="T711" s="549"/>
      <c r="U711" s="549"/>
      <c r="V711" s="549"/>
      <c r="W711" s="549"/>
      <c r="X711" s="549"/>
      <c r="Y711" s="549"/>
      <c r="Z711" s="549"/>
    </row>
    <row r="712" spans="1:26" ht="15">
      <c r="A712" s="549"/>
      <c r="B712" s="554"/>
      <c r="C712" s="549"/>
      <c r="D712" s="549"/>
      <c r="E712" s="570"/>
      <c r="F712" s="549"/>
      <c r="G712" s="549"/>
      <c r="H712" s="549"/>
      <c r="I712" s="550"/>
      <c r="J712" s="549"/>
      <c r="K712" s="549"/>
      <c r="L712" s="549"/>
      <c r="M712" s="549"/>
      <c r="N712" s="551"/>
      <c r="O712" s="549"/>
      <c r="P712" s="549"/>
      <c r="Q712" s="549"/>
      <c r="R712" s="549"/>
      <c r="S712" s="549"/>
      <c r="T712" s="549"/>
      <c r="U712" s="549"/>
      <c r="V712" s="549"/>
      <c r="W712" s="549"/>
      <c r="X712" s="549"/>
      <c r="Y712" s="549"/>
      <c r="Z712" s="549"/>
    </row>
    <row r="713" spans="1:26" ht="15">
      <c r="A713" s="549"/>
      <c r="B713" s="554"/>
      <c r="C713" s="549"/>
      <c r="D713" s="549"/>
      <c r="E713" s="570"/>
      <c r="F713" s="549"/>
      <c r="G713" s="549"/>
      <c r="H713" s="549"/>
      <c r="I713" s="550"/>
      <c r="J713" s="549"/>
      <c r="K713" s="549"/>
      <c r="L713" s="549"/>
      <c r="M713" s="549"/>
      <c r="N713" s="551"/>
      <c r="O713" s="549"/>
      <c r="P713" s="549"/>
      <c r="Q713" s="549"/>
      <c r="R713" s="549"/>
      <c r="S713" s="549"/>
      <c r="T713" s="549"/>
      <c r="U713" s="549"/>
      <c r="V713" s="549"/>
      <c r="W713" s="549"/>
      <c r="X713" s="549"/>
      <c r="Y713" s="549"/>
      <c r="Z713" s="549"/>
    </row>
    <row r="714" spans="1:26" ht="15">
      <c r="A714" s="549"/>
      <c r="B714" s="554"/>
      <c r="C714" s="549"/>
      <c r="D714" s="549"/>
      <c r="E714" s="570"/>
      <c r="F714" s="549"/>
      <c r="G714" s="549"/>
      <c r="H714" s="549"/>
      <c r="I714" s="550"/>
      <c r="J714" s="549"/>
      <c r="K714" s="549"/>
      <c r="L714" s="549"/>
      <c r="M714" s="549"/>
      <c r="N714" s="551"/>
      <c r="O714" s="549"/>
      <c r="P714" s="549"/>
      <c r="Q714" s="549"/>
      <c r="R714" s="549"/>
      <c r="S714" s="549"/>
      <c r="T714" s="549"/>
      <c r="U714" s="549"/>
      <c r="V714" s="549"/>
      <c r="W714" s="549"/>
      <c r="X714" s="549"/>
      <c r="Y714" s="549"/>
      <c r="Z714" s="549"/>
    </row>
    <row r="715" spans="1:26" ht="15">
      <c r="A715" s="549"/>
      <c r="B715" s="554"/>
      <c r="C715" s="549"/>
      <c r="D715" s="549"/>
      <c r="E715" s="570"/>
      <c r="F715" s="549"/>
      <c r="G715" s="549"/>
      <c r="H715" s="549"/>
      <c r="I715" s="550"/>
      <c r="J715" s="549"/>
      <c r="K715" s="549"/>
      <c r="L715" s="549"/>
      <c r="M715" s="549"/>
      <c r="N715" s="551"/>
      <c r="O715" s="549"/>
      <c r="P715" s="549"/>
      <c r="Q715" s="549"/>
      <c r="R715" s="549"/>
      <c r="S715" s="549"/>
      <c r="T715" s="549"/>
      <c r="U715" s="549"/>
      <c r="V715" s="549"/>
      <c r="W715" s="549"/>
      <c r="X715" s="549"/>
      <c r="Y715" s="549"/>
      <c r="Z715" s="549"/>
    </row>
    <row r="716" spans="1:26" ht="15">
      <c r="A716" s="549"/>
      <c r="B716" s="554"/>
      <c r="C716" s="549"/>
      <c r="D716" s="549"/>
      <c r="E716" s="570"/>
      <c r="F716" s="549"/>
      <c r="G716" s="549"/>
      <c r="H716" s="549"/>
      <c r="I716" s="550"/>
      <c r="J716" s="549"/>
      <c r="K716" s="549"/>
      <c r="L716" s="549"/>
      <c r="M716" s="549"/>
      <c r="N716" s="551"/>
      <c r="O716" s="549"/>
      <c r="P716" s="549"/>
      <c r="Q716" s="549"/>
      <c r="R716" s="549"/>
      <c r="S716" s="549"/>
      <c r="T716" s="549"/>
      <c r="U716" s="549"/>
      <c r="V716" s="549"/>
      <c r="W716" s="549"/>
      <c r="X716" s="549"/>
      <c r="Y716" s="549"/>
      <c r="Z716" s="549"/>
    </row>
    <row r="717" spans="1:26" ht="15">
      <c r="A717" s="549"/>
      <c r="B717" s="554"/>
      <c r="C717" s="549"/>
      <c r="D717" s="549"/>
      <c r="E717" s="570"/>
      <c r="F717" s="549"/>
      <c r="G717" s="549"/>
      <c r="H717" s="549"/>
      <c r="I717" s="550"/>
      <c r="J717" s="549"/>
      <c r="K717" s="549"/>
      <c r="L717" s="549"/>
      <c r="M717" s="549"/>
      <c r="N717" s="551"/>
      <c r="O717" s="549"/>
      <c r="P717" s="549"/>
      <c r="Q717" s="549"/>
      <c r="R717" s="549"/>
      <c r="S717" s="549"/>
      <c r="T717" s="549"/>
      <c r="U717" s="549"/>
      <c r="V717" s="549"/>
      <c r="W717" s="549"/>
      <c r="X717" s="549"/>
      <c r="Y717" s="549"/>
      <c r="Z717" s="549"/>
    </row>
    <row r="718" spans="1:26" ht="15">
      <c r="A718" s="549"/>
      <c r="B718" s="554"/>
      <c r="C718" s="549"/>
      <c r="D718" s="549"/>
      <c r="E718" s="570"/>
      <c r="F718" s="549"/>
      <c r="G718" s="549"/>
      <c r="H718" s="549"/>
      <c r="I718" s="550"/>
      <c r="J718" s="549"/>
      <c r="K718" s="549"/>
      <c r="L718" s="549"/>
      <c r="M718" s="549"/>
      <c r="N718" s="551"/>
      <c r="O718" s="549"/>
      <c r="P718" s="549"/>
      <c r="Q718" s="549"/>
      <c r="R718" s="549"/>
      <c r="S718" s="549"/>
      <c r="T718" s="549"/>
      <c r="U718" s="549"/>
      <c r="V718" s="549"/>
      <c r="W718" s="549"/>
      <c r="X718" s="549"/>
      <c r="Y718" s="549"/>
      <c r="Z718" s="549"/>
    </row>
    <row r="719" spans="1:26" ht="15">
      <c r="A719" s="549"/>
      <c r="B719" s="554"/>
      <c r="C719" s="549"/>
      <c r="D719" s="549"/>
      <c r="E719" s="570"/>
      <c r="F719" s="549"/>
      <c r="G719" s="549"/>
      <c r="H719" s="549"/>
      <c r="I719" s="550"/>
      <c r="J719" s="549"/>
      <c r="K719" s="549"/>
      <c r="L719" s="549"/>
      <c r="M719" s="549"/>
      <c r="N719" s="551"/>
      <c r="O719" s="549"/>
      <c r="P719" s="549"/>
      <c r="Q719" s="549"/>
      <c r="R719" s="549"/>
      <c r="S719" s="549"/>
      <c r="T719" s="549"/>
      <c r="U719" s="549"/>
      <c r="V719" s="549"/>
      <c r="W719" s="549"/>
      <c r="X719" s="549"/>
      <c r="Y719" s="549"/>
      <c r="Z719" s="549"/>
    </row>
    <row r="720" spans="1:26" ht="15">
      <c r="A720" s="549"/>
      <c r="B720" s="554"/>
      <c r="C720" s="549"/>
      <c r="D720" s="549"/>
      <c r="E720" s="570"/>
      <c r="F720" s="549"/>
      <c r="G720" s="549"/>
      <c r="H720" s="549"/>
      <c r="I720" s="550"/>
      <c r="J720" s="549"/>
      <c r="K720" s="549"/>
      <c r="L720" s="549"/>
      <c r="M720" s="549"/>
      <c r="N720" s="551"/>
      <c r="O720" s="549"/>
      <c r="P720" s="549"/>
      <c r="Q720" s="549"/>
      <c r="R720" s="549"/>
      <c r="S720" s="549"/>
      <c r="T720" s="549"/>
      <c r="U720" s="549"/>
      <c r="V720" s="549"/>
      <c r="W720" s="549"/>
      <c r="X720" s="549"/>
      <c r="Y720" s="549"/>
      <c r="Z720" s="549"/>
    </row>
    <row r="721" spans="1:26" ht="15">
      <c r="A721" s="549"/>
      <c r="B721" s="554"/>
      <c r="C721" s="549"/>
      <c r="D721" s="549"/>
      <c r="E721" s="570"/>
      <c r="F721" s="549"/>
      <c r="G721" s="549"/>
      <c r="H721" s="549"/>
      <c r="I721" s="550"/>
      <c r="J721" s="549"/>
      <c r="K721" s="549"/>
      <c r="L721" s="549"/>
      <c r="M721" s="549"/>
      <c r="N721" s="551"/>
      <c r="O721" s="549"/>
      <c r="P721" s="549"/>
      <c r="Q721" s="549"/>
      <c r="R721" s="549"/>
      <c r="S721" s="549"/>
      <c r="T721" s="549"/>
      <c r="U721" s="549"/>
      <c r="V721" s="549"/>
      <c r="W721" s="549"/>
      <c r="X721" s="549"/>
      <c r="Y721" s="549"/>
      <c r="Z721" s="549"/>
    </row>
    <row r="722" spans="1:26" ht="15">
      <c r="A722" s="549"/>
      <c r="B722" s="554"/>
      <c r="C722" s="549"/>
      <c r="D722" s="549"/>
      <c r="E722" s="570"/>
      <c r="F722" s="549"/>
      <c r="G722" s="549"/>
      <c r="H722" s="549"/>
      <c r="I722" s="550"/>
      <c r="J722" s="549"/>
      <c r="K722" s="549"/>
      <c r="L722" s="549"/>
      <c r="M722" s="549"/>
      <c r="N722" s="551"/>
      <c r="O722" s="549"/>
      <c r="P722" s="549"/>
      <c r="Q722" s="549"/>
      <c r="R722" s="549"/>
      <c r="S722" s="549"/>
      <c r="T722" s="549"/>
      <c r="U722" s="549"/>
      <c r="V722" s="549"/>
      <c r="W722" s="549"/>
      <c r="X722" s="549"/>
      <c r="Y722" s="549"/>
      <c r="Z722" s="549"/>
    </row>
    <row r="723" spans="1:26" ht="15">
      <c r="A723" s="549"/>
      <c r="B723" s="554"/>
      <c r="C723" s="549"/>
      <c r="D723" s="549"/>
      <c r="E723" s="570"/>
      <c r="F723" s="549"/>
      <c r="G723" s="549"/>
      <c r="H723" s="549"/>
      <c r="I723" s="550"/>
      <c r="J723" s="549"/>
      <c r="K723" s="549"/>
      <c r="L723" s="549"/>
      <c r="M723" s="549"/>
      <c r="N723" s="551"/>
      <c r="O723" s="549"/>
      <c r="P723" s="549"/>
      <c r="Q723" s="549"/>
      <c r="R723" s="549"/>
      <c r="S723" s="549"/>
      <c r="T723" s="549"/>
      <c r="U723" s="549"/>
      <c r="V723" s="549"/>
      <c r="W723" s="549"/>
      <c r="X723" s="549"/>
      <c r="Y723" s="549"/>
      <c r="Z723" s="549"/>
    </row>
    <row r="724" spans="1:26" ht="15">
      <c r="A724" s="549"/>
      <c r="B724" s="554"/>
      <c r="C724" s="549"/>
      <c r="D724" s="549"/>
      <c r="E724" s="570"/>
      <c r="F724" s="549"/>
      <c r="G724" s="549"/>
      <c r="H724" s="549"/>
      <c r="I724" s="550"/>
      <c r="J724" s="549"/>
      <c r="K724" s="549"/>
      <c r="L724" s="549"/>
      <c r="M724" s="549"/>
      <c r="N724" s="551"/>
      <c r="O724" s="549"/>
      <c r="P724" s="549"/>
      <c r="Q724" s="549"/>
      <c r="R724" s="549"/>
      <c r="S724" s="549"/>
      <c r="T724" s="549"/>
      <c r="U724" s="549"/>
      <c r="V724" s="549"/>
      <c r="W724" s="549"/>
      <c r="X724" s="549"/>
      <c r="Y724" s="549"/>
      <c r="Z724" s="549"/>
    </row>
    <row r="725" spans="1:26" ht="15">
      <c r="A725" s="549"/>
      <c r="B725" s="554"/>
      <c r="C725" s="549"/>
      <c r="D725" s="549"/>
      <c r="E725" s="570"/>
      <c r="F725" s="549"/>
      <c r="G725" s="549"/>
      <c r="H725" s="549"/>
      <c r="I725" s="550"/>
      <c r="J725" s="549"/>
      <c r="K725" s="549"/>
      <c r="L725" s="549"/>
      <c r="M725" s="549"/>
      <c r="N725" s="551"/>
      <c r="O725" s="549"/>
      <c r="P725" s="549"/>
      <c r="Q725" s="549"/>
      <c r="R725" s="549"/>
      <c r="S725" s="549"/>
      <c r="T725" s="549"/>
      <c r="U725" s="549"/>
      <c r="V725" s="549"/>
      <c r="W725" s="549"/>
      <c r="X725" s="549"/>
      <c r="Y725" s="549"/>
      <c r="Z725" s="549"/>
    </row>
    <row r="726" spans="1:26" ht="15">
      <c r="A726" s="549"/>
      <c r="B726" s="554"/>
      <c r="C726" s="549"/>
      <c r="D726" s="549"/>
      <c r="E726" s="570"/>
      <c r="F726" s="549"/>
      <c r="G726" s="549"/>
      <c r="H726" s="549"/>
      <c r="I726" s="550"/>
      <c r="J726" s="549"/>
      <c r="K726" s="549"/>
      <c r="L726" s="549"/>
      <c r="M726" s="549"/>
      <c r="N726" s="551"/>
      <c r="O726" s="549"/>
      <c r="P726" s="549"/>
      <c r="Q726" s="549"/>
      <c r="R726" s="549"/>
      <c r="S726" s="549"/>
      <c r="T726" s="549"/>
      <c r="U726" s="549"/>
      <c r="V726" s="549"/>
      <c r="W726" s="549"/>
      <c r="X726" s="549"/>
      <c r="Y726" s="549"/>
      <c r="Z726" s="549"/>
    </row>
    <row r="727" spans="1:26" ht="15">
      <c r="A727" s="549"/>
      <c r="B727" s="554"/>
      <c r="C727" s="549"/>
      <c r="D727" s="549"/>
      <c r="E727" s="570"/>
      <c r="F727" s="549"/>
      <c r="G727" s="549"/>
      <c r="H727" s="549"/>
      <c r="I727" s="550"/>
      <c r="J727" s="549"/>
      <c r="K727" s="549"/>
      <c r="L727" s="549"/>
      <c r="M727" s="549"/>
      <c r="N727" s="551"/>
      <c r="O727" s="549"/>
      <c r="P727" s="549"/>
      <c r="Q727" s="549"/>
      <c r="R727" s="549"/>
      <c r="S727" s="549"/>
      <c r="T727" s="549"/>
      <c r="U727" s="549"/>
      <c r="V727" s="549"/>
      <c r="W727" s="549"/>
      <c r="X727" s="549"/>
      <c r="Y727" s="549"/>
      <c r="Z727" s="549"/>
    </row>
    <row r="728" spans="1:26" ht="15">
      <c r="A728" s="549"/>
      <c r="B728" s="554"/>
      <c r="C728" s="549"/>
      <c r="D728" s="549"/>
      <c r="E728" s="570"/>
      <c r="F728" s="549"/>
      <c r="G728" s="549"/>
      <c r="H728" s="549"/>
      <c r="I728" s="550"/>
      <c r="J728" s="549"/>
      <c r="K728" s="549"/>
      <c r="L728" s="549"/>
      <c r="M728" s="549"/>
      <c r="N728" s="551"/>
      <c r="O728" s="549"/>
      <c r="P728" s="549"/>
      <c r="Q728" s="549"/>
      <c r="R728" s="549"/>
      <c r="S728" s="549"/>
      <c r="T728" s="549"/>
      <c r="U728" s="549"/>
      <c r="V728" s="549"/>
      <c r="W728" s="549"/>
      <c r="X728" s="549"/>
      <c r="Y728" s="549"/>
      <c r="Z728" s="549"/>
    </row>
    <row r="729" spans="1:26" ht="15">
      <c r="A729" s="549"/>
      <c r="B729" s="554"/>
      <c r="C729" s="549"/>
      <c r="D729" s="549"/>
      <c r="E729" s="570"/>
      <c r="F729" s="549"/>
      <c r="G729" s="549"/>
      <c r="H729" s="549"/>
      <c r="I729" s="550"/>
      <c r="J729" s="549"/>
      <c r="K729" s="549"/>
      <c r="L729" s="549"/>
      <c r="M729" s="549"/>
      <c r="N729" s="551"/>
      <c r="O729" s="549"/>
      <c r="P729" s="549"/>
      <c r="Q729" s="549"/>
      <c r="R729" s="549"/>
      <c r="S729" s="549"/>
      <c r="T729" s="549"/>
      <c r="U729" s="549"/>
      <c r="V729" s="549"/>
      <c r="W729" s="549"/>
      <c r="X729" s="549"/>
      <c r="Y729" s="549"/>
      <c r="Z729" s="549"/>
    </row>
    <row r="730" spans="1:26" ht="15">
      <c r="A730" s="549"/>
      <c r="B730" s="554"/>
      <c r="C730" s="549"/>
      <c r="D730" s="549"/>
      <c r="E730" s="570"/>
      <c r="F730" s="549"/>
      <c r="G730" s="549"/>
      <c r="H730" s="549"/>
      <c r="I730" s="550"/>
      <c r="J730" s="549"/>
      <c r="K730" s="549"/>
      <c r="L730" s="549"/>
      <c r="M730" s="549"/>
      <c r="N730" s="551"/>
      <c r="O730" s="549"/>
      <c r="P730" s="549"/>
      <c r="Q730" s="549"/>
      <c r="R730" s="549"/>
      <c r="S730" s="549"/>
      <c r="T730" s="549"/>
      <c r="U730" s="549"/>
      <c r="V730" s="549"/>
      <c r="W730" s="549"/>
      <c r="X730" s="549"/>
      <c r="Y730" s="549"/>
      <c r="Z730" s="549"/>
    </row>
    <row r="731" spans="1:26" ht="15">
      <c r="A731" s="549"/>
      <c r="B731" s="554"/>
      <c r="C731" s="549"/>
      <c r="D731" s="549"/>
      <c r="E731" s="570"/>
      <c r="F731" s="549"/>
      <c r="G731" s="549"/>
      <c r="H731" s="549"/>
      <c r="I731" s="550"/>
      <c r="J731" s="549"/>
      <c r="K731" s="549"/>
      <c r="L731" s="549"/>
      <c r="M731" s="549"/>
      <c r="N731" s="551"/>
      <c r="O731" s="549"/>
      <c r="P731" s="549"/>
      <c r="Q731" s="549"/>
      <c r="R731" s="549"/>
      <c r="S731" s="549"/>
      <c r="T731" s="549"/>
      <c r="U731" s="549"/>
      <c r="V731" s="549"/>
      <c r="W731" s="549"/>
      <c r="X731" s="549"/>
      <c r="Y731" s="549"/>
      <c r="Z731" s="549"/>
    </row>
    <row r="732" spans="1:26" ht="15">
      <c r="A732" s="549"/>
      <c r="B732" s="554"/>
      <c r="C732" s="549"/>
      <c r="D732" s="549"/>
      <c r="E732" s="570"/>
      <c r="F732" s="549"/>
      <c r="G732" s="549"/>
      <c r="H732" s="549"/>
      <c r="I732" s="550"/>
      <c r="J732" s="549"/>
      <c r="K732" s="549"/>
      <c r="L732" s="549"/>
      <c r="M732" s="549"/>
      <c r="N732" s="551"/>
      <c r="O732" s="549"/>
      <c r="P732" s="549"/>
      <c r="Q732" s="549"/>
      <c r="R732" s="549"/>
      <c r="S732" s="549"/>
      <c r="T732" s="549"/>
      <c r="U732" s="549"/>
      <c r="V732" s="549"/>
      <c r="W732" s="549"/>
      <c r="X732" s="549"/>
      <c r="Y732" s="549"/>
      <c r="Z732" s="549"/>
    </row>
    <row r="733" spans="1:26" ht="15">
      <c r="A733" s="549"/>
      <c r="B733" s="554"/>
      <c r="C733" s="549"/>
      <c r="D733" s="549"/>
      <c r="E733" s="570"/>
      <c r="F733" s="549"/>
      <c r="G733" s="549"/>
      <c r="H733" s="549"/>
      <c r="I733" s="550"/>
      <c r="J733" s="549"/>
      <c r="K733" s="549"/>
      <c r="L733" s="549"/>
      <c r="M733" s="549"/>
      <c r="N733" s="551"/>
      <c r="O733" s="549"/>
      <c r="P733" s="549"/>
      <c r="Q733" s="549"/>
      <c r="R733" s="549"/>
      <c r="S733" s="549"/>
      <c r="T733" s="549"/>
      <c r="U733" s="549"/>
      <c r="V733" s="549"/>
      <c r="W733" s="549"/>
      <c r="X733" s="549"/>
      <c r="Y733" s="549"/>
      <c r="Z733" s="549"/>
    </row>
    <row r="734" spans="1:26" ht="15">
      <c r="A734" s="549"/>
      <c r="B734" s="554"/>
      <c r="C734" s="549"/>
      <c r="D734" s="549"/>
      <c r="E734" s="570"/>
      <c r="F734" s="549"/>
      <c r="G734" s="549"/>
      <c r="H734" s="549"/>
      <c r="I734" s="550"/>
      <c r="J734" s="549"/>
      <c r="K734" s="549"/>
      <c r="L734" s="549"/>
      <c r="M734" s="549"/>
      <c r="N734" s="551"/>
      <c r="O734" s="549"/>
      <c r="P734" s="549"/>
      <c r="Q734" s="549"/>
      <c r="R734" s="549"/>
      <c r="S734" s="549"/>
      <c r="T734" s="549"/>
      <c r="U734" s="549"/>
      <c r="V734" s="549"/>
      <c r="W734" s="549"/>
      <c r="X734" s="549"/>
      <c r="Y734" s="549"/>
      <c r="Z734" s="549"/>
    </row>
    <row r="735" spans="1:26" ht="15">
      <c r="A735" s="549"/>
      <c r="B735" s="554"/>
      <c r="C735" s="549"/>
      <c r="D735" s="549"/>
      <c r="E735" s="570"/>
      <c r="F735" s="549"/>
      <c r="G735" s="549"/>
      <c r="H735" s="549"/>
      <c r="I735" s="550"/>
      <c r="J735" s="549"/>
      <c r="K735" s="549"/>
      <c r="L735" s="549"/>
      <c r="M735" s="549"/>
      <c r="N735" s="551"/>
      <c r="O735" s="549"/>
      <c r="P735" s="549"/>
      <c r="Q735" s="549"/>
      <c r="R735" s="549"/>
      <c r="S735" s="549"/>
      <c r="T735" s="549"/>
      <c r="U735" s="549"/>
      <c r="V735" s="549"/>
      <c r="W735" s="549"/>
      <c r="X735" s="549"/>
      <c r="Y735" s="549"/>
      <c r="Z735" s="549"/>
    </row>
    <row r="736" spans="1:26" ht="15">
      <c r="A736" s="549"/>
      <c r="B736" s="554"/>
      <c r="C736" s="549"/>
      <c r="D736" s="549"/>
      <c r="E736" s="570"/>
      <c r="F736" s="549"/>
      <c r="G736" s="549"/>
      <c r="H736" s="549"/>
      <c r="I736" s="550"/>
      <c r="J736" s="549"/>
      <c r="K736" s="549"/>
      <c r="L736" s="549"/>
      <c r="M736" s="549"/>
      <c r="N736" s="551"/>
      <c r="O736" s="549"/>
      <c r="P736" s="549"/>
      <c r="Q736" s="549"/>
      <c r="R736" s="549"/>
      <c r="S736" s="549"/>
      <c r="T736" s="549"/>
      <c r="U736" s="549"/>
      <c r="V736" s="549"/>
      <c r="W736" s="549"/>
      <c r="X736" s="549"/>
      <c r="Y736" s="549"/>
      <c r="Z736" s="549"/>
    </row>
    <row r="737" spans="1:26" ht="15">
      <c r="A737" s="549"/>
      <c r="B737" s="554"/>
      <c r="C737" s="549"/>
      <c r="D737" s="549"/>
      <c r="E737" s="570"/>
      <c r="F737" s="549"/>
      <c r="G737" s="549"/>
      <c r="H737" s="549"/>
      <c r="I737" s="550"/>
      <c r="J737" s="549"/>
      <c r="K737" s="549"/>
      <c r="L737" s="549"/>
      <c r="M737" s="549"/>
      <c r="N737" s="551"/>
      <c r="O737" s="549"/>
      <c r="P737" s="549"/>
      <c r="Q737" s="549"/>
      <c r="R737" s="549"/>
      <c r="S737" s="549"/>
      <c r="T737" s="549"/>
      <c r="U737" s="549"/>
      <c r="V737" s="549"/>
      <c r="W737" s="549"/>
      <c r="X737" s="549"/>
      <c r="Y737" s="549"/>
      <c r="Z737" s="549"/>
    </row>
    <row r="738" spans="1:26" ht="15">
      <c r="A738" s="549"/>
      <c r="B738" s="554"/>
      <c r="C738" s="549"/>
      <c r="D738" s="549"/>
      <c r="E738" s="570"/>
      <c r="F738" s="549"/>
      <c r="G738" s="549"/>
      <c r="H738" s="549"/>
      <c r="I738" s="550"/>
      <c r="J738" s="549"/>
      <c r="K738" s="549"/>
      <c r="L738" s="549"/>
      <c r="M738" s="549"/>
      <c r="N738" s="551"/>
      <c r="O738" s="549"/>
      <c r="P738" s="549"/>
      <c r="Q738" s="549"/>
      <c r="R738" s="549"/>
      <c r="S738" s="549"/>
      <c r="T738" s="549"/>
      <c r="U738" s="549"/>
      <c r="V738" s="549"/>
      <c r="W738" s="549"/>
      <c r="X738" s="549"/>
      <c r="Y738" s="549"/>
      <c r="Z738" s="549"/>
    </row>
    <row r="739" spans="1:26" ht="15">
      <c r="A739" s="549"/>
      <c r="B739" s="554"/>
      <c r="C739" s="549"/>
      <c r="D739" s="549"/>
      <c r="E739" s="570"/>
      <c r="F739" s="549"/>
      <c r="G739" s="549"/>
      <c r="H739" s="549"/>
      <c r="I739" s="550"/>
      <c r="J739" s="549"/>
      <c r="K739" s="549"/>
      <c r="L739" s="549"/>
      <c r="M739" s="549"/>
      <c r="N739" s="551"/>
      <c r="O739" s="549"/>
      <c r="P739" s="549"/>
      <c r="Q739" s="549"/>
      <c r="R739" s="549"/>
      <c r="S739" s="549"/>
      <c r="T739" s="549"/>
      <c r="U739" s="549"/>
      <c r="V739" s="549"/>
      <c r="W739" s="549"/>
      <c r="X739" s="549"/>
      <c r="Y739" s="549"/>
      <c r="Z739" s="549"/>
    </row>
    <row r="740" spans="1:26" ht="15">
      <c r="A740" s="549"/>
      <c r="B740" s="554"/>
      <c r="C740" s="549"/>
      <c r="D740" s="549"/>
      <c r="E740" s="570"/>
      <c r="F740" s="549"/>
      <c r="G740" s="549"/>
      <c r="H740" s="549"/>
      <c r="I740" s="550"/>
      <c r="J740" s="549"/>
      <c r="K740" s="549"/>
      <c r="L740" s="549"/>
      <c r="M740" s="549"/>
      <c r="N740" s="551"/>
      <c r="O740" s="549"/>
      <c r="P740" s="549"/>
      <c r="Q740" s="549"/>
      <c r="R740" s="549"/>
      <c r="S740" s="549"/>
      <c r="T740" s="549"/>
      <c r="U740" s="549"/>
      <c r="V740" s="549"/>
      <c r="W740" s="549"/>
      <c r="X740" s="549"/>
      <c r="Y740" s="549"/>
      <c r="Z740" s="549"/>
    </row>
    <row r="741" spans="1:26" ht="15">
      <c r="A741" s="549"/>
      <c r="B741" s="554"/>
      <c r="C741" s="549"/>
      <c r="D741" s="549"/>
      <c r="E741" s="570"/>
      <c r="F741" s="549"/>
      <c r="G741" s="549"/>
      <c r="H741" s="549"/>
      <c r="I741" s="550"/>
      <c r="J741" s="549"/>
      <c r="K741" s="549"/>
      <c r="L741" s="549"/>
      <c r="M741" s="549"/>
      <c r="N741" s="551"/>
      <c r="O741" s="549"/>
      <c r="P741" s="549"/>
      <c r="Q741" s="549"/>
      <c r="R741" s="549"/>
      <c r="S741" s="549"/>
      <c r="T741" s="549"/>
      <c r="U741" s="549"/>
      <c r="V741" s="549"/>
      <c r="W741" s="549"/>
      <c r="X741" s="549"/>
      <c r="Y741" s="549"/>
      <c r="Z741" s="549"/>
    </row>
    <row r="742" spans="1:26" ht="15">
      <c r="A742" s="549"/>
      <c r="B742" s="554"/>
      <c r="C742" s="549"/>
      <c r="D742" s="549"/>
      <c r="E742" s="570"/>
      <c r="F742" s="549"/>
      <c r="G742" s="549"/>
      <c r="H742" s="549"/>
      <c r="I742" s="550"/>
      <c r="J742" s="549"/>
      <c r="K742" s="549"/>
      <c r="L742" s="549"/>
      <c r="M742" s="549"/>
      <c r="N742" s="551"/>
      <c r="O742" s="549"/>
      <c r="P742" s="549"/>
      <c r="Q742" s="549"/>
      <c r="R742" s="549"/>
      <c r="S742" s="549"/>
      <c r="T742" s="549"/>
      <c r="U742" s="549"/>
      <c r="V742" s="549"/>
      <c r="W742" s="549"/>
      <c r="X742" s="549"/>
      <c r="Y742" s="549"/>
      <c r="Z742" s="549"/>
    </row>
    <row r="743" spans="1:26" ht="15">
      <c r="A743" s="549"/>
      <c r="B743" s="554"/>
      <c r="C743" s="549"/>
      <c r="D743" s="549"/>
      <c r="E743" s="570"/>
      <c r="F743" s="549"/>
      <c r="G743" s="549"/>
      <c r="H743" s="549"/>
      <c r="I743" s="550"/>
      <c r="J743" s="549"/>
      <c r="K743" s="549"/>
      <c r="L743" s="549"/>
      <c r="M743" s="549"/>
      <c r="N743" s="551"/>
      <c r="O743" s="549"/>
      <c r="P743" s="549"/>
      <c r="Q743" s="549"/>
      <c r="R743" s="549"/>
      <c r="S743" s="549"/>
      <c r="T743" s="549"/>
      <c r="U743" s="549"/>
      <c r="V743" s="549"/>
      <c r="W743" s="549"/>
      <c r="X743" s="549"/>
      <c r="Y743" s="549"/>
      <c r="Z743" s="549"/>
    </row>
    <row r="744" spans="1:26" ht="15">
      <c r="A744" s="549"/>
      <c r="B744" s="554"/>
      <c r="C744" s="549"/>
      <c r="D744" s="549"/>
      <c r="E744" s="570"/>
      <c r="F744" s="549"/>
      <c r="G744" s="549"/>
      <c r="H744" s="549"/>
      <c r="I744" s="550"/>
      <c r="J744" s="549"/>
      <c r="K744" s="549"/>
      <c r="L744" s="549"/>
      <c r="M744" s="549"/>
      <c r="N744" s="551"/>
      <c r="O744" s="549"/>
      <c r="P744" s="549"/>
      <c r="Q744" s="549"/>
      <c r="R744" s="549"/>
      <c r="S744" s="549"/>
      <c r="T744" s="549"/>
      <c r="U744" s="549"/>
      <c r="V744" s="549"/>
      <c r="W744" s="549"/>
      <c r="X744" s="549"/>
      <c r="Y744" s="549"/>
      <c r="Z744" s="549"/>
    </row>
    <row r="745" spans="1:26" ht="15">
      <c r="A745" s="549"/>
      <c r="B745" s="554"/>
      <c r="C745" s="549"/>
      <c r="D745" s="549"/>
      <c r="E745" s="570"/>
      <c r="F745" s="549"/>
      <c r="G745" s="549"/>
      <c r="H745" s="549"/>
      <c r="I745" s="550"/>
      <c r="J745" s="549"/>
      <c r="K745" s="549"/>
      <c r="L745" s="549"/>
      <c r="M745" s="549"/>
      <c r="N745" s="551"/>
      <c r="O745" s="549"/>
      <c r="P745" s="549"/>
      <c r="Q745" s="549"/>
      <c r="R745" s="549"/>
      <c r="S745" s="549"/>
      <c r="T745" s="549"/>
      <c r="U745" s="549"/>
      <c r="V745" s="549"/>
      <c r="W745" s="549"/>
      <c r="X745" s="549"/>
      <c r="Y745" s="549"/>
      <c r="Z745" s="549"/>
    </row>
    <row r="746" spans="1:26" ht="15">
      <c r="A746" s="549"/>
      <c r="B746" s="554"/>
      <c r="C746" s="549"/>
      <c r="D746" s="549"/>
      <c r="E746" s="570"/>
      <c r="F746" s="549"/>
      <c r="G746" s="549"/>
      <c r="H746" s="549"/>
      <c r="I746" s="550"/>
      <c r="J746" s="549"/>
      <c r="K746" s="549"/>
      <c r="L746" s="549"/>
      <c r="M746" s="549"/>
      <c r="N746" s="551"/>
      <c r="O746" s="549"/>
      <c r="P746" s="549"/>
      <c r="Q746" s="549"/>
      <c r="R746" s="549"/>
      <c r="S746" s="549"/>
      <c r="T746" s="549"/>
      <c r="U746" s="549"/>
      <c r="V746" s="549"/>
      <c r="W746" s="549"/>
      <c r="X746" s="549"/>
      <c r="Y746" s="549"/>
      <c r="Z746" s="549"/>
    </row>
    <row r="747" spans="1:26" ht="15">
      <c r="A747" s="549"/>
      <c r="B747" s="554"/>
      <c r="C747" s="549"/>
      <c r="D747" s="549"/>
      <c r="E747" s="570"/>
      <c r="F747" s="549"/>
      <c r="G747" s="549"/>
      <c r="H747" s="549"/>
      <c r="I747" s="550"/>
      <c r="J747" s="549"/>
      <c r="K747" s="549"/>
      <c r="L747" s="549"/>
      <c r="M747" s="549"/>
      <c r="N747" s="551"/>
      <c r="O747" s="549"/>
      <c r="P747" s="549"/>
      <c r="Q747" s="549"/>
      <c r="R747" s="549"/>
      <c r="S747" s="549"/>
      <c r="T747" s="549"/>
      <c r="U747" s="549"/>
      <c r="V747" s="549"/>
      <c r="W747" s="549"/>
      <c r="X747" s="549"/>
      <c r="Y747" s="549"/>
      <c r="Z747" s="549"/>
    </row>
    <row r="748" spans="1:26" ht="15">
      <c r="A748" s="549"/>
      <c r="B748" s="554"/>
      <c r="C748" s="549"/>
      <c r="D748" s="549"/>
      <c r="E748" s="570"/>
      <c r="F748" s="549"/>
      <c r="G748" s="549"/>
      <c r="H748" s="549"/>
      <c r="I748" s="550"/>
      <c r="J748" s="549"/>
      <c r="K748" s="549"/>
      <c r="L748" s="549"/>
      <c r="M748" s="549"/>
      <c r="N748" s="551"/>
      <c r="O748" s="549"/>
      <c r="P748" s="549"/>
      <c r="Q748" s="549"/>
      <c r="R748" s="549"/>
      <c r="S748" s="549"/>
      <c r="T748" s="549"/>
      <c r="U748" s="549"/>
      <c r="V748" s="549"/>
      <c r="W748" s="549"/>
      <c r="X748" s="549"/>
      <c r="Y748" s="549"/>
      <c r="Z748" s="549"/>
    </row>
    <row r="749" spans="1:26" ht="15">
      <c r="A749" s="549"/>
      <c r="B749" s="554"/>
      <c r="C749" s="549"/>
      <c r="D749" s="549"/>
      <c r="E749" s="570"/>
      <c r="F749" s="549"/>
      <c r="G749" s="549"/>
      <c r="H749" s="549"/>
      <c r="I749" s="550"/>
      <c r="J749" s="549"/>
      <c r="K749" s="549"/>
      <c r="L749" s="549"/>
      <c r="M749" s="549"/>
      <c r="N749" s="551"/>
      <c r="O749" s="549"/>
      <c r="P749" s="549"/>
      <c r="Q749" s="549"/>
      <c r="R749" s="549"/>
      <c r="S749" s="549"/>
      <c r="T749" s="549"/>
      <c r="U749" s="549"/>
      <c r="V749" s="549"/>
      <c r="W749" s="549"/>
      <c r="X749" s="549"/>
      <c r="Y749" s="549"/>
      <c r="Z749" s="549"/>
    </row>
    <row r="750" spans="1:26" ht="15">
      <c r="A750" s="549"/>
      <c r="B750" s="554"/>
      <c r="C750" s="549"/>
      <c r="D750" s="549"/>
      <c r="E750" s="570"/>
      <c r="F750" s="549"/>
      <c r="G750" s="549"/>
      <c r="H750" s="549"/>
      <c r="I750" s="550"/>
      <c r="J750" s="549"/>
      <c r="K750" s="549"/>
      <c r="L750" s="549"/>
      <c r="M750" s="549"/>
      <c r="N750" s="551"/>
      <c r="O750" s="549"/>
      <c r="P750" s="549"/>
      <c r="Q750" s="549"/>
      <c r="R750" s="549"/>
      <c r="S750" s="549"/>
      <c r="T750" s="549"/>
      <c r="U750" s="549"/>
      <c r="V750" s="549"/>
      <c r="W750" s="549"/>
      <c r="X750" s="549"/>
      <c r="Y750" s="549"/>
      <c r="Z750" s="549"/>
    </row>
    <row r="751" spans="1:26" ht="15">
      <c r="A751" s="549"/>
      <c r="B751" s="554"/>
      <c r="C751" s="549"/>
      <c r="D751" s="549"/>
      <c r="E751" s="570"/>
      <c r="F751" s="549"/>
      <c r="G751" s="549"/>
      <c r="H751" s="549"/>
      <c r="I751" s="550"/>
      <c r="J751" s="549"/>
      <c r="K751" s="549"/>
      <c r="L751" s="549"/>
      <c r="M751" s="549"/>
      <c r="N751" s="551"/>
      <c r="O751" s="549"/>
      <c r="P751" s="549"/>
      <c r="Q751" s="549"/>
      <c r="R751" s="549"/>
      <c r="S751" s="549"/>
      <c r="T751" s="549"/>
      <c r="U751" s="549"/>
      <c r="V751" s="549"/>
      <c r="W751" s="549"/>
      <c r="X751" s="549"/>
      <c r="Y751" s="549"/>
      <c r="Z751" s="549"/>
    </row>
    <row r="752" spans="1:26" ht="15">
      <c r="A752" s="549"/>
      <c r="B752" s="554"/>
      <c r="C752" s="549"/>
      <c r="D752" s="549"/>
      <c r="E752" s="570"/>
      <c r="F752" s="549"/>
      <c r="G752" s="549"/>
      <c r="H752" s="549"/>
      <c r="I752" s="550"/>
      <c r="J752" s="549"/>
      <c r="K752" s="549"/>
      <c r="L752" s="549"/>
      <c r="M752" s="549"/>
      <c r="N752" s="551"/>
      <c r="O752" s="549"/>
      <c r="P752" s="549"/>
      <c r="Q752" s="549"/>
      <c r="R752" s="549"/>
      <c r="S752" s="549"/>
      <c r="T752" s="549"/>
      <c r="U752" s="549"/>
      <c r="V752" s="549"/>
      <c r="W752" s="549"/>
      <c r="X752" s="549"/>
      <c r="Y752" s="549"/>
      <c r="Z752" s="549"/>
    </row>
    <row r="753" spans="1:26" ht="15">
      <c r="A753" s="549"/>
      <c r="B753" s="554"/>
      <c r="C753" s="549"/>
      <c r="D753" s="549"/>
      <c r="E753" s="570"/>
      <c r="F753" s="549"/>
      <c r="G753" s="549"/>
      <c r="H753" s="549"/>
      <c r="I753" s="550"/>
      <c r="J753" s="549"/>
      <c r="K753" s="549"/>
      <c r="L753" s="549"/>
      <c r="M753" s="549"/>
      <c r="N753" s="551"/>
      <c r="O753" s="549"/>
      <c r="P753" s="549"/>
      <c r="Q753" s="549"/>
      <c r="R753" s="549"/>
      <c r="S753" s="549"/>
      <c r="T753" s="549"/>
      <c r="U753" s="549"/>
      <c r="V753" s="549"/>
      <c r="W753" s="549"/>
      <c r="X753" s="549"/>
      <c r="Y753" s="549"/>
      <c r="Z753" s="549"/>
    </row>
    <row r="754" spans="1:26" ht="15">
      <c r="A754" s="549"/>
      <c r="B754" s="554"/>
      <c r="C754" s="549"/>
      <c r="D754" s="549"/>
      <c r="E754" s="570"/>
      <c r="F754" s="549"/>
      <c r="G754" s="549"/>
      <c r="H754" s="549"/>
      <c r="I754" s="550"/>
      <c r="J754" s="549"/>
      <c r="K754" s="549"/>
      <c r="L754" s="549"/>
      <c r="M754" s="549"/>
      <c r="N754" s="551"/>
      <c r="O754" s="549"/>
      <c r="P754" s="549"/>
      <c r="Q754" s="549"/>
      <c r="R754" s="549"/>
      <c r="S754" s="549"/>
      <c r="T754" s="549"/>
      <c r="U754" s="549"/>
      <c r="V754" s="549"/>
      <c r="W754" s="549"/>
      <c r="X754" s="549"/>
      <c r="Y754" s="549"/>
      <c r="Z754" s="549"/>
    </row>
    <row r="755" spans="1:26" ht="15">
      <c r="A755" s="549"/>
      <c r="B755" s="554"/>
      <c r="C755" s="549"/>
      <c r="D755" s="549"/>
      <c r="E755" s="570"/>
      <c r="F755" s="549"/>
      <c r="G755" s="549"/>
      <c r="H755" s="549"/>
      <c r="I755" s="550"/>
      <c r="J755" s="549"/>
      <c r="K755" s="549"/>
      <c r="L755" s="549"/>
      <c r="M755" s="549"/>
      <c r="N755" s="551"/>
      <c r="O755" s="549"/>
      <c r="P755" s="549"/>
      <c r="Q755" s="549"/>
      <c r="R755" s="549"/>
      <c r="S755" s="549"/>
      <c r="T755" s="549"/>
      <c r="U755" s="549"/>
      <c r="V755" s="549"/>
      <c r="W755" s="549"/>
      <c r="X755" s="549"/>
      <c r="Y755" s="549"/>
      <c r="Z755" s="549"/>
    </row>
    <row r="756" spans="1:26" ht="15">
      <c r="A756" s="549"/>
      <c r="B756" s="554"/>
      <c r="C756" s="549"/>
      <c r="D756" s="549"/>
      <c r="E756" s="570"/>
      <c r="F756" s="549"/>
      <c r="G756" s="549"/>
      <c r="H756" s="549"/>
      <c r="I756" s="550"/>
      <c r="J756" s="549"/>
      <c r="K756" s="549"/>
      <c r="L756" s="549"/>
      <c r="M756" s="549"/>
      <c r="N756" s="551"/>
      <c r="O756" s="549"/>
      <c r="P756" s="549"/>
      <c r="Q756" s="549"/>
      <c r="R756" s="549"/>
      <c r="S756" s="549"/>
      <c r="T756" s="549"/>
      <c r="U756" s="549"/>
      <c r="V756" s="549"/>
      <c r="W756" s="549"/>
      <c r="X756" s="549"/>
      <c r="Y756" s="549"/>
      <c r="Z756" s="549"/>
    </row>
    <row r="757" spans="1:26" ht="15">
      <c r="A757" s="549"/>
      <c r="B757" s="554"/>
      <c r="C757" s="549"/>
      <c r="D757" s="549"/>
      <c r="E757" s="570"/>
      <c r="F757" s="549"/>
      <c r="G757" s="549"/>
      <c r="H757" s="549"/>
      <c r="I757" s="550"/>
      <c r="J757" s="549"/>
      <c r="K757" s="549"/>
      <c r="L757" s="549"/>
      <c r="M757" s="549"/>
      <c r="N757" s="551"/>
      <c r="O757" s="549"/>
      <c r="P757" s="549"/>
      <c r="Q757" s="549"/>
      <c r="R757" s="549"/>
      <c r="S757" s="549"/>
      <c r="T757" s="549"/>
      <c r="U757" s="549"/>
      <c r="V757" s="549"/>
      <c r="W757" s="549"/>
      <c r="X757" s="549"/>
      <c r="Y757" s="549"/>
      <c r="Z757" s="549"/>
    </row>
    <row r="758" spans="1:26" ht="15">
      <c r="A758" s="549"/>
      <c r="B758" s="554"/>
      <c r="C758" s="549"/>
      <c r="D758" s="549"/>
      <c r="E758" s="570"/>
      <c r="F758" s="549"/>
      <c r="G758" s="549"/>
      <c r="H758" s="549"/>
      <c r="I758" s="550"/>
      <c r="J758" s="549"/>
      <c r="K758" s="549"/>
      <c r="L758" s="549"/>
      <c r="M758" s="549"/>
      <c r="N758" s="551"/>
      <c r="O758" s="549"/>
      <c r="P758" s="549"/>
      <c r="Q758" s="549"/>
      <c r="R758" s="549"/>
      <c r="S758" s="549"/>
      <c r="T758" s="549"/>
      <c r="U758" s="549"/>
      <c r="V758" s="549"/>
      <c r="W758" s="549"/>
      <c r="X758" s="549"/>
      <c r="Y758" s="549"/>
      <c r="Z758" s="549"/>
    </row>
    <row r="759" spans="1:26" ht="15">
      <c r="A759" s="549"/>
      <c r="B759" s="554"/>
      <c r="C759" s="549"/>
      <c r="D759" s="549"/>
      <c r="E759" s="570"/>
      <c r="F759" s="549"/>
      <c r="G759" s="549"/>
      <c r="H759" s="549"/>
      <c r="I759" s="550"/>
      <c r="J759" s="549"/>
      <c r="K759" s="549"/>
      <c r="L759" s="549"/>
      <c r="M759" s="549"/>
      <c r="N759" s="551"/>
      <c r="O759" s="549"/>
      <c r="P759" s="549"/>
      <c r="Q759" s="549"/>
      <c r="R759" s="549"/>
      <c r="S759" s="549"/>
      <c r="T759" s="549"/>
      <c r="U759" s="549"/>
      <c r="V759" s="549"/>
      <c r="W759" s="549"/>
      <c r="X759" s="549"/>
      <c r="Y759" s="549"/>
      <c r="Z759" s="549"/>
    </row>
    <row r="760" spans="1:26" ht="15">
      <c r="A760" s="549"/>
      <c r="B760" s="554"/>
      <c r="C760" s="549"/>
      <c r="D760" s="549"/>
      <c r="E760" s="570"/>
      <c r="F760" s="549"/>
      <c r="G760" s="549"/>
      <c r="H760" s="549"/>
      <c r="I760" s="550"/>
      <c r="J760" s="549"/>
      <c r="K760" s="549"/>
      <c r="L760" s="549"/>
      <c r="M760" s="549"/>
      <c r="N760" s="551"/>
      <c r="O760" s="549"/>
      <c r="P760" s="549"/>
      <c r="Q760" s="549"/>
      <c r="R760" s="549"/>
      <c r="S760" s="549"/>
      <c r="T760" s="549"/>
      <c r="U760" s="549"/>
      <c r="V760" s="549"/>
      <c r="W760" s="549"/>
      <c r="X760" s="549"/>
      <c r="Y760" s="549"/>
      <c r="Z760" s="549"/>
    </row>
    <row r="761" spans="1:26" ht="15">
      <c r="A761" s="549"/>
      <c r="B761" s="554"/>
      <c r="C761" s="549"/>
      <c r="D761" s="549"/>
      <c r="E761" s="570"/>
      <c r="F761" s="549"/>
      <c r="G761" s="549"/>
      <c r="H761" s="549"/>
      <c r="I761" s="550"/>
      <c r="J761" s="549"/>
      <c r="K761" s="549"/>
      <c r="L761" s="549"/>
      <c r="M761" s="549"/>
      <c r="N761" s="551"/>
      <c r="O761" s="549"/>
      <c r="P761" s="549"/>
      <c r="Q761" s="549"/>
      <c r="R761" s="549"/>
      <c r="S761" s="549"/>
      <c r="T761" s="549"/>
      <c r="U761" s="549"/>
      <c r="V761" s="549"/>
      <c r="W761" s="549"/>
      <c r="X761" s="549"/>
      <c r="Y761" s="549"/>
      <c r="Z761" s="549"/>
    </row>
    <row r="762" spans="1:26" ht="15">
      <c r="A762" s="549"/>
      <c r="B762" s="554"/>
      <c r="C762" s="549"/>
      <c r="D762" s="549"/>
      <c r="E762" s="570"/>
      <c r="F762" s="549"/>
      <c r="G762" s="549"/>
      <c r="H762" s="549"/>
      <c r="I762" s="550"/>
      <c r="J762" s="549"/>
      <c r="K762" s="549"/>
      <c r="L762" s="549"/>
      <c r="M762" s="549"/>
      <c r="N762" s="551"/>
      <c r="O762" s="549"/>
      <c r="P762" s="549"/>
      <c r="Q762" s="549"/>
      <c r="R762" s="549"/>
      <c r="S762" s="549"/>
      <c r="T762" s="549"/>
      <c r="U762" s="549"/>
      <c r="V762" s="549"/>
      <c r="W762" s="549"/>
      <c r="X762" s="549"/>
      <c r="Y762" s="549"/>
      <c r="Z762" s="549"/>
    </row>
    <row r="763" spans="1:26" ht="15">
      <c r="A763" s="549"/>
      <c r="B763" s="554"/>
      <c r="C763" s="549"/>
      <c r="D763" s="549"/>
      <c r="E763" s="570"/>
      <c r="F763" s="549"/>
      <c r="G763" s="549"/>
      <c r="H763" s="549"/>
      <c r="I763" s="550"/>
      <c r="J763" s="549"/>
      <c r="K763" s="549"/>
      <c r="L763" s="549"/>
      <c r="M763" s="549"/>
      <c r="N763" s="551"/>
      <c r="O763" s="549"/>
      <c r="P763" s="549"/>
      <c r="Q763" s="549"/>
      <c r="R763" s="549"/>
      <c r="S763" s="549"/>
      <c r="T763" s="549"/>
      <c r="U763" s="549"/>
      <c r="V763" s="549"/>
      <c r="W763" s="549"/>
      <c r="X763" s="549"/>
      <c r="Y763" s="549"/>
      <c r="Z763" s="549"/>
    </row>
    <row r="764" spans="1:26" ht="15">
      <c r="A764" s="549"/>
      <c r="B764" s="554"/>
      <c r="C764" s="549"/>
      <c r="D764" s="549"/>
      <c r="E764" s="570"/>
      <c r="F764" s="549"/>
      <c r="G764" s="549"/>
      <c r="H764" s="549"/>
      <c r="I764" s="550"/>
      <c r="J764" s="549"/>
      <c r="K764" s="549"/>
      <c r="L764" s="549"/>
      <c r="M764" s="549"/>
      <c r="N764" s="551"/>
      <c r="O764" s="549"/>
      <c r="P764" s="549"/>
      <c r="Q764" s="549"/>
      <c r="R764" s="549"/>
      <c r="S764" s="549"/>
      <c r="T764" s="549"/>
      <c r="U764" s="549"/>
      <c r="V764" s="549"/>
      <c r="W764" s="549"/>
      <c r="X764" s="549"/>
      <c r="Y764" s="549"/>
      <c r="Z764" s="549"/>
    </row>
    <row r="765" spans="1:26" ht="15">
      <c r="A765" s="549"/>
      <c r="B765" s="554"/>
      <c r="C765" s="549"/>
      <c r="D765" s="549"/>
      <c r="E765" s="570"/>
      <c r="F765" s="549"/>
      <c r="G765" s="549"/>
      <c r="H765" s="549"/>
      <c r="I765" s="550"/>
      <c r="J765" s="549"/>
      <c r="K765" s="549"/>
      <c r="L765" s="549"/>
      <c r="M765" s="549"/>
      <c r="N765" s="551"/>
      <c r="O765" s="549"/>
      <c r="P765" s="549"/>
      <c r="Q765" s="549"/>
      <c r="R765" s="549"/>
      <c r="S765" s="549"/>
      <c r="T765" s="549"/>
      <c r="U765" s="549"/>
      <c r="V765" s="549"/>
      <c r="W765" s="549"/>
      <c r="X765" s="549"/>
      <c r="Y765" s="549"/>
      <c r="Z765" s="549"/>
    </row>
    <row r="766" spans="1:26" ht="15">
      <c r="A766" s="549"/>
      <c r="B766" s="554"/>
      <c r="C766" s="549"/>
      <c r="D766" s="549"/>
      <c r="E766" s="570"/>
      <c r="F766" s="549"/>
      <c r="G766" s="549"/>
      <c r="H766" s="549"/>
      <c r="I766" s="550"/>
      <c r="J766" s="549"/>
      <c r="K766" s="549"/>
      <c r="L766" s="549"/>
      <c r="M766" s="549"/>
      <c r="N766" s="551"/>
      <c r="O766" s="549"/>
      <c r="P766" s="549"/>
      <c r="Q766" s="549"/>
      <c r="R766" s="549"/>
      <c r="S766" s="549"/>
      <c r="T766" s="549"/>
      <c r="U766" s="549"/>
      <c r="V766" s="549"/>
      <c r="W766" s="549"/>
      <c r="X766" s="549"/>
      <c r="Y766" s="549"/>
      <c r="Z766" s="549"/>
    </row>
    <row r="767" spans="1:26" ht="15">
      <c r="A767" s="549"/>
      <c r="B767" s="554"/>
      <c r="C767" s="549"/>
      <c r="D767" s="549"/>
      <c r="E767" s="570"/>
      <c r="F767" s="549"/>
      <c r="G767" s="549"/>
      <c r="H767" s="549"/>
      <c r="I767" s="550"/>
      <c r="J767" s="549"/>
      <c r="K767" s="549"/>
      <c r="L767" s="549"/>
      <c r="M767" s="549"/>
      <c r="N767" s="551"/>
      <c r="O767" s="549"/>
      <c r="P767" s="549"/>
      <c r="Q767" s="549"/>
      <c r="R767" s="549"/>
      <c r="S767" s="549"/>
      <c r="T767" s="549"/>
      <c r="U767" s="549"/>
      <c r="V767" s="549"/>
      <c r="W767" s="549"/>
      <c r="X767" s="549"/>
      <c r="Y767" s="549"/>
      <c r="Z767" s="549"/>
    </row>
    <row r="768" spans="1:26" ht="15">
      <c r="A768" s="549"/>
      <c r="B768" s="554"/>
      <c r="C768" s="549"/>
      <c r="D768" s="549"/>
      <c r="E768" s="570"/>
      <c r="F768" s="549"/>
      <c r="G768" s="549"/>
      <c r="H768" s="549"/>
      <c r="I768" s="550"/>
      <c r="J768" s="549"/>
      <c r="K768" s="549"/>
      <c r="L768" s="549"/>
      <c r="M768" s="549"/>
      <c r="N768" s="551"/>
      <c r="O768" s="549"/>
      <c r="P768" s="549"/>
      <c r="Q768" s="549"/>
      <c r="R768" s="549"/>
      <c r="S768" s="549"/>
      <c r="T768" s="549"/>
      <c r="U768" s="549"/>
      <c r="V768" s="549"/>
      <c r="W768" s="549"/>
      <c r="X768" s="549"/>
      <c r="Y768" s="549"/>
      <c r="Z768" s="549"/>
    </row>
    <row r="769" spans="1:26" ht="15">
      <c r="A769" s="549"/>
      <c r="B769" s="554"/>
      <c r="C769" s="549"/>
      <c r="D769" s="549"/>
      <c r="E769" s="570"/>
      <c r="F769" s="549"/>
      <c r="G769" s="549"/>
      <c r="H769" s="549"/>
      <c r="I769" s="550"/>
      <c r="J769" s="549"/>
      <c r="K769" s="549"/>
      <c r="L769" s="549"/>
      <c r="M769" s="549"/>
      <c r="N769" s="551"/>
      <c r="O769" s="549"/>
      <c r="P769" s="549"/>
      <c r="Q769" s="549"/>
      <c r="R769" s="549"/>
      <c r="S769" s="549"/>
      <c r="T769" s="549"/>
      <c r="U769" s="549"/>
      <c r="V769" s="549"/>
      <c r="W769" s="549"/>
      <c r="X769" s="549"/>
      <c r="Y769" s="549"/>
      <c r="Z769" s="549"/>
    </row>
    <row r="770" spans="1:26" ht="15">
      <c r="A770" s="549"/>
      <c r="B770" s="554"/>
      <c r="C770" s="549"/>
      <c r="D770" s="549"/>
      <c r="E770" s="570"/>
      <c r="F770" s="549"/>
      <c r="G770" s="549"/>
      <c r="H770" s="549"/>
      <c r="I770" s="550"/>
      <c r="J770" s="549"/>
      <c r="K770" s="549"/>
      <c r="L770" s="549"/>
      <c r="M770" s="549"/>
      <c r="N770" s="551"/>
      <c r="O770" s="549"/>
      <c r="P770" s="549"/>
      <c r="Q770" s="549"/>
      <c r="R770" s="549"/>
      <c r="S770" s="549"/>
      <c r="T770" s="549"/>
      <c r="U770" s="549"/>
      <c r="V770" s="549"/>
      <c r="W770" s="549"/>
      <c r="X770" s="549"/>
      <c r="Y770" s="549"/>
      <c r="Z770" s="549"/>
    </row>
    <row r="771" spans="1:26" ht="15">
      <c r="A771" s="549"/>
      <c r="B771" s="554"/>
      <c r="C771" s="549"/>
      <c r="D771" s="549"/>
      <c r="E771" s="570"/>
      <c r="F771" s="549"/>
      <c r="G771" s="549"/>
      <c r="H771" s="549"/>
      <c r="I771" s="550"/>
      <c r="J771" s="549"/>
      <c r="K771" s="549"/>
      <c r="L771" s="549"/>
      <c r="M771" s="549"/>
      <c r="N771" s="551"/>
      <c r="O771" s="549"/>
      <c r="P771" s="549"/>
      <c r="Q771" s="549"/>
      <c r="R771" s="549"/>
      <c r="S771" s="549"/>
      <c r="T771" s="549"/>
      <c r="U771" s="549"/>
      <c r="V771" s="549"/>
      <c r="W771" s="549"/>
      <c r="X771" s="549"/>
      <c r="Y771" s="549"/>
      <c r="Z771" s="549"/>
    </row>
    <row r="772" spans="1:26" ht="15">
      <c r="A772" s="549"/>
      <c r="B772" s="554"/>
      <c r="C772" s="549"/>
      <c r="D772" s="549"/>
      <c r="E772" s="570"/>
      <c r="F772" s="549"/>
      <c r="G772" s="549"/>
      <c r="H772" s="549"/>
      <c r="I772" s="550"/>
      <c r="J772" s="549"/>
      <c r="K772" s="549"/>
      <c r="L772" s="549"/>
      <c r="M772" s="549"/>
      <c r="N772" s="551"/>
      <c r="O772" s="549"/>
      <c r="P772" s="549"/>
      <c r="Q772" s="549"/>
      <c r="R772" s="549"/>
      <c r="S772" s="549"/>
      <c r="T772" s="549"/>
      <c r="U772" s="549"/>
      <c r="V772" s="549"/>
      <c r="W772" s="549"/>
      <c r="X772" s="549"/>
      <c r="Y772" s="549"/>
      <c r="Z772" s="549"/>
    </row>
    <row r="773" spans="1:26" ht="15">
      <c r="A773" s="549"/>
      <c r="B773" s="554"/>
      <c r="C773" s="549"/>
      <c r="D773" s="549"/>
      <c r="E773" s="570"/>
      <c r="F773" s="549"/>
      <c r="G773" s="549"/>
      <c r="H773" s="549"/>
      <c r="I773" s="550"/>
      <c r="J773" s="549"/>
      <c r="K773" s="549"/>
      <c r="L773" s="549"/>
      <c r="M773" s="549"/>
      <c r="N773" s="551"/>
      <c r="O773" s="549"/>
      <c r="P773" s="549"/>
      <c r="Q773" s="549"/>
      <c r="R773" s="549"/>
      <c r="S773" s="549"/>
      <c r="T773" s="549"/>
      <c r="U773" s="549"/>
      <c r="V773" s="549"/>
      <c r="W773" s="549"/>
      <c r="X773" s="549"/>
      <c r="Y773" s="549"/>
      <c r="Z773" s="549"/>
    </row>
    <row r="774" spans="1:26" ht="15">
      <c r="A774" s="549"/>
      <c r="B774" s="554"/>
      <c r="C774" s="549"/>
      <c r="D774" s="549"/>
      <c r="E774" s="570"/>
      <c r="F774" s="549"/>
      <c r="G774" s="549"/>
      <c r="H774" s="549"/>
      <c r="I774" s="550"/>
      <c r="J774" s="549"/>
      <c r="K774" s="549"/>
      <c r="L774" s="549"/>
      <c r="M774" s="549"/>
      <c r="N774" s="551"/>
      <c r="O774" s="549"/>
      <c r="P774" s="549"/>
      <c r="Q774" s="549"/>
      <c r="R774" s="549"/>
      <c r="S774" s="549"/>
      <c r="T774" s="549"/>
      <c r="U774" s="549"/>
      <c r="V774" s="549"/>
      <c r="W774" s="549"/>
      <c r="X774" s="549"/>
      <c r="Y774" s="549"/>
      <c r="Z774" s="549"/>
    </row>
    <row r="775" spans="1:26" ht="15">
      <c r="A775" s="549"/>
      <c r="B775" s="554"/>
      <c r="C775" s="549"/>
      <c r="D775" s="549"/>
      <c r="E775" s="570"/>
      <c r="F775" s="549"/>
      <c r="G775" s="549"/>
      <c r="H775" s="549"/>
      <c r="I775" s="550"/>
      <c r="J775" s="549"/>
      <c r="K775" s="549"/>
      <c r="L775" s="549"/>
      <c r="M775" s="549"/>
      <c r="N775" s="551"/>
      <c r="O775" s="549"/>
      <c r="P775" s="549"/>
      <c r="Q775" s="549"/>
      <c r="R775" s="549"/>
      <c r="S775" s="549"/>
      <c r="T775" s="549"/>
      <c r="U775" s="549"/>
      <c r="V775" s="549"/>
      <c r="W775" s="549"/>
      <c r="X775" s="549"/>
      <c r="Y775" s="549"/>
      <c r="Z775" s="549"/>
    </row>
    <row r="776" spans="1:26" ht="15">
      <c r="A776" s="549"/>
      <c r="B776" s="554"/>
      <c r="C776" s="549"/>
      <c r="D776" s="549"/>
      <c r="E776" s="570"/>
      <c r="F776" s="549"/>
      <c r="G776" s="549"/>
      <c r="H776" s="549"/>
      <c r="I776" s="550"/>
      <c r="J776" s="549"/>
      <c r="K776" s="549"/>
      <c r="L776" s="549"/>
      <c r="M776" s="549"/>
      <c r="N776" s="551"/>
      <c r="O776" s="549"/>
      <c r="P776" s="549"/>
      <c r="Q776" s="549"/>
      <c r="R776" s="549"/>
      <c r="S776" s="549"/>
      <c r="T776" s="549"/>
      <c r="U776" s="549"/>
      <c r="V776" s="549"/>
      <c r="W776" s="549"/>
      <c r="X776" s="549"/>
      <c r="Y776" s="549"/>
      <c r="Z776" s="549"/>
    </row>
    <row r="777" spans="1:26" ht="15">
      <c r="A777" s="549"/>
      <c r="B777" s="554"/>
      <c r="C777" s="549"/>
      <c r="D777" s="549"/>
      <c r="E777" s="570"/>
      <c r="F777" s="549"/>
      <c r="G777" s="549"/>
      <c r="H777" s="549"/>
      <c r="I777" s="550"/>
      <c r="J777" s="549"/>
      <c r="K777" s="549"/>
      <c r="L777" s="549"/>
      <c r="M777" s="549"/>
      <c r="N777" s="551"/>
      <c r="O777" s="549"/>
      <c r="P777" s="549"/>
      <c r="Q777" s="549"/>
      <c r="R777" s="549"/>
      <c r="S777" s="549"/>
      <c r="T777" s="549"/>
      <c r="U777" s="549"/>
      <c r="V777" s="549"/>
      <c r="W777" s="549"/>
      <c r="X777" s="549"/>
      <c r="Y777" s="549"/>
      <c r="Z777" s="549"/>
    </row>
    <row r="778" spans="1:26" ht="15">
      <c r="A778" s="549"/>
      <c r="B778" s="554"/>
      <c r="C778" s="549"/>
      <c r="D778" s="549"/>
      <c r="E778" s="570"/>
      <c r="F778" s="549"/>
      <c r="G778" s="549"/>
      <c r="H778" s="549"/>
      <c r="I778" s="550"/>
      <c r="J778" s="549"/>
      <c r="K778" s="549"/>
      <c r="L778" s="549"/>
      <c r="M778" s="549"/>
      <c r="N778" s="551"/>
      <c r="O778" s="549"/>
      <c r="P778" s="549"/>
      <c r="Q778" s="549"/>
      <c r="R778" s="549"/>
      <c r="S778" s="549"/>
      <c r="T778" s="549"/>
      <c r="U778" s="549"/>
      <c r="V778" s="549"/>
      <c r="W778" s="549"/>
      <c r="X778" s="549"/>
      <c r="Y778" s="549"/>
      <c r="Z778" s="549"/>
    </row>
    <row r="779" spans="1:26" ht="15">
      <c r="A779" s="549"/>
      <c r="B779" s="554"/>
      <c r="C779" s="549"/>
      <c r="D779" s="549"/>
      <c r="E779" s="570"/>
      <c r="F779" s="549"/>
      <c r="G779" s="549"/>
      <c r="H779" s="549"/>
      <c r="I779" s="550"/>
      <c r="J779" s="549"/>
      <c r="K779" s="549"/>
      <c r="L779" s="549"/>
      <c r="M779" s="549"/>
      <c r="N779" s="551"/>
      <c r="O779" s="549"/>
      <c r="P779" s="549"/>
      <c r="Q779" s="549"/>
      <c r="R779" s="549"/>
      <c r="S779" s="549"/>
      <c r="T779" s="549"/>
      <c r="U779" s="549"/>
      <c r="V779" s="549"/>
      <c r="W779" s="549"/>
      <c r="X779" s="549"/>
      <c r="Y779" s="549"/>
      <c r="Z779" s="549"/>
    </row>
    <row r="780" spans="1:26" ht="15">
      <c r="A780" s="549"/>
      <c r="B780" s="554"/>
      <c r="C780" s="549"/>
      <c r="D780" s="549"/>
      <c r="E780" s="570"/>
      <c r="F780" s="549"/>
      <c r="G780" s="549"/>
      <c r="H780" s="549"/>
      <c r="I780" s="550"/>
      <c r="J780" s="549"/>
      <c r="K780" s="549"/>
      <c r="L780" s="549"/>
      <c r="M780" s="549"/>
      <c r="N780" s="551"/>
      <c r="O780" s="549"/>
      <c r="P780" s="549"/>
      <c r="Q780" s="549"/>
      <c r="R780" s="549"/>
      <c r="S780" s="549"/>
      <c r="T780" s="549"/>
      <c r="U780" s="549"/>
      <c r="V780" s="549"/>
      <c r="W780" s="549"/>
      <c r="X780" s="549"/>
      <c r="Y780" s="549"/>
      <c r="Z780" s="549"/>
    </row>
    <row r="781" spans="1:26" ht="15">
      <c r="A781" s="549"/>
      <c r="B781" s="554"/>
      <c r="C781" s="549"/>
      <c r="D781" s="549"/>
      <c r="E781" s="570"/>
      <c r="F781" s="549"/>
      <c r="G781" s="549"/>
      <c r="H781" s="549"/>
      <c r="I781" s="550"/>
      <c r="J781" s="549"/>
      <c r="K781" s="549"/>
      <c r="L781" s="549"/>
      <c r="M781" s="549"/>
      <c r="N781" s="551"/>
      <c r="O781" s="549"/>
      <c r="P781" s="549"/>
      <c r="Q781" s="549"/>
      <c r="R781" s="549"/>
      <c r="S781" s="549"/>
      <c r="T781" s="549"/>
      <c r="U781" s="549"/>
      <c r="V781" s="549"/>
      <c r="W781" s="549"/>
      <c r="X781" s="549"/>
      <c r="Y781" s="549"/>
      <c r="Z781" s="549"/>
    </row>
    <row r="782" spans="1:26" ht="15">
      <c r="A782" s="549"/>
      <c r="B782" s="554"/>
      <c r="C782" s="549"/>
      <c r="D782" s="549"/>
      <c r="E782" s="570"/>
      <c r="F782" s="549"/>
      <c r="G782" s="549"/>
      <c r="H782" s="549"/>
      <c r="I782" s="550"/>
      <c r="J782" s="549"/>
      <c r="K782" s="549"/>
      <c r="L782" s="549"/>
      <c r="M782" s="549"/>
      <c r="N782" s="551"/>
      <c r="O782" s="549"/>
      <c r="P782" s="549"/>
      <c r="Q782" s="549"/>
      <c r="R782" s="549"/>
      <c r="S782" s="549"/>
      <c r="T782" s="549"/>
      <c r="U782" s="549"/>
      <c r="V782" s="549"/>
      <c r="W782" s="549"/>
      <c r="X782" s="549"/>
      <c r="Y782" s="549"/>
      <c r="Z782" s="549"/>
    </row>
    <row r="783" spans="1:26" ht="15">
      <c r="A783" s="549"/>
      <c r="B783" s="554"/>
      <c r="C783" s="549"/>
      <c r="D783" s="549"/>
      <c r="E783" s="570"/>
      <c r="F783" s="549"/>
      <c r="G783" s="549"/>
      <c r="H783" s="549"/>
      <c r="I783" s="550"/>
      <c r="J783" s="549"/>
      <c r="K783" s="549"/>
      <c r="L783" s="549"/>
      <c r="M783" s="549"/>
      <c r="N783" s="551"/>
      <c r="O783" s="549"/>
      <c r="P783" s="549"/>
      <c r="Q783" s="549"/>
      <c r="R783" s="549"/>
      <c r="S783" s="549"/>
      <c r="T783" s="549"/>
      <c r="U783" s="549"/>
      <c r="V783" s="549"/>
      <c r="W783" s="549"/>
      <c r="X783" s="549"/>
      <c r="Y783" s="549"/>
      <c r="Z783" s="549"/>
    </row>
    <row r="784" spans="1:26" ht="15">
      <c r="A784" s="549"/>
      <c r="B784" s="554"/>
      <c r="C784" s="549"/>
      <c r="D784" s="549"/>
      <c r="E784" s="570"/>
      <c r="F784" s="549"/>
      <c r="G784" s="549"/>
      <c r="H784" s="549"/>
      <c r="I784" s="550"/>
      <c r="J784" s="549"/>
      <c r="K784" s="549"/>
      <c r="L784" s="549"/>
      <c r="M784" s="549"/>
      <c r="N784" s="551"/>
      <c r="O784" s="549"/>
      <c r="P784" s="549"/>
      <c r="Q784" s="549"/>
      <c r="R784" s="549"/>
      <c r="S784" s="549"/>
      <c r="T784" s="549"/>
      <c r="U784" s="549"/>
      <c r="V784" s="549"/>
      <c r="W784" s="549"/>
      <c r="X784" s="549"/>
      <c r="Y784" s="549"/>
      <c r="Z784" s="549"/>
    </row>
    <row r="785" spans="1:26" ht="15">
      <c r="A785" s="549"/>
      <c r="B785" s="554"/>
      <c r="C785" s="549"/>
      <c r="D785" s="549"/>
      <c r="E785" s="570"/>
      <c r="F785" s="549"/>
      <c r="G785" s="549"/>
      <c r="H785" s="549"/>
      <c r="I785" s="550"/>
      <c r="J785" s="549"/>
      <c r="K785" s="549"/>
      <c r="L785" s="549"/>
      <c r="M785" s="549"/>
      <c r="N785" s="551"/>
      <c r="O785" s="549"/>
      <c r="P785" s="549"/>
      <c r="Q785" s="549"/>
      <c r="R785" s="549"/>
      <c r="S785" s="549"/>
      <c r="T785" s="549"/>
      <c r="U785" s="549"/>
      <c r="V785" s="549"/>
      <c r="W785" s="549"/>
      <c r="X785" s="549"/>
      <c r="Y785" s="549"/>
      <c r="Z785" s="549"/>
    </row>
    <row r="786" spans="1:26" ht="15">
      <c r="A786" s="549"/>
      <c r="B786" s="554"/>
      <c r="C786" s="549"/>
      <c r="D786" s="549"/>
      <c r="E786" s="570"/>
      <c r="F786" s="549"/>
      <c r="G786" s="549"/>
      <c r="H786" s="549"/>
      <c r="I786" s="550"/>
      <c r="J786" s="549"/>
      <c r="K786" s="549"/>
      <c r="L786" s="549"/>
      <c r="M786" s="549"/>
      <c r="N786" s="551"/>
      <c r="O786" s="549"/>
      <c r="P786" s="549"/>
      <c r="Q786" s="549"/>
      <c r="R786" s="549"/>
      <c r="S786" s="549"/>
      <c r="T786" s="549"/>
      <c r="U786" s="549"/>
      <c r="V786" s="549"/>
      <c r="W786" s="549"/>
      <c r="X786" s="549"/>
      <c r="Y786" s="549"/>
      <c r="Z786" s="549"/>
    </row>
    <row r="787" spans="1:26" ht="15">
      <c r="A787" s="549"/>
      <c r="B787" s="554"/>
      <c r="C787" s="549"/>
      <c r="D787" s="549"/>
      <c r="E787" s="570"/>
      <c r="F787" s="549"/>
      <c r="G787" s="549"/>
      <c r="H787" s="549"/>
      <c r="I787" s="550"/>
      <c r="J787" s="549"/>
      <c r="K787" s="549"/>
      <c r="L787" s="549"/>
      <c r="M787" s="549"/>
      <c r="N787" s="551"/>
      <c r="O787" s="549"/>
      <c r="P787" s="549"/>
      <c r="Q787" s="549"/>
      <c r="R787" s="549"/>
      <c r="S787" s="549"/>
      <c r="T787" s="549"/>
      <c r="U787" s="549"/>
      <c r="V787" s="549"/>
      <c r="W787" s="549"/>
      <c r="X787" s="549"/>
      <c r="Y787" s="549"/>
      <c r="Z787" s="549"/>
    </row>
    <row r="788" spans="1:26" ht="15">
      <c r="A788" s="549"/>
      <c r="B788" s="554"/>
      <c r="C788" s="549"/>
      <c r="D788" s="549"/>
      <c r="E788" s="570"/>
      <c r="F788" s="549"/>
      <c r="G788" s="549"/>
      <c r="H788" s="549"/>
      <c r="I788" s="550"/>
      <c r="J788" s="549"/>
      <c r="K788" s="549"/>
      <c r="L788" s="549"/>
      <c r="M788" s="549"/>
      <c r="N788" s="551"/>
      <c r="O788" s="549"/>
      <c r="P788" s="549"/>
      <c r="Q788" s="549"/>
      <c r="R788" s="549"/>
      <c r="S788" s="549"/>
      <c r="T788" s="549"/>
      <c r="U788" s="549"/>
      <c r="V788" s="549"/>
      <c r="W788" s="549"/>
      <c r="X788" s="549"/>
      <c r="Y788" s="549"/>
      <c r="Z788" s="549"/>
    </row>
    <row r="789" spans="1:26" ht="15">
      <c r="A789" s="549"/>
      <c r="B789" s="554"/>
      <c r="C789" s="549"/>
      <c r="D789" s="549"/>
      <c r="E789" s="570"/>
      <c r="F789" s="549"/>
      <c r="G789" s="549"/>
      <c r="H789" s="549"/>
      <c r="I789" s="550"/>
      <c r="J789" s="549"/>
      <c r="K789" s="549"/>
      <c r="L789" s="549"/>
      <c r="M789" s="549"/>
      <c r="N789" s="551"/>
      <c r="O789" s="549"/>
      <c r="P789" s="549"/>
      <c r="Q789" s="549"/>
      <c r="R789" s="549"/>
      <c r="S789" s="549"/>
      <c r="T789" s="549"/>
      <c r="U789" s="549"/>
      <c r="V789" s="549"/>
      <c r="W789" s="549"/>
      <c r="X789" s="549"/>
      <c r="Y789" s="549"/>
      <c r="Z789" s="549"/>
    </row>
    <row r="790" spans="1:26" ht="15">
      <c r="A790" s="549"/>
      <c r="B790" s="554"/>
      <c r="C790" s="549"/>
      <c r="D790" s="549"/>
      <c r="E790" s="570"/>
      <c r="F790" s="549"/>
      <c r="G790" s="549"/>
      <c r="H790" s="549"/>
      <c r="I790" s="550"/>
      <c r="J790" s="549"/>
      <c r="K790" s="549"/>
      <c r="L790" s="549"/>
      <c r="M790" s="549"/>
      <c r="N790" s="551"/>
      <c r="O790" s="549"/>
      <c r="P790" s="549"/>
      <c r="Q790" s="549"/>
      <c r="R790" s="549"/>
      <c r="S790" s="549"/>
      <c r="T790" s="549"/>
      <c r="U790" s="549"/>
      <c r="V790" s="549"/>
      <c r="W790" s="549"/>
      <c r="X790" s="549"/>
      <c r="Y790" s="549"/>
      <c r="Z790" s="549"/>
    </row>
    <row r="791" spans="1:26" ht="15">
      <c r="A791" s="549"/>
      <c r="B791" s="554"/>
      <c r="C791" s="549"/>
      <c r="D791" s="549"/>
      <c r="E791" s="570"/>
      <c r="F791" s="549"/>
      <c r="G791" s="549"/>
      <c r="H791" s="549"/>
      <c r="I791" s="550"/>
      <c r="J791" s="549"/>
      <c r="K791" s="549"/>
      <c r="L791" s="549"/>
      <c r="M791" s="549"/>
      <c r="N791" s="551"/>
      <c r="O791" s="549"/>
      <c r="P791" s="549"/>
      <c r="Q791" s="549"/>
      <c r="R791" s="549"/>
      <c r="S791" s="549"/>
      <c r="T791" s="549"/>
      <c r="U791" s="549"/>
      <c r="V791" s="549"/>
      <c r="W791" s="549"/>
      <c r="X791" s="549"/>
      <c r="Y791" s="549"/>
      <c r="Z791" s="549"/>
    </row>
    <row r="792" spans="1:26" ht="15">
      <c r="A792" s="549"/>
      <c r="B792" s="554"/>
      <c r="C792" s="549"/>
      <c r="D792" s="549"/>
      <c r="E792" s="570"/>
      <c r="F792" s="549"/>
      <c r="G792" s="549"/>
      <c r="H792" s="549"/>
      <c r="I792" s="550"/>
      <c r="J792" s="549"/>
      <c r="K792" s="549"/>
      <c r="L792" s="549"/>
      <c r="M792" s="549"/>
      <c r="N792" s="551"/>
      <c r="O792" s="549"/>
      <c r="P792" s="549"/>
      <c r="Q792" s="549"/>
      <c r="R792" s="549"/>
      <c r="S792" s="549"/>
      <c r="T792" s="549"/>
      <c r="U792" s="549"/>
      <c r="V792" s="549"/>
      <c r="W792" s="549"/>
      <c r="X792" s="549"/>
      <c r="Y792" s="549"/>
      <c r="Z792" s="549"/>
    </row>
    <row r="793" spans="1:26" ht="15">
      <c r="A793" s="549"/>
      <c r="B793" s="554"/>
      <c r="C793" s="549"/>
      <c r="D793" s="549"/>
      <c r="E793" s="570"/>
      <c r="F793" s="549"/>
      <c r="G793" s="549"/>
      <c r="H793" s="549"/>
      <c r="I793" s="550"/>
      <c r="J793" s="549"/>
      <c r="K793" s="549"/>
      <c r="L793" s="549"/>
      <c r="M793" s="549"/>
      <c r="N793" s="551"/>
      <c r="O793" s="549"/>
      <c r="P793" s="549"/>
      <c r="Q793" s="549"/>
      <c r="R793" s="549"/>
      <c r="S793" s="549"/>
      <c r="T793" s="549"/>
      <c r="U793" s="549"/>
      <c r="V793" s="549"/>
      <c r="W793" s="549"/>
      <c r="X793" s="549"/>
      <c r="Y793" s="549"/>
      <c r="Z793" s="549"/>
    </row>
    <row r="794" spans="1:26" ht="15">
      <c r="A794" s="549"/>
      <c r="B794" s="554"/>
      <c r="C794" s="549"/>
      <c r="D794" s="549"/>
      <c r="E794" s="570"/>
      <c r="F794" s="549"/>
      <c r="G794" s="549"/>
      <c r="H794" s="549"/>
      <c r="I794" s="550"/>
      <c r="J794" s="549"/>
      <c r="K794" s="549"/>
      <c r="L794" s="549"/>
      <c r="M794" s="549"/>
      <c r="N794" s="551"/>
      <c r="O794" s="549"/>
      <c r="P794" s="549"/>
      <c r="Q794" s="549"/>
      <c r="R794" s="549"/>
      <c r="S794" s="549"/>
      <c r="T794" s="549"/>
      <c r="U794" s="549"/>
      <c r="V794" s="549"/>
      <c r="W794" s="549"/>
      <c r="X794" s="549"/>
      <c r="Y794" s="549"/>
      <c r="Z794" s="549"/>
    </row>
    <row r="795" spans="1:26" ht="15">
      <c r="A795" s="549"/>
      <c r="B795" s="554"/>
      <c r="C795" s="549"/>
      <c r="D795" s="549"/>
      <c r="E795" s="570"/>
      <c r="F795" s="549"/>
      <c r="G795" s="549"/>
      <c r="H795" s="549"/>
      <c r="I795" s="550"/>
      <c r="J795" s="549"/>
      <c r="K795" s="549"/>
      <c r="L795" s="549"/>
      <c r="M795" s="549"/>
      <c r="N795" s="551"/>
      <c r="O795" s="549"/>
      <c r="P795" s="549"/>
      <c r="Q795" s="549"/>
      <c r="R795" s="549"/>
      <c r="S795" s="549"/>
      <c r="T795" s="549"/>
      <c r="U795" s="549"/>
      <c r="V795" s="549"/>
      <c r="W795" s="549"/>
      <c r="X795" s="549"/>
      <c r="Y795" s="549"/>
      <c r="Z795" s="549"/>
    </row>
    <row r="796" spans="1:26" ht="15">
      <c r="A796" s="549"/>
      <c r="B796" s="554"/>
      <c r="C796" s="549"/>
      <c r="D796" s="549"/>
      <c r="E796" s="570"/>
      <c r="F796" s="549"/>
      <c r="G796" s="549"/>
      <c r="H796" s="549"/>
      <c r="I796" s="550"/>
      <c r="J796" s="549"/>
      <c r="K796" s="549"/>
      <c r="L796" s="549"/>
      <c r="M796" s="549"/>
      <c r="N796" s="551"/>
      <c r="O796" s="549"/>
      <c r="P796" s="549"/>
      <c r="Q796" s="549"/>
      <c r="R796" s="549"/>
      <c r="S796" s="549"/>
      <c r="T796" s="549"/>
      <c r="U796" s="549"/>
      <c r="V796" s="549"/>
      <c r="W796" s="549"/>
      <c r="X796" s="549"/>
      <c r="Y796" s="549"/>
      <c r="Z796" s="549"/>
    </row>
    <row r="797" spans="1:26" ht="15">
      <c r="A797" s="549"/>
      <c r="B797" s="554"/>
      <c r="C797" s="549"/>
      <c r="D797" s="549"/>
      <c r="E797" s="570"/>
      <c r="F797" s="549"/>
      <c r="G797" s="549"/>
      <c r="H797" s="549"/>
      <c r="I797" s="550"/>
      <c r="J797" s="549"/>
      <c r="K797" s="549"/>
      <c r="L797" s="549"/>
      <c r="M797" s="549"/>
      <c r="N797" s="551"/>
      <c r="O797" s="549"/>
      <c r="P797" s="549"/>
      <c r="Q797" s="549"/>
      <c r="R797" s="549"/>
      <c r="S797" s="549"/>
      <c r="T797" s="549"/>
      <c r="U797" s="549"/>
      <c r="V797" s="549"/>
      <c r="W797" s="549"/>
      <c r="X797" s="549"/>
      <c r="Y797" s="549"/>
      <c r="Z797" s="549"/>
    </row>
    <row r="798" spans="1:26" ht="15">
      <c r="A798" s="549"/>
      <c r="B798" s="554"/>
      <c r="C798" s="549"/>
      <c r="D798" s="549"/>
      <c r="E798" s="570"/>
      <c r="F798" s="549"/>
      <c r="G798" s="549"/>
      <c r="H798" s="549"/>
      <c r="I798" s="550"/>
      <c r="J798" s="549"/>
      <c r="K798" s="549"/>
      <c r="L798" s="549"/>
      <c r="M798" s="549"/>
      <c r="N798" s="551"/>
      <c r="O798" s="549"/>
      <c r="P798" s="549"/>
      <c r="Q798" s="549"/>
      <c r="R798" s="549"/>
      <c r="S798" s="549"/>
      <c r="T798" s="549"/>
      <c r="U798" s="549"/>
      <c r="V798" s="549"/>
      <c r="W798" s="549"/>
      <c r="X798" s="549"/>
      <c r="Y798" s="549"/>
      <c r="Z798" s="549"/>
    </row>
    <row r="799" spans="1:26" ht="15">
      <c r="A799" s="549"/>
      <c r="B799" s="554"/>
      <c r="C799" s="549"/>
      <c r="D799" s="549"/>
      <c r="E799" s="570"/>
      <c r="F799" s="549"/>
      <c r="G799" s="549"/>
      <c r="H799" s="549"/>
      <c r="I799" s="550"/>
      <c r="J799" s="549"/>
      <c r="K799" s="549"/>
      <c r="L799" s="549"/>
      <c r="M799" s="549"/>
      <c r="N799" s="551"/>
      <c r="O799" s="549"/>
      <c r="P799" s="549"/>
      <c r="Q799" s="549"/>
      <c r="R799" s="549"/>
      <c r="S799" s="549"/>
      <c r="T799" s="549"/>
      <c r="U799" s="549"/>
      <c r="V799" s="549"/>
      <c r="W799" s="549"/>
      <c r="X799" s="549"/>
      <c r="Y799" s="549"/>
      <c r="Z799" s="549"/>
    </row>
    <row r="800" spans="1:26" ht="15">
      <c r="A800" s="549"/>
      <c r="B800" s="554"/>
      <c r="C800" s="549"/>
      <c r="D800" s="549"/>
      <c r="E800" s="570"/>
      <c r="F800" s="549"/>
      <c r="G800" s="549"/>
      <c r="H800" s="549"/>
      <c r="I800" s="550"/>
      <c r="J800" s="549"/>
      <c r="K800" s="549"/>
      <c r="L800" s="549"/>
      <c r="M800" s="549"/>
      <c r="N800" s="551"/>
      <c r="O800" s="549"/>
      <c r="P800" s="549"/>
      <c r="Q800" s="549"/>
      <c r="R800" s="549"/>
      <c r="S800" s="549"/>
      <c r="T800" s="549"/>
      <c r="U800" s="549"/>
      <c r="V800" s="549"/>
      <c r="W800" s="549"/>
      <c r="X800" s="549"/>
      <c r="Y800" s="549"/>
      <c r="Z800" s="549"/>
    </row>
    <row r="801" spans="1:26" ht="15">
      <c r="A801" s="549"/>
      <c r="B801" s="554"/>
      <c r="C801" s="549"/>
      <c r="D801" s="549"/>
      <c r="E801" s="570"/>
      <c r="F801" s="549"/>
      <c r="G801" s="549"/>
      <c r="H801" s="549"/>
      <c r="I801" s="550"/>
      <c r="J801" s="549"/>
      <c r="K801" s="549"/>
      <c r="L801" s="549"/>
      <c r="M801" s="549"/>
      <c r="N801" s="551"/>
      <c r="O801" s="549"/>
      <c r="P801" s="549"/>
      <c r="Q801" s="549"/>
      <c r="R801" s="549"/>
      <c r="S801" s="549"/>
      <c r="T801" s="549"/>
      <c r="U801" s="549"/>
      <c r="V801" s="549"/>
      <c r="W801" s="549"/>
      <c r="X801" s="549"/>
      <c r="Y801" s="549"/>
      <c r="Z801" s="549"/>
    </row>
    <row r="802" spans="1:26" ht="15">
      <c r="A802" s="549"/>
      <c r="B802" s="554"/>
      <c r="C802" s="549"/>
      <c r="D802" s="549"/>
      <c r="E802" s="570"/>
      <c r="F802" s="549"/>
      <c r="G802" s="549"/>
      <c r="H802" s="549"/>
      <c r="I802" s="550"/>
      <c r="J802" s="549"/>
      <c r="K802" s="549"/>
      <c r="L802" s="549"/>
      <c r="M802" s="549"/>
      <c r="N802" s="551"/>
      <c r="O802" s="549"/>
      <c r="P802" s="549"/>
      <c r="Q802" s="549"/>
      <c r="R802" s="549"/>
      <c r="S802" s="549"/>
      <c r="T802" s="549"/>
      <c r="U802" s="549"/>
      <c r="V802" s="549"/>
      <c r="W802" s="549"/>
      <c r="X802" s="549"/>
      <c r="Y802" s="549"/>
      <c r="Z802" s="549"/>
    </row>
    <row r="803" spans="1:26" ht="15">
      <c r="A803" s="549"/>
      <c r="B803" s="554"/>
      <c r="C803" s="549"/>
      <c r="D803" s="549"/>
      <c r="E803" s="570"/>
      <c r="F803" s="549"/>
      <c r="G803" s="549"/>
      <c r="H803" s="549"/>
      <c r="I803" s="550"/>
      <c r="J803" s="549"/>
      <c r="K803" s="549"/>
      <c r="L803" s="549"/>
      <c r="M803" s="549"/>
      <c r="N803" s="551"/>
      <c r="O803" s="549"/>
      <c r="P803" s="549"/>
      <c r="Q803" s="549"/>
      <c r="R803" s="549"/>
      <c r="S803" s="549"/>
      <c r="T803" s="549"/>
      <c r="U803" s="549"/>
      <c r="V803" s="549"/>
      <c r="W803" s="549"/>
      <c r="X803" s="549"/>
      <c r="Y803" s="549"/>
      <c r="Z803" s="549"/>
    </row>
    <row r="804" spans="1:26" ht="15">
      <c r="A804" s="549"/>
      <c r="B804" s="554"/>
      <c r="C804" s="549"/>
      <c r="D804" s="549"/>
      <c r="E804" s="570"/>
      <c r="F804" s="549"/>
      <c r="G804" s="549"/>
      <c r="H804" s="549"/>
      <c r="I804" s="550"/>
      <c r="J804" s="549"/>
      <c r="K804" s="549"/>
      <c r="L804" s="549"/>
      <c r="M804" s="549"/>
      <c r="N804" s="551"/>
      <c r="O804" s="549"/>
      <c r="P804" s="549"/>
      <c r="Q804" s="549"/>
      <c r="R804" s="549"/>
      <c r="S804" s="549"/>
      <c r="T804" s="549"/>
      <c r="U804" s="549"/>
      <c r="V804" s="549"/>
      <c r="W804" s="549"/>
      <c r="X804" s="549"/>
      <c r="Y804" s="549"/>
      <c r="Z804" s="549"/>
    </row>
    <row r="805" spans="1:26" ht="15">
      <c r="A805" s="549"/>
      <c r="B805" s="554"/>
      <c r="C805" s="549"/>
      <c r="D805" s="549"/>
      <c r="E805" s="570"/>
      <c r="F805" s="549"/>
      <c r="G805" s="549"/>
      <c r="H805" s="549"/>
      <c r="I805" s="550"/>
      <c r="J805" s="549"/>
      <c r="K805" s="549"/>
      <c r="L805" s="549"/>
      <c r="M805" s="549"/>
      <c r="N805" s="551"/>
      <c r="O805" s="549"/>
      <c r="P805" s="549"/>
      <c r="Q805" s="549"/>
      <c r="R805" s="549"/>
      <c r="S805" s="549"/>
      <c r="T805" s="549"/>
      <c r="U805" s="549"/>
      <c r="V805" s="549"/>
      <c r="W805" s="549"/>
      <c r="X805" s="549"/>
      <c r="Y805" s="549"/>
      <c r="Z805" s="549"/>
    </row>
    <row r="806" spans="1:26" ht="15">
      <c r="A806" s="549"/>
      <c r="B806" s="554"/>
      <c r="C806" s="549"/>
      <c r="D806" s="549"/>
      <c r="E806" s="570"/>
      <c r="F806" s="549"/>
      <c r="G806" s="549"/>
      <c r="H806" s="549"/>
      <c r="I806" s="550"/>
      <c r="J806" s="549"/>
      <c r="K806" s="549"/>
      <c r="L806" s="549"/>
      <c r="M806" s="549"/>
      <c r="N806" s="551"/>
      <c r="O806" s="549"/>
      <c r="P806" s="549"/>
      <c r="Q806" s="549"/>
      <c r="R806" s="549"/>
      <c r="S806" s="549"/>
      <c r="T806" s="549"/>
      <c r="U806" s="549"/>
      <c r="V806" s="549"/>
      <c r="W806" s="549"/>
      <c r="X806" s="549"/>
      <c r="Y806" s="549"/>
      <c r="Z806" s="549"/>
    </row>
    <row r="807" spans="1:26" ht="15">
      <c r="A807" s="549"/>
      <c r="B807" s="554"/>
      <c r="C807" s="549"/>
      <c r="D807" s="549"/>
      <c r="E807" s="570"/>
      <c r="F807" s="549"/>
      <c r="G807" s="549"/>
      <c r="H807" s="549"/>
      <c r="I807" s="550"/>
      <c r="J807" s="549"/>
      <c r="K807" s="549"/>
      <c r="L807" s="549"/>
      <c r="M807" s="549"/>
      <c r="N807" s="551"/>
      <c r="O807" s="549"/>
      <c r="P807" s="549"/>
      <c r="Q807" s="549"/>
      <c r="R807" s="549"/>
      <c r="S807" s="549"/>
      <c r="T807" s="549"/>
      <c r="U807" s="549"/>
      <c r="V807" s="549"/>
      <c r="W807" s="549"/>
      <c r="X807" s="549"/>
      <c r="Y807" s="549"/>
      <c r="Z807" s="549"/>
    </row>
    <row r="808" spans="1:26" ht="15">
      <c r="A808" s="549"/>
      <c r="B808" s="554"/>
      <c r="C808" s="549"/>
      <c r="D808" s="549"/>
      <c r="E808" s="570"/>
      <c r="F808" s="549"/>
      <c r="G808" s="549"/>
      <c r="H808" s="549"/>
      <c r="I808" s="550"/>
      <c r="J808" s="549"/>
      <c r="K808" s="549"/>
      <c r="L808" s="549"/>
      <c r="M808" s="549"/>
      <c r="N808" s="551"/>
      <c r="O808" s="549"/>
      <c r="P808" s="549"/>
      <c r="Q808" s="549"/>
      <c r="R808" s="549"/>
      <c r="S808" s="549"/>
      <c r="T808" s="549"/>
      <c r="U808" s="549"/>
      <c r="V808" s="549"/>
      <c r="W808" s="549"/>
      <c r="X808" s="549"/>
      <c r="Y808" s="549"/>
      <c r="Z808" s="549"/>
    </row>
    <row r="809" spans="1:26" ht="15">
      <c r="A809" s="549"/>
      <c r="B809" s="554"/>
      <c r="C809" s="549"/>
      <c r="D809" s="549"/>
      <c r="E809" s="570"/>
      <c r="F809" s="549"/>
      <c r="G809" s="549"/>
      <c r="H809" s="549"/>
      <c r="I809" s="550"/>
      <c r="J809" s="549"/>
      <c r="K809" s="549"/>
      <c r="L809" s="549"/>
      <c r="M809" s="549"/>
      <c r="N809" s="551"/>
      <c r="O809" s="549"/>
      <c r="P809" s="549"/>
      <c r="Q809" s="549"/>
      <c r="R809" s="549"/>
      <c r="S809" s="549"/>
      <c r="T809" s="549"/>
      <c r="U809" s="549"/>
      <c r="V809" s="549"/>
      <c r="W809" s="549"/>
      <c r="X809" s="549"/>
      <c r="Y809" s="549"/>
      <c r="Z809" s="549"/>
    </row>
    <row r="810" spans="1:26" ht="15">
      <c r="A810" s="549"/>
      <c r="B810" s="554"/>
      <c r="C810" s="549"/>
      <c r="D810" s="549"/>
      <c r="E810" s="570"/>
      <c r="F810" s="549"/>
      <c r="G810" s="549"/>
      <c r="H810" s="549"/>
      <c r="I810" s="550"/>
      <c r="J810" s="549"/>
      <c r="K810" s="549"/>
      <c r="L810" s="549"/>
      <c r="M810" s="549"/>
      <c r="N810" s="551"/>
      <c r="O810" s="549"/>
      <c r="P810" s="549"/>
      <c r="Q810" s="549"/>
      <c r="R810" s="549"/>
      <c r="S810" s="549"/>
      <c r="T810" s="549"/>
      <c r="U810" s="549"/>
      <c r="V810" s="549"/>
      <c r="W810" s="549"/>
      <c r="X810" s="549"/>
      <c r="Y810" s="549"/>
      <c r="Z810" s="549"/>
    </row>
    <row r="811" spans="1:26" ht="15">
      <c r="A811" s="549"/>
      <c r="B811" s="554"/>
      <c r="C811" s="549"/>
      <c r="D811" s="549"/>
      <c r="E811" s="570"/>
      <c r="F811" s="549"/>
      <c r="G811" s="549"/>
      <c r="H811" s="549"/>
      <c r="I811" s="550"/>
      <c r="J811" s="549"/>
      <c r="K811" s="549"/>
      <c r="L811" s="549"/>
      <c r="M811" s="549"/>
      <c r="N811" s="551"/>
      <c r="O811" s="549"/>
      <c r="P811" s="549"/>
      <c r="Q811" s="549"/>
      <c r="R811" s="549"/>
      <c r="S811" s="549"/>
      <c r="T811" s="549"/>
      <c r="U811" s="549"/>
      <c r="V811" s="549"/>
      <c r="W811" s="549"/>
      <c r="X811" s="549"/>
      <c r="Y811" s="549"/>
      <c r="Z811" s="549"/>
    </row>
    <row r="812" spans="1:26" ht="15">
      <c r="A812" s="549"/>
      <c r="B812" s="554"/>
      <c r="C812" s="549"/>
      <c r="D812" s="549"/>
      <c r="E812" s="570"/>
      <c r="F812" s="549"/>
      <c r="G812" s="549"/>
      <c r="H812" s="549"/>
      <c r="I812" s="550"/>
      <c r="J812" s="549"/>
      <c r="K812" s="549"/>
      <c r="L812" s="549"/>
      <c r="M812" s="549"/>
      <c r="N812" s="551"/>
      <c r="O812" s="549"/>
      <c r="P812" s="549"/>
      <c r="Q812" s="549"/>
      <c r="R812" s="549"/>
      <c r="S812" s="549"/>
      <c r="T812" s="549"/>
      <c r="U812" s="549"/>
      <c r="V812" s="549"/>
      <c r="W812" s="549"/>
      <c r="X812" s="549"/>
      <c r="Y812" s="549"/>
      <c r="Z812" s="549"/>
    </row>
    <row r="813" spans="1:26" ht="15">
      <c r="A813" s="549"/>
      <c r="B813" s="554"/>
      <c r="C813" s="549"/>
      <c r="D813" s="549"/>
      <c r="E813" s="570"/>
      <c r="F813" s="549"/>
      <c r="G813" s="549"/>
      <c r="H813" s="549"/>
      <c r="I813" s="550"/>
      <c r="J813" s="549"/>
      <c r="K813" s="549"/>
      <c r="L813" s="549"/>
      <c r="M813" s="549"/>
      <c r="N813" s="551"/>
      <c r="O813" s="549"/>
      <c r="P813" s="549"/>
      <c r="Q813" s="549"/>
      <c r="R813" s="549"/>
      <c r="S813" s="549"/>
      <c r="T813" s="549"/>
      <c r="U813" s="549"/>
      <c r="V813" s="549"/>
      <c r="W813" s="549"/>
      <c r="X813" s="549"/>
      <c r="Y813" s="549"/>
      <c r="Z813" s="549"/>
    </row>
    <row r="814" spans="1:26" ht="15">
      <c r="A814" s="549"/>
      <c r="B814" s="554"/>
      <c r="C814" s="549"/>
      <c r="D814" s="549"/>
      <c r="E814" s="570"/>
      <c r="F814" s="549"/>
      <c r="G814" s="549"/>
      <c r="H814" s="549"/>
      <c r="I814" s="550"/>
      <c r="J814" s="549"/>
      <c r="K814" s="549"/>
      <c r="L814" s="549"/>
      <c r="M814" s="549"/>
      <c r="N814" s="551"/>
      <c r="O814" s="549"/>
      <c r="P814" s="549"/>
      <c r="Q814" s="549"/>
      <c r="R814" s="549"/>
      <c r="S814" s="549"/>
      <c r="T814" s="549"/>
      <c r="U814" s="549"/>
      <c r="V814" s="549"/>
      <c r="W814" s="549"/>
      <c r="X814" s="549"/>
      <c r="Y814" s="549"/>
      <c r="Z814" s="549"/>
    </row>
    <row r="815" spans="1:26" ht="15">
      <c r="A815" s="549"/>
      <c r="B815" s="554"/>
      <c r="C815" s="549"/>
      <c r="D815" s="549"/>
      <c r="E815" s="570"/>
      <c r="F815" s="549"/>
      <c r="G815" s="549"/>
      <c r="H815" s="549"/>
      <c r="I815" s="550"/>
      <c r="J815" s="549"/>
      <c r="K815" s="549"/>
      <c r="L815" s="549"/>
      <c r="M815" s="549"/>
      <c r="N815" s="551"/>
      <c r="O815" s="549"/>
      <c r="P815" s="549"/>
      <c r="Q815" s="549"/>
      <c r="R815" s="549"/>
      <c r="S815" s="549"/>
      <c r="T815" s="549"/>
      <c r="U815" s="549"/>
      <c r="V815" s="549"/>
      <c r="W815" s="549"/>
      <c r="X815" s="549"/>
      <c r="Y815" s="549"/>
      <c r="Z815" s="549"/>
    </row>
    <row r="816" spans="1:26" ht="15">
      <c r="A816" s="549"/>
      <c r="B816" s="554"/>
      <c r="C816" s="549"/>
      <c r="D816" s="549"/>
      <c r="E816" s="570"/>
      <c r="F816" s="549"/>
      <c r="G816" s="549"/>
      <c r="H816" s="549"/>
      <c r="I816" s="550"/>
      <c r="J816" s="549"/>
      <c r="K816" s="549"/>
      <c r="L816" s="549"/>
      <c r="M816" s="549"/>
      <c r="N816" s="551"/>
      <c r="O816" s="549"/>
      <c r="P816" s="549"/>
      <c r="Q816" s="549"/>
      <c r="R816" s="549"/>
      <c r="S816" s="549"/>
      <c r="T816" s="549"/>
      <c r="U816" s="549"/>
      <c r="V816" s="549"/>
      <c r="W816" s="549"/>
      <c r="X816" s="549"/>
      <c r="Y816" s="549"/>
      <c r="Z816" s="549"/>
    </row>
    <row r="817" spans="1:26" ht="15">
      <c r="A817" s="549"/>
      <c r="B817" s="554"/>
      <c r="C817" s="549"/>
      <c r="D817" s="549"/>
      <c r="E817" s="570"/>
      <c r="F817" s="549"/>
      <c r="G817" s="549"/>
      <c r="H817" s="549"/>
      <c r="I817" s="550"/>
      <c r="J817" s="549"/>
      <c r="K817" s="549"/>
      <c r="L817" s="549"/>
      <c r="M817" s="549"/>
      <c r="N817" s="551"/>
      <c r="O817" s="549"/>
      <c r="P817" s="549"/>
      <c r="Q817" s="549"/>
      <c r="R817" s="549"/>
      <c r="S817" s="549"/>
      <c r="T817" s="549"/>
      <c r="U817" s="549"/>
      <c r="V817" s="549"/>
      <c r="W817" s="549"/>
      <c r="X817" s="549"/>
      <c r="Y817" s="549"/>
      <c r="Z817" s="549"/>
    </row>
    <row r="818" spans="1:26" ht="15">
      <c r="A818" s="549"/>
      <c r="B818" s="554"/>
      <c r="C818" s="549"/>
      <c r="D818" s="549"/>
      <c r="E818" s="570"/>
      <c r="F818" s="549"/>
      <c r="G818" s="549"/>
      <c r="H818" s="549"/>
      <c r="I818" s="550"/>
      <c r="J818" s="549"/>
      <c r="K818" s="549"/>
      <c r="L818" s="549"/>
      <c r="M818" s="549"/>
      <c r="N818" s="551"/>
      <c r="O818" s="549"/>
      <c r="P818" s="549"/>
      <c r="Q818" s="549"/>
      <c r="R818" s="549"/>
      <c r="S818" s="549"/>
      <c r="T818" s="549"/>
      <c r="U818" s="549"/>
      <c r="V818" s="549"/>
      <c r="W818" s="549"/>
      <c r="X818" s="549"/>
      <c r="Y818" s="549"/>
      <c r="Z818" s="549"/>
    </row>
    <row r="819" spans="1:26" ht="15">
      <c r="A819" s="549"/>
      <c r="B819" s="554"/>
      <c r="C819" s="549"/>
      <c r="D819" s="549"/>
      <c r="E819" s="570"/>
      <c r="F819" s="549"/>
      <c r="G819" s="549"/>
      <c r="H819" s="549"/>
      <c r="I819" s="550"/>
      <c r="J819" s="549"/>
      <c r="K819" s="549"/>
      <c r="L819" s="549"/>
      <c r="M819" s="549"/>
      <c r="N819" s="551"/>
      <c r="O819" s="549"/>
      <c r="P819" s="549"/>
      <c r="Q819" s="549"/>
      <c r="R819" s="549"/>
      <c r="S819" s="549"/>
      <c r="T819" s="549"/>
      <c r="U819" s="549"/>
      <c r="V819" s="549"/>
      <c r="W819" s="549"/>
      <c r="X819" s="549"/>
      <c r="Y819" s="549"/>
      <c r="Z819" s="549"/>
    </row>
    <row r="820" spans="1:26" ht="15">
      <c r="A820" s="549"/>
      <c r="B820" s="554"/>
      <c r="C820" s="549"/>
      <c r="D820" s="549"/>
      <c r="E820" s="570"/>
      <c r="F820" s="549"/>
      <c r="G820" s="549"/>
      <c r="H820" s="549"/>
      <c r="I820" s="550"/>
      <c r="J820" s="549"/>
      <c r="K820" s="549"/>
      <c r="L820" s="549"/>
      <c r="M820" s="549"/>
      <c r="N820" s="551"/>
      <c r="O820" s="549"/>
      <c r="P820" s="549"/>
      <c r="Q820" s="549"/>
      <c r="R820" s="549"/>
      <c r="S820" s="549"/>
      <c r="T820" s="549"/>
      <c r="U820" s="549"/>
      <c r="V820" s="549"/>
      <c r="W820" s="549"/>
      <c r="X820" s="549"/>
      <c r="Y820" s="549"/>
      <c r="Z820" s="549"/>
    </row>
    <row r="821" spans="1:26" ht="15">
      <c r="A821" s="549"/>
      <c r="B821" s="554"/>
      <c r="C821" s="549"/>
      <c r="D821" s="549"/>
      <c r="E821" s="570"/>
      <c r="F821" s="549"/>
      <c r="G821" s="549"/>
      <c r="H821" s="549"/>
      <c r="I821" s="550"/>
      <c r="J821" s="549"/>
      <c r="K821" s="549"/>
      <c r="L821" s="549"/>
      <c r="M821" s="549"/>
      <c r="N821" s="551"/>
      <c r="O821" s="549"/>
      <c r="P821" s="549"/>
      <c r="Q821" s="549"/>
      <c r="R821" s="549"/>
      <c r="S821" s="549"/>
      <c r="T821" s="549"/>
      <c r="U821" s="549"/>
      <c r="V821" s="549"/>
      <c r="W821" s="549"/>
      <c r="X821" s="549"/>
      <c r="Y821" s="549"/>
      <c r="Z821" s="549"/>
    </row>
    <row r="822" spans="1:26" ht="15">
      <c r="A822" s="549"/>
      <c r="B822" s="554"/>
      <c r="C822" s="549"/>
      <c r="D822" s="549"/>
      <c r="E822" s="570"/>
      <c r="F822" s="549"/>
      <c r="G822" s="549"/>
      <c r="H822" s="549"/>
      <c r="I822" s="550"/>
      <c r="J822" s="549"/>
      <c r="K822" s="549"/>
      <c r="L822" s="549"/>
      <c r="M822" s="549"/>
      <c r="N822" s="551"/>
      <c r="O822" s="549"/>
      <c r="P822" s="549"/>
      <c r="Q822" s="549"/>
      <c r="R822" s="549"/>
      <c r="S822" s="549"/>
      <c r="T822" s="549"/>
      <c r="U822" s="549"/>
      <c r="V822" s="549"/>
      <c r="W822" s="549"/>
      <c r="X822" s="549"/>
      <c r="Y822" s="549"/>
      <c r="Z822" s="549"/>
    </row>
    <row r="823" spans="1:26" ht="15">
      <c r="A823" s="549"/>
      <c r="B823" s="554"/>
      <c r="C823" s="549"/>
      <c r="D823" s="549"/>
      <c r="E823" s="570"/>
      <c r="F823" s="549"/>
      <c r="G823" s="549"/>
      <c r="H823" s="549"/>
      <c r="I823" s="550"/>
      <c r="J823" s="549"/>
      <c r="K823" s="549"/>
      <c r="L823" s="549"/>
      <c r="M823" s="549"/>
      <c r="N823" s="551"/>
      <c r="O823" s="549"/>
      <c r="P823" s="549"/>
      <c r="Q823" s="549"/>
      <c r="R823" s="549"/>
      <c r="S823" s="549"/>
      <c r="T823" s="549"/>
      <c r="U823" s="549"/>
      <c r="V823" s="549"/>
      <c r="W823" s="549"/>
      <c r="X823" s="549"/>
      <c r="Y823" s="549"/>
      <c r="Z823" s="549"/>
    </row>
    <row r="824" spans="1:26" ht="15">
      <c r="A824" s="549"/>
      <c r="B824" s="554"/>
      <c r="C824" s="549"/>
      <c r="D824" s="549"/>
      <c r="E824" s="570"/>
      <c r="F824" s="549"/>
      <c r="G824" s="549"/>
      <c r="H824" s="549"/>
      <c r="I824" s="550"/>
      <c r="J824" s="549"/>
      <c r="K824" s="549"/>
      <c r="L824" s="549"/>
      <c r="M824" s="549"/>
      <c r="N824" s="551"/>
      <c r="O824" s="549"/>
      <c r="P824" s="549"/>
      <c r="Q824" s="549"/>
      <c r="R824" s="549"/>
      <c r="S824" s="549"/>
      <c r="T824" s="549"/>
      <c r="U824" s="549"/>
      <c r="V824" s="549"/>
      <c r="W824" s="549"/>
      <c r="X824" s="549"/>
      <c r="Y824" s="549"/>
      <c r="Z824" s="549"/>
    </row>
    <row r="825" spans="1:26" ht="15">
      <c r="A825" s="549"/>
      <c r="B825" s="554"/>
      <c r="C825" s="549"/>
      <c r="D825" s="549"/>
      <c r="E825" s="570"/>
      <c r="F825" s="549"/>
      <c r="G825" s="549"/>
      <c r="H825" s="549"/>
      <c r="I825" s="550"/>
      <c r="J825" s="549"/>
      <c r="K825" s="549"/>
      <c r="L825" s="549"/>
      <c r="M825" s="549"/>
      <c r="N825" s="551"/>
      <c r="O825" s="549"/>
      <c r="P825" s="549"/>
      <c r="Q825" s="549"/>
      <c r="R825" s="549"/>
      <c r="S825" s="549"/>
      <c r="T825" s="549"/>
      <c r="U825" s="549"/>
      <c r="V825" s="549"/>
      <c r="W825" s="549"/>
      <c r="X825" s="549"/>
      <c r="Y825" s="549"/>
      <c r="Z825" s="549"/>
    </row>
    <row r="826" spans="1:26" ht="15">
      <c r="A826" s="549"/>
      <c r="B826" s="554"/>
      <c r="C826" s="549"/>
      <c r="D826" s="549"/>
      <c r="E826" s="570"/>
      <c r="F826" s="549"/>
      <c r="G826" s="549"/>
      <c r="H826" s="549"/>
      <c r="I826" s="550"/>
      <c r="J826" s="549"/>
      <c r="K826" s="549"/>
      <c r="L826" s="549"/>
      <c r="M826" s="549"/>
      <c r="N826" s="551"/>
      <c r="O826" s="549"/>
      <c r="P826" s="549"/>
      <c r="Q826" s="549"/>
      <c r="R826" s="549"/>
      <c r="S826" s="549"/>
      <c r="T826" s="549"/>
      <c r="U826" s="549"/>
      <c r="V826" s="549"/>
      <c r="W826" s="549"/>
      <c r="X826" s="549"/>
      <c r="Y826" s="549"/>
      <c r="Z826" s="549"/>
    </row>
    <row r="827" spans="1:26" ht="15">
      <c r="A827" s="549"/>
      <c r="B827" s="554"/>
      <c r="C827" s="549"/>
      <c r="D827" s="549"/>
      <c r="E827" s="570"/>
      <c r="F827" s="549"/>
      <c r="G827" s="549"/>
      <c r="H827" s="549"/>
      <c r="I827" s="550"/>
      <c r="J827" s="549"/>
      <c r="K827" s="549"/>
      <c r="L827" s="549"/>
      <c r="M827" s="549"/>
      <c r="N827" s="551"/>
      <c r="O827" s="549"/>
      <c r="P827" s="549"/>
      <c r="Q827" s="549"/>
      <c r="R827" s="549"/>
      <c r="S827" s="549"/>
      <c r="T827" s="549"/>
      <c r="U827" s="549"/>
      <c r="V827" s="549"/>
      <c r="W827" s="549"/>
      <c r="X827" s="549"/>
      <c r="Y827" s="549"/>
      <c r="Z827" s="549"/>
    </row>
    <row r="828" spans="1:26" ht="15">
      <c r="A828" s="549"/>
      <c r="B828" s="554"/>
      <c r="C828" s="549"/>
      <c r="D828" s="549"/>
      <c r="E828" s="570"/>
      <c r="F828" s="549"/>
      <c r="G828" s="549"/>
      <c r="H828" s="549"/>
      <c r="I828" s="550"/>
      <c r="J828" s="549"/>
      <c r="K828" s="549"/>
      <c r="L828" s="549"/>
      <c r="M828" s="549"/>
      <c r="N828" s="551"/>
      <c r="O828" s="549"/>
      <c r="P828" s="549"/>
      <c r="Q828" s="549"/>
      <c r="R828" s="549"/>
      <c r="S828" s="549"/>
      <c r="T828" s="549"/>
      <c r="U828" s="549"/>
      <c r="V828" s="549"/>
      <c r="W828" s="549"/>
      <c r="X828" s="549"/>
      <c r="Y828" s="549"/>
      <c r="Z828" s="549"/>
    </row>
    <row r="829" spans="1:26" ht="15">
      <c r="A829" s="549"/>
      <c r="B829" s="554"/>
      <c r="C829" s="549"/>
      <c r="D829" s="549"/>
      <c r="E829" s="570"/>
      <c r="F829" s="549"/>
      <c r="G829" s="549"/>
      <c r="H829" s="549"/>
      <c r="I829" s="550"/>
      <c r="J829" s="549"/>
      <c r="K829" s="549"/>
      <c r="L829" s="549"/>
      <c r="M829" s="549"/>
      <c r="N829" s="551"/>
      <c r="O829" s="549"/>
      <c r="P829" s="549"/>
      <c r="Q829" s="549"/>
      <c r="R829" s="549"/>
      <c r="S829" s="549"/>
      <c r="T829" s="549"/>
      <c r="U829" s="549"/>
      <c r="V829" s="549"/>
      <c r="W829" s="549"/>
      <c r="X829" s="549"/>
      <c r="Y829" s="549"/>
      <c r="Z829" s="549"/>
    </row>
    <row r="830" spans="1:26" ht="15">
      <c r="A830" s="549"/>
      <c r="B830" s="554"/>
      <c r="C830" s="549"/>
      <c r="D830" s="549"/>
      <c r="E830" s="570"/>
      <c r="F830" s="549"/>
      <c r="G830" s="549"/>
      <c r="H830" s="549"/>
      <c r="I830" s="550"/>
      <c r="J830" s="549"/>
      <c r="K830" s="549"/>
      <c r="L830" s="549"/>
      <c r="M830" s="549"/>
      <c r="N830" s="551"/>
      <c r="O830" s="549"/>
      <c r="P830" s="549"/>
      <c r="Q830" s="549"/>
      <c r="R830" s="549"/>
      <c r="S830" s="549"/>
      <c r="T830" s="549"/>
      <c r="U830" s="549"/>
      <c r="V830" s="549"/>
      <c r="W830" s="549"/>
      <c r="X830" s="549"/>
      <c r="Y830" s="549"/>
      <c r="Z830" s="549"/>
    </row>
    <row r="831" spans="1:26" ht="15">
      <c r="A831" s="549"/>
      <c r="B831" s="554"/>
      <c r="C831" s="549"/>
      <c r="D831" s="549"/>
      <c r="E831" s="570"/>
      <c r="F831" s="549"/>
      <c r="G831" s="549"/>
      <c r="H831" s="549"/>
      <c r="I831" s="550"/>
      <c r="J831" s="549"/>
      <c r="K831" s="549"/>
      <c r="L831" s="549"/>
      <c r="M831" s="549"/>
      <c r="N831" s="551"/>
      <c r="O831" s="549"/>
      <c r="P831" s="549"/>
      <c r="Q831" s="549"/>
      <c r="R831" s="549"/>
      <c r="S831" s="549"/>
      <c r="T831" s="549"/>
      <c r="U831" s="549"/>
      <c r="V831" s="549"/>
      <c r="W831" s="549"/>
      <c r="X831" s="549"/>
      <c r="Y831" s="549"/>
      <c r="Z831" s="549"/>
    </row>
    <row r="832" spans="1:26" ht="15">
      <c r="A832" s="549"/>
      <c r="B832" s="554"/>
      <c r="C832" s="549"/>
      <c r="D832" s="549"/>
      <c r="E832" s="570"/>
      <c r="F832" s="549"/>
      <c r="G832" s="549"/>
      <c r="H832" s="549"/>
      <c r="I832" s="550"/>
      <c r="J832" s="549"/>
      <c r="K832" s="549"/>
      <c r="L832" s="549"/>
      <c r="M832" s="549"/>
      <c r="N832" s="551"/>
      <c r="O832" s="549"/>
      <c r="P832" s="549"/>
      <c r="Q832" s="549"/>
      <c r="R832" s="549"/>
      <c r="S832" s="549"/>
      <c r="T832" s="549"/>
      <c r="U832" s="549"/>
      <c r="V832" s="549"/>
      <c r="W832" s="549"/>
      <c r="X832" s="549"/>
      <c r="Y832" s="549"/>
      <c r="Z832" s="549"/>
    </row>
    <row r="833" spans="1:26" ht="15">
      <c r="A833" s="549"/>
      <c r="B833" s="554"/>
      <c r="C833" s="549"/>
      <c r="D833" s="549"/>
      <c r="E833" s="570"/>
      <c r="F833" s="549"/>
      <c r="G833" s="549"/>
      <c r="H833" s="549"/>
      <c r="I833" s="550"/>
      <c r="J833" s="549"/>
      <c r="K833" s="549"/>
      <c r="L833" s="549"/>
      <c r="M833" s="549"/>
      <c r="N833" s="551"/>
      <c r="O833" s="549"/>
      <c r="P833" s="549"/>
      <c r="Q833" s="549"/>
      <c r="R833" s="549"/>
      <c r="S833" s="549"/>
      <c r="T833" s="549"/>
      <c r="U833" s="549"/>
      <c r="V833" s="549"/>
      <c r="W833" s="549"/>
      <c r="X833" s="549"/>
      <c r="Y833" s="549"/>
      <c r="Z833" s="549"/>
    </row>
    <row r="834" spans="1:26" ht="15">
      <c r="A834" s="549"/>
      <c r="B834" s="554"/>
      <c r="C834" s="549"/>
      <c r="D834" s="549"/>
      <c r="E834" s="570"/>
      <c r="F834" s="549"/>
      <c r="G834" s="549"/>
      <c r="H834" s="549"/>
      <c r="I834" s="550"/>
      <c r="J834" s="549"/>
      <c r="K834" s="549"/>
      <c r="L834" s="549"/>
      <c r="M834" s="549"/>
      <c r="N834" s="551"/>
      <c r="O834" s="549"/>
      <c r="P834" s="549"/>
      <c r="Q834" s="549"/>
      <c r="R834" s="549"/>
      <c r="S834" s="549"/>
      <c r="T834" s="549"/>
      <c r="U834" s="549"/>
      <c r="V834" s="549"/>
      <c r="W834" s="549"/>
      <c r="X834" s="549"/>
      <c r="Y834" s="549"/>
      <c r="Z834" s="549"/>
    </row>
    <row r="835" spans="1:26" ht="15">
      <c r="A835" s="549"/>
      <c r="B835" s="554"/>
      <c r="C835" s="549"/>
      <c r="D835" s="549"/>
      <c r="E835" s="570"/>
      <c r="F835" s="549"/>
      <c r="G835" s="549"/>
      <c r="H835" s="549"/>
      <c r="I835" s="550"/>
      <c r="J835" s="549"/>
      <c r="K835" s="549"/>
      <c r="L835" s="549"/>
      <c r="M835" s="549"/>
      <c r="N835" s="551"/>
      <c r="O835" s="549"/>
      <c r="P835" s="549"/>
      <c r="Q835" s="549"/>
      <c r="R835" s="549"/>
      <c r="S835" s="549"/>
      <c r="T835" s="549"/>
      <c r="U835" s="549"/>
      <c r="V835" s="549"/>
      <c r="W835" s="549"/>
      <c r="X835" s="549"/>
      <c r="Y835" s="549"/>
      <c r="Z835" s="549"/>
    </row>
    <row r="836" spans="1:26" ht="15">
      <c r="A836" s="549"/>
      <c r="B836" s="554"/>
      <c r="C836" s="549"/>
      <c r="D836" s="549"/>
      <c r="E836" s="570"/>
      <c r="F836" s="549"/>
      <c r="G836" s="549"/>
      <c r="H836" s="549"/>
      <c r="I836" s="550"/>
      <c r="J836" s="549"/>
      <c r="K836" s="549"/>
      <c r="L836" s="549"/>
      <c r="M836" s="549"/>
      <c r="N836" s="551"/>
      <c r="O836" s="549"/>
      <c r="P836" s="549"/>
      <c r="Q836" s="549"/>
      <c r="R836" s="549"/>
      <c r="S836" s="549"/>
      <c r="T836" s="549"/>
      <c r="U836" s="549"/>
      <c r="V836" s="549"/>
      <c r="W836" s="549"/>
      <c r="X836" s="549"/>
      <c r="Y836" s="549"/>
      <c r="Z836" s="549"/>
    </row>
    <row r="837" spans="1:26" ht="15">
      <c r="A837" s="549"/>
      <c r="B837" s="554"/>
      <c r="C837" s="549"/>
      <c r="D837" s="549"/>
      <c r="E837" s="570"/>
      <c r="F837" s="549"/>
      <c r="G837" s="549"/>
      <c r="H837" s="549"/>
      <c r="I837" s="550"/>
      <c r="J837" s="549"/>
      <c r="K837" s="549"/>
      <c r="L837" s="549"/>
      <c r="M837" s="549"/>
      <c r="N837" s="551"/>
      <c r="O837" s="549"/>
      <c r="P837" s="549"/>
      <c r="Q837" s="549"/>
      <c r="R837" s="549"/>
      <c r="S837" s="549"/>
      <c r="T837" s="549"/>
      <c r="U837" s="549"/>
      <c r="V837" s="549"/>
      <c r="W837" s="549"/>
      <c r="X837" s="549"/>
      <c r="Y837" s="549"/>
      <c r="Z837" s="549"/>
    </row>
    <row r="838" spans="1:26" ht="15">
      <c r="A838" s="549"/>
      <c r="B838" s="554"/>
      <c r="C838" s="549"/>
      <c r="D838" s="549"/>
      <c r="E838" s="570"/>
      <c r="F838" s="549"/>
      <c r="G838" s="549"/>
      <c r="H838" s="549"/>
      <c r="I838" s="550"/>
      <c r="J838" s="549"/>
      <c r="K838" s="549"/>
      <c r="L838" s="549"/>
      <c r="M838" s="549"/>
      <c r="N838" s="551"/>
      <c r="O838" s="549"/>
      <c r="P838" s="549"/>
      <c r="Q838" s="549"/>
      <c r="R838" s="549"/>
      <c r="S838" s="549"/>
      <c r="T838" s="549"/>
      <c r="U838" s="549"/>
      <c r="V838" s="549"/>
      <c r="W838" s="549"/>
      <c r="X838" s="549"/>
      <c r="Y838" s="549"/>
      <c r="Z838" s="549"/>
    </row>
    <row r="839" spans="1:26" ht="15">
      <c r="A839" s="549"/>
      <c r="B839" s="554"/>
      <c r="C839" s="549"/>
      <c r="D839" s="549"/>
      <c r="E839" s="570"/>
      <c r="F839" s="549"/>
      <c r="G839" s="549"/>
      <c r="H839" s="549"/>
      <c r="I839" s="550"/>
      <c r="J839" s="549"/>
      <c r="K839" s="549"/>
      <c r="L839" s="549"/>
      <c r="M839" s="549"/>
      <c r="N839" s="551"/>
      <c r="O839" s="549"/>
      <c r="P839" s="549"/>
      <c r="Q839" s="549"/>
      <c r="R839" s="549"/>
      <c r="S839" s="549"/>
      <c r="T839" s="549"/>
      <c r="U839" s="549"/>
      <c r="V839" s="549"/>
      <c r="W839" s="549"/>
      <c r="X839" s="549"/>
      <c r="Y839" s="549"/>
      <c r="Z839" s="549"/>
    </row>
    <row r="840" spans="1:26" ht="15">
      <c r="A840" s="549"/>
      <c r="B840" s="554"/>
      <c r="C840" s="549"/>
      <c r="D840" s="549"/>
      <c r="E840" s="570"/>
      <c r="F840" s="549"/>
      <c r="G840" s="549"/>
      <c r="H840" s="549"/>
      <c r="I840" s="550"/>
      <c r="J840" s="549"/>
      <c r="K840" s="549"/>
      <c r="L840" s="549"/>
      <c r="M840" s="549"/>
      <c r="N840" s="551"/>
      <c r="O840" s="549"/>
      <c r="P840" s="549"/>
      <c r="Q840" s="549"/>
      <c r="R840" s="549"/>
      <c r="S840" s="549"/>
      <c r="T840" s="549"/>
      <c r="U840" s="549"/>
      <c r="V840" s="549"/>
      <c r="W840" s="549"/>
      <c r="X840" s="549"/>
      <c r="Y840" s="549"/>
      <c r="Z840" s="549"/>
    </row>
    <row r="841" spans="1:26" ht="15">
      <c r="A841" s="549"/>
      <c r="B841" s="554"/>
      <c r="C841" s="549"/>
      <c r="D841" s="549"/>
      <c r="E841" s="570"/>
      <c r="F841" s="549"/>
      <c r="G841" s="549"/>
      <c r="H841" s="549"/>
      <c r="I841" s="550"/>
      <c r="J841" s="549"/>
      <c r="K841" s="549"/>
      <c r="L841" s="549"/>
      <c r="M841" s="549"/>
      <c r="N841" s="551"/>
      <c r="O841" s="549"/>
      <c r="P841" s="549"/>
      <c r="Q841" s="549"/>
      <c r="R841" s="549"/>
      <c r="S841" s="549"/>
      <c r="T841" s="549"/>
      <c r="U841" s="549"/>
      <c r="V841" s="549"/>
      <c r="W841" s="549"/>
      <c r="X841" s="549"/>
      <c r="Y841" s="549"/>
      <c r="Z841" s="549"/>
    </row>
    <row r="842" spans="1:26" ht="15">
      <c r="A842" s="549"/>
      <c r="B842" s="554"/>
      <c r="C842" s="549"/>
      <c r="D842" s="549"/>
      <c r="E842" s="570"/>
      <c r="F842" s="549"/>
      <c r="G842" s="549"/>
      <c r="H842" s="549"/>
      <c r="I842" s="550"/>
      <c r="J842" s="549"/>
      <c r="K842" s="549"/>
      <c r="L842" s="549"/>
      <c r="M842" s="549"/>
      <c r="N842" s="551"/>
      <c r="O842" s="549"/>
      <c r="P842" s="549"/>
      <c r="Q842" s="549"/>
      <c r="R842" s="549"/>
      <c r="S842" s="549"/>
      <c r="T842" s="549"/>
      <c r="U842" s="549"/>
      <c r="V842" s="549"/>
      <c r="W842" s="549"/>
      <c r="X842" s="549"/>
      <c r="Y842" s="549"/>
      <c r="Z842" s="549"/>
    </row>
    <row r="843" spans="1:26" ht="15">
      <c r="A843" s="549"/>
      <c r="B843" s="554"/>
      <c r="C843" s="549"/>
      <c r="D843" s="549"/>
      <c r="E843" s="570"/>
      <c r="F843" s="549"/>
      <c r="G843" s="549"/>
      <c r="H843" s="549"/>
      <c r="I843" s="550"/>
      <c r="J843" s="549"/>
      <c r="K843" s="549"/>
      <c r="L843" s="549"/>
      <c r="M843" s="549"/>
      <c r="N843" s="551"/>
      <c r="O843" s="549"/>
      <c r="P843" s="549"/>
      <c r="Q843" s="549"/>
      <c r="R843" s="549"/>
      <c r="S843" s="549"/>
      <c r="T843" s="549"/>
      <c r="U843" s="549"/>
      <c r="V843" s="549"/>
      <c r="W843" s="549"/>
      <c r="X843" s="549"/>
      <c r="Y843" s="549"/>
      <c r="Z843" s="549"/>
    </row>
    <row r="844" spans="1:26" ht="15">
      <c r="A844" s="549"/>
      <c r="B844" s="554"/>
      <c r="C844" s="549"/>
      <c r="D844" s="549"/>
      <c r="E844" s="570"/>
      <c r="F844" s="549"/>
      <c r="G844" s="549"/>
      <c r="H844" s="549"/>
      <c r="I844" s="550"/>
      <c r="J844" s="549"/>
      <c r="K844" s="549"/>
      <c r="L844" s="549"/>
      <c r="M844" s="549"/>
      <c r="N844" s="551"/>
      <c r="O844" s="549"/>
      <c r="P844" s="549"/>
      <c r="Q844" s="549"/>
      <c r="R844" s="549"/>
      <c r="S844" s="549"/>
      <c r="T844" s="549"/>
      <c r="U844" s="549"/>
      <c r="V844" s="549"/>
      <c r="W844" s="549"/>
      <c r="X844" s="549"/>
      <c r="Y844" s="549"/>
      <c r="Z844" s="549"/>
    </row>
    <row r="845" spans="1:26" ht="15">
      <c r="A845" s="549"/>
      <c r="B845" s="554"/>
      <c r="C845" s="549"/>
      <c r="D845" s="549"/>
      <c r="E845" s="570"/>
      <c r="F845" s="549"/>
      <c r="G845" s="549"/>
      <c r="H845" s="549"/>
      <c r="I845" s="550"/>
      <c r="J845" s="549"/>
      <c r="K845" s="549"/>
      <c r="L845" s="549"/>
      <c r="M845" s="549"/>
      <c r="N845" s="551"/>
      <c r="O845" s="549"/>
      <c r="P845" s="549"/>
      <c r="Q845" s="549"/>
      <c r="R845" s="549"/>
      <c r="S845" s="549"/>
      <c r="T845" s="549"/>
      <c r="U845" s="549"/>
      <c r="V845" s="549"/>
      <c r="W845" s="549"/>
      <c r="X845" s="549"/>
      <c r="Y845" s="549"/>
      <c r="Z845" s="549"/>
    </row>
    <row r="846" spans="1:26" ht="15">
      <c r="A846" s="549"/>
      <c r="B846" s="554"/>
      <c r="C846" s="549"/>
      <c r="D846" s="549"/>
      <c r="E846" s="570"/>
      <c r="F846" s="549"/>
      <c r="G846" s="549"/>
      <c r="H846" s="549"/>
      <c r="I846" s="550"/>
      <c r="J846" s="549"/>
      <c r="K846" s="549"/>
      <c r="L846" s="549"/>
      <c r="M846" s="549"/>
      <c r="N846" s="551"/>
      <c r="O846" s="549"/>
      <c r="P846" s="549"/>
      <c r="Q846" s="549"/>
      <c r="R846" s="549"/>
      <c r="S846" s="549"/>
      <c r="T846" s="549"/>
      <c r="U846" s="549"/>
      <c r="V846" s="549"/>
      <c r="W846" s="549"/>
      <c r="X846" s="549"/>
      <c r="Y846" s="549"/>
      <c r="Z846" s="549"/>
    </row>
    <row r="847" spans="1:26" ht="15">
      <c r="A847" s="549"/>
      <c r="B847" s="554"/>
      <c r="C847" s="549"/>
      <c r="D847" s="549"/>
      <c r="E847" s="570"/>
      <c r="F847" s="549"/>
      <c r="G847" s="549"/>
      <c r="H847" s="549"/>
      <c r="I847" s="550"/>
      <c r="J847" s="549"/>
      <c r="K847" s="549"/>
      <c r="L847" s="549"/>
      <c r="M847" s="549"/>
      <c r="N847" s="551"/>
      <c r="O847" s="549"/>
      <c r="P847" s="549"/>
      <c r="Q847" s="549"/>
      <c r="R847" s="549"/>
      <c r="S847" s="549"/>
      <c r="T847" s="549"/>
      <c r="U847" s="549"/>
      <c r="V847" s="549"/>
      <c r="W847" s="549"/>
      <c r="X847" s="549"/>
      <c r="Y847" s="549"/>
      <c r="Z847" s="549"/>
    </row>
    <row r="848" spans="1:26" ht="15">
      <c r="A848" s="549"/>
      <c r="B848" s="554"/>
      <c r="C848" s="549"/>
      <c r="D848" s="549"/>
      <c r="E848" s="570"/>
      <c r="F848" s="549"/>
      <c r="G848" s="549"/>
      <c r="H848" s="549"/>
      <c r="I848" s="550"/>
      <c r="J848" s="549"/>
      <c r="K848" s="549"/>
      <c r="L848" s="549"/>
      <c r="M848" s="549"/>
      <c r="N848" s="551"/>
      <c r="O848" s="549"/>
      <c r="P848" s="549"/>
      <c r="Q848" s="549"/>
      <c r="R848" s="549"/>
      <c r="S848" s="549"/>
      <c r="T848" s="549"/>
      <c r="U848" s="549"/>
      <c r="V848" s="549"/>
      <c r="W848" s="549"/>
      <c r="X848" s="549"/>
      <c r="Y848" s="549"/>
      <c r="Z848" s="549"/>
    </row>
    <row r="849" spans="1:26" ht="15">
      <c r="A849" s="549"/>
      <c r="B849" s="554"/>
      <c r="C849" s="549"/>
      <c r="D849" s="549"/>
      <c r="E849" s="570"/>
      <c r="F849" s="549"/>
      <c r="G849" s="549"/>
      <c r="H849" s="549"/>
      <c r="I849" s="550"/>
      <c r="J849" s="549"/>
      <c r="K849" s="549"/>
      <c r="L849" s="549"/>
      <c r="M849" s="549"/>
      <c r="N849" s="551"/>
      <c r="O849" s="549"/>
      <c r="P849" s="549"/>
      <c r="Q849" s="549"/>
      <c r="R849" s="549"/>
      <c r="S849" s="549"/>
      <c r="T849" s="549"/>
      <c r="U849" s="549"/>
      <c r="V849" s="549"/>
      <c r="W849" s="549"/>
      <c r="X849" s="549"/>
      <c r="Y849" s="549"/>
      <c r="Z849" s="549"/>
    </row>
    <row r="850" spans="1:26" ht="15">
      <c r="A850" s="549"/>
      <c r="B850" s="554"/>
      <c r="C850" s="549"/>
      <c r="D850" s="549"/>
      <c r="E850" s="570"/>
      <c r="F850" s="549"/>
      <c r="G850" s="549"/>
      <c r="H850" s="549"/>
      <c r="I850" s="550"/>
      <c r="J850" s="549"/>
      <c r="K850" s="549"/>
      <c r="L850" s="549"/>
      <c r="M850" s="549"/>
      <c r="N850" s="551"/>
      <c r="O850" s="549"/>
      <c r="P850" s="549"/>
      <c r="Q850" s="549"/>
      <c r="R850" s="549"/>
      <c r="S850" s="549"/>
      <c r="T850" s="549"/>
      <c r="U850" s="549"/>
      <c r="V850" s="549"/>
      <c r="W850" s="549"/>
      <c r="X850" s="549"/>
      <c r="Y850" s="549"/>
      <c r="Z850" s="549"/>
    </row>
    <row r="851" spans="1:26" ht="15">
      <c r="A851" s="549"/>
      <c r="B851" s="554"/>
      <c r="C851" s="549"/>
      <c r="D851" s="549"/>
      <c r="E851" s="570"/>
      <c r="F851" s="549"/>
      <c r="G851" s="549"/>
      <c r="H851" s="549"/>
      <c r="I851" s="550"/>
      <c r="J851" s="549"/>
      <c r="K851" s="549"/>
      <c r="L851" s="549"/>
      <c r="M851" s="549"/>
      <c r="N851" s="551"/>
      <c r="O851" s="549"/>
      <c r="P851" s="549"/>
      <c r="Q851" s="549"/>
      <c r="R851" s="549"/>
      <c r="S851" s="549"/>
      <c r="T851" s="549"/>
      <c r="U851" s="549"/>
      <c r="V851" s="549"/>
      <c r="W851" s="549"/>
      <c r="X851" s="549"/>
      <c r="Y851" s="549"/>
      <c r="Z851" s="549"/>
    </row>
    <row r="852" spans="1:26" ht="15">
      <c r="A852" s="549"/>
      <c r="B852" s="554"/>
      <c r="C852" s="549"/>
      <c r="D852" s="549"/>
      <c r="E852" s="570"/>
      <c r="F852" s="549"/>
      <c r="G852" s="549"/>
      <c r="H852" s="549"/>
      <c r="I852" s="550"/>
      <c r="J852" s="549"/>
      <c r="K852" s="549"/>
      <c r="L852" s="549"/>
      <c r="M852" s="549"/>
      <c r="N852" s="551"/>
      <c r="O852" s="549"/>
      <c r="P852" s="549"/>
      <c r="Q852" s="549"/>
      <c r="R852" s="549"/>
      <c r="S852" s="549"/>
      <c r="T852" s="549"/>
      <c r="U852" s="549"/>
      <c r="V852" s="549"/>
      <c r="W852" s="549"/>
      <c r="X852" s="549"/>
      <c r="Y852" s="549"/>
      <c r="Z852" s="549"/>
    </row>
    <row r="853" spans="1:26" ht="15">
      <c r="A853" s="549"/>
      <c r="B853" s="554"/>
      <c r="C853" s="549"/>
      <c r="D853" s="549"/>
      <c r="E853" s="570"/>
      <c r="F853" s="549"/>
      <c r="G853" s="549"/>
      <c r="H853" s="549"/>
      <c r="I853" s="550"/>
      <c r="J853" s="549"/>
      <c r="K853" s="549"/>
      <c r="L853" s="549"/>
      <c r="M853" s="549"/>
      <c r="N853" s="551"/>
      <c r="O853" s="549"/>
      <c r="P853" s="549"/>
      <c r="Q853" s="549"/>
      <c r="R853" s="549"/>
      <c r="S853" s="549"/>
      <c r="T853" s="549"/>
      <c r="U853" s="549"/>
      <c r="V853" s="549"/>
      <c r="W853" s="549"/>
      <c r="X853" s="549"/>
      <c r="Y853" s="549"/>
      <c r="Z853" s="549"/>
    </row>
    <row r="854" spans="1:26" ht="15">
      <c r="A854" s="549"/>
      <c r="B854" s="554"/>
      <c r="C854" s="549"/>
      <c r="D854" s="549"/>
      <c r="E854" s="570"/>
      <c r="F854" s="549"/>
      <c r="G854" s="549"/>
      <c r="H854" s="549"/>
      <c r="I854" s="550"/>
      <c r="J854" s="549"/>
      <c r="K854" s="549"/>
      <c r="L854" s="549"/>
      <c r="M854" s="549"/>
      <c r="N854" s="551"/>
      <c r="O854" s="549"/>
      <c r="P854" s="549"/>
      <c r="Q854" s="549"/>
      <c r="R854" s="549"/>
      <c r="S854" s="549"/>
      <c r="T854" s="549"/>
      <c r="U854" s="549"/>
      <c r="V854" s="549"/>
      <c r="W854" s="549"/>
      <c r="X854" s="549"/>
      <c r="Y854" s="549"/>
      <c r="Z854" s="549"/>
    </row>
    <row r="855" spans="1:26" ht="15">
      <c r="A855" s="549"/>
      <c r="B855" s="554"/>
      <c r="C855" s="549"/>
      <c r="D855" s="549"/>
      <c r="E855" s="570"/>
      <c r="F855" s="549"/>
      <c r="G855" s="549"/>
      <c r="H855" s="549"/>
      <c r="I855" s="550"/>
      <c r="J855" s="549"/>
      <c r="K855" s="549"/>
      <c r="L855" s="549"/>
      <c r="M855" s="549"/>
      <c r="N855" s="551"/>
      <c r="O855" s="549"/>
      <c r="P855" s="549"/>
      <c r="Q855" s="549"/>
      <c r="R855" s="549"/>
      <c r="S855" s="549"/>
      <c r="T855" s="549"/>
      <c r="U855" s="549"/>
      <c r="V855" s="549"/>
      <c r="W855" s="549"/>
      <c r="X855" s="549"/>
      <c r="Y855" s="549"/>
      <c r="Z855" s="549"/>
    </row>
    <row r="856" spans="1:26" ht="15">
      <c r="A856" s="549"/>
      <c r="B856" s="554"/>
      <c r="C856" s="549"/>
      <c r="D856" s="549"/>
      <c r="E856" s="570"/>
      <c r="F856" s="549"/>
      <c r="G856" s="549"/>
      <c r="H856" s="549"/>
      <c r="I856" s="550"/>
      <c r="J856" s="549"/>
      <c r="K856" s="549"/>
      <c r="L856" s="549"/>
      <c r="M856" s="549"/>
      <c r="N856" s="551"/>
      <c r="O856" s="549"/>
      <c r="P856" s="549"/>
      <c r="Q856" s="549"/>
      <c r="R856" s="549"/>
      <c r="S856" s="549"/>
      <c r="T856" s="549"/>
      <c r="U856" s="549"/>
      <c r="V856" s="549"/>
      <c r="W856" s="549"/>
      <c r="X856" s="549"/>
      <c r="Y856" s="549"/>
      <c r="Z856" s="549"/>
    </row>
    <row r="857" spans="1:26" ht="15">
      <c r="A857" s="549"/>
      <c r="B857" s="554"/>
      <c r="C857" s="549"/>
      <c r="D857" s="549"/>
      <c r="E857" s="570"/>
      <c r="F857" s="549"/>
      <c r="G857" s="549"/>
      <c r="H857" s="549"/>
      <c r="I857" s="550"/>
      <c r="J857" s="549"/>
      <c r="K857" s="549"/>
      <c r="L857" s="549"/>
      <c r="M857" s="549"/>
      <c r="N857" s="551"/>
      <c r="O857" s="549"/>
      <c r="P857" s="549"/>
      <c r="Q857" s="549"/>
      <c r="R857" s="549"/>
      <c r="S857" s="549"/>
      <c r="T857" s="549"/>
      <c r="U857" s="549"/>
      <c r="V857" s="549"/>
      <c r="W857" s="549"/>
      <c r="X857" s="549"/>
      <c r="Y857" s="549"/>
      <c r="Z857" s="549"/>
    </row>
    <row r="858" spans="1:26" ht="15">
      <c r="A858" s="549"/>
      <c r="B858" s="554"/>
      <c r="C858" s="549"/>
      <c r="D858" s="549"/>
      <c r="E858" s="570"/>
      <c r="F858" s="549"/>
      <c r="G858" s="549"/>
      <c r="H858" s="549"/>
      <c r="I858" s="550"/>
      <c r="J858" s="549"/>
      <c r="K858" s="549"/>
      <c r="L858" s="549"/>
      <c r="M858" s="549"/>
      <c r="N858" s="551"/>
      <c r="O858" s="549"/>
      <c r="P858" s="549"/>
      <c r="Q858" s="549"/>
      <c r="R858" s="549"/>
      <c r="S858" s="549"/>
      <c r="T858" s="549"/>
      <c r="U858" s="549"/>
      <c r="V858" s="549"/>
      <c r="W858" s="549"/>
      <c r="X858" s="549"/>
      <c r="Y858" s="549"/>
      <c r="Z858" s="549"/>
    </row>
    <row r="859" spans="1:26" ht="15">
      <c r="A859" s="549"/>
      <c r="B859" s="554"/>
      <c r="C859" s="549"/>
      <c r="D859" s="549"/>
      <c r="E859" s="570"/>
      <c r="F859" s="549"/>
      <c r="G859" s="549"/>
      <c r="H859" s="549"/>
      <c r="I859" s="550"/>
      <c r="J859" s="549"/>
      <c r="K859" s="549"/>
      <c r="L859" s="549"/>
      <c r="M859" s="549"/>
      <c r="N859" s="551"/>
      <c r="O859" s="549"/>
      <c r="P859" s="549"/>
      <c r="Q859" s="549"/>
      <c r="R859" s="549"/>
      <c r="S859" s="549"/>
      <c r="T859" s="549"/>
      <c r="U859" s="549"/>
      <c r="V859" s="549"/>
      <c r="W859" s="549"/>
      <c r="X859" s="549"/>
      <c r="Y859" s="549"/>
      <c r="Z859" s="549"/>
    </row>
    <row r="860" spans="1:26" ht="15">
      <c r="A860" s="549"/>
      <c r="B860" s="554"/>
      <c r="C860" s="549"/>
      <c r="D860" s="549"/>
      <c r="E860" s="570"/>
      <c r="F860" s="549"/>
      <c r="G860" s="549"/>
      <c r="H860" s="549"/>
      <c r="I860" s="550"/>
      <c r="J860" s="549"/>
      <c r="K860" s="549"/>
      <c r="L860" s="549"/>
      <c r="M860" s="549"/>
      <c r="N860" s="551"/>
      <c r="O860" s="549"/>
      <c r="P860" s="549"/>
      <c r="Q860" s="549"/>
      <c r="R860" s="549"/>
      <c r="S860" s="549"/>
      <c r="T860" s="549"/>
      <c r="U860" s="549"/>
      <c r="V860" s="549"/>
      <c r="W860" s="549"/>
      <c r="X860" s="549"/>
      <c r="Y860" s="549"/>
      <c r="Z860" s="549"/>
    </row>
    <row r="861" spans="1:26" ht="15">
      <c r="A861" s="549"/>
      <c r="B861" s="554"/>
      <c r="C861" s="549"/>
      <c r="D861" s="549"/>
      <c r="E861" s="570"/>
      <c r="F861" s="549"/>
      <c r="G861" s="549"/>
      <c r="H861" s="549"/>
      <c r="I861" s="550"/>
      <c r="J861" s="549"/>
      <c r="K861" s="549"/>
      <c r="L861" s="549"/>
      <c r="M861" s="549"/>
      <c r="N861" s="551"/>
      <c r="O861" s="549"/>
      <c r="P861" s="549"/>
      <c r="Q861" s="549"/>
      <c r="R861" s="549"/>
      <c r="S861" s="549"/>
      <c r="T861" s="549"/>
      <c r="U861" s="549"/>
      <c r="V861" s="549"/>
      <c r="W861" s="549"/>
      <c r="X861" s="549"/>
      <c r="Y861" s="549"/>
      <c r="Z861" s="549"/>
    </row>
    <row r="862" spans="1:26" ht="15">
      <c r="A862" s="549"/>
      <c r="B862" s="554"/>
      <c r="C862" s="549"/>
      <c r="D862" s="549"/>
      <c r="E862" s="570"/>
      <c r="F862" s="549"/>
      <c r="G862" s="549"/>
      <c r="H862" s="549"/>
      <c r="I862" s="550"/>
      <c r="J862" s="549"/>
      <c r="K862" s="549"/>
      <c r="L862" s="549"/>
      <c r="M862" s="549"/>
      <c r="N862" s="551"/>
      <c r="O862" s="549"/>
      <c r="P862" s="549"/>
      <c r="Q862" s="549"/>
      <c r="R862" s="549"/>
      <c r="S862" s="549"/>
      <c r="T862" s="549"/>
      <c r="U862" s="549"/>
      <c r="V862" s="549"/>
      <c r="W862" s="549"/>
      <c r="X862" s="549"/>
      <c r="Y862" s="549"/>
      <c r="Z862" s="549"/>
    </row>
    <row r="863" spans="1:26" ht="15">
      <c r="A863" s="549"/>
      <c r="B863" s="554"/>
      <c r="C863" s="549"/>
      <c r="D863" s="549"/>
      <c r="E863" s="570"/>
      <c r="F863" s="549"/>
      <c r="G863" s="549"/>
      <c r="H863" s="549"/>
      <c r="I863" s="550"/>
      <c r="J863" s="549"/>
      <c r="K863" s="549"/>
      <c r="L863" s="549"/>
      <c r="M863" s="549"/>
      <c r="N863" s="551"/>
      <c r="O863" s="549"/>
      <c r="P863" s="549"/>
      <c r="Q863" s="549"/>
      <c r="R863" s="549"/>
      <c r="S863" s="549"/>
      <c r="T863" s="549"/>
      <c r="U863" s="549"/>
      <c r="V863" s="549"/>
      <c r="W863" s="549"/>
      <c r="X863" s="549"/>
      <c r="Y863" s="549"/>
      <c r="Z863" s="549"/>
    </row>
    <row r="864" spans="1:26" ht="15">
      <c r="A864" s="549"/>
      <c r="B864" s="554"/>
      <c r="C864" s="549"/>
      <c r="D864" s="549"/>
      <c r="E864" s="570"/>
      <c r="F864" s="549"/>
      <c r="G864" s="549"/>
      <c r="H864" s="549"/>
      <c r="I864" s="550"/>
      <c r="J864" s="549"/>
      <c r="K864" s="549"/>
      <c r="L864" s="549"/>
      <c r="M864" s="549"/>
      <c r="N864" s="551"/>
      <c r="O864" s="549"/>
      <c r="P864" s="549"/>
      <c r="Q864" s="549"/>
      <c r="R864" s="549"/>
      <c r="S864" s="549"/>
      <c r="T864" s="549"/>
      <c r="U864" s="549"/>
      <c r="V864" s="549"/>
      <c r="W864" s="549"/>
      <c r="X864" s="549"/>
      <c r="Y864" s="549"/>
      <c r="Z864" s="549"/>
    </row>
    <row r="865" spans="1:26" ht="15">
      <c r="A865" s="549"/>
      <c r="B865" s="554"/>
      <c r="C865" s="549"/>
      <c r="D865" s="549"/>
      <c r="E865" s="570"/>
      <c r="F865" s="549"/>
      <c r="G865" s="549"/>
      <c r="H865" s="549"/>
      <c r="I865" s="550"/>
      <c r="J865" s="549"/>
      <c r="K865" s="549"/>
      <c r="L865" s="549"/>
      <c r="M865" s="549"/>
      <c r="N865" s="551"/>
      <c r="O865" s="549"/>
      <c r="P865" s="549"/>
      <c r="Q865" s="549"/>
      <c r="R865" s="549"/>
      <c r="S865" s="549"/>
      <c r="T865" s="549"/>
      <c r="U865" s="549"/>
      <c r="V865" s="549"/>
      <c r="W865" s="549"/>
      <c r="X865" s="549"/>
      <c r="Y865" s="549"/>
      <c r="Z865" s="549"/>
    </row>
    <row r="866" spans="1:26" ht="15">
      <c r="A866" s="549"/>
      <c r="B866" s="554"/>
      <c r="C866" s="549"/>
      <c r="D866" s="549"/>
      <c r="E866" s="570"/>
      <c r="F866" s="549"/>
      <c r="G866" s="549"/>
      <c r="H866" s="549"/>
      <c r="I866" s="550"/>
      <c r="J866" s="549"/>
      <c r="K866" s="549"/>
      <c r="L866" s="549"/>
      <c r="M866" s="549"/>
      <c r="N866" s="551"/>
      <c r="O866" s="549"/>
      <c r="P866" s="549"/>
      <c r="Q866" s="549"/>
      <c r="R866" s="549"/>
      <c r="S866" s="549"/>
      <c r="T866" s="549"/>
      <c r="U866" s="549"/>
      <c r="V866" s="549"/>
      <c r="W866" s="549"/>
      <c r="X866" s="549"/>
      <c r="Y866" s="549"/>
      <c r="Z866" s="549"/>
    </row>
    <row r="867" spans="1:26" ht="15">
      <c r="A867" s="549"/>
      <c r="B867" s="554"/>
      <c r="C867" s="549"/>
      <c r="D867" s="549"/>
      <c r="E867" s="570"/>
      <c r="F867" s="549"/>
      <c r="G867" s="549"/>
      <c r="H867" s="549"/>
      <c r="I867" s="550"/>
      <c r="J867" s="549"/>
      <c r="K867" s="549"/>
      <c r="L867" s="549"/>
      <c r="M867" s="549"/>
      <c r="N867" s="551"/>
      <c r="O867" s="549"/>
      <c r="P867" s="549"/>
      <c r="Q867" s="549"/>
      <c r="R867" s="549"/>
      <c r="S867" s="549"/>
      <c r="T867" s="549"/>
      <c r="U867" s="549"/>
      <c r="V867" s="549"/>
      <c r="W867" s="549"/>
      <c r="X867" s="549"/>
      <c r="Y867" s="549"/>
      <c r="Z867" s="549"/>
    </row>
    <row r="868" spans="1:26" ht="15">
      <c r="A868" s="549"/>
      <c r="B868" s="554"/>
      <c r="C868" s="549"/>
      <c r="D868" s="549"/>
      <c r="E868" s="570"/>
      <c r="F868" s="549"/>
      <c r="G868" s="549"/>
      <c r="H868" s="549"/>
      <c r="I868" s="550"/>
      <c r="J868" s="549"/>
      <c r="K868" s="549"/>
      <c r="L868" s="549"/>
      <c r="M868" s="549"/>
      <c r="N868" s="551"/>
      <c r="O868" s="549"/>
      <c r="P868" s="549"/>
      <c r="Q868" s="549"/>
      <c r="R868" s="549"/>
      <c r="S868" s="549"/>
      <c r="T868" s="549"/>
      <c r="U868" s="549"/>
      <c r="V868" s="549"/>
      <c r="W868" s="549"/>
      <c r="X868" s="549"/>
      <c r="Y868" s="549"/>
      <c r="Z868" s="549"/>
    </row>
    <row r="869" spans="1:26" ht="15">
      <c r="A869" s="549"/>
      <c r="B869" s="554"/>
      <c r="C869" s="549"/>
      <c r="D869" s="549"/>
      <c r="E869" s="570"/>
      <c r="F869" s="549"/>
      <c r="G869" s="549"/>
      <c r="H869" s="549"/>
      <c r="I869" s="550"/>
      <c r="J869" s="549"/>
      <c r="K869" s="549"/>
      <c r="L869" s="549"/>
      <c r="M869" s="549"/>
      <c r="N869" s="551"/>
      <c r="O869" s="549"/>
      <c r="P869" s="549"/>
      <c r="Q869" s="549"/>
      <c r="R869" s="549"/>
      <c r="S869" s="549"/>
      <c r="T869" s="549"/>
      <c r="U869" s="549"/>
      <c r="V869" s="549"/>
      <c r="W869" s="549"/>
      <c r="X869" s="549"/>
      <c r="Y869" s="549"/>
      <c r="Z869" s="549"/>
    </row>
    <row r="870" spans="1:26" ht="15">
      <c r="A870" s="549"/>
      <c r="B870" s="554"/>
      <c r="C870" s="549"/>
      <c r="D870" s="549"/>
      <c r="E870" s="570"/>
      <c r="F870" s="549"/>
      <c r="G870" s="549"/>
      <c r="H870" s="549"/>
      <c r="I870" s="550"/>
      <c r="J870" s="549"/>
      <c r="K870" s="549"/>
      <c r="L870" s="549"/>
      <c r="M870" s="549"/>
      <c r="N870" s="551"/>
      <c r="O870" s="549"/>
      <c r="P870" s="549"/>
      <c r="Q870" s="549"/>
      <c r="R870" s="549"/>
      <c r="S870" s="549"/>
      <c r="T870" s="549"/>
      <c r="U870" s="549"/>
      <c r="V870" s="549"/>
      <c r="W870" s="549"/>
      <c r="X870" s="549"/>
      <c r="Y870" s="549"/>
      <c r="Z870" s="549"/>
    </row>
    <row r="871" spans="1:26" ht="15">
      <c r="A871" s="549"/>
      <c r="B871" s="554"/>
      <c r="C871" s="549"/>
      <c r="D871" s="549"/>
      <c r="E871" s="570"/>
      <c r="F871" s="549"/>
      <c r="G871" s="549"/>
      <c r="H871" s="549"/>
      <c r="I871" s="550"/>
      <c r="J871" s="549"/>
      <c r="K871" s="549"/>
      <c r="L871" s="549"/>
      <c r="M871" s="549"/>
      <c r="N871" s="551"/>
      <c r="O871" s="549"/>
      <c r="P871" s="549"/>
      <c r="Q871" s="549"/>
      <c r="R871" s="549"/>
      <c r="S871" s="549"/>
      <c r="T871" s="549"/>
      <c r="U871" s="549"/>
      <c r="V871" s="549"/>
      <c r="W871" s="549"/>
      <c r="X871" s="549"/>
      <c r="Y871" s="549"/>
      <c r="Z871" s="549"/>
    </row>
    <row r="872" spans="1:26" ht="15">
      <c r="A872" s="549"/>
      <c r="B872" s="554"/>
      <c r="C872" s="549"/>
      <c r="D872" s="549"/>
      <c r="E872" s="570"/>
      <c r="F872" s="549"/>
      <c r="G872" s="549"/>
      <c r="H872" s="549"/>
      <c r="I872" s="550"/>
      <c r="J872" s="549"/>
      <c r="K872" s="549"/>
      <c r="L872" s="549"/>
      <c r="M872" s="549"/>
      <c r="N872" s="551"/>
      <c r="O872" s="549"/>
      <c r="P872" s="549"/>
      <c r="Q872" s="549"/>
      <c r="R872" s="549"/>
      <c r="S872" s="549"/>
      <c r="T872" s="549"/>
      <c r="U872" s="549"/>
      <c r="V872" s="549"/>
      <c r="W872" s="549"/>
      <c r="X872" s="549"/>
      <c r="Y872" s="549"/>
      <c r="Z872" s="549"/>
    </row>
    <row r="873" spans="1:26" ht="15">
      <c r="A873" s="549"/>
      <c r="B873" s="554"/>
      <c r="C873" s="549"/>
      <c r="D873" s="549"/>
      <c r="E873" s="570"/>
      <c r="F873" s="549"/>
      <c r="G873" s="549"/>
      <c r="H873" s="549"/>
      <c r="I873" s="550"/>
      <c r="J873" s="549"/>
      <c r="K873" s="549"/>
      <c r="L873" s="549"/>
      <c r="M873" s="549"/>
      <c r="N873" s="551"/>
      <c r="O873" s="549"/>
      <c r="P873" s="549"/>
      <c r="Q873" s="549"/>
      <c r="R873" s="549"/>
      <c r="S873" s="549"/>
      <c r="T873" s="549"/>
      <c r="U873" s="549"/>
      <c r="V873" s="549"/>
      <c r="W873" s="549"/>
      <c r="X873" s="549"/>
      <c r="Y873" s="549"/>
      <c r="Z873" s="549"/>
    </row>
    <row r="874" spans="1:26" ht="15">
      <c r="A874" s="549"/>
      <c r="B874" s="554"/>
      <c r="C874" s="549"/>
      <c r="D874" s="549"/>
      <c r="E874" s="570"/>
      <c r="F874" s="549"/>
      <c r="G874" s="549"/>
      <c r="H874" s="549"/>
      <c r="I874" s="550"/>
      <c r="J874" s="549"/>
      <c r="K874" s="549"/>
      <c r="L874" s="549"/>
      <c r="M874" s="549"/>
      <c r="N874" s="551"/>
      <c r="O874" s="549"/>
      <c r="P874" s="549"/>
      <c r="Q874" s="549"/>
      <c r="R874" s="549"/>
      <c r="S874" s="549"/>
      <c r="T874" s="549"/>
      <c r="U874" s="549"/>
      <c r="V874" s="549"/>
      <c r="W874" s="549"/>
      <c r="X874" s="549"/>
      <c r="Y874" s="549"/>
      <c r="Z874" s="549"/>
    </row>
    <row r="875" spans="1:26" ht="15">
      <c r="A875" s="549"/>
      <c r="B875" s="554"/>
      <c r="C875" s="549"/>
      <c r="D875" s="549"/>
      <c r="E875" s="570"/>
      <c r="F875" s="549"/>
      <c r="G875" s="549"/>
      <c r="H875" s="549"/>
      <c r="I875" s="550"/>
      <c r="J875" s="549"/>
      <c r="K875" s="549"/>
      <c r="L875" s="549"/>
      <c r="M875" s="549"/>
      <c r="N875" s="551"/>
      <c r="O875" s="549"/>
      <c r="P875" s="549"/>
      <c r="Q875" s="549"/>
      <c r="R875" s="549"/>
      <c r="S875" s="549"/>
      <c r="T875" s="549"/>
      <c r="U875" s="549"/>
      <c r="V875" s="549"/>
      <c r="W875" s="549"/>
      <c r="X875" s="549"/>
      <c r="Y875" s="549"/>
      <c r="Z875" s="549"/>
    </row>
    <row r="876" spans="1:26" ht="15">
      <c r="A876" s="549"/>
      <c r="B876" s="554"/>
      <c r="C876" s="549"/>
      <c r="D876" s="549"/>
      <c r="E876" s="570"/>
      <c r="F876" s="549"/>
      <c r="G876" s="549"/>
      <c r="H876" s="549"/>
      <c r="I876" s="550"/>
      <c r="J876" s="549"/>
      <c r="K876" s="549"/>
      <c r="L876" s="549"/>
      <c r="M876" s="549"/>
      <c r="N876" s="551"/>
      <c r="O876" s="549"/>
      <c r="P876" s="549"/>
      <c r="Q876" s="549"/>
      <c r="R876" s="549"/>
      <c r="S876" s="549"/>
      <c r="T876" s="549"/>
      <c r="U876" s="549"/>
      <c r="V876" s="549"/>
      <c r="W876" s="549"/>
      <c r="X876" s="549"/>
      <c r="Y876" s="549"/>
      <c r="Z876" s="549"/>
    </row>
    <row r="877" spans="1:26" ht="15">
      <c r="A877" s="549"/>
      <c r="B877" s="554"/>
      <c r="C877" s="549"/>
      <c r="D877" s="549"/>
      <c r="E877" s="570"/>
      <c r="F877" s="549"/>
      <c r="G877" s="549"/>
      <c r="H877" s="549"/>
      <c r="I877" s="550"/>
      <c r="J877" s="549"/>
      <c r="K877" s="549"/>
      <c r="L877" s="549"/>
      <c r="M877" s="549"/>
      <c r="N877" s="551"/>
      <c r="O877" s="549"/>
      <c r="P877" s="549"/>
      <c r="Q877" s="549"/>
      <c r="R877" s="549"/>
      <c r="S877" s="549"/>
      <c r="T877" s="549"/>
      <c r="U877" s="549"/>
      <c r="V877" s="549"/>
      <c r="W877" s="549"/>
      <c r="X877" s="549"/>
      <c r="Y877" s="549"/>
      <c r="Z877" s="549"/>
    </row>
    <row r="878" spans="1:26" ht="15">
      <c r="A878" s="549"/>
      <c r="B878" s="554"/>
      <c r="C878" s="549"/>
      <c r="D878" s="549"/>
      <c r="E878" s="570"/>
      <c r="F878" s="549"/>
      <c r="G878" s="549"/>
      <c r="H878" s="549"/>
      <c r="I878" s="550"/>
      <c r="J878" s="549"/>
      <c r="K878" s="549"/>
      <c r="L878" s="549"/>
      <c r="M878" s="549"/>
      <c r="N878" s="551"/>
      <c r="O878" s="549"/>
      <c r="P878" s="549"/>
      <c r="Q878" s="549"/>
      <c r="R878" s="549"/>
      <c r="S878" s="549"/>
      <c r="T878" s="549"/>
      <c r="U878" s="549"/>
      <c r="V878" s="549"/>
      <c r="W878" s="549"/>
      <c r="X878" s="549"/>
      <c r="Y878" s="549"/>
      <c r="Z878" s="549"/>
    </row>
    <row r="879" spans="1:26" ht="15">
      <c r="A879" s="549"/>
      <c r="B879" s="554"/>
      <c r="C879" s="549"/>
      <c r="D879" s="549"/>
      <c r="E879" s="570"/>
      <c r="F879" s="549"/>
      <c r="G879" s="549"/>
      <c r="H879" s="549"/>
      <c r="I879" s="550"/>
      <c r="J879" s="549"/>
      <c r="K879" s="549"/>
      <c r="L879" s="549"/>
      <c r="M879" s="549"/>
      <c r="N879" s="551"/>
      <c r="O879" s="549"/>
      <c r="P879" s="549"/>
      <c r="Q879" s="549"/>
      <c r="R879" s="549"/>
      <c r="S879" s="549"/>
      <c r="T879" s="549"/>
      <c r="U879" s="549"/>
      <c r="V879" s="549"/>
      <c r="W879" s="549"/>
      <c r="X879" s="549"/>
      <c r="Y879" s="549"/>
      <c r="Z879" s="549"/>
    </row>
    <row r="880" spans="1:26" ht="15">
      <c r="A880" s="549"/>
      <c r="B880" s="554"/>
      <c r="C880" s="549"/>
      <c r="D880" s="549"/>
      <c r="E880" s="570"/>
      <c r="F880" s="549"/>
      <c r="G880" s="549"/>
      <c r="H880" s="549"/>
      <c r="I880" s="550"/>
      <c r="J880" s="549"/>
      <c r="K880" s="549"/>
      <c r="L880" s="549"/>
      <c r="M880" s="549"/>
      <c r="N880" s="551"/>
      <c r="O880" s="549"/>
      <c r="P880" s="549"/>
      <c r="Q880" s="549"/>
      <c r="R880" s="549"/>
      <c r="S880" s="549"/>
      <c r="T880" s="549"/>
      <c r="U880" s="549"/>
      <c r="V880" s="549"/>
      <c r="W880" s="549"/>
      <c r="X880" s="549"/>
      <c r="Y880" s="549"/>
      <c r="Z880" s="549"/>
    </row>
    <row r="881" spans="1:26" ht="15">
      <c r="A881" s="549"/>
      <c r="B881" s="554"/>
      <c r="C881" s="549"/>
      <c r="D881" s="549"/>
      <c r="E881" s="570"/>
      <c r="F881" s="549"/>
      <c r="G881" s="549"/>
      <c r="H881" s="549"/>
      <c r="I881" s="550"/>
      <c r="J881" s="549"/>
      <c r="K881" s="549"/>
      <c r="L881" s="549"/>
      <c r="M881" s="549"/>
      <c r="N881" s="551"/>
      <c r="O881" s="549"/>
      <c r="P881" s="549"/>
      <c r="Q881" s="549"/>
      <c r="R881" s="549"/>
      <c r="S881" s="549"/>
      <c r="T881" s="549"/>
      <c r="U881" s="549"/>
      <c r="V881" s="549"/>
      <c r="W881" s="549"/>
      <c r="X881" s="549"/>
      <c r="Y881" s="549"/>
      <c r="Z881" s="549"/>
    </row>
    <row r="882" spans="1:26" ht="15">
      <c r="A882" s="549"/>
      <c r="B882" s="554"/>
      <c r="C882" s="549"/>
      <c r="D882" s="549"/>
      <c r="E882" s="570"/>
      <c r="F882" s="549"/>
      <c r="G882" s="549"/>
      <c r="H882" s="549"/>
      <c r="I882" s="550"/>
      <c r="J882" s="549"/>
      <c r="K882" s="549"/>
      <c r="L882" s="549"/>
      <c r="M882" s="549"/>
      <c r="N882" s="551"/>
      <c r="O882" s="549"/>
      <c r="P882" s="549"/>
      <c r="Q882" s="549"/>
      <c r="R882" s="549"/>
      <c r="S882" s="549"/>
      <c r="T882" s="549"/>
      <c r="U882" s="549"/>
      <c r="V882" s="549"/>
      <c r="W882" s="549"/>
      <c r="X882" s="549"/>
      <c r="Y882" s="549"/>
      <c r="Z882" s="549"/>
    </row>
    <row r="883" spans="1:26" ht="15">
      <c r="A883" s="549"/>
      <c r="B883" s="554"/>
      <c r="C883" s="549"/>
      <c r="D883" s="549"/>
      <c r="E883" s="570"/>
      <c r="F883" s="549"/>
      <c r="G883" s="549"/>
      <c r="H883" s="549"/>
      <c r="I883" s="550"/>
      <c r="J883" s="549"/>
      <c r="K883" s="549"/>
      <c r="L883" s="549"/>
      <c r="M883" s="549"/>
      <c r="N883" s="551"/>
      <c r="O883" s="549"/>
      <c r="P883" s="549"/>
      <c r="Q883" s="549"/>
      <c r="R883" s="549"/>
      <c r="S883" s="549"/>
      <c r="T883" s="549"/>
      <c r="U883" s="549"/>
      <c r="V883" s="549"/>
      <c r="W883" s="549"/>
      <c r="X883" s="549"/>
      <c r="Y883" s="549"/>
      <c r="Z883" s="549"/>
    </row>
    <row r="884" spans="1:26" ht="15">
      <c r="A884" s="549"/>
      <c r="B884" s="554"/>
      <c r="C884" s="549"/>
      <c r="D884" s="549"/>
      <c r="E884" s="570"/>
      <c r="F884" s="549"/>
      <c r="G884" s="549"/>
      <c r="H884" s="549"/>
      <c r="I884" s="550"/>
      <c r="J884" s="549"/>
      <c r="K884" s="549"/>
      <c r="L884" s="549"/>
      <c r="M884" s="549"/>
      <c r="N884" s="551"/>
      <c r="O884" s="549"/>
      <c r="P884" s="549"/>
      <c r="Q884" s="549"/>
      <c r="R884" s="549"/>
      <c r="S884" s="549"/>
      <c r="T884" s="549"/>
      <c r="U884" s="549"/>
      <c r="V884" s="549"/>
      <c r="W884" s="549"/>
      <c r="X884" s="549"/>
      <c r="Y884" s="549"/>
      <c r="Z884" s="549"/>
    </row>
    <row r="885" spans="1:26" ht="15">
      <c r="A885" s="549"/>
      <c r="B885" s="554"/>
      <c r="C885" s="549"/>
      <c r="D885" s="549"/>
      <c r="E885" s="570"/>
      <c r="F885" s="549"/>
      <c r="G885" s="549"/>
      <c r="H885" s="549"/>
      <c r="I885" s="550"/>
      <c r="J885" s="549"/>
      <c r="K885" s="549"/>
      <c r="L885" s="549"/>
      <c r="M885" s="549"/>
      <c r="N885" s="551"/>
      <c r="O885" s="549"/>
      <c r="P885" s="549"/>
      <c r="Q885" s="549"/>
      <c r="R885" s="549"/>
      <c r="S885" s="549"/>
      <c r="T885" s="549"/>
      <c r="U885" s="549"/>
      <c r="V885" s="549"/>
      <c r="W885" s="549"/>
      <c r="X885" s="549"/>
      <c r="Y885" s="549"/>
      <c r="Z885" s="549"/>
    </row>
    <row r="886" spans="1:26" ht="15">
      <c r="A886" s="549"/>
      <c r="B886" s="554"/>
      <c r="C886" s="549"/>
      <c r="D886" s="549"/>
      <c r="E886" s="570"/>
      <c r="F886" s="549"/>
      <c r="G886" s="549"/>
      <c r="H886" s="549"/>
      <c r="I886" s="550"/>
      <c r="J886" s="549"/>
      <c r="K886" s="549"/>
      <c r="L886" s="549"/>
      <c r="M886" s="549"/>
      <c r="N886" s="551"/>
      <c r="O886" s="549"/>
      <c r="P886" s="549"/>
      <c r="Q886" s="549"/>
      <c r="R886" s="549"/>
      <c r="S886" s="549"/>
      <c r="T886" s="549"/>
      <c r="U886" s="549"/>
      <c r="V886" s="549"/>
      <c r="W886" s="549"/>
      <c r="X886" s="549"/>
      <c r="Y886" s="549"/>
      <c r="Z886" s="549"/>
    </row>
    <row r="887" spans="1:26" ht="15">
      <c r="A887" s="549"/>
      <c r="B887" s="554"/>
      <c r="C887" s="549"/>
      <c r="D887" s="549"/>
      <c r="E887" s="570"/>
      <c r="F887" s="549"/>
      <c r="G887" s="549"/>
      <c r="H887" s="549"/>
      <c r="I887" s="550"/>
      <c r="J887" s="549"/>
      <c r="K887" s="549"/>
      <c r="L887" s="549"/>
      <c r="M887" s="549"/>
      <c r="N887" s="551"/>
      <c r="O887" s="549"/>
      <c r="P887" s="549"/>
      <c r="Q887" s="549"/>
      <c r="R887" s="549"/>
      <c r="S887" s="549"/>
      <c r="T887" s="549"/>
      <c r="U887" s="549"/>
      <c r="V887" s="549"/>
      <c r="W887" s="549"/>
      <c r="X887" s="549"/>
      <c r="Y887" s="549"/>
      <c r="Z887" s="549"/>
    </row>
    <row r="888" spans="1:26" ht="15">
      <c r="A888" s="549"/>
      <c r="B888" s="554"/>
      <c r="C888" s="549"/>
      <c r="D888" s="549"/>
      <c r="E888" s="570"/>
      <c r="F888" s="549"/>
      <c r="G888" s="549"/>
      <c r="H888" s="549"/>
      <c r="I888" s="550"/>
      <c r="J888" s="549"/>
      <c r="K888" s="549"/>
      <c r="L888" s="549"/>
      <c r="M888" s="549"/>
      <c r="N888" s="551"/>
      <c r="O888" s="549"/>
      <c r="P888" s="549"/>
      <c r="Q888" s="549"/>
      <c r="R888" s="549"/>
      <c r="S888" s="549"/>
      <c r="T888" s="549"/>
      <c r="U888" s="549"/>
      <c r="V888" s="549"/>
      <c r="W888" s="549"/>
      <c r="X888" s="549"/>
      <c r="Y888" s="549"/>
      <c r="Z888" s="549"/>
    </row>
    <row r="889" spans="1:26" ht="15">
      <c r="A889" s="549"/>
      <c r="B889" s="554"/>
      <c r="C889" s="549"/>
      <c r="D889" s="549"/>
      <c r="E889" s="570"/>
      <c r="F889" s="549"/>
      <c r="G889" s="549"/>
      <c r="H889" s="549"/>
      <c r="I889" s="550"/>
      <c r="J889" s="549"/>
      <c r="K889" s="549"/>
      <c r="L889" s="549"/>
      <c r="M889" s="549"/>
      <c r="N889" s="551"/>
      <c r="O889" s="549"/>
      <c r="P889" s="549"/>
      <c r="Q889" s="549"/>
      <c r="R889" s="549"/>
      <c r="S889" s="549"/>
      <c r="T889" s="549"/>
      <c r="U889" s="549"/>
      <c r="V889" s="549"/>
      <c r="W889" s="549"/>
      <c r="X889" s="549"/>
      <c r="Y889" s="549"/>
      <c r="Z889" s="549"/>
    </row>
    <row r="890" spans="1:26" ht="15">
      <c r="A890" s="549"/>
      <c r="B890" s="554"/>
      <c r="C890" s="549"/>
      <c r="D890" s="549"/>
      <c r="E890" s="570"/>
      <c r="F890" s="549"/>
      <c r="G890" s="549"/>
      <c r="H890" s="549"/>
      <c r="I890" s="550"/>
      <c r="J890" s="549"/>
      <c r="K890" s="549"/>
      <c r="L890" s="549"/>
      <c r="M890" s="549"/>
      <c r="N890" s="551"/>
      <c r="O890" s="549"/>
      <c r="P890" s="549"/>
      <c r="Q890" s="549"/>
      <c r="R890" s="549"/>
      <c r="S890" s="549"/>
      <c r="T890" s="549"/>
      <c r="U890" s="549"/>
      <c r="V890" s="549"/>
      <c r="W890" s="549"/>
      <c r="X890" s="549"/>
      <c r="Y890" s="549"/>
      <c r="Z890" s="549"/>
    </row>
    <row r="891" spans="1:26" ht="15">
      <c r="A891" s="549"/>
      <c r="B891" s="554"/>
      <c r="C891" s="549"/>
      <c r="D891" s="549"/>
      <c r="E891" s="570"/>
      <c r="F891" s="549"/>
      <c r="G891" s="549"/>
      <c r="H891" s="549"/>
      <c r="I891" s="550"/>
      <c r="J891" s="549"/>
      <c r="K891" s="549"/>
      <c r="L891" s="549"/>
      <c r="M891" s="549"/>
      <c r="N891" s="551"/>
      <c r="O891" s="549"/>
      <c r="P891" s="549"/>
      <c r="Q891" s="549"/>
      <c r="R891" s="549"/>
      <c r="S891" s="549"/>
      <c r="T891" s="549"/>
      <c r="U891" s="549"/>
      <c r="V891" s="549"/>
      <c r="W891" s="549"/>
      <c r="X891" s="549"/>
      <c r="Y891" s="549"/>
      <c r="Z891" s="549"/>
    </row>
    <row r="892" spans="1:26" ht="15">
      <c r="A892" s="549"/>
      <c r="B892" s="554"/>
      <c r="C892" s="549"/>
      <c r="D892" s="549"/>
      <c r="E892" s="570"/>
      <c r="F892" s="549"/>
      <c r="G892" s="549"/>
      <c r="H892" s="549"/>
      <c r="I892" s="550"/>
      <c r="J892" s="549"/>
      <c r="K892" s="549"/>
      <c r="L892" s="549"/>
      <c r="M892" s="549"/>
      <c r="N892" s="551"/>
      <c r="O892" s="549"/>
      <c r="P892" s="549"/>
      <c r="Q892" s="549"/>
      <c r="R892" s="549"/>
      <c r="S892" s="549"/>
      <c r="T892" s="549"/>
      <c r="U892" s="549"/>
      <c r="V892" s="549"/>
      <c r="W892" s="549"/>
      <c r="X892" s="549"/>
      <c r="Y892" s="549"/>
      <c r="Z892" s="549"/>
    </row>
    <row r="893" spans="1:26" ht="15">
      <c r="A893" s="549"/>
      <c r="B893" s="554"/>
      <c r="C893" s="549"/>
      <c r="D893" s="549"/>
      <c r="E893" s="570"/>
      <c r="F893" s="549"/>
      <c r="G893" s="549"/>
      <c r="H893" s="549"/>
      <c r="I893" s="550"/>
      <c r="J893" s="549"/>
      <c r="K893" s="549"/>
      <c r="L893" s="549"/>
      <c r="M893" s="549"/>
      <c r="N893" s="551"/>
      <c r="O893" s="549"/>
      <c r="P893" s="549"/>
      <c r="Q893" s="549"/>
      <c r="R893" s="549"/>
      <c r="S893" s="549"/>
      <c r="T893" s="549"/>
      <c r="U893" s="549"/>
      <c r="V893" s="549"/>
      <c r="W893" s="549"/>
      <c r="X893" s="549"/>
      <c r="Y893" s="549"/>
      <c r="Z893" s="549"/>
    </row>
    <row r="894" spans="1:26" ht="15">
      <c r="A894" s="549"/>
      <c r="B894" s="554"/>
      <c r="C894" s="549"/>
      <c r="D894" s="549"/>
      <c r="E894" s="570"/>
      <c r="F894" s="549"/>
      <c r="G894" s="549"/>
      <c r="H894" s="549"/>
      <c r="I894" s="550"/>
      <c r="J894" s="549"/>
      <c r="K894" s="549"/>
      <c r="L894" s="549"/>
      <c r="M894" s="549"/>
      <c r="N894" s="551"/>
      <c r="O894" s="549"/>
      <c r="P894" s="549"/>
      <c r="Q894" s="549"/>
      <c r="R894" s="549"/>
      <c r="S894" s="549"/>
      <c r="T894" s="549"/>
      <c r="U894" s="549"/>
      <c r="V894" s="549"/>
      <c r="W894" s="549"/>
      <c r="X894" s="549"/>
      <c r="Y894" s="549"/>
      <c r="Z894" s="549"/>
    </row>
    <row r="895" spans="1:26" ht="15">
      <c r="A895" s="549"/>
      <c r="B895" s="554"/>
      <c r="C895" s="549"/>
      <c r="D895" s="549"/>
      <c r="E895" s="570"/>
      <c r="F895" s="549"/>
      <c r="G895" s="549"/>
      <c r="H895" s="549"/>
      <c r="I895" s="550"/>
      <c r="J895" s="549"/>
      <c r="K895" s="549"/>
      <c r="L895" s="549"/>
      <c r="M895" s="549"/>
      <c r="N895" s="551"/>
      <c r="O895" s="549"/>
      <c r="P895" s="549"/>
      <c r="Q895" s="549"/>
      <c r="R895" s="549"/>
      <c r="S895" s="549"/>
      <c r="T895" s="549"/>
      <c r="U895" s="549"/>
      <c r="V895" s="549"/>
      <c r="W895" s="549"/>
      <c r="X895" s="549"/>
      <c r="Y895" s="549"/>
      <c r="Z895" s="549"/>
    </row>
    <row r="896" spans="1:26" ht="15">
      <c r="A896" s="549"/>
      <c r="B896" s="554"/>
      <c r="C896" s="549"/>
      <c r="D896" s="549"/>
      <c r="E896" s="570"/>
      <c r="F896" s="549"/>
      <c r="G896" s="549"/>
      <c r="H896" s="549"/>
      <c r="I896" s="550"/>
      <c r="J896" s="549"/>
      <c r="K896" s="549"/>
      <c r="L896" s="549"/>
      <c r="M896" s="549"/>
      <c r="N896" s="551"/>
      <c r="O896" s="549"/>
      <c r="P896" s="549"/>
      <c r="Q896" s="549"/>
      <c r="R896" s="549"/>
      <c r="S896" s="549"/>
      <c r="T896" s="549"/>
      <c r="U896" s="549"/>
      <c r="V896" s="549"/>
      <c r="W896" s="549"/>
      <c r="X896" s="549"/>
      <c r="Y896" s="549"/>
      <c r="Z896" s="549"/>
    </row>
    <row r="897" spans="1:26" ht="15">
      <c r="A897" s="549"/>
      <c r="B897" s="554"/>
      <c r="C897" s="549"/>
      <c r="D897" s="549"/>
      <c r="E897" s="570"/>
      <c r="F897" s="549"/>
      <c r="G897" s="549"/>
      <c r="H897" s="549"/>
      <c r="I897" s="550"/>
      <c r="J897" s="549"/>
      <c r="K897" s="549"/>
      <c r="L897" s="549"/>
      <c r="M897" s="549"/>
      <c r="N897" s="551"/>
      <c r="O897" s="549"/>
      <c r="P897" s="549"/>
      <c r="Q897" s="549"/>
      <c r="R897" s="549"/>
      <c r="S897" s="549"/>
      <c r="T897" s="549"/>
      <c r="U897" s="549"/>
      <c r="V897" s="549"/>
      <c r="W897" s="549"/>
      <c r="X897" s="549"/>
      <c r="Y897" s="549"/>
      <c r="Z897" s="549"/>
    </row>
    <row r="898" spans="1:26" ht="15">
      <c r="A898" s="549"/>
      <c r="B898" s="554"/>
      <c r="C898" s="549"/>
      <c r="D898" s="549"/>
      <c r="E898" s="570"/>
      <c r="F898" s="549"/>
      <c r="G898" s="549"/>
      <c r="H898" s="549"/>
      <c r="I898" s="550"/>
      <c r="J898" s="549"/>
      <c r="K898" s="549"/>
      <c r="L898" s="549"/>
      <c r="M898" s="549"/>
      <c r="N898" s="551"/>
      <c r="O898" s="549"/>
      <c r="P898" s="549"/>
      <c r="Q898" s="549"/>
      <c r="R898" s="549"/>
      <c r="S898" s="549"/>
      <c r="T898" s="549"/>
      <c r="U898" s="549"/>
      <c r="V898" s="549"/>
      <c r="W898" s="549"/>
      <c r="X898" s="549"/>
      <c r="Y898" s="549"/>
      <c r="Z898" s="549"/>
    </row>
    <row r="899" spans="1:26" ht="15">
      <c r="A899" s="549"/>
      <c r="B899" s="554"/>
      <c r="C899" s="549"/>
      <c r="D899" s="549"/>
      <c r="E899" s="570"/>
      <c r="F899" s="549"/>
      <c r="G899" s="549"/>
      <c r="H899" s="549"/>
      <c r="I899" s="550"/>
      <c r="J899" s="549"/>
      <c r="K899" s="549"/>
      <c r="L899" s="549"/>
      <c r="M899" s="549"/>
      <c r="N899" s="551"/>
      <c r="O899" s="549"/>
      <c r="P899" s="549"/>
      <c r="Q899" s="549"/>
      <c r="R899" s="549"/>
      <c r="S899" s="549"/>
      <c r="T899" s="549"/>
      <c r="U899" s="549"/>
      <c r="V899" s="549"/>
      <c r="W899" s="549"/>
      <c r="X899" s="549"/>
      <c r="Y899" s="549"/>
      <c r="Z899" s="549"/>
    </row>
    <row r="900" spans="1:26" ht="15">
      <c r="A900" s="549"/>
      <c r="B900" s="554"/>
      <c r="C900" s="549"/>
      <c r="D900" s="549"/>
      <c r="E900" s="570"/>
      <c r="F900" s="549"/>
      <c r="G900" s="549"/>
      <c r="H900" s="549"/>
      <c r="I900" s="550"/>
      <c r="J900" s="549"/>
      <c r="K900" s="549"/>
      <c r="L900" s="549"/>
      <c r="M900" s="549"/>
      <c r="N900" s="551"/>
      <c r="O900" s="549"/>
      <c r="P900" s="549"/>
      <c r="Q900" s="549"/>
      <c r="R900" s="549"/>
      <c r="S900" s="549"/>
      <c r="T900" s="549"/>
      <c r="U900" s="549"/>
      <c r="V900" s="549"/>
      <c r="W900" s="549"/>
      <c r="X900" s="549"/>
      <c r="Y900" s="549"/>
      <c r="Z900" s="549"/>
    </row>
    <row r="901" spans="1:26" ht="15">
      <c r="A901" s="549"/>
      <c r="B901" s="554"/>
      <c r="C901" s="549"/>
      <c r="D901" s="549"/>
      <c r="E901" s="570"/>
      <c r="F901" s="549"/>
      <c r="G901" s="549"/>
      <c r="H901" s="549"/>
      <c r="I901" s="550"/>
      <c r="J901" s="549"/>
      <c r="K901" s="549"/>
      <c r="L901" s="549"/>
      <c r="M901" s="549"/>
      <c r="N901" s="551"/>
      <c r="O901" s="549"/>
      <c r="P901" s="549"/>
      <c r="Q901" s="549"/>
      <c r="R901" s="549"/>
      <c r="S901" s="549"/>
      <c r="T901" s="549"/>
      <c r="U901" s="549"/>
      <c r="V901" s="549"/>
      <c r="W901" s="549"/>
      <c r="X901" s="549"/>
      <c r="Y901" s="549"/>
      <c r="Z901" s="549"/>
    </row>
    <row r="902" spans="1:26" ht="15">
      <c r="A902" s="549"/>
      <c r="B902" s="554"/>
      <c r="C902" s="549"/>
      <c r="D902" s="549"/>
      <c r="E902" s="570"/>
      <c r="F902" s="549"/>
      <c r="G902" s="549"/>
      <c r="H902" s="549"/>
      <c r="I902" s="550"/>
      <c r="J902" s="549"/>
      <c r="K902" s="549"/>
      <c r="L902" s="549"/>
      <c r="M902" s="549"/>
      <c r="N902" s="551"/>
      <c r="O902" s="549"/>
      <c r="P902" s="549"/>
      <c r="Q902" s="549"/>
      <c r="R902" s="549"/>
      <c r="S902" s="549"/>
      <c r="T902" s="549"/>
      <c r="U902" s="549"/>
      <c r="V902" s="549"/>
      <c r="W902" s="549"/>
      <c r="X902" s="549"/>
      <c r="Y902" s="549"/>
      <c r="Z902" s="549"/>
    </row>
    <row r="903" spans="1:26" ht="15">
      <c r="A903" s="549"/>
      <c r="B903" s="554"/>
      <c r="C903" s="549"/>
      <c r="D903" s="549"/>
      <c r="E903" s="570"/>
      <c r="F903" s="549"/>
      <c r="G903" s="549"/>
      <c r="H903" s="549"/>
      <c r="I903" s="550"/>
      <c r="J903" s="549"/>
      <c r="K903" s="549"/>
      <c r="L903" s="549"/>
      <c r="M903" s="549"/>
      <c r="N903" s="551"/>
      <c r="O903" s="549"/>
      <c r="P903" s="549"/>
      <c r="Q903" s="549"/>
      <c r="R903" s="549"/>
      <c r="S903" s="549"/>
      <c r="T903" s="549"/>
      <c r="U903" s="549"/>
      <c r="V903" s="549"/>
      <c r="W903" s="549"/>
      <c r="X903" s="549"/>
      <c r="Y903" s="549"/>
      <c r="Z903" s="549"/>
    </row>
    <row r="904" spans="1:26" ht="15">
      <c r="A904" s="549"/>
      <c r="B904" s="554"/>
      <c r="C904" s="549"/>
      <c r="D904" s="549"/>
      <c r="E904" s="570"/>
      <c r="F904" s="549"/>
      <c r="G904" s="549"/>
      <c r="H904" s="549"/>
      <c r="I904" s="550"/>
      <c r="J904" s="549"/>
      <c r="K904" s="549"/>
      <c r="L904" s="549"/>
      <c r="M904" s="549"/>
      <c r="N904" s="551"/>
      <c r="O904" s="549"/>
      <c r="P904" s="549"/>
      <c r="Q904" s="549"/>
      <c r="R904" s="549"/>
      <c r="S904" s="549"/>
      <c r="T904" s="549"/>
      <c r="U904" s="549"/>
      <c r="V904" s="549"/>
      <c r="W904" s="549"/>
      <c r="X904" s="549"/>
      <c r="Y904" s="549"/>
      <c r="Z904" s="549"/>
    </row>
    <row r="905" spans="1:26" ht="15">
      <c r="A905" s="549"/>
      <c r="B905" s="554"/>
      <c r="C905" s="549"/>
      <c r="D905" s="549"/>
      <c r="E905" s="570"/>
      <c r="F905" s="549"/>
      <c r="G905" s="549"/>
      <c r="H905" s="549"/>
      <c r="I905" s="550"/>
      <c r="J905" s="549"/>
      <c r="K905" s="549"/>
      <c r="L905" s="549"/>
      <c r="M905" s="549"/>
      <c r="N905" s="551"/>
      <c r="O905" s="549"/>
      <c r="P905" s="549"/>
      <c r="Q905" s="549"/>
      <c r="R905" s="549"/>
      <c r="S905" s="549"/>
      <c r="T905" s="549"/>
      <c r="U905" s="549"/>
      <c r="V905" s="549"/>
      <c r="W905" s="549"/>
      <c r="X905" s="549"/>
      <c r="Y905" s="549"/>
      <c r="Z905" s="549"/>
    </row>
    <row r="906" spans="1:26" ht="15">
      <c r="A906" s="549"/>
      <c r="B906" s="554"/>
      <c r="C906" s="549"/>
      <c r="D906" s="549"/>
      <c r="E906" s="570"/>
      <c r="F906" s="549"/>
      <c r="G906" s="549"/>
      <c r="H906" s="549"/>
      <c r="I906" s="550"/>
      <c r="J906" s="549"/>
      <c r="K906" s="549"/>
      <c r="L906" s="549"/>
      <c r="M906" s="549"/>
      <c r="N906" s="551"/>
      <c r="O906" s="549"/>
      <c r="P906" s="549"/>
      <c r="Q906" s="549"/>
      <c r="R906" s="549"/>
      <c r="S906" s="549"/>
      <c r="T906" s="549"/>
      <c r="U906" s="549"/>
      <c r="V906" s="549"/>
      <c r="W906" s="549"/>
      <c r="X906" s="549"/>
      <c r="Y906" s="549"/>
      <c r="Z906" s="549"/>
    </row>
    <row r="907" spans="1:26" ht="15">
      <c r="A907" s="549"/>
      <c r="B907" s="554"/>
      <c r="C907" s="549"/>
      <c r="D907" s="549"/>
      <c r="E907" s="570"/>
      <c r="F907" s="549"/>
      <c r="G907" s="549"/>
      <c r="H907" s="549"/>
      <c r="I907" s="550"/>
      <c r="J907" s="549"/>
      <c r="K907" s="549"/>
      <c r="L907" s="549"/>
      <c r="M907" s="549"/>
      <c r="N907" s="551"/>
      <c r="O907" s="549"/>
      <c r="P907" s="549"/>
      <c r="Q907" s="549"/>
      <c r="R907" s="549"/>
      <c r="S907" s="549"/>
      <c r="T907" s="549"/>
      <c r="U907" s="549"/>
      <c r="V907" s="549"/>
      <c r="W907" s="549"/>
      <c r="X907" s="549"/>
      <c r="Y907" s="549"/>
      <c r="Z907" s="549"/>
    </row>
    <row r="908" spans="1:26" ht="15">
      <c r="A908" s="549"/>
      <c r="B908" s="554"/>
      <c r="C908" s="549"/>
      <c r="D908" s="549"/>
      <c r="E908" s="570"/>
      <c r="F908" s="549"/>
      <c r="G908" s="549"/>
      <c r="H908" s="549"/>
      <c r="I908" s="550"/>
      <c r="J908" s="549"/>
      <c r="K908" s="549"/>
      <c r="L908" s="549"/>
      <c r="M908" s="549"/>
      <c r="N908" s="551"/>
      <c r="O908" s="549"/>
      <c r="P908" s="549"/>
      <c r="Q908" s="549"/>
      <c r="R908" s="549"/>
      <c r="S908" s="549"/>
      <c r="T908" s="549"/>
      <c r="U908" s="549"/>
      <c r="V908" s="549"/>
      <c r="W908" s="549"/>
      <c r="X908" s="549"/>
      <c r="Y908" s="549"/>
      <c r="Z908" s="549"/>
    </row>
    <row r="909" spans="1:26" ht="15">
      <c r="A909" s="549"/>
      <c r="B909" s="554"/>
      <c r="C909" s="549"/>
      <c r="D909" s="549"/>
      <c r="E909" s="570"/>
      <c r="F909" s="549"/>
      <c r="G909" s="549"/>
      <c r="H909" s="549"/>
      <c r="I909" s="550"/>
      <c r="J909" s="549"/>
      <c r="K909" s="549"/>
      <c r="L909" s="549"/>
      <c r="M909" s="549"/>
      <c r="N909" s="551"/>
      <c r="O909" s="549"/>
      <c r="P909" s="549"/>
      <c r="Q909" s="549"/>
      <c r="R909" s="549"/>
      <c r="S909" s="549"/>
      <c r="T909" s="549"/>
      <c r="U909" s="549"/>
      <c r="V909" s="549"/>
      <c r="W909" s="549"/>
      <c r="X909" s="549"/>
      <c r="Y909" s="549"/>
      <c r="Z909" s="549"/>
    </row>
    <row r="910" spans="1:26" ht="15">
      <c r="A910" s="549"/>
      <c r="B910" s="554"/>
      <c r="C910" s="549"/>
      <c r="D910" s="549"/>
      <c r="E910" s="570"/>
      <c r="F910" s="549"/>
      <c r="G910" s="549"/>
      <c r="H910" s="549"/>
      <c r="I910" s="550"/>
      <c r="J910" s="549"/>
      <c r="K910" s="549"/>
      <c r="L910" s="549"/>
      <c r="M910" s="549"/>
      <c r="N910" s="551"/>
      <c r="O910" s="549"/>
      <c r="P910" s="549"/>
      <c r="Q910" s="549"/>
      <c r="R910" s="549"/>
      <c r="S910" s="549"/>
      <c r="T910" s="549"/>
      <c r="U910" s="549"/>
      <c r="V910" s="549"/>
      <c r="W910" s="549"/>
      <c r="X910" s="549"/>
      <c r="Y910" s="549"/>
      <c r="Z910" s="549"/>
    </row>
    <row r="911" spans="1:26" ht="15">
      <c r="A911" s="549"/>
      <c r="B911" s="554"/>
      <c r="C911" s="549"/>
      <c r="D911" s="549"/>
      <c r="E911" s="570"/>
      <c r="F911" s="549"/>
      <c r="G911" s="549"/>
      <c r="H911" s="549"/>
      <c r="I911" s="550"/>
      <c r="J911" s="549"/>
      <c r="K911" s="549"/>
      <c r="L911" s="549"/>
      <c r="M911" s="549"/>
      <c r="N911" s="551"/>
      <c r="O911" s="549"/>
      <c r="P911" s="549"/>
      <c r="Q911" s="549"/>
      <c r="R911" s="549"/>
      <c r="S911" s="549"/>
      <c r="T911" s="549"/>
      <c r="U911" s="549"/>
      <c r="V911" s="549"/>
      <c r="W911" s="549"/>
      <c r="X911" s="549"/>
      <c r="Y911" s="549"/>
      <c r="Z911" s="549"/>
    </row>
    <row r="912" spans="1:26" ht="15">
      <c r="A912" s="549"/>
      <c r="B912" s="554"/>
      <c r="C912" s="549"/>
      <c r="D912" s="549"/>
      <c r="E912" s="570"/>
      <c r="F912" s="549"/>
      <c r="G912" s="549"/>
      <c r="H912" s="549"/>
      <c r="I912" s="550"/>
      <c r="J912" s="549"/>
      <c r="K912" s="549"/>
      <c r="L912" s="549"/>
      <c r="M912" s="549"/>
      <c r="N912" s="551"/>
      <c r="O912" s="549"/>
      <c r="P912" s="549"/>
      <c r="Q912" s="549"/>
      <c r="R912" s="549"/>
      <c r="S912" s="549"/>
      <c r="T912" s="549"/>
      <c r="U912" s="549"/>
      <c r="V912" s="549"/>
      <c r="W912" s="549"/>
      <c r="X912" s="549"/>
      <c r="Y912" s="549"/>
      <c r="Z912" s="549"/>
    </row>
    <row r="913" spans="1:26" ht="15">
      <c r="A913" s="549"/>
      <c r="B913" s="554"/>
      <c r="C913" s="549"/>
      <c r="D913" s="549"/>
      <c r="E913" s="570"/>
      <c r="F913" s="549"/>
      <c r="G913" s="549"/>
      <c r="H913" s="549"/>
      <c r="I913" s="550"/>
      <c r="J913" s="549"/>
      <c r="K913" s="549"/>
      <c r="L913" s="549"/>
      <c r="M913" s="549"/>
      <c r="N913" s="551"/>
      <c r="O913" s="549"/>
      <c r="P913" s="549"/>
      <c r="Q913" s="549"/>
      <c r="R913" s="549"/>
      <c r="S913" s="549"/>
      <c r="T913" s="549"/>
      <c r="U913" s="549"/>
      <c r="V913" s="549"/>
      <c r="W913" s="549"/>
      <c r="X913" s="549"/>
      <c r="Y913" s="549"/>
      <c r="Z913" s="549"/>
    </row>
    <row r="914" spans="1:26" ht="15">
      <c r="A914" s="549"/>
      <c r="B914" s="554"/>
      <c r="C914" s="549"/>
      <c r="D914" s="549"/>
      <c r="E914" s="570"/>
      <c r="F914" s="549"/>
      <c r="G914" s="549"/>
      <c r="H914" s="549"/>
      <c r="I914" s="550"/>
      <c r="J914" s="549"/>
      <c r="K914" s="549"/>
      <c r="L914" s="549"/>
      <c r="M914" s="549"/>
      <c r="N914" s="551"/>
      <c r="O914" s="549"/>
      <c r="P914" s="549"/>
      <c r="Q914" s="549"/>
      <c r="R914" s="549"/>
      <c r="S914" s="549"/>
      <c r="T914" s="549"/>
      <c r="U914" s="549"/>
      <c r="V914" s="549"/>
      <c r="W914" s="549"/>
      <c r="X914" s="549"/>
      <c r="Y914" s="549"/>
      <c r="Z914" s="549"/>
    </row>
    <row r="915" spans="1:26" ht="15">
      <c r="A915" s="549"/>
      <c r="B915" s="554"/>
      <c r="C915" s="549"/>
      <c r="D915" s="549"/>
      <c r="E915" s="570"/>
      <c r="F915" s="549"/>
      <c r="G915" s="549"/>
      <c r="H915" s="549"/>
      <c r="I915" s="550"/>
      <c r="J915" s="549"/>
      <c r="K915" s="549"/>
      <c r="L915" s="549"/>
      <c r="M915" s="549"/>
      <c r="N915" s="551"/>
      <c r="O915" s="549"/>
      <c r="P915" s="549"/>
      <c r="Q915" s="549"/>
      <c r="R915" s="549"/>
      <c r="S915" s="549"/>
      <c r="T915" s="549"/>
      <c r="U915" s="549"/>
      <c r="V915" s="549"/>
      <c r="W915" s="549"/>
      <c r="X915" s="549"/>
      <c r="Y915" s="549"/>
      <c r="Z915" s="549"/>
    </row>
    <row r="916" spans="1:26" ht="15">
      <c r="A916" s="549"/>
      <c r="B916" s="554"/>
      <c r="C916" s="549"/>
      <c r="D916" s="549"/>
      <c r="E916" s="570"/>
      <c r="F916" s="549"/>
      <c r="G916" s="549"/>
      <c r="H916" s="549"/>
      <c r="I916" s="550"/>
      <c r="J916" s="549"/>
      <c r="K916" s="549"/>
      <c r="L916" s="549"/>
      <c r="M916" s="549"/>
      <c r="N916" s="551"/>
      <c r="O916" s="549"/>
      <c r="P916" s="549"/>
      <c r="Q916" s="549"/>
      <c r="R916" s="549"/>
      <c r="S916" s="549"/>
      <c r="T916" s="549"/>
      <c r="U916" s="549"/>
      <c r="V916" s="549"/>
      <c r="W916" s="549"/>
      <c r="X916" s="549"/>
      <c r="Y916" s="549"/>
      <c r="Z916" s="549"/>
    </row>
    <row r="917" spans="1:26" ht="15">
      <c r="A917" s="549"/>
      <c r="B917" s="554"/>
      <c r="C917" s="549"/>
      <c r="D917" s="549"/>
      <c r="E917" s="570"/>
      <c r="F917" s="549"/>
      <c r="G917" s="549"/>
      <c r="H917" s="549"/>
      <c r="I917" s="550"/>
      <c r="J917" s="549"/>
      <c r="K917" s="549"/>
      <c r="L917" s="549"/>
      <c r="M917" s="549"/>
      <c r="N917" s="551"/>
      <c r="O917" s="549"/>
      <c r="P917" s="549"/>
      <c r="Q917" s="549"/>
      <c r="R917" s="549"/>
      <c r="S917" s="549"/>
      <c r="T917" s="549"/>
      <c r="U917" s="549"/>
      <c r="V917" s="549"/>
      <c r="W917" s="549"/>
      <c r="X917" s="549"/>
      <c r="Y917" s="549"/>
      <c r="Z917" s="549"/>
    </row>
    <row r="918" spans="1:26" ht="15">
      <c r="A918" s="549"/>
      <c r="B918" s="554"/>
      <c r="C918" s="549"/>
      <c r="D918" s="549"/>
      <c r="E918" s="570"/>
      <c r="F918" s="549"/>
      <c r="G918" s="549"/>
      <c r="H918" s="549"/>
      <c r="I918" s="550"/>
      <c r="J918" s="549"/>
      <c r="K918" s="549"/>
      <c r="L918" s="549"/>
      <c r="M918" s="549"/>
      <c r="N918" s="551"/>
      <c r="O918" s="549"/>
      <c r="P918" s="549"/>
      <c r="Q918" s="549"/>
      <c r="R918" s="549"/>
      <c r="S918" s="549"/>
      <c r="T918" s="549"/>
      <c r="U918" s="549"/>
      <c r="V918" s="549"/>
      <c r="W918" s="549"/>
      <c r="X918" s="549"/>
      <c r="Y918" s="549"/>
      <c r="Z918" s="549"/>
    </row>
    <row r="919" spans="1:26" ht="15">
      <c r="A919" s="549"/>
      <c r="B919" s="554"/>
      <c r="C919" s="549"/>
      <c r="D919" s="549"/>
      <c r="E919" s="570"/>
      <c r="F919" s="549"/>
      <c r="G919" s="549"/>
      <c r="H919" s="549"/>
      <c r="I919" s="550"/>
      <c r="J919" s="549"/>
      <c r="K919" s="549"/>
      <c r="L919" s="549"/>
      <c r="M919" s="549"/>
      <c r="N919" s="551"/>
      <c r="O919" s="549"/>
      <c r="P919" s="549"/>
      <c r="Q919" s="549"/>
      <c r="R919" s="549"/>
      <c r="S919" s="549"/>
      <c r="T919" s="549"/>
      <c r="U919" s="549"/>
      <c r="V919" s="549"/>
      <c r="W919" s="549"/>
      <c r="X919" s="549"/>
      <c r="Y919" s="549"/>
      <c r="Z919" s="549"/>
    </row>
    <row r="920" spans="1:26" ht="15">
      <c r="A920" s="549"/>
      <c r="B920" s="554"/>
      <c r="C920" s="549"/>
      <c r="D920" s="549"/>
      <c r="E920" s="570"/>
      <c r="F920" s="549"/>
      <c r="G920" s="549"/>
      <c r="H920" s="549"/>
      <c r="I920" s="550"/>
      <c r="J920" s="549"/>
      <c r="K920" s="549"/>
      <c r="L920" s="549"/>
      <c r="M920" s="549"/>
      <c r="N920" s="551"/>
      <c r="O920" s="549"/>
      <c r="P920" s="549"/>
      <c r="Q920" s="549"/>
      <c r="R920" s="549"/>
      <c r="S920" s="549"/>
      <c r="T920" s="549"/>
      <c r="U920" s="549"/>
      <c r="V920" s="549"/>
      <c r="W920" s="549"/>
      <c r="X920" s="549"/>
      <c r="Y920" s="549"/>
      <c r="Z920" s="549"/>
    </row>
    <row r="921" spans="1:26" ht="15">
      <c r="A921" s="549"/>
      <c r="B921" s="554"/>
      <c r="C921" s="549"/>
      <c r="D921" s="549"/>
      <c r="E921" s="570"/>
      <c r="F921" s="549"/>
      <c r="G921" s="549"/>
      <c r="H921" s="549"/>
      <c r="I921" s="550"/>
      <c r="J921" s="549"/>
      <c r="K921" s="549"/>
      <c r="L921" s="549"/>
      <c r="M921" s="549"/>
      <c r="N921" s="551"/>
      <c r="O921" s="549"/>
      <c r="P921" s="549"/>
      <c r="Q921" s="549"/>
      <c r="R921" s="549"/>
      <c r="S921" s="549"/>
      <c r="T921" s="549"/>
      <c r="U921" s="549"/>
      <c r="V921" s="549"/>
      <c r="W921" s="549"/>
      <c r="X921" s="549"/>
      <c r="Y921" s="549"/>
      <c r="Z921" s="549"/>
    </row>
    <row r="922" spans="1:26" ht="15">
      <c r="A922" s="549"/>
      <c r="B922" s="554"/>
      <c r="C922" s="549"/>
      <c r="D922" s="549"/>
      <c r="E922" s="570"/>
      <c r="F922" s="549"/>
      <c r="G922" s="549"/>
      <c r="H922" s="549"/>
      <c r="I922" s="550"/>
      <c r="J922" s="549"/>
      <c r="K922" s="549"/>
      <c r="L922" s="549"/>
      <c r="M922" s="549"/>
      <c r="N922" s="551"/>
      <c r="O922" s="549"/>
      <c r="P922" s="549"/>
      <c r="Q922" s="549"/>
      <c r="R922" s="549"/>
      <c r="S922" s="549"/>
      <c r="T922" s="549"/>
      <c r="U922" s="549"/>
      <c r="V922" s="549"/>
      <c r="W922" s="549"/>
      <c r="X922" s="549"/>
      <c r="Y922" s="549"/>
      <c r="Z922" s="549"/>
    </row>
    <row r="923" spans="1:26" ht="15">
      <c r="A923" s="549"/>
      <c r="B923" s="554"/>
      <c r="C923" s="549"/>
      <c r="D923" s="549"/>
      <c r="E923" s="570"/>
      <c r="F923" s="549"/>
      <c r="G923" s="549"/>
      <c r="H923" s="549"/>
      <c r="I923" s="550"/>
      <c r="J923" s="549"/>
      <c r="K923" s="549"/>
      <c r="L923" s="549"/>
      <c r="M923" s="549"/>
      <c r="N923" s="551"/>
      <c r="O923" s="549"/>
      <c r="P923" s="549"/>
      <c r="Q923" s="549"/>
      <c r="R923" s="549"/>
      <c r="S923" s="549"/>
      <c r="T923" s="549"/>
      <c r="U923" s="549"/>
      <c r="V923" s="549"/>
      <c r="W923" s="549"/>
      <c r="X923" s="549"/>
      <c r="Y923" s="549"/>
      <c r="Z923" s="549"/>
    </row>
    <row r="924" spans="1:26" ht="15">
      <c r="A924" s="549"/>
      <c r="B924" s="554"/>
      <c r="C924" s="549"/>
      <c r="D924" s="549"/>
      <c r="E924" s="570"/>
      <c r="F924" s="549"/>
      <c r="G924" s="549"/>
      <c r="H924" s="549"/>
      <c r="I924" s="550"/>
      <c r="J924" s="549"/>
      <c r="K924" s="549"/>
      <c r="L924" s="549"/>
      <c r="M924" s="549"/>
      <c r="N924" s="551"/>
      <c r="O924" s="549"/>
      <c r="P924" s="549"/>
      <c r="Q924" s="549"/>
      <c r="R924" s="549"/>
      <c r="S924" s="549"/>
      <c r="T924" s="549"/>
      <c r="U924" s="549"/>
      <c r="V924" s="549"/>
      <c r="W924" s="549"/>
      <c r="X924" s="549"/>
      <c r="Y924" s="549"/>
      <c r="Z924" s="549"/>
    </row>
    <row r="925" spans="1:26" ht="15">
      <c r="A925" s="549"/>
      <c r="B925" s="554"/>
      <c r="C925" s="549"/>
      <c r="D925" s="549"/>
      <c r="E925" s="570"/>
      <c r="F925" s="549"/>
      <c r="G925" s="549"/>
      <c r="H925" s="549"/>
      <c r="I925" s="550"/>
      <c r="J925" s="549"/>
      <c r="K925" s="549"/>
      <c r="L925" s="549"/>
      <c r="M925" s="549"/>
      <c r="N925" s="551"/>
      <c r="O925" s="549"/>
      <c r="P925" s="549"/>
      <c r="Q925" s="549"/>
      <c r="R925" s="549"/>
      <c r="S925" s="549"/>
      <c r="T925" s="549"/>
      <c r="U925" s="549"/>
      <c r="V925" s="549"/>
      <c r="W925" s="549"/>
      <c r="X925" s="549"/>
      <c r="Y925" s="549"/>
      <c r="Z925" s="549"/>
    </row>
    <row r="926" spans="1:26" ht="15">
      <c r="A926" s="549"/>
      <c r="B926" s="554"/>
      <c r="C926" s="549"/>
      <c r="D926" s="549"/>
      <c r="E926" s="570"/>
      <c r="F926" s="549"/>
      <c r="G926" s="549"/>
      <c r="H926" s="549"/>
      <c r="I926" s="550"/>
      <c r="J926" s="549"/>
      <c r="K926" s="549"/>
      <c r="L926" s="549"/>
      <c r="M926" s="549"/>
      <c r="N926" s="551"/>
      <c r="O926" s="549"/>
      <c r="P926" s="549"/>
      <c r="Q926" s="549"/>
      <c r="R926" s="549"/>
      <c r="S926" s="549"/>
      <c r="T926" s="549"/>
      <c r="U926" s="549"/>
      <c r="V926" s="549"/>
      <c r="W926" s="549"/>
      <c r="X926" s="549"/>
      <c r="Y926" s="549"/>
      <c r="Z926" s="549"/>
    </row>
    <row r="927" spans="1:26" ht="15">
      <c r="A927" s="549"/>
      <c r="B927" s="554"/>
      <c r="C927" s="549"/>
      <c r="D927" s="549"/>
      <c r="E927" s="570"/>
      <c r="F927" s="549"/>
      <c r="G927" s="549"/>
      <c r="H927" s="549"/>
      <c r="I927" s="550"/>
      <c r="J927" s="549"/>
      <c r="K927" s="549"/>
      <c r="L927" s="549"/>
      <c r="M927" s="549"/>
      <c r="N927" s="551"/>
      <c r="O927" s="549"/>
      <c r="P927" s="549"/>
      <c r="Q927" s="549"/>
      <c r="R927" s="549"/>
      <c r="S927" s="549"/>
      <c r="T927" s="549"/>
      <c r="U927" s="549"/>
      <c r="V927" s="549"/>
      <c r="W927" s="549"/>
      <c r="X927" s="549"/>
      <c r="Y927" s="549"/>
      <c r="Z927" s="549"/>
    </row>
    <row r="928" spans="1:26" ht="15">
      <c r="A928" s="549"/>
      <c r="B928" s="554"/>
      <c r="C928" s="549"/>
      <c r="D928" s="549"/>
      <c r="E928" s="570"/>
      <c r="F928" s="549"/>
      <c r="G928" s="549"/>
      <c r="H928" s="549"/>
      <c r="I928" s="550"/>
      <c r="J928" s="549"/>
      <c r="K928" s="549"/>
      <c r="L928" s="549"/>
      <c r="M928" s="549"/>
      <c r="N928" s="551"/>
      <c r="O928" s="549"/>
      <c r="P928" s="549"/>
      <c r="Q928" s="549"/>
      <c r="R928" s="549"/>
      <c r="S928" s="549"/>
      <c r="T928" s="549"/>
      <c r="U928" s="549"/>
      <c r="V928" s="549"/>
      <c r="W928" s="549"/>
      <c r="X928" s="549"/>
      <c r="Y928" s="549"/>
      <c r="Z928" s="549"/>
    </row>
    <row r="929" spans="1:26" ht="15">
      <c r="A929" s="549"/>
      <c r="B929" s="554"/>
      <c r="C929" s="549"/>
      <c r="D929" s="549"/>
      <c r="E929" s="570"/>
      <c r="F929" s="549"/>
      <c r="G929" s="549"/>
      <c r="H929" s="549"/>
      <c r="I929" s="550"/>
      <c r="J929" s="549"/>
      <c r="K929" s="549"/>
      <c r="L929" s="549"/>
      <c r="M929" s="549"/>
      <c r="N929" s="551"/>
      <c r="O929" s="549"/>
      <c r="P929" s="549"/>
      <c r="Q929" s="549"/>
      <c r="R929" s="549"/>
      <c r="S929" s="549"/>
      <c r="T929" s="549"/>
      <c r="U929" s="549"/>
      <c r="V929" s="549"/>
      <c r="W929" s="549"/>
      <c r="X929" s="549"/>
      <c r="Y929" s="549"/>
      <c r="Z929" s="549"/>
    </row>
    <row r="930" spans="1:26" ht="15">
      <c r="A930" s="549"/>
      <c r="B930" s="554"/>
      <c r="C930" s="549"/>
      <c r="D930" s="549"/>
      <c r="E930" s="570"/>
      <c r="F930" s="549"/>
      <c r="G930" s="549"/>
      <c r="H930" s="549"/>
      <c r="I930" s="550"/>
      <c r="J930" s="549"/>
      <c r="K930" s="549"/>
      <c r="L930" s="549"/>
      <c r="M930" s="549"/>
      <c r="N930" s="551"/>
      <c r="O930" s="549"/>
      <c r="P930" s="549"/>
      <c r="Q930" s="549"/>
      <c r="R930" s="549"/>
      <c r="S930" s="549"/>
      <c r="T930" s="549"/>
      <c r="U930" s="549"/>
      <c r="V930" s="549"/>
      <c r="W930" s="549"/>
      <c r="X930" s="549"/>
      <c r="Y930" s="549"/>
      <c r="Z930" s="549"/>
    </row>
    <row r="931" spans="1:26" ht="15">
      <c r="A931" s="549"/>
      <c r="B931" s="554"/>
      <c r="C931" s="549"/>
      <c r="D931" s="549"/>
      <c r="E931" s="570"/>
      <c r="F931" s="549"/>
      <c r="G931" s="549"/>
      <c r="H931" s="549"/>
      <c r="I931" s="550"/>
      <c r="J931" s="549"/>
      <c r="K931" s="549"/>
      <c r="L931" s="549"/>
      <c r="M931" s="549"/>
      <c r="N931" s="551"/>
      <c r="O931" s="549"/>
      <c r="P931" s="549"/>
      <c r="Q931" s="549"/>
      <c r="R931" s="549"/>
      <c r="S931" s="549"/>
      <c r="T931" s="549"/>
      <c r="U931" s="549"/>
      <c r="V931" s="549"/>
      <c r="W931" s="549"/>
      <c r="X931" s="549"/>
      <c r="Y931" s="549"/>
      <c r="Z931" s="549"/>
    </row>
    <row r="932" spans="1:26" ht="15">
      <c r="A932" s="549"/>
      <c r="B932" s="554"/>
      <c r="C932" s="549"/>
      <c r="D932" s="549"/>
      <c r="E932" s="570"/>
      <c r="F932" s="549"/>
      <c r="G932" s="549"/>
      <c r="H932" s="549"/>
      <c r="I932" s="550"/>
      <c r="J932" s="549"/>
      <c r="K932" s="549"/>
      <c r="L932" s="549"/>
      <c r="M932" s="549"/>
      <c r="N932" s="551"/>
      <c r="O932" s="549"/>
      <c r="P932" s="549"/>
      <c r="Q932" s="549"/>
      <c r="R932" s="549"/>
      <c r="S932" s="549"/>
      <c r="T932" s="549"/>
      <c r="U932" s="549"/>
      <c r="V932" s="549"/>
      <c r="W932" s="549"/>
      <c r="X932" s="549"/>
      <c r="Y932" s="549"/>
      <c r="Z932" s="549"/>
    </row>
    <row r="933" spans="1:26" ht="15">
      <c r="A933" s="549"/>
      <c r="B933" s="554"/>
      <c r="C933" s="549"/>
      <c r="D933" s="549"/>
      <c r="E933" s="570"/>
      <c r="F933" s="549"/>
      <c r="G933" s="549"/>
      <c r="H933" s="549"/>
      <c r="I933" s="550"/>
      <c r="J933" s="549"/>
      <c r="K933" s="549"/>
      <c r="L933" s="549"/>
      <c r="M933" s="549"/>
      <c r="N933" s="551"/>
      <c r="O933" s="549"/>
      <c r="P933" s="549"/>
      <c r="Q933" s="549"/>
      <c r="R933" s="549"/>
      <c r="S933" s="549"/>
      <c r="T933" s="549"/>
      <c r="U933" s="549"/>
      <c r="V933" s="549"/>
      <c r="W933" s="549"/>
      <c r="X933" s="549"/>
      <c r="Y933" s="549"/>
      <c r="Z933" s="549"/>
    </row>
    <row r="934" spans="1:26" ht="15">
      <c r="A934" s="549"/>
      <c r="B934" s="554"/>
      <c r="C934" s="549"/>
      <c r="D934" s="549"/>
      <c r="E934" s="570"/>
      <c r="F934" s="549"/>
      <c r="G934" s="549"/>
      <c r="H934" s="549"/>
      <c r="I934" s="550"/>
      <c r="J934" s="549"/>
      <c r="K934" s="549"/>
      <c r="L934" s="549"/>
      <c r="M934" s="549"/>
      <c r="N934" s="551"/>
      <c r="O934" s="549"/>
      <c r="P934" s="549"/>
      <c r="Q934" s="549"/>
      <c r="R934" s="549"/>
      <c r="S934" s="549"/>
      <c r="T934" s="549"/>
      <c r="U934" s="549"/>
      <c r="V934" s="549"/>
      <c r="W934" s="549"/>
      <c r="X934" s="549"/>
      <c r="Y934" s="549"/>
      <c r="Z934" s="549"/>
    </row>
    <row r="935" spans="1:26" ht="15">
      <c r="A935" s="549"/>
      <c r="B935" s="554"/>
      <c r="C935" s="549"/>
      <c r="D935" s="549"/>
      <c r="E935" s="570"/>
      <c r="F935" s="549"/>
      <c r="G935" s="549"/>
      <c r="H935" s="549"/>
      <c r="I935" s="550"/>
      <c r="J935" s="549"/>
      <c r="K935" s="549"/>
      <c r="L935" s="549"/>
      <c r="M935" s="549"/>
      <c r="N935" s="551"/>
      <c r="O935" s="549"/>
      <c r="P935" s="549"/>
      <c r="Q935" s="549"/>
      <c r="R935" s="549"/>
      <c r="S935" s="549"/>
      <c r="T935" s="549"/>
      <c r="U935" s="549"/>
      <c r="V935" s="549"/>
      <c r="W935" s="549"/>
      <c r="X935" s="549"/>
      <c r="Y935" s="549"/>
      <c r="Z935" s="549"/>
    </row>
    <row r="936" spans="1:26" ht="15">
      <c r="A936" s="549"/>
      <c r="B936" s="554"/>
      <c r="C936" s="549"/>
      <c r="D936" s="549"/>
      <c r="E936" s="570"/>
      <c r="F936" s="549"/>
      <c r="G936" s="549"/>
      <c r="H936" s="549"/>
      <c r="I936" s="550"/>
      <c r="J936" s="549"/>
      <c r="K936" s="549"/>
      <c r="L936" s="549"/>
      <c r="M936" s="549"/>
      <c r="N936" s="551"/>
      <c r="O936" s="549"/>
      <c r="P936" s="549"/>
      <c r="Q936" s="549"/>
      <c r="R936" s="549"/>
      <c r="S936" s="549"/>
      <c r="T936" s="549"/>
      <c r="U936" s="549"/>
      <c r="V936" s="549"/>
      <c r="W936" s="549"/>
      <c r="X936" s="549"/>
      <c r="Y936" s="549"/>
      <c r="Z936" s="549"/>
    </row>
    <row r="937" spans="1:26" ht="15">
      <c r="A937" s="549"/>
      <c r="B937" s="554"/>
      <c r="C937" s="549"/>
      <c r="D937" s="549"/>
      <c r="E937" s="570"/>
      <c r="F937" s="549"/>
      <c r="G937" s="549"/>
      <c r="H937" s="549"/>
      <c r="I937" s="550"/>
      <c r="J937" s="549"/>
      <c r="K937" s="549"/>
      <c r="L937" s="549"/>
      <c r="M937" s="549"/>
      <c r="N937" s="551"/>
      <c r="O937" s="549"/>
      <c r="P937" s="549"/>
      <c r="Q937" s="549"/>
      <c r="R937" s="549"/>
      <c r="S937" s="549"/>
      <c r="T937" s="549"/>
      <c r="U937" s="549"/>
      <c r="V937" s="549"/>
      <c r="W937" s="549"/>
      <c r="X937" s="549"/>
      <c r="Y937" s="549"/>
      <c r="Z937" s="549"/>
    </row>
    <row r="938" spans="1:26" ht="15">
      <c r="A938" s="549"/>
      <c r="B938" s="554"/>
      <c r="C938" s="549"/>
      <c r="D938" s="549"/>
      <c r="E938" s="570"/>
      <c r="F938" s="549"/>
      <c r="G938" s="549"/>
      <c r="H938" s="549"/>
      <c r="I938" s="550"/>
      <c r="J938" s="549"/>
      <c r="K938" s="549"/>
      <c r="L938" s="549"/>
      <c r="M938" s="549"/>
      <c r="N938" s="551"/>
      <c r="O938" s="549"/>
      <c r="P938" s="549"/>
      <c r="Q938" s="549"/>
      <c r="R938" s="549"/>
      <c r="S938" s="549"/>
      <c r="T938" s="549"/>
      <c r="U938" s="549"/>
      <c r="V938" s="549"/>
      <c r="W938" s="549"/>
      <c r="X938" s="549"/>
      <c r="Y938" s="549"/>
      <c r="Z938" s="549"/>
    </row>
    <row r="939" spans="1:26" ht="15">
      <c r="A939" s="549"/>
      <c r="B939" s="554"/>
      <c r="C939" s="549"/>
      <c r="D939" s="549"/>
      <c r="E939" s="570"/>
      <c r="F939" s="549"/>
      <c r="G939" s="549"/>
      <c r="H939" s="549"/>
      <c r="I939" s="550"/>
      <c r="J939" s="549"/>
      <c r="K939" s="549"/>
      <c r="L939" s="549"/>
      <c r="M939" s="549"/>
      <c r="N939" s="551"/>
      <c r="O939" s="549"/>
      <c r="P939" s="549"/>
      <c r="Q939" s="549"/>
      <c r="R939" s="549"/>
      <c r="S939" s="549"/>
      <c r="T939" s="549"/>
      <c r="U939" s="549"/>
      <c r="V939" s="549"/>
      <c r="W939" s="549"/>
      <c r="X939" s="549"/>
      <c r="Y939" s="549"/>
      <c r="Z939" s="549"/>
    </row>
    <row r="940" spans="1:26" ht="15">
      <c r="A940" s="549"/>
      <c r="B940" s="554"/>
      <c r="C940" s="549"/>
      <c r="D940" s="549"/>
      <c r="E940" s="570"/>
      <c r="F940" s="549"/>
      <c r="G940" s="549"/>
      <c r="H940" s="549"/>
      <c r="I940" s="550"/>
      <c r="J940" s="549"/>
      <c r="K940" s="549"/>
      <c r="L940" s="549"/>
      <c r="M940" s="549"/>
      <c r="N940" s="551"/>
      <c r="O940" s="549"/>
      <c r="P940" s="549"/>
      <c r="Q940" s="549"/>
      <c r="R940" s="549"/>
      <c r="S940" s="549"/>
      <c r="T940" s="549"/>
      <c r="U940" s="549"/>
      <c r="V940" s="549"/>
      <c r="W940" s="549"/>
      <c r="X940" s="549"/>
      <c r="Y940" s="549"/>
      <c r="Z940" s="549"/>
    </row>
    <row r="941" spans="1:26" ht="15">
      <c r="A941" s="549"/>
      <c r="B941" s="554"/>
      <c r="C941" s="549"/>
      <c r="D941" s="549"/>
      <c r="E941" s="570"/>
      <c r="F941" s="549"/>
      <c r="G941" s="549"/>
      <c r="H941" s="549"/>
      <c r="I941" s="550"/>
      <c r="J941" s="549"/>
      <c r="K941" s="549"/>
      <c r="L941" s="549"/>
      <c r="M941" s="549"/>
      <c r="N941" s="551"/>
      <c r="O941" s="549"/>
      <c r="P941" s="549"/>
      <c r="Q941" s="549"/>
      <c r="R941" s="549"/>
      <c r="S941" s="549"/>
      <c r="T941" s="549"/>
      <c r="U941" s="549"/>
      <c r="V941" s="549"/>
      <c r="W941" s="549"/>
      <c r="X941" s="549"/>
      <c r="Y941" s="549"/>
      <c r="Z941" s="549"/>
    </row>
    <row r="942" spans="1:26" ht="15">
      <c r="A942" s="549"/>
      <c r="B942" s="554"/>
      <c r="C942" s="549"/>
      <c r="D942" s="549"/>
      <c r="E942" s="570"/>
      <c r="F942" s="549"/>
      <c r="G942" s="549"/>
      <c r="H942" s="549"/>
      <c r="I942" s="550"/>
      <c r="J942" s="549"/>
      <c r="K942" s="549"/>
      <c r="L942" s="549"/>
      <c r="M942" s="549"/>
      <c r="N942" s="551"/>
      <c r="O942" s="549"/>
      <c r="P942" s="549"/>
      <c r="Q942" s="549"/>
      <c r="R942" s="549"/>
      <c r="S942" s="549"/>
      <c r="T942" s="549"/>
      <c r="U942" s="549"/>
      <c r="V942" s="549"/>
      <c r="W942" s="549"/>
      <c r="X942" s="549"/>
      <c r="Y942" s="549"/>
      <c r="Z942" s="549"/>
    </row>
    <row r="943" spans="1:26" ht="15">
      <c r="A943" s="549"/>
      <c r="B943" s="554"/>
      <c r="C943" s="549"/>
      <c r="D943" s="549"/>
      <c r="E943" s="570"/>
      <c r="F943" s="549"/>
      <c r="G943" s="549"/>
      <c r="H943" s="549"/>
      <c r="I943" s="550"/>
      <c r="J943" s="549"/>
      <c r="K943" s="549"/>
      <c r="L943" s="549"/>
      <c r="M943" s="549"/>
      <c r="N943" s="551"/>
      <c r="O943" s="549"/>
      <c r="P943" s="549"/>
      <c r="Q943" s="549"/>
      <c r="R943" s="549"/>
      <c r="S943" s="549"/>
      <c r="T943" s="549"/>
      <c r="U943" s="549"/>
      <c r="V943" s="549"/>
      <c r="W943" s="549"/>
      <c r="X943" s="549"/>
      <c r="Y943" s="549"/>
      <c r="Z943" s="549"/>
    </row>
    <row r="944" spans="1:26" ht="15">
      <c r="A944" s="549"/>
      <c r="B944" s="554"/>
      <c r="C944" s="549"/>
      <c r="D944" s="549"/>
      <c r="E944" s="570"/>
      <c r="F944" s="549"/>
      <c r="G944" s="549"/>
      <c r="H944" s="549"/>
      <c r="I944" s="550"/>
      <c r="J944" s="549"/>
      <c r="K944" s="549"/>
      <c r="L944" s="549"/>
      <c r="M944" s="549"/>
      <c r="N944" s="551"/>
      <c r="O944" s="549"/>
      <c r="P944" s="549"/>
      <c r="Q944" s="549"/>
      <c r="R944" s="549"/>
      <c r="S944" s="549"/>
      <c r="T944" s="549"/>
      <c r="U944" s="549"/>
      <c r="V944" s="549"/>
      <c r="W944" s="549"/>
      <c r="X944" s="549"/>
      <c r="Y944" s="549"/>
      <c r="Z944" s="549"/>
    </row>
    <row r="945" spans="1:26" ht="15">
      <c r="A945" s="549"/>
      <c r="B945" s="554"/>
      <c r="C945" s="549"/>
      <c r="D945" s="549"/>
      <c r="E945" s="570"/>
      <c r="F945" s="549"/>
      <c r="G945" s="549"/>
      <c r="H945" s="549"/>
      <c r="I945" s="550"/>
      <c r="J945" s="549"/>
      <c r="K945" s="549"/>
      <c r="L945" s="549"/>
      <c r="M945" s="549"/>
      <c r="N945" s="551"/>
      <c r="O945" s="549"/>
      <c r="P945" s="549"/>
      <c r="Q945" s="549"/>
      <c r="R945" s="549"/>
      <c r="S945" s="549"/>
      <c r="T945" s="549"/>
      <c r="U945" s="549"/>
      <c r="V945" s="549"/>
      <c r="W945" s="549"/>
      <c r="X945" s="549"/>
      <c r="Y945" s="549"/>
      <c r="Z945" s="549"/>
    </row>
    <row r="946" spans="1:26" ht="15">
      <c r="A946" s="549"/>
      <c r="B946" s="554"/>
      <c r="C946" s="549"/>
      <c r="D946" s="549"/>
      <c r="E946" s="570"/>
      <c r="F946" s="549"/>
      <c r="G946" s="549"/>
      <c r="H946" s="549"/>
      <c r="I946" s="550"/>
      <c r="J946" s="549"/>
      <c r="K946" s="549"/>
      <c r="L946" s="549"/>
      <c r="M946" s="549"/>
      <c r="N946" s="551"/>
      <c r="O946" s="549"/>
      <c r="P946" s="549"/>
      <c r="Q946" s="549"/>
      <c r="R946" s="549"/>
      <c r="S946" s="549"/>
      <c r="T946" s="549"/>
      <c r="U946" s="549"/>
      <c r="V946" s="549"/>
      <c r="W946" s="549"/>
      <c r="X946" s="549"/>
      <c r="Y946" s="549"/>
      <c r="Z946" s="549"/>
    </row>
    <row r="947" spans="1:26" ht="15">
      <c r="A947" s="549"/>
      <c r="B947" s="554"/>
      <c r="C947" s="549"/>
      <c r="D947" s="549"/>
      <c r="E947" s="570"/>
      <c r="F947" s="549"/>
      <c r="G947" s="549"/>
      <c r="H947" s="549"/>
      <c r="I947" s="550"/>
      <c r="J947" s="549"/>
      <c r="K947" s="549"/>
      <c r="L947" s="549"/>
      <c r="M947" s="549"/>
      <c r="N947" s="551"/>
      <c r="O947" s="549"/>
      <c r="P947" s="549"/>
      <c r="Q947" s="549"/>
      <c r="R947" s="549"/>
      <c r="S947" s="549"/>
      <c r="T947" s="549"/>
      <c r="U947" s="549"/>
      <c r="V947" s="549"/>
      <c r="W947" s="549"/>
      <c r="X947" s="549"/>
      <c r="Y947" s="549"/>
      <c r="Z947" s="549"/>
    </row>
    <row r="948" spans="1:26" ht="15">
      <c r="A948" s="549"/>
      <c r="B948" s="554"/>
      <c r="C948" s="549"/>
      <c r="D948" s="549"/>
      <c r="E948" s="570"/>
      <c r="F948" s="549"/>
      <c r="G948" s="549"/>
      <c r="H948" s="549"/>
      <c r="I948" s="550"/>
      <c r="J948" s="549"/>
      <c r="K948" s="549"/>
      <c r="L948" s="549"/>
      <c r="M948" s="549"/>
      <c r="N948" s="551"/>
      <c r="O948" s="549"/>
      <c r="P948" s="549"/>
      <c r="Q948" s="549"/>
      <c r="R948" s="549"/>
      <c r="S948" s="549"/>
      <c r="T948" s="549"/>
      <c r="U948" s="549"/>
      <c r="V948" s="549"/>
      <c r="W948" s="549"/>
      <c r="X948" s="549"/>
      <c r="Y948" s="549"/>
      <c r="Z948" s="549"/>
    </row>
    <row r="949" spans="1:26" ht="15">
      <c r="A949" s="549"/>
      <c r="B949" s="554"/>
      <c r="C949" s="549"/>
      <c r="D949" s="549"/>
      <c r="E949" s="570"/>
      <c r="F949" s="549"/>
      <c r="G949" s="549"/>
      <c r="H949" s="549"/>
      <c r="I949" s="550"/>
      <c r="J949" s="549"/>
      <c r="K949" s="549"/>
      <c r="L949" s="549"/>
      <c r="M949" s="549"/>
      <c r="N949" s="551"/>
      <c r="O949" s="549"/>
      <c r="P949" s="549"/>
      <c r="Q949" s="549"/>
      <c r="R949" s="549"/>
      <c r="S949" s="549"/>
      <c r="T949" s="549"/>
      <c r="U949" s="549"/>
      <c r="V949" s="549"/>
      <c r="W949" s="549"/>
      <c r="X949" s="549"/>
      <c r="Y949" s="549"/>
      <c r="Z949" s="549"/>
    </row>
    <row r="950" spans="1:26" ht="15">
      <c r="A950" s="549"/>
      <c r="B950" s="554"/>
      <c r="C950" s="549"/>
      <c r="D950" s="549"/>
      <c r="E950" s="570"/>
      <c r="F950" s="549"/>
      <c r="G950" s="549"/>
      <c r="H950" s="549"/>
      <c r="I950" s="550"/>
      <c r="J950" s="549"/>
      <c r="K950" s="549"/>
      <c r="L950" s="549"/>
      <c r="M950" s="549"/>
      <c r="N950" s="551"/>
      <c r="O950" s="549"/>
      <c r="P950" s="549"/>
      <c r="Q950" s="549"/>
      <c r="R950" s="549"/>
      <c r="S950" s="549"/>
      <c r="T950" s="549"/>
      <c r="U950" s="549"/>
      <c r="V950" s="549"/>
      <c r="W950" s="549"/>
      <c r="X950" s="549"/>
      <c r="Y950" s="549"/>
      <c r="Z950" s="549"/>
    </row>
    <row r="951" spans="1:26" ht="15">
      <c r="A951" s="549"/>
      <c r="B951" s="554"/>
      <c r="C951" s="549"/>
      <c r="D951" s="549"/>
      <c r="E951" s="570"/>
      <c r="F951" s="549"/>
      <c r="G951" s="549"/>
      <c r="H951" s="549"/>
      <c r="I951" s="550"/>
      <c r="J951" s="549"/>
      <c r="K951" s="549"/>
      <c r="L951" s="549"/>
      <c r="M951" s="549"/>
      <c r="N951" s="551"/>
      <c r="O951" s="549"/>
      <c r="P951" s="549"/>
      <c r="Q951" s="549"/>
      <c r="R951" s="549"/>
      <c r="S951" s="549"/>
      <c r="T951" s="549"/>
      <c r="U951" s="549"/>
      <c r="V951" s="549"/>
      <c r="W951" s="549"/>
      <c r="X951" s="549"/>
      <c r="Y951" s="549"/>
      <c r="Z951" s="549"/>
    </row>
    <row r="952" spans="1:26" ht="15">
      <c r="A952" s="549"/>
      <c r="B952" s="554"/>
      <c r="C952" s="549"/>
      <c r="D952" s="549"/>
      <c r="E952" s="570"/>
      <c r="F952" s="549"/>
      <c r="G952" s="549"/>
      <c r="H952" s="549"/>
      <c r="I952" s="550"/>
      <c r="J952" s="549"/>
      <c r="K952" s="549"/>
      <c r="L952" s="549"/>
      <c r="M952" s="549"/>
      <c r="N952" s="551"/>
      <c r="O952" s="549"/>
      <c r="P952" s="549"/>
      <c r="Q952" s="549"/>
      <c r="R952" s="549"/>
      <c r="S952" s="549"/>
      <c r="T952" s="549"/>
      <c r="U952" s="549"/>
      <c r="V952" s="549"/>
      <c r="W952" s="549"/>
      <c r="X952" s="549"/>
      <c r="Y952" s="549"/>
      <c r="Z952" s="549"/>
    </row>
    <row r="953" spans="1:26" ht="15">
      <c r="A953" s="549"/>
      <c r="B953" s="554"/>
      <c r="C953" s="549"/>
      <c r="D953" s="549"/>
      <c r="E953" s="570"/>
      <c r="F953" s="549"/>
      <c r="G953" s="549"/>
      <c r="H953" s="549"/>
      <c r="I953" s="550"/>
      <c r="J953" s="549"/>
      <c r="K953" s="549"/>
      <c r="L953" s="549"/>
      <c r="M953" s="549"/>
      <c r="N953" s="551"/>
      <c r="O953" s="549"/>
      <c r="P953" s="549"/>
      <c r="Q953" s="549"/>
      <c r="R953" s="549"/>
      <c r="S953" s="549"/>
      <c r="T953" s="549"/>
      <c r="U953" s="549"/>
      <c r="V953" s="549"/>
      <c r="W953" s="549"/>
      <c r="X953" s="549"/>
      <c r="Y953" s="549"/>
      <c r="Z953" s="549"/>
    </row>
    <row r="954" spans="1:26" ht="15">
      <c r="A954" s="549"/>
      <c r="B954" s="554"/>
      <c r="C954" s="549"/>
      <c r="D954" s="549"/>
      <c r="E954" s="570"/>
      <c r="F954" s="549"/>
      <c r="G954" s="549"/>
      <c r="H954" s="549"/>
      <c r="I954" s="550"/>
      <c r="J954" s="549"/>
      <c r="K954" s="549"/>
      <c r="L954" s="549"/>
      <c r="M954" s="549"/>
      <c r="N954" s="551"/>
      <c r="O954" s="549"/>
      <c r="P954" s="549"/>
      <c r="Q954" s="549"/>
      <c r="R954" s="549"/>
      <c r="S954" s="549"/>
      <c r="T954" s="549"/>
      <c r="U954" s="549"/>
      <c r="V954" s="549"/>
      <c r="W954" s="549"/>
      <c r="X954" s="549"/>
      <c r="Y954" s="549"/>
      <c r="Z954" s="549"/>
    </row>
    <row r="955" spans="1:26" ht="15">
      <c r="A955" s="549"/>
      <c r="B955" s="554"/>
      <c r="C955" s="549"/>
      <c r="D955" s="549"/>
      <c r="E955" s="570"/>
      <c r="F955" s="549"/>
      <c r="G955" s="549"/>
      <c r="H955" s="549"/>
      <c r="I955" s="550"/>
      <c r="J955" s="549"/>
      <c r="K955" s="549"/>
      <c r="L955" s="549"/>
      <c r="M955" s="549"/>
      <c r="N955" s="551"/>
      <c r="O955" s="549"/>
      <c r="P955" s="549"/>
      <c r="Q955" s="549"/>
      <c r="R955" s="549"/>
      <c r="S955" s="549"/>
      <c r="T955" s="549"/>
      <c r="U955" s="549"/>
      <c r="V955" s="549"/>
      <c r="W955" s="549"/>
      <c r="X955" s="549"/>
      <c r="Y955" s="549"/>
      <c r="Z955" s="549"/>
    </row>
    <row r="956" spans="1:26" ht="15">
      <c r="A956" s="549"/>
      <c r="B956" s="554"/>
      <c r="C956" s="549"/>
      <c r="D956" s="549"/>
      <c r="E956" s="570"/>
      <c r="F956" s="549"/>
      <c r="G956" s="549"/>
      <c r="H956" s="549"/>
      <c r="I956" s="550"/>
      <c r="J956" s="549"/>
      <c r="K956" s="549"/>
      <c r="L956" s="549"/>
      <c r="M956" s="549"/>
      <c r="N956" s="551"/>
      <c r="O956" s="549"/>
      <c r="P956" s="549"/>
      <c r="Q956" s="549"/>
      <c r="R956" s="549"/>
      <c r="S956" s="549"/>
      <c r="T956" s="549"/>
      <c r="U956" s="549"/>
      <c r="V956" s="549"/>
      <c r="W956" s="549"/>
      <c r="X956" s="549"/>
      <c r="Y956" s="549"/>
      <c r="Z956" s="549"/>
    </row>
    <row r="957" spans="1:26" ht="15">
      <c r="A957" s="549"/>
      <c r="B957" s="554"/>
      <c r="C957" s="549"/>
      <c r="D957" s="549"/>
      <c r="E957" s="570"/>
      <c r="F957" s="549"/>
      <c r="G957" s="549"/>
      <c r="H957" s="549"/>
      <c r="I957" s="550"/>
      <c r="J957" s="549"/>
      <c r="K957" s="549"/>
      <c r="L957" s="549"/>
      <c r="M957" s="549"/>
      <c r="N957" s="551"/>
      <c r="O957" s="549"/>
      <c r="P957" s="549"/>
      <c r="Q957" s="549"/>
      <c r="R957" s="549"/>
      <c r="S957" s="549"/>
      <c r="T957" s="549"/>
      <c r="U957" s="549"/>
      <c r="V957" s="549"/>
      <c r="W957" s="549"/>
      <c r="X957" s="549"/>
      <c r="Y957" s="549"/>
      <c r="Z957" s="549"/>
    </row>
    <row r="958" spans="1:26" ht="15">
      <c r="A958" s="549"/>
      <c r="B958" s="554"/>
      <c r="C958" s="549"/>
      <c r="D958" s="549"/>
      <c r="E958" s="570"/>
      <c r="F958" s="549"/>
      <c r="G958" s="549"/>
      <c r="H958" s="549"/>
      <c r="I958" s="550"/>
      <c r="J958" s="549"/>
      <c r="K958" s="549"/>
      <c r="L958" s="549"/>
      <c r="M958" s="549"/>
      <c r="N958" s="551"/>
      <c r="O958" s="549"/>
      <c r="P958" s="549"/>
      <c r="Q958" s="549"/>
      <c r="R958" s="549"/>
      <c r="S958" s="549"/>
      <c r="T958" s="549"/>
      <c r="U958" s="549"/>
      <c r="V958" s="549"/>
      <c r="W958" s="549"/>
      <c r="X958" s="549"/>
      <c r="Y958" s="549"/>
      <c r="Z958" s="549"/>
    </row>
    <row r="959" spans="1:26" ht="15">
      <c r="A959" s="549"/>
      <c r="B959" s="554"/>
      <c r="C959" s="549"/>
      <c r="D959" s="549"/>
      <c r="E959" s="570"/>
      <c r="F959" s="549"/>
      <c r="G959" s="549"/>
      <c r="H959" s="549"/>
      <c r="I959" s="550"/>
      <c r="J959" s="549"/>
      <c r="K959" s="549"/>
      <c r="L959" s="549"/>
      <c r="M959" s="549"/>
      <c r="N959" s="551"/>
      <c r="O959" s="549"/>
      <c r="P959" s="549"/>
      <c r="Q959" s="549"/>
      <c r="R959" s="549"/>
      <c r="S959" s="549"/>
      <c r="T959" s="549"/>
      <c r="U959" s="549"/>
      <c r="V959" s="549"/>
      <c r="W959" s="549"/>
      <c r="X959" s="549"/>
      <c r="Y959" s="549"/>
      <c r="Z959" s="549"/>
    </row>
    <row r="960" spans="1:26" ht="15">
      <c r="A960" s="549"/>
      <c r="B960" s="554"/>
      <c r="C960" s="549"/>
      <c r="D960" s="549"/>
      <c r="E960" s="570"/>
      <c r="F960" s="549"/>
      <c r="G960" s="549"/>
      <c r="H960" s="549"/>
      <c r="I960" s="550"/>
      <c r="J960" s="549"/>
      <c r="K960" s="549"/>
      <c r="L960" s="549"/>
      <c r="M960" s="549"/>
      <c r="N960" s="551"/>
      <c r="O960" s="549"/>
      <c r="P960" s="549"/>
      <c r="Q960" s="549"/>
      <c r="R960" s="549"/>
      <c r="S960" s="549"/>
      <c r="T960" s="549"/>
      <c r="U960" s="549"/>
      <c r="V960" s="549"/>
      <c r="W960" s="549"/>
      <c r="X960" s="549"/>
      <c r="Y960" s="549"/>
      <c r="Z960" s="549"/>
    </row>
    <row r="961" spans="1:26" ht="15">
      <c r="A961" s="549"/>
      <c r="B961" s="554"/>
      <c r="C961" s="549"/>
      <c r="D961" s="549"/>
      <c r="E961" s="570"/>
      <c r="F961" s="549"/>
      <c r="G961" s="549"/>
      <c r="H961" s="549"/>
      <c r="I961" s="550"/>
      <c r="J961" s="549"/>
      <c r="K961" s="549"/>
      <c r="L961" s="549"/>
      <c r="M961" s="549"/>
      <c r="N961" s="551"/>
      <c r="O961" s="549"/>
      <c r="P961" s="549"/>
      <c r="Q961" s="549"/>
      <c r="R961" s="549"/>
      <c r="S961" s="549"/>
      <c r="T961" s="549"/>
      <c r="U961" s="549"/>
      <c r="V961" s="549"/>
      <c r="W961" s="549"/>
      <c r="X961" s="549"/>
      <c r="Y961" s="549"/>
      <c r="Z961" s="549"/>
    </row>
    <row r="962" spans="1:26" ht="15">
      <c r="A962" s="549"/>
      <c r="B962" s="554"/>
      <c r="C962" s="549"/>
      <c r="D962" s="549"/>
      <c r="E962" s="570"/>
      <c r="F962" s="549"/>
      <c r="G962" s="549"/>
      <c r="H962" s="549"/>
      <c r="I962" s="550"/>
      <c r="J962" s="549"/>
      <c r="K962" s="549"/>
      <c r="L962" s="549"/>
      <c r="M962" s="549"/>
      <c r="N962" s="551"/>
      <c r="O962" s="549"/>
      <c r="P962" s="549"/>
      <c r="Q962" s="549"/>
      <c r="R962" s="549"/>
      <c r="S962" s="549"/>
      <c r="T962" s="549"/>
      <c r="U962" s="549"/>
      <c r="V962" s="549"/>
      <c r="W962" s="549"/>
      <c r="X962" s="549"/>
      <c r="Y962" s="549"/>
      <c r="Z962" s="549"/>
    </row>
    <row r="963" spans="1:26" ht="15">
      <c r="A963" s="549"/>
      <c r="B963" s="554"/>
      <c r="C963" s="549"/>
      <c r="D963" s="549"/>
      <c r="E963" s="570"/>
      <c r="F963" s="549"/>
      <c r="G963" s="549"/>
      <c r="H963" s="549"/>
      <c r="I963" s="550"/>
      <c r="J963" s="549"/>
      <c r="K963" s="549"/>
      <c r="L963" s="549"/>
      <c r="M963" s="549"/>
      <c r="N963" s="551"/>
      <c r="O963" s="549"/>
      <c r="P963" s="549"/>
      <c r="Q963" s="549"/>
      <c r="R963" s="549"/>
      <c r="S963" s="549"/>
      <c r="T963" s="549"/>
      <c r="U963" s="549"/>
      <c r="V963" s="549"/>
      <c r="W963" s="549"/>
      <c r="X963" s="549"/>
      <c r="Y963" s="549"/>
      <c r="Z963" s="549"/>
    </row>
    <row r="964" spans="1:26" ht="15">
      <c r="A964" s="549"/>
      <c r="B964" s="554"/>
      <c r="C964" s="549"/>
      <c r="D964" s="549"/>
      <c r="E964" s="570"/>
      <c r="F964" s="549"/>
      <c r="G964" s="549"/>
      <c r="H964" s="549"/>
      <c r="I964" s="550"/>
      <c r="J964" s="549"/>
      <c r="K964" s="549"/>
      <c r="L964" s="549"/>
      <c r="M964" s="549"/>
      <c r="N964" s="551"/>
      <c r="O964" s="549"/>
      <c r="P964" s="549"/>
      <c r="Q964" s="549"/>
      <c r="R964" s="549"/>
      <c r="S964" s="549"/>
      <c r="T964" s="549"/>
      <c r="U964" s="549"/>
      <c r="V964" s="549"/>
      <c r="W964" s="549"/>
      <c r="X964" s="549"/>
      <c r="Y964" s="549"/>
      <c r="Z964" s="549"/>
    </row>
    <row r="965" spans="1:26" ht="15">
      <c r="A965" s="549"/>
      <c r="B965" s="554"/>
      <c r="C965" s="549"/>
      <c r="D965" s="549"/>
      <c r="E965" s="570"/>
      <c r="F965" s="549"/>
      <c r="G965" s="549"/>
      <c r="H965" s="549"/>
      <c r="I965" s="550"/>
      <c r="J965" s="549"/>
      <c r="K965" s="549"/>
      <c r="L965" s="549"/>
      <c r="M965" s="549"/>
      <c r="N965" s="551"/>
      <c r="O965" s="549"/>
      <c r="P965" s="549"/>
      <c r="Q965" s="549"/>
      <c r="R965" s="549"/>
      <c r="S965" s="549"/>
      <c r="T965" s="549"/>
      <c r="U965" s="549"/>
      <c r="V965" s="549"/>
      <c r="W965" s="549"/>
      <c r="X965" s="549"/>
      <c r="Y965" s="549"/>
      <c r="Z965" s="549"/>
    </row>
    <row r="966" spans="1:26" ht="15">
      <c r="A966" s="549"/>
      <c r="B966" s="554"/>
      <c r="C966" s="549"/>
      <c r="D966" s="549"/>
      <c r="E966" s="570"/>
      <c r="F966" s="549"/>
      <c r="G966" s="549"/>
      <c r="H966" s="549"/>
      <c r="I966" s="550"/>
      <c r="J966" s="549"/>
      <c r="K966" s="549"/>
      <c r="L966" s="549"/>
      <c r="M966" s="549"/>
      <c r="N966" s="551"/>
      <c r="O966" s="549"/>
      <c r="P966" s="549"/>
      <c r="Q966" s="549"/>
      <c r="R966" s="549"/>
      <c r="S966" s="549"/>
      <c r="T966" s="549"/>
      <c r="U966" s="549"/>
      <c r="V966" s="549"/>
      <c r="W966" s="549"/>
      <c r="X966" s="549"/>
      <c r="Y966" s="549"/>
      <c r="Z966" s="549"/>
    </row>
    <row r="967" spans="1:26" ht="15">
      <c r="A967" s="549"/>
      <c r="B967" s="554"/>
      <c r="C967" s="549"/>
      <c r="D967" s="549"/>
      <c r="E967" s="570"/>
      <c r="F967" s="549"/>
      <c r="G967" s="549"/>
      <c r="H967" s="549"/>
      <c r="I967" s="550"/>
      <c r="J967" s="549"/>
      <c r="K967" s="549"/>
      <c r="L967" s="549"/>
      <c r="M967" s="549"/>
      <c r="N967" s="551"/>
      <c r="O967" s="549"/>
      <c r="P967" s="549"/>
      <c r="Q967" s="549"/>
      <c r="R967" s="549"/>
      <c r="S967" s="549"/>
      <c r="T967" s="549"/>
      <c r="U967" s="549"/>
      <c r="V967" s="549"/>
      <c r="W967" s="549"/>
      <c r="X967" s="549"/>
      <c r="Y967" s="549"/>
      <c r="Z967" s="549"/>
    </row>
    <row r="968" spans="1:26" ht="15">
      <c r="A968" s="549"/>
      <c r="B968" s="554"/>
      <c r="C968" s="549"/>
      <c r="D968" s="549"/>
      <c r="E968" s="570"/>
      <c r="F968" s="549"/>
      <c r="G968" s="549"/>
      <c r="H968" s="549"/>
      <c r="I968" s="550"/>
      <c r="J968" s="549"/>
      <c r="K968" s="549"/>
      <c r="L968" s="549"/>
      <c r="M968" s="549"/>
      <c r="N968" s="551"/>
      <c r="O968" s="549"/>
      <c r="P968" s="549"/>
      <c r="Q968" s="549"/>
      <c r="R968" s="549"/>
      <c r="S968" s="549"/>
      <c r="T968" s="549"/>
      <c r="U968" s="549"/>
      <c r="V968" s="549"/>
      <c r="W968" s="549"/>
      <c r="X968" s="549"/>
      <c r="Y968" s="549"/>
      <c r="Z968" s="549"/>
    </row>
    <row r="969" spans="1:26" ht="15">
      <c r="A969" s="549"/>
      <c r="B969" s="554"/>
      <c r="C969" s="549"/>
      <c r="D969" s="549"/>
      <c r="E969" s="570"/>
      <c r="F969" s="549"/>
      <c r="G969" s="549"/>
      <c r="H969" s="549"/>
      <c r="I969" s="550"/>
      <c r="J969" s="549"/>
      <c r="K969" s="549"/>
      <c r="L969" s="549"/>
      <c r="M969" s="549"/>
      <c r="N969" s="551"/>
      <c r="O969" s="549"/>
      <c r="P969" s="549"/>
      <c r="Q969" s="549"/>
      <c r="R969" s="549"/>
      <c r="S969" s="549"/>
      <c r="T969" s="549"/>
      <c r="U969" s="549"/>
      <c r="V969" s="549"/>
      <c r="W969" s="549"/>
      <c r="X969" s="549"/>
      <c r="Y969" s="549"/>
      <c r="Z969" s="549"/>
    </row>
    <row r="970" spans="1:26" ht="15">
      <c r="A970" s="549"/>
      <c r="B970" s="554"/>
      <c r="C970" s="549"/>
      <c r="D970" s="549"/>
      <c r="E970" s="570"/>
      <c r="F970" s="549"/>
      <c r="G970" s="549"/>
      <c r="H970" s="549"/>
      <c r="I970" s="550"/>
      <c r="J970" s="549"/>
      <c r="K970" s="549"/>
      <c r="L970" s="549"/>
      <c r="M970" s="549"/>
      <c r="N970" s="551"/>
      <c r="O970" s="549"/>
      <c r="P970" s="549"/>
      <c r="Q970" s="549"/>
      <c r="R970" s="549"/>
      <c r="S970" s="549"/>
      <c r="T970" s="549"/>
      <c r="U970" s="549"/>
      <c r="V970" s="549"/>
      <c r="W970" s="549"/>
      <c r="X970" s="549"/>
      <c r="Y970" s="549"/>
      <c r="Z970" s="549"/>
    </row>
    <row r="971" spans="1:26" ht="15">
      <c r="A971" s="549"/>
      <c r="B971" s="554"/>
      <c r="C971" s="549"/>
      <c r="D971" s="549"/>
      <c r="E971" s="570"/>
      <c r="F971" s="549"/>
      <c r="G971" s="549"/>
      <c r="H971" s="549"/>
      <c r="I971" s="550"/>
      <c r="J971" s="549"/>
      <c r="K971" s="549"/>
      <c r="L971" s="549"/>
      <c r="M971" s="549"/>
      <c r="N971" s="551"/>
      <c r="O971" s="549"/>
      <c r="P971" s="549"/>
      <c r="Q971" s="549"/>
      <c r="R971" s="549"/>
      <c r="S971" s="549"/>
      <c r="T971" s="549"/>
      <c r="U971" s="549"/>
      <c r="V971" s="549"/>
      <c r="W971" s="549"/>
      <c r="X971" s="549"/>
      <c r="Y971" s="549"/>
      <c r="Z971" s="549"/>
    </row>
    <row r="972" spans="1:26" ht="15">
      <c r="A972" s="549"/>
      <c r="B972" s="554"/>
      <c r="C972" s="549"/>
      <c r="D972" s="549"/>
      <c r="E972" s="570"/>
      <c r="F972" s="549"/>
      <c r="G972" s="549"/>
      <c r="H972" s="549"/>
      <c r="I972" s="550"/>
      <c r="J972" s="549"/>
      <c r="K972" s="549"/>
      <c r="L972" s="549"/>
      <c r="M972" s="549"/>
      <c r="N972" s="551"/>
      <c r="O972" s="549"/>
      <c r="P972" s="549"/>
      <c r="Q972" s="549"/>
      <c r="R972" s="549"/>
      <c r="S972" s="549"/>
      <c r="T972" s="549"/>
      <c r="U972" s="549"/>
      <c r="V972" s="549"/>
      <c r="W972" s="549"/>
      <c r="X972" s="549"/>
      <c r="Y972" s="549"/>
      <c r="Z972" s="549"/>
    </row>
    <row r="973" spans="1:26" ht="15">
      <c r="A973" s="549"/>
      <c r="B973" s="554"/>
      <c r="C973" s="549"/>
      <c r="D973" s="549"/>
      <c r="E973" s="570"/>
      <c r="F973" s="549"/>
      <c r="G973" s="549"/>
      <c r="H973" s="549"/>
      <c r="I973" s="550"/>
      <c r="J973" s="549"/>
      <c r="K973" s="549"/>
      <c r="L973" s="549"/>
      <c r="M973" s="549"/>
      <c r="N973" s="551"/>
      <c r="O973" s="549"/>
      <c r="P973" s="549"/>
      <c r="Q973" s="549"/>
      <c r="R973" s="549"/>
      <c r="S973" s="549"/>
      <c r="T973" s="549"/>
      <c r="U973" s="549"/>
      <c r="V973" s="549"/>
      <c r="W973" s="549"/>
      <c r="X973" s="549"/>
      <c r="Y973" s="549"/>
      <c r="Z973" s="549"/>
    </row>
    <row r="974" spans="1:26" ht="15">
      <c r="A974" s="549"/>
      <c r="B974" s="554"/>
      <c r="C974" s="549"/>
      <c r="D974" s="549"/>
      <c r="E974" s="570"/>
      <c r="F974" s="549"/>
      <c r="G974" s="549"/>
      <c r="H974" s="549"/>
      <c r="I974" s="550"/>
      <c r="J974" s="549"/>
      <c r="K974" s="549"/>
      <c r="L974" s="549"/>
      <c r="M974" s="549"/>
      <c r="N974" s="551"/>
      <c r="O974" s="549"/>
      <c r="P974" s="549"/>
      <c r="Q974" s="549"/>
      <c r="R974" s="549"/>
      <c r="S974" s="549"/>
      <c r="T974" s="549"/>
      <c r="U974" s="549"/>
      <c r="V974" s="549"/>
      <c r="W974" s="549"/>
      <c r="X974" s="549"/>
      <c r="Y974" s="549"/>
      <c r="Z974" s="549"/>
    </row>
    <row r="975" spans="1:26" ht="15">
      <c r="A975" s="549"/>
      <c r="B975" s="554"/>
      <c r="C975" s="549"/>
      <c r="D975" s="549"/>
      <c r="E975" s="570"/>
      <c r="F975" s="549"/>
      <c r="G975" s="549"/>
      <c r="H975" s="549"/>
      <c r="I975" s="550"/>
      <c r="J975" s="549"/>
      <c r="K975" s="549"/>
      <c r="L975" s="549"/>
      <c r="M975" s="549"/>
      <c r="N975" s="551"/>
      <c r="O975" s="549"/>
      <c r="P975" s="549"/>
      <c r="Q975" s="549"/>
      <c r="R975" s="549"/>
      <c r="S975" s="549"/>
      <c r="T975" s="549"/>
      <c r="U975" s="549"/>
      <c r="V975" s="549"/>
      <c r="W975" s="549"/>
      <c r="X975" s="549"/>
      <c r="Y975" s="549"/>
      <c r="Z975" s="549"/>
    </row>
    <row r="976" spans="1:26" ht="15">
      <c r="A976" s="549"/>
      <c r="B976" s="554"/>
      <c r="C976" s="549"/>
      <c r="D976" s="549"/>
      <c r="E976" s="570"/>
      <c r="F976" s="549"/>
      <c r="G976" s="549"/>
      <c r="H976" s="549"/>
      <c r="I976" s="550"/>
      <c r="J976" s="549"/>
      <c r="K976" s="549"/>
      <c r="L976" s="549"/>
      <c r="M976" s="549"/>
      <c r="N976" s="551"/>
      <c r="O976" s="549"/>
      <c r="P976" s="549"/>
      <c r="Q976" s="549"/>
      <c r="R976" s="549"/>
      <c r="S976" s="549"/>
      <c r="T976" s="549"/>
      <c r="U976" s="549"/>
      <c r="V976" s="549"/>
      <c r="W976" s="549"/>
      <c r="X976" s="549"/>
      <c r="Y976" s="549"/>
      <c r="Z976" s="549"/>
    </row>
    <row r="977" spans="1:26" ht="15">
      <c r="A977" s="549"/>
      <c r="B977" s="554"/>
      <c r="C977" s="549"/>
      <c r="D977" s="549"/>
      <c r="E977" s="570"/>
      <c r="F977" s="549"/>
      <c r="G977" s="549"/>
      <c r="H977" s="549"/>
      <c r="I977" s="550"/>
      <c r="J977" s="549"/>
      <c r="K977" s="549"/>
      <c r="L977" s="549"/>
      <c r="M977" s="549"/>
      <c r="N977" s="551"/>
      <c r="O977" s="549"/>
      <c r="P977" s="549"/>
      <c r="Q977" s="549"/>
      <c r="R977" s="549"/>
      <c r="S977" s="549"/>
      <c r="T977" s="549"/>
      <c r="U977" s="549"/>
      <c r="V977" s="549"/>
      <c r="W977" s="549"/>
      <c r="X977" s="549"/>
      <c r="Y977" s="549"/>
      <c r="Z977" s="549"/>
    </row>
    <row r="978" spans="1:26" ht="15">
      <c r="A978" s="549"/>
      <c r="B978" s="554"/>
      <c r="C978" s="549"/>
      <c r="D978" s="549"/>
      <c r="E978" s="570"/>
      <c r="F978" s="549"/>
      <c r="G978" s="549"/>
      <c r="H978" s="549"/>
      <c r="I978" s="550"/>
      <c r="J978" s="549"/>
      <c r="K978" s="549"/>
      <c r="L978" s="549"/>
      <c r="M978" s="549"/>
      <c r="N978" s="551"/>
      <c r="O978" s="549"/>
      <c r="P978" s="549"/>
      <c r="Q978" s="549"/>
      <c r="R978" s="549"/>
      <c r="S978" s="549"/>
      <c r="T978" s="549"/>
      <c r="U978" s="549"/>
      <c r="V978" s="549"/>
      <c r="W978" s="549"/>
      <c r="X978" s="549"/>
      <c r="Y978" s="549"/>
      <c r="Z978" s="549"/>
    </row>
    <row r="979" spans="1:26" ht="15">
      <c r="A979" s="549"/>
      <c r="B979" s="554"/>
      <c r="C979" s="549"/>
      <c r="D979" s="549"/>
      <c r="E979" s="570"/>
      <c r="F979" s="549"/>
      <c r="G979" s="549"/>
      <c r="H979" s="549"/>
      <c r="I979" s="550"/>
      <c r="J979" s="549"/>
      <c r="K979" s="549"/>
      <c r="L979" s="549"/>
      <c r="M979" s="549"/>
      <c r="N979" s="551"/>
      <c r="O979" s="549"/>
      <c r="P979" s="549"/>
      <c r="Q979" s="549"/>
      <c r="R979" s="549"/>
      <c r="S979" s="549"/>
      <c r="T979" s="549"/>
      <c r="U979" s="549"/>
      <c r="V979" s="549"/>
      <c r="W979" s="549"/>
      <c r="X979" s="549"/>
      <c r="Y979" s="549"/>
      <c r="Z979" s="549"/>
    </row>
    <row r="980" spans="1:26" ht="15">
      <c r="A980" s="549"/>
      <c r="B980" s="554"/>
      <c r="C980" s="549"/>
      <c r="D980" s="549"/>
      <c r="E980" s="570"/>
      <c r="F980" s="549"/>
      <c r="G980" s="549"/>
      <c r="H980" s="549"/>
      <c r="I980" s="550"/>
      <c r="J980" s="549"/>
      <c r="K980" s="549"/>
      <c r="L980" s="549"/>
      <c r="M980" s="549"/>
      <c r="N980" s="551"/>
      <c r="O980" s="549"/>
      <c r="P980" s="549"/>
      <c r="Q980" s="549"/>
      <c r="R980" s="549"/>
      <c r="S980" s="549"/>
      <c r="T980" s="549"/>
      <c r="U980" s="549"/>
      <c r="V980" s="549"/>
      <c r="W980" s="549"/>
      <c r="X980" s="549"/>
      <c r="Y980" s="549"/>
      <c r="Z980" s="549"/>
    </row>
    <row r="981" spans="1:26" ht="15">
      <c r="A981" s="549"/>
      <c r="B981" s="554"/>
      <c r="C981" s="549"/>
      <c r="D981" s="549"/>
      <c r="E981" s="570"/>
      <c r="F981" s="549"/>
      <c r="G981" s="549"/>
      <c r="H981" s="549"/>
      <c r="I981" s="550"/>
      <c r="J981" s="549"/>
      <c r="K981" s="549"/>
      <c r="L981" s="549"/>
      <c r="M981" s="549"/>
      <c r="N981" s="551"/>
      <c r="O981" s="549"/>
      <c r="P981" s="549"/>
      <c r="Q981" s="549"/>
      <c r="R981" s="549"/>
      <c r="S981" s="549"/>
      <c r="T981" s="549"/>
      <c r="U981" s="549"/>
      <c r="V981" s="549"/>
      <c r="W981" s="549"/>
      <c r="X981" s="549"/>
      <c r="Y981" s="549"/>
      <c r="Z981" s="549"/>
    </row>
    <row r="982" spans="1:26" ht="15">
      <c r="A982" s="549"/>
      <c r="B982" s="554"/>
      <c r="C982" s="549"/>
      <c r="D982" s="549"/>
      <c r="E982" s="570"/>
      <c r="F982" s="549"/>
      <c r="G982" s="549"/>
      <c r="H982" s="549"/>
      <c r="I982" s="550"/>
      <c r="J982" s="549"/>
      <c r="K982" s="549"/>
      <c r="L982" s="549"/>
      <c r="M982" s="549"/>
      <c r="N982" s="551"/>
      <c r="O982" s="549"/>
      <c r="P982" s="549"/>
      <c r="Q982" s="549"/>
      <c r="R982" s="549"/>
      <c r="S982" s="549"/>
      <c r="T982" s="549"/>
      <c r="U982" s="549"/>
      <c r="V982" s="549"/>
      <c r="W982" s="549"/>
      <c r="X982" s="549"/>
      <c r="Y982" s="549"/>
      <c r="Z982" s="549"/>
    </row>
    <row r="983" spans="1:26" ht="15">
      <c r="A983" s="549"/>
      <c r="B983" s="554"/>
      <c r="C983" s="549"/>
      <c r="D983" s="549"/>
      <c r="E983" s="570"/>
      <c r="F983" s="549"/>
      <c r="G983" s="549"/>
      <c r="H983" s="549"/>
      <c r="I983" s="550"/>
      <c r="J983" s="549"/>
      <c r="K983" s="549"/>
      <c r="L983" s="549"/>
      <c r="M983" s="549"/>
      <c r="N983" s="551"/>
      <c r="O983" s="549"/>
      <c r="P983" s="549"/>
      <c r="Q983" s="549"/>
      <c r="R983" s="549"/>
      <c r="S983" s="549"/>
      <c r="T983" s="549"/>
      <c r="U983" s="549"/>
      <c r="V983" s="549"/>
      <c r="W983" s="549"/>
      <c r="X983" s="549"/>
      <c r="Y983" s="549"/>
      <c r="Z983" s="549"/>
    </row>
    <row r="984" spans="1:26" ht="15">
      <c r="A984" s="549"/>
      <c r="B984" s="554"/>
      <c r="C984" s="549"/>
      <c r="D984" s="549"/>
      <c r="E984" s="570"/>
      <c r="F984" s="549"/>
      <c r="G984" s="549"/>
      <c r="H984" s="549"/>
      <c r="I984" s="550"/>
      <c r="J984" s="549"/>
      <c r="K984" s="549"/>
      <c r="L984" s="549"/>
      <c r="M984" s="549"/>
      <c r="N984" s="551"/>
      <c r="O984" s="549"/>
      <c r="P984" s="549"/>
      <c r="Q984" s="549"/>
      <c r="R984" s="549"/>
      <c r="S984" s="549"/>
      <c r="T984" s="549"/>
      <c r="U984" s="549"/>
      <c r="V984" s="549"/>
      <c r="W984" s="549"/>
      <c r="X984" s="549"/>
      <c r="Y984" s="549"/>
      <c r="Z984" s="549"/>
    </row>
    <row r="985" spans="1:26" ht="15">
      <c r="A985" s="549"/>
      <c r="B985" s="554"/>
      <c r="C985" s="549"/>
      <c r="D985" s="549"/>
      <c r="E985" s="570"/>
      <c r="F985" s="549"/>
      <c r="G985" s="549"/>
      <c r="H985" s="549"/>
      <c r="I985" s="550"/>
      <c r="J985" s="549"/>
      <c r="K985" s="549"/>
      <c r="L985" s="549"/>
      <c r="M985" s="549"/>
      <c r="N985" s="551"/>
      <c r="O985" s="549"/>
      <c r="P985" s="549"/>
      <c r="Q985" s="549"/>
      <c r="R985" s="549"/>
      <c r="S985" s="549"/>
      <c r="T985" s="549"/>
      <c r="U985" s="549"/>
      <c r="V985" s="549"/>
      <c r="W985" s="549"/>
      <c r="X985" s="549"/>
      <c r="Y985" s="549"/>
      <c r="Z985" s="549"/>
    </row>
    <row r="986" spans="1:26" ht="15">
      <c r="A986" s="549"/>
      <c r="B986" s="554"/>
      <c r="C986" s="549"/>
      <c r="D986" s="549"/>
      <c r="E986" s="570"/>
      <c r="F986" s="549"/>
      <c r="G986" s="549"/>
      <c r="H986" s="549"/>
      <c r="I986" s="550"/>
      <c r="J986" s="549"/>
      <c r="K986" s="549"/>
      <c r="L986" s="549"/>
      <c r="M986" s="549"/>
      <c r="N986" s="551"/>
      <c r="O986" s="549"/>
      <c r="P986" s="549"/>
      <c r="Q986" s="549"/>
      <c r="R986" s="549"/>
      <c r="S986" s="549"/>
      <c r="T986" s="549"/>
      <c r="U986" s="549"/>
      <c r="V986" s="549"/>
      <c r="W986" s="549"/>
      <c r="X986" s="549"/>
      <c r="Y986" s="549"/>
      <c r="Z986" s="549"/>
    </row>
    <row r="987" spans="1:26" ht="15">
      <c r="A987" s="549"/>
      <c r="B987" s="554"/>
      <c r="C987" s="549"/>
      <c r="D987" s="549"/>
      <c r="E987" s="570"/>
      <c r="F987" s="549"/>
      <c r="G987" s="549"/>
      <c r="H987" s="549"/>
      <c r="I987" s="550"/>
      <c r="J987" s="549"/>
      <c r="K987" s="549"/>
      <c r="L987" s="549"/>
      <c r="M987" s="549"/>
      <c r="N987" s="551"/>
      <c r="O987" s="549"/>
      <c r="P987" s="549"/>
      <c r="Q987" s="549"/>
      <c r="R987" s="549"/>
      <c r="S987" s="549"/>
      <c r="T987" s="549"/>
      <c r="U987" s="549"/>
      <c r="V987" s="549"/>
      <c r="W987" s="549"/>
      <c r="X987" s="549"/>
      <c r="Y987" s="549"/>
      <c r="Z987" s="549"/>
    </row>
    <row r="988" spans="1:26" ht="15">
      <c r="A988" s="549"/>
      <c r="B988" s="554"/>
      <c r="C988" s="549"/>
      <c r="D988" s="549"/>
      <c r="E988" s="570"/>
      <c r="F988" s="549"/>
      <c r="G988" s="549"/>
      <c r="H988" s="549"/>
      <c r="I988" s="550"/>
      <c r="J988" s="549"/>
      <c r="K988" s="549"/>
      <c r="L988" s="549"/>
      <c r="M988" s="549"/>
      <c r="N988" s="551"/>
      <c r="O988" s="549"/>
      <c r="P988" s="549"/>
      <c r="Q988" s="549"/>
      <c r="R988" s="549"/>
      <c r="S988" s="549"/>
      <c r="T988" s="549"/>
      <c r="U988" s="549"/>
      <c r="V988" s="549"/>
      <c r="W988" s="549"/>
      <c r="X988" s="549"/>
      <c r="Y988" s="549"/>
      <c r="Z988" s="549"/>
    </row>
    <row r="989" spans="1:26" ht="15">
      <c r="A989" s="549"/>
      <c r="B989" s="554"/>
      <c r="C989" s="549"/>
      <c r="D989" s="549"/>
      <c r="E989" s="570"/>
      <c r="F989" s="549"/>
      <c r="G989" s="549"/>
      <c r="H989" s="549"/>
      <c r="I989" s="550"/>
      <c r="J989" s="549"/>
      <c r="K989" s="549"/>
      <c r="L989" s="549"/>
      <c r="M989" s="549"/>
      <c r="N989" s="551"/>
      <c r="O989" s="549"/>
      <c r="P989" s="549"/>
      <c r="Q989" s="549"/>
      <c r="R989" s="549"/>
      <c r="S989" s="549"/>
      <c r="T989" s="549"/>
      <c r="U989" s="549"/>
      <c r="V989" s="549"/>
      <c r="W989" s="549"/>
      <c r="X989" s="549"/>
      <c r="Y989" s="549"/>
      <c r="Z989" s="549"/>
    </row>
    <row r="990" spans="1:26" ht="15">
      <c r="A990" s="549"/>
      <c r="B990" s="554"/>
      <c r="C990" s="549"/>
      <c r="D990" s="549"/>
      <c r="E990" s="570"/>
      <c r="F990" s="549"/>
      <c r="G990" s="549"/>
      <c r="H990" s="549"/>
      <c r="I990" s="550"/>
      <c r="J990" s="549"/>
      <c r="K990" s="549"/>
      <c r="L990" s="549"/>
      <c r="M990" s="549"/>
      <c r="N990" s="551"/>
      <c r="O990" s="549"/>
      <c r="P990" s="549"/>
      <c r="Q990" s="549"/>
      <c r="R990" s="549"/>
      <c r="S990" s="549"/>
      <c r="T990" s="549"/>
      <c r="U990" s="549"/>
      <c r="V990" s="549"/>
      <c r="W990" s="549"/>
      <c r="X990" s="549"/>
      <c r="Y990" s="549"/>
      <c r="Z990" s="549"/>
    </row>
    <row r="991" spans="1:26" ht="15">
      <c r="A991" s="549"/>
      <c r="B991" s="554"/>
      <c r="C991" s="549"/>
      <c r="D991" s="549"/>
      <c r="E991" s="570"/>
      <c r="F991" s="549"/>
      <c r="G991" s="549"/>
      <c r="H991" s="549"/>
      <c r="I991" s="550"/>
      <c r="J991" s="549"/>
      <c r="K991" s="549"/>
      <c r="L991" s="549"/>
      <c r="M991" s="549"/>
      <c r="N991" s="551"/>
      <c r="O991" s="549"/>
      <c r="P991" s="549"/>
      <c r="Q991" s="549"/>
      <c r="R991" s="549"/>
      <c r="S991" s="549"/>
      <c r="T991" s="549"/>
      <c r="U991" s="549"/>
      <c r="V991" s="549"/>
      <c r="W991" s="549"/>
      <c r="X991" s="549"/>
      <c r="Y991" s="549"/>
      <c r="Z991" s="549"/>
    </row>
    <row r="992" spans="1:26" ht="15">
      <c r="A992" s="549"/>
      <c r="B992" s="554"/>
      <c r="C992" s="549"/>
      <c r="D992" s="549"/>
      <c r="E992" s="570"/>
      <c r="F992" s="549"/>
      <c r="G992" s="549"/>
      <c r="H992" s="549"/>
      <c r="I992" s="550"/>
      <c r="J992" s="549"/>
      <c r="K992" s="549"/>
      <c r="L992" s="549"/>
      <c r="M992" s="549"/>
      <c r="N992" s="551"/>
      <c r="O992" s="549"/>
      <c r="P992" s="549"/>
      <c r="Q992" s="549"/>
      <c r="R992" s="549"/>
      <c r="S992" s="549"/>
      <c r="T992" s="549"/>
      <c r="U992" s="549"/>
      <c r="V992" s="549"/>
      <c r="W992" s="549"/>
      <c r="X992" s="549"/>
      <c r="Y992" s="549"/>
      <c r="Z992" s="549"/>
    </row>
    <row r="993" spans="1:26" ht="15">
      <c r="A993" s="549"/>
      <c r="B993" s="554"/>
      <c r="C993" s="549"/>
      <c r="D993" s="549"/>
      <c r="E993" s="570"/>
      <c r="F993" s="549"/>
      <c r="G993" s="549"/>
      <c r="H993" s="549"/>
      <c r="I993" s="550"/>
      <c r="J993" s="549"/>
      <c r="K993" s="549"/>
      <c r="L993" s="549"/>
      <c r="M993" s="549"/>
      <c r="N993" s="551"/>
      <c r="O993" s="549"/>
      <c r="P993" s="549"/>
      <c r="Q993" s="549"/>
      <c r="R993" s="549"/>
      <c r="S993" s="549"/>
      <c r="T993" s="549"/>
      <c r="U993" s="549"/>
      <c r="V993" s="549"/>
      <c r="W993" s="549"/>
      <c r="X993" s="549"/>
      <c r="Y993" s="549"/>
      <c r="Z993" s="549"/>
    </row>
    <row r="994" spans="1:26" ht="15">
      <c r="A994" s="549"/>
      <c r="B994" s="554"/>
      <c r="C994" s="549"/>
      <c r="D994" s="549"/>
      <c r="E994" s="570"/>
      <c r="F994" s="549"/>
      <c r="G994" s="549"/>
      <c r="H994" s="549"/>
      <c r="I994" s="550"/>
      <c r="J994" s="549"/>
      <c r="K994" s="549"/>
      <c r="L994" s="549"/>
      <c r="M994" s="549"/>
      <c r="N994" s="551"/>
      <c r="O994" s="549"/>
      <c r="P994" s="549"/>
      <c r="Q994" s="549"/>
      <c r="R994" s="549"/>
      <c r="S994" s="549"/>
      <c r="T994" s="549"/>
      <c r="U994" s="549"/>
      <c r="V994" s="549"/>
      <c r="W994" s="549"/>
      <c r="X994" s="549"/>
      <c r="Y994" s="549"/>
      <c r="Z994" s="549"/>
    </row>
    <row r="995" spans="1:26" ht="15">
      <c r="A995" s="549"/>
      <c r="B995" s="554"/>
      <c r="C995" s="549"/>
      <c r="D995" s="549"/>
      <c r="E995" s="570"/>
      <c r="F995" s="549"/>
      <c r="G995" s="549"/>
      <c r="H995" s="549"/>
      <c r="I995" s="550"/>
      <c r="J995" s="549"/>
      <c r="K995" s="549"/>
      <c r="L995" s="549"/>
      <c r="M995" s="549"/>
      <c r="N995" s="551"/>
      <c r="O995" s="549"/>
      <c r="P995" s="549"/>
      <c r="Q995" s="549"/>
      <c r="R995" s="549"/>
      <c r="S995" s="549"/>
      <c r="T995" s="549"/>
      <c r="U995" s="549"/>
      <c r="V995" s="549"/>
      <c r="W995" s="549"/>
      <c r="X995" s="549"/>
      <c r="Y995" s="549"/>
      <c r="Z995" s="549"/>
    </row>
    <row r="996" spans="1:26" ht="15">
      <c r="A996" s="549"/>
      <c r="B996" s="554"/>
      <c r="C996" s="549"/>
      <c r="D996" s="549"/>
      <c r="E996" s="570"/>
      <c r="F996" s="549"/>
      <c r="G996" s="549"/>
      <c r="H996" s="549"/>
      <c r="I996" s="550"/>
      <c r="J996" s="549"/>
      <c r="K996" s="549"/>
      <c r="L996" s="549"/>
      <c r="M996" s="549"/>
      <c r="N996" s="551"/>
      <c r="O996" s="549"/>
      <c r="P996" s="549"/>
      <c r="Q996" s="549"/>
      <c r="R996" s="549"/>
      <c r="S996" s="549"/>
      <c r="T996" s="549"/>
      <c r="U996" s="549"/>
      <c r="V996" s="549"/>
      <c r="W996" s="549"/>
      <c r="X996" s="549"/>
      <c r="Y996" s="549"/>
      <c r="Z996" s="549"/>
    </row>
    <row r="997" spans="1:26" ht="15">
      <c r="A997" s="549"/>
      <c r="B997" s="554"/>
      <c r="C997" s="549"/>
      <c r="D997" s="549"/>
      <c r="E997" s="570"/>
      <c r="F997" s="549"/>
      <c r="G997" s="549"/>
      <c r="H997" s="549"/>
      <c r="I997" s="550"/>
      <c r="J997" s="549"/>
      <c r="K997" s="549"/>
      <c r="L997" s="549"/>
      <c r="M997" s="549"/>
      <c r="N997" s="551"/>
      <c r="O997" s="549"/>
      <c r="P997" s="549"/>
      <c r="Q997" s="549"/>
      <c r="R997" s="549"/>
      <c r="S997" s="549"/>
      <c r="T997" s="549"/>
      <c r="U997" s="549"/>
      <c r="V997" s="549"/>
      <c r="W997" s="549"/>
      <c r="X997" s="549"/>
      <c r="Y997" s="549"/>
      <c r="Z997" s="549"/>
    </row>
    <row r="998" spans="1:26" ht="15">
      <c r="A998" s="549"/>
      <c r="B998" s="554"/>
      <c r="C998" s="549"/>
      <c r="D998" s="549"/>
      <c r="E998" s="570"/>
      <c r="F998" s="549"/>
      <c r="G998" s="549"/>
      <c r="H998" s="549"/>
      <c r="I998" s="550"/>
      <c r="J998" s="549"/>
      <c r="K998" s="549"/>
      <c r="L998" s="549"/>
      <c r="M998" s="549"/>
      <c r="N998" s="551"/>
      <c r="O998" s="549"/>
      <c r="P998" s="549"/>
      <c r="Q998" s="549"/>
      <c r="R998" s="549"/>
      <c r="S998" s="549"/>
      <c r="T998" s="549"/>
      <c r="U998" s="549"/>
      <c r="V998" s="549"/>
      <c r="W998" s="549"/>
      <c r="X998" s="549"/>
      <c r="Y998" s="549"/>
      <c r="Z998" s="549"/>
    </row>
    <row r="999" spans="1:26" ht="15">
      <c r="A999" s="549"/>
      <c r="B999" s="554"/>
      <c r="C999" s="549"/>
      <c r="D999" s="549"/>
      <c r="E999" s="570"/>
      <c r="F999" s="549"/>
      <c r="G999" s="549"/>
      <c r="H999" s="549"/>
      <c r="I999" s="550"/>
      <c r="J999" s="549"/>
      <c r="K999" s="549"/>
      <c r="L999" s="549"/>
      <c r="M999" s="549"/>
      <c r="N999" s="551"/>
      <c r="O999" s="549"/>
      <c r="P999" s="549"/>
      <c r="Q999" s="549"/>
      <c r="R999" s="549"/>
      <c r="S999" s="549"/>
      <c r="T999" s="549"/>
      <c r="U999" s="549"/>
      <c r="V999" s="549"/>
      <c r="W999" s="549"/>
      <c r="X999" s="549"/>
      <c r="Y999" s="549"/>
      <c r="Z999" s="549"/>
    </row>
    <row r="1000" spans="1:26" ht="15">
      <c r="A1000" s="549"/>
      <c r="B1000" s="554"/>
      <c r="C1000" s="549"/>
      <c r="D1000" s="549"/>
      <c r="E1000" s="570"/>
      <c r="F1000" s="549"/>
      <c r="G1000" s="549"/>
      <c r="H1000" s="549"/>
      <c r="I1000" s="550"/>
      <c r="J1000" s="549"/>
      <c r="K1000" s="549"/>
      <c r="L1000" s="549"/>
      <c r="M1000" s="549"/>
      <c r="N1000" s="551"/>
      <c r="O1000" s="549"/>
      <c r="P1000" s="549"/>
      <c r="Q1000" s="549"/>
      <c r="R1000" s="549"/>
      <c r="S1000" s="549"/>
      <c r="T1000" s="549"/>
      <c r="U1000" s="549"/>
      <c r="V1000" s="549"/>
      <c r="W1000" s="549"/>
      <c r="X1000" s="549"/>
      <c r="Y1000" s="549"/>
      <c r="Z1000" s="549"/>
    </row>
    <row r="1001" spans="1:26" ht="15">
      <c r="A1001" s="549"/>
      <c r="B1001" s="554"/>
      <c r="C1001" s="549"/>
      <c r="D1001" s="549"/>
      <c r="E1001" s="570"/>
      <c r="F1001" s="549"/>
      <c r="G1001" s="549"/>
      <c r="H1001" s="549"/>
      <c r="I1001" s="550"/>
      <c r="J1001" s="549"/>
      <c r="K1001" s="549"/>
      <c r="L1001" s="549"/>
      <c r="M1001" s="549"/>
      <c r="N1001" s="551"/>
      <c r="O1001" s="549"/>
      <c r="P1001" s="549"/>
      <c r="Q1001" s="549"/>
      <c r="R1001" s="549"/>
      <c r="S1001" s="549"/>
      <c r="T1001" s="549"/>
      <c r="U1001" s="549"/>
      <c r="V1001" s="549"/>
      <c r="W1001" s="549"/>
      <c r="X1001" s="549"/>
      <c r="Y1001" s="549"/>
      <c r="Z1001" s="549"/>
    </row>
    <row r="1002" spans="1:26" ht="15">
      <c r="A1002" s="549"/>
      <c r="B1002" s="554"/>
      <c r="C1002" s="549"/>
      <c r="D1002" s="549"/>
      <c r="E1002" s="570"/>
      <c r="F1002" s="549"/>
      <c r="G1002" s="549"/>
      <c r="H1002" s="549"/>
      <c r="I1002" s="550"/>
      <c r="J1002" s="549"/>
      <c r="K1002" s="549"/>
      <c r="L1002" s="549"/>
      <c r="M1002" s="549"/>
      <c r="N1002" s="551"/>
      <c r="O1002" s="549"/>
      <c r="P1002" s="549"/>
      <c r="Q1002" s="549"/>
      <c r="R1002" s="549"/>
      <c r="S1002" s="549"/>
      <c r="T1002" s="549"/>
      <c r="U1002" s="549"/>
      <c r="V1002" s="549"/>
      <c r="W1002" s="549"/>
      <c r="X1002" s="549"/>
      <c r="Y1002" s="549"/>
      <c r="Z1002" s="549"/>
    </row>
    <row r="1003" spans="1:26" ht="15">
      <c r="A1003" s="549"/>
      <c r="B1003" s="554"/>
      <c r="C1003" s="549"/>
      <c r="D1003" s="549"/>
      <c r="E1003" s="570"/>
      <c r="F1003" s="549"/>
      <c r="G1003" s="549"/>
      <c r="H1003" s="549"/>
      <c r="I1003" s="550"/>
      <c r="J1003" s="549"/>
      <c r="K1003" s="549"/>
      <c r="L1003" s="549"/>
      <c r="M1003" s="549"/>
      <c r="N1003" s="551"/>
      <c r="O1003" s="549"/>
      <c r="P1003" s="549"/>
      <c r="Q1003" s="549"/>
      <c r="R1003" s="549"/>
      <c r="S1003" s="549"/>
      <c r="T1003" s="549"/>
      <c r="U1003" s="549"/>
      <c r="V1003" s="549"/>
      <c r="W1003" s="549"/>
      <c r="X1003" s="549"/>
      <c r="Y1003" s="549"/>
      <c r="Z1003" s="549"/>
    </row>
    <row r="1004" spans="1:26" ht="15">
      <c r="A1004" s="549"/>
      <c r="B1004" s="554"/>
      <c r="C1004" s="549"/>
      <c r="D1004" s="549"/>
      <c r="E1004" s="570"/>
      <c r="F1004" s="549"/>
      <c r="G1004" s="549"/>
      <c r="H1004" s="549"/>
      <c r="I1004" s="550"/>
      <c r="J1004" s="549"/>
      <c r="K1004" s="549"/>
      <c r="L1004" s="549"/>
      <c r="M1004" s="549"/>
      <c r="N1004" s="551"/>
      <c r="O1004" s="549"/>
      <c r="P1004" s="549"/>
      <c r="Q1004" s="549"/>
      <c r="R1004" s="549"/>
      <c r="S1004" s="549"/>
      <c r="T1004" s="549"/>
      <c r="U1004" s="549"/>
      <c r="V1004" s="549"/>
      <c r="W1004" s="549"/>
      <c r="X1004" s="549"/>
      <c r="Y1004" s="549"/>
      <c r="Z1004" s="549"/>
    </row>
    <row r="1005" spans="1:26" ht="15">
      <c r="A1005" s="549"/>
      <c r="B1005" s="554"/>
      <c r="C1005" s="549"/>
      <c r="D1005" s="549"/>
      <c r="E1005" s="570"/>
      <c r="F1005" s="549"/>
      <c r="G1005" s="549"/>
      <c r="H1005" s="549"/>
      <c r="I1005" s="550"/>
      <c r="J1005" s="549"/>
      <c r="K1005" s="549"/>
      <c r="L1005" s="549"/>
      <c r="M1005" s="549"/>
      <c r="N1005" s="551"/>
      <c r="O1005" s="549"/>
      <c r="P1005" s="549"/>
      <c r="Q1005" s="549"/>
      <c r="R1005" s="549"/>
      <c r="S1005" s="549"/>
      <c r="T1005" s="549"/>
      <c r="U1005" s="549"/>
      <c r="V1005" s="549"/>
      <c r="W1005" s="549"/>
      <c r="X1005" s="549"/>
      <c r="Y1005" s="549"/>
      <c r="Z1005" s="549"/>
    </row>
    <row r="1006" spans="1:26" ht="15">
      <c r="A1006" s="549"/>
      <c r="B1006" s="554"/>
      <c r="C1006" s="549"/>
      <c r="D1006" s="549"/>
      <c r="E1006" s="570"/>
      <c r="F1006" s="549"/>
      <c r="G1006" s="549"/>
      <c r="H1006" s="549"/>
      <c r="I1006" s="550"/>
      <c r="J1006" s="549"/>
      <c r="K1006" s="549"/>
      <c r="L1006" s="549"/>
      <c r="M1006" s="549"/>
      <c r="N1006" s="551"/>
      <c r="O1006" s="549"/>
      <c r="P1006" s="549"/>
      <c r="Q1006" s="549"/>
      <c r="R1006" s="549"/>
      <c r="S1006" s="549"/>
      <c r="T1006" s="549"/>
      <c r="U1006" s="549"/>
      <c r="V1006" s="549"/>
      <c r="W1006" s="549"/>
      <c r="X1006" s="549"/>
      <c r="Y1006" s="549"/>
      <c r="Z1006" s="549"/>
    </row>
    <row r="1007" spans="1:26" ht="15">
      <c r="A1007" s="549"/>
      <c r="B1007" s="554"/>
      <c r="C1007" s="549"/>
      <c r="D1007" s="549"/>
      <c r="E1007" s="570"/>
      <c r="F1007" s="549"/>
      <c r="G1007" s="549"/>
      <c r="H1007" s="549"/>
      <c r="I1007" s="550"/>
      <c r="J1007" s="549"/>
      <c r="K1007" s="549"/>
      <c r="L1007" s="549"/>
      <c r="M1007" s="549"/>
      <c r="N1007" s="551"/>
      <c r="O1007" s="549"/>
      <c r="P1007" s="549"/>
      <c r="Q1007" s="549"/>
      <c r="R1007" s="549"/>
      <c r="S1007" s="549"/>
      <c r="T1007" s="549"/>
      <c r="U1007" s="549"/>
      <c r="V1007" s="549"/>
      <c r="W1007" s="549"/>
      <c r="X1007" s="549"/>
      <c r="Y1007" s="549"/>
      <c r="Z1007" s="549"/>
    </row>
    <row r="1008" spans="1:26" ht="15">
      <c r="A1008" s="549"/>
      <c r="B1008" s="554"/>
      <c r="C1008" s="549"/>
      <c r="D1008" s="549"/>
      <c r="E1008" s="570"/>
      <c r="F1008" s="549"/>
      <c r="G1008" s="549"/>
      <c r="H1008" s="549"/>
      <c r="I1008" s="550"/>
      <c r="J1008" s="549"/>
      <c r="K1008" s="549"/>
      <c r="L1008" s="549"/>
      <c r="M1008" s="549"/>
      <c r="N1008" s="551"/>
      <c r="O1008" s="549"/>
      <c r="P1008" s="549"/>
      <c r="Q1008" s="549"/>
      <c r="R1008" s="549"/>
      <c r="S1008" s="549"/>
      <c r="T1008" s="549"/>
      <c r="U1008" s="549"/>
      <c r="V1008" s="549"/>
      <c r="W1008" s="549"/>
      <c r="X1008" s="549"/>
      <c r="Y1008" s="549"/>
      <c r="Z1008" s="549"/>
    </row>
    <row r="1009" spans="1:26" ht="15">
      <c r="A1009" s="549"/>
      <c r="B1009" s="554"/>
      <c r="C1009" s="549"/>
      <c r="D1009" s="549"/>
      <c r="E1009" s="570"/>
      <c r="F1009" s="549"/>
      <c r="G1009" s="549"/>
      <c r="H1009" s="549"/>
      <c r="I1009" s="550"/>
      <c r="J1009" s="549"/>
      <c r="K1009" s="549"/>
      <c r="L1009" s="549"/>
      <c r="M1009" s="549"/>
      <c r="N1009" s="551"/>
      <c r="O1009" s="549"/>
      <c r="P1009" s="549"/>
      <c r="Q1009" s="549"/>
      <c r="R1009" s="549"/>
      <c r="S1009" s="549"/>
      <c r="T1009" s="549"/>
      <c r="U1009" s="549"/>
      <c r="V1009" s="549"/>
      <c r="W1009" s="549"/>
      <c r="X1009" s="549"/>
      <c r="Y1009" s="549"/>
      <c r="Z1009" s="549"/>
    </row>
    <row r="1010" spans="1:26" ht="15">
      <c r="A1010" s="549"/>
      <c r="B1010" s="554"/>
      <c r="C1010" s="549"/>
      <c r="D1010" s="549"/>
      <c r="E1010" s="570"/>
      <c r="F1010" s="549"/>
      <c r="G1010" s="549"/>
      <c r="H1010" s="549"/>
      <c r="I1010" s="550"/>
      <c r="J1010" s="549"/>
      <c r="K1010" s="549"/>
      <c r="L1010" s="549"/>
      <c r="M1010" s="549"/>
      <c r="N1010" s="551"/>
      <c r="O1010" s="549"/>
      <c r="P1010" s="549"/>
      <c r="Q1010" s="549"/>
      <c r="R1010" s="549"/>
      <c r="S1010" s="549"/>
      <c r="T1010" s="549"/>
      <c r="U1010" s="549"/>
      <c r="V1010" s="549"/>
      <c r="W1010" s="549"/>
      <c r="X1010" s="549"/>
      <c r="Y1010" s="549"/>
      <c r="Z1010" s="549"/>
    </row>
    <row r="1011" spans="1:26" ht="15">
      <c r="A1011" s="549"/>
      <c r="B1011" s="554"/>
      <c r="C1011" s="549"/>
      <c r="D1011" s="549"/>
      <c r="E1011" s="570"/>
      <c r="F1011" s="549"/>
      <c r="G1011" s="549"/>
      <c r="H1011" s="549"/>
      <c r="I1011" s="550"/>
      <c r="J1011" s="549"/>
      <c r="K1011" s="549"/>
      <c r="L1011" s="549"/>
      <c r="M1011" s="549"/>
      <c r="N1011" s="551"/>
      <c r="O1011" s="549"/>
      <c r="P1011" s="549"/>
      <c r="Q1011" s="549"/>
      <c r="R1011" s="549"/>
      <c r="S1011" s="549"/>
      <c r="T1011" s="549"/>
      <c r="U1011" s="549"/>
      <c r="V1011" s="549"/>
      <c r="W1011" s="549"/>
      <c r="X1011" s="549"/>
      <c r="Y1011" s="549"/>
      <c r="Z1011" s="549"/>
    </row>
    <row r="1012" spans="1:26" ht="15">
      <c r="A1012" s="549"/>
      <c r="B1012" s="554"/>
      <c r="C1012" s="549"/>
      <c r="D1012" s="549"/>
      <c r="E1012" s="570"/>
      <c r="F1012" s="549"/>
      <c r="G1012" s="549"/>
      <c r="H1012" s="549"/>
      <c r="I1012" s="550"/>
      <c r="J1012" s="549"/>
      <c r="K1012" s="549"/>
      <c r="L1012" s="549"/>
      <c r="M1012" s="549"/>
      <c r="N1012" s="551"/>
      <c r="O1012" s="549"/>
      <c r="P1012" s="549"/>
      <c r="Q1012" s="549"/>
      <c r="R1012" s="549"/>
      <c r="S1012" s="549"/>
      <c r="T1012" s="549"/>
      <c r="U1012" s="549"/>
      <c r="V1012" s="549"/>
      <c r="W1012" s="549"/>
      <c r="X1012" s="549"/>
      <c r="Y1012" s="549"/>
      <c r="Z1012" s="549"/>
    </row>
    <row r="1013" spans="1:26" ht="15">
      <c r="A1013" s="549"/>
      <c r="B1013" s="554"/>
      <c r="C1013" s="549"/>
      <c r="D1013" s="549"/>
      <c r="E1013" s="570"/>
      <c r="F1013" s="549"/>
      <c r="G1013" s="549"/>
      <c r="H1013" s="549"/>
      <c r="I1013" s="550"/>
      <c r="J1013" s="549"/>
      <c r="K1013" s="549"/>
      <c r="L1013" s="549"/>
      <c r="M1013" s="549"/>
      <c r="N1013" s="551"/>
      <c r="O1013" s="549"/>
      <c r="P1013" s="549"/>
      <c r="Q1013" s="549"/>
      <c r="R1013" s="549"/>
      <c r="S1013" s="549"/>
      <c r="T1013" s="549"/>
      <c r="U1013" s="549"/>
      <c r="V1013" s="549"/>
      <c r="W1013" s="549"/>
      <c r="X1013" s="549"/>
      <c r="Y1013" s="549"/>
      <c r="Z1013" s="549"/>
    </row>
    <row r="1014" spans="1:26" ht="15">
      <c r="A1014" s="549"/>
      <c r="B1014" s="554"/>
      <c r="C1014" s="549"/>
      <c r="D1014" s="549"/>
      <c r="E1014" s="570"/>
      <c r="F1014" s="549"/>
      <c r="G1014" s="549"/>
      <c r="H1014" s="549"/>
      <c r="I1014" s="550"/>
      <c r="J1014" s="549"/>
      <c r="K1014" s="549"/>
      <c r="L1014" s="549"/>
      <c r="M1014" s="549"/>
      <c r="N1014" s="551"/>
      <c r="O1014" s="549"/>
      <c r="P1014" s="549"/>
      <c r="Q1014" s="549"/>
      <c r="R1014" s="549"/>
      <c r="S1014" s="549"/>
      <c r="T1014" s="549"/>
      <c r="U1014" s="549"/>
      <c r="V1014" s="549"/>
      <c r="W1014" s="549"/>
      <c r="X1014" s="549"/>
      <c r="Y1014" s="549"/>
      <c r="Z1014" s="549"/>
    </row>
    <row r="1015" spans="1:26" ht="15">
      <c r="A1015" s="549"/>
      <c r="B1015" s="554"/>
      <c r="C1015" s="549"/>
      <c r="D1015" s="549"/>
      <c r="E1015" s="570"/>
      <c r="F1015" s="549"/>
      <c r="G1015" s="549"/>
      <c r="H1015" s="549"/>
      <c r="I1015" s="550"/>
      <c r="J1015" s="549"/>
      <c r="K1015" s="549"/>
      <c r="L1015" s="549"/>
      <c r="M1015" s="549"/>
      <c r="N1015" s="551"/>
      <c r="O1015" s="549"/>
      <c r="P1015" s="549"/>
      <c r="Q1015" s="549"/>
      <c r="R1015" s="549"/>
      <c r="S1015" s="549"/>
      <c r="T1015" s="549"/>
      <c r="U1015" s="549"/>
      <c r="V1015" s="549"/>
      <c r="W1015" s="549"/>
      <c r="X1015" s="549"/>
      <c r="Y1015" s="549"/>
      <c r="Z1015" s="549"/>
    </row>
    <row r="1016" spans="1:26" ht="15">
      <c r="A1016" s="549"/>
      <c r="B1016" s="554"/>
      <c r="C1016" s="549"/>
      <c r="D1016" s="549"/>
      <c r="E1016" s="570"/>
      <c r="F1016" s="549"/>
      <c r="G1016" s="549"/>
      <c r="H1016" s="549"/>
      <c r="I1016" s="550"/>
      <c r="J1016" s="549"/>
      <c r="K1016" s="549"/>
      <c r="L1016" s="549"/>
      <c r="M1016" s="549"/>
      <c r="N1016" s="551"/>
      <c r="O1016" s="549"/>
      <c r="P1016" s="549"/>
      <c r="Q1016" s="549"/>
      <c r="R1016" s="549"/>
      <c r="S1016" s="549"/>
      <c r="T1016" s="549"/>
      <c r="U1016" s="549"/>
      <c r="V1016" s="549"/>
      <c r="W1016" s="549"/>
      <c r="X1016" s="549"/>
      <c r="Y1016" s="549"/>
      <c r="Z1016" s="549"/>
    </row>
    <row r="1017" spans="1:26" ht="15">
      <c r="A1017" s="549"/>
      <c r="B1017" s="554"/>
      <c r="C1017" s="549"/>
      <c r="D1017" s="549"/>
      <c r="E1017" s="570"/>
      <c r="F1017" s="549"/>
      <c r="G1017" s="549"/>
      <c r="H1017" s="549"/>
      <c r="I1017" s="550"/>
      <c r="J1017" s="549"/>
      <c r="K1017" s="549"/>
      <c r="L1017" s="549"/>
      <c r="M1017" s="549"/>
      <c r="N1017" s="551"/>
      <c r="O1017" s="549"/>
      <c r="P1017" s="549"/>
      <c r="Q1017" s="549"/>
      <c r="R1017" s="549"/>
      <c r="S1017" s="549"/>
      <c r="T1017" s="549"/>
      <c r="U1017" s="549"/>
      <c r="V1017" s="549"/>
      <c r="W1017" s="549"/>
      <c r="X1017" s="549"/>
      <c r="Y1017" s="549"/>
      <c r="Z1017" s="549"/>
    </row>
    <row r="1018" spans="1:26" ht="15">
      <c r="A1018" s="549"/>
      <c r="B1018" s="554"/>
      <c r="C1018" s="549"/>
      <c r="D1018" s="549"/>
      <c r="E1018" s="570"/>
      <c r="F1018" s="549"/>
      <c r="G1018" s="549"/>
      <c r="H1018" s="549"/>
      <c r="I1018" s="550"/>
      <c r="J1018" s="549"/>
      <c r="K1018" s="549"/>
      <c r="L1018" s="549"/>
      <c r="M1018" s="549"/>
      <c r="N1018" s="551"/>
      <c r="O1018" s="549"/>
      <c r="P1018" s="549"/>
      <c r="Q1018" s="549"/>
      <c r="R1018" s="549"/>
      <c r="S1018" s="549"/>
      <c r="T1018" s="549"/>
      <c r="U1018" s="549"/>
      <c r="V1018" s="549"/>
      <c r="W1018" s="549"/>
      <c r="X1018" s="549"/>
      <c r="Y1018" s="549"/>
      <c r="Z1018" s="549"/>
    </row>
    <row r="1019" spans="1:26" ht="15">
      <c r="A1019" s="549"/>
      <c r="B1019" s="554"/>
      <c r="C1019" s="549"/>
      <c r="D1019" s="549"/>
      <c r="E1019" s="570"/>
      <c r="F1019" s="549"/>
      <c r="G1019" s="549"/>
      <c r="H1019" s="549"/>
      <c r="I1019" s="550"/>
      <c r="J1019" s="549"/>
      <c r="K1019" s="549"/>
      <c r="L1019" s="549"/>
      <c r="M1019" s="549"/>
      <c r="N1019" s="551"/>
      <c r="O1019" s="549"/>
      <c r="P1019" s="549"/>
      <c r="Q1019" s="549"/>
      <c r="R1019" s="549"/>
      <c r="S1019" s="549"/>
      <c r="T1019" s="549"/>
      <c r="U1019" s="549"/>
      <c r="V1019" s="549"/>
      <c r="W1019" s="549"/>
      <c r="X1019" s="549"/>
      <c r="Y1019" s="549"/>
      <c r="Z1019" s="549"/>
    </row>
    <row r="1020" spans="1:26" ht="15">
      <c r="A1020" s="549"/>
      <c r="B1020" s="554"/>
      <c r="C1020" s="549"/>
      <c r="D1020" s="549"/>
      <c r="E1020" s="570"/>
      <c r="F1020" s="549"/>
      <c r="G1020" s="549"/>
      <c r="H1020" s="549"/>
      <c r="I1020" s="550"/>
      <c r="J1020" s="549"/>
      <c r="K1020" s="549"/>
      <c r="L1020" s="549"/>
      <c r="M1020" s="549"/>
      <c r="N1020" s="551"/>
      <c r="O1020" s="549"/>
      <c r="P1020" s="549"/>
      <c r="Q1020" s="549"/>
      <c r="R1020" s="549"/>
      <c r="S1020" s="549"/>
      <c r="T1020" s="549"/>
      <c r="U1020" s="549"/>
      <c r="V1020" s="549"/>
      <c r="W1020" s="549"/>
      <c r="X1020" s="549"/>
      <c r="Y1020" s="549"/>
      <c r="Z1020" s="549"/>
    </row>
    <row r="1021" spans="1:26" ht="15">
      <c r="A1021" s="549"/>
      <c r="B1021" s="554"/>
      <c r="C1021" s="549"/>
      <c r="D1021" s="549"/>
      <c r="E1021" s="570"/>
      <c r="F1021" s="549"/>
      <c r="G1021" s="549"/>
      <c r="H1021" s="549"/>
      <c r="I1021" s="550"/>
      <c r="J1021" s="549"/>
      <c r="K1021" s="549"/>
      <c r="L1021" s="549"/>
      <c r="M1021" s="549"/>
      <c r="N1021" s="551"/>
      <c r="O1021" s="549"/>
      <c r="P1021" s="549"/>
      <c r="Q1021" s="549"/>
      <c r="R1021" s="549"/>
      <c r="S1021" s="549"/>
      <c r="T1021" s="549"/>
      <c r="U1021" s="549"/>
      <c r="V1021" s="549"/>
      <c r="W1021" s="549"/>
      <c r="X1021" s="549"/>
      <c r="Y1021" s="549"/>
      <c r="Z1021" s="549"/>
    </row>
    <row r="1022" spans="1:26" ht="15">
      <c r="A1022" s="549"/>
      <c r="B1022" s="554"/>
      <c r="C1022" s="549"/>
      <c r="D1022" s="549"/>
      <c r="E1022" s="570"/>
      <c r="F1022" s="549"/>
      <c r="G1022" s="549"/>
      <c r="H1022" s="549"/>
      <c r="I1022" s="550"/>
      <c r="J1022" s="549"/>
      <c r="K1022" s="549"/>
      <c r="L1022" s="549"/>
      <c r="M1022" s="549"/>
      <c r="N1022" s="551"/>
      <c r="O1022" s="549"/>
      <c r="P1022" s="549"/>
      <c r="Q1022" s="549"/>
      <c r="R1022" s="549"/>
      <c r="S1022" s="549"/>
      <c r="T1022" s="549"/>
      <c r="U1022" s="549"/>
      <c r="V1022" s="549"/>
      <c r="W1022" s="549"/>
      <c r="X1022" s="549"/>
      <c r="Y1022" s="549"/>
      <c r="Z1022" s="549"/>
    </row>
    <row r="1023" spans="1:26" ht="15">
      <c r="A1023" s="549"/>
      <c r="B1023" s="554"/>
      <c r="C1023" s="549"/>
      <c r="D1023" s="549"/>
      <c r="E1023" s="570"/>
      <c r="F1023" s="549"/>
      <c r="G1023" s="549"/>
      <c r="H1023" s="549"/>
      <c r="I1023" s="550"/>
      <c r="J1023" s="549"/>
      <c r="K1023" s="549"/>
      <c r="L1023" s="549"/>
      <c r="M1023" s="549"/>
      <c r="N1023" s="551"/>
      <c r="O1023" s="549"/>
      <c r="P1023" s="549"/>
      <c r="Q1023" s="549"/>
      <c r="R1023" s="549"/>
      <c r="S1023" s="549"/>
      <c r="T1023" s="549"/>
      <c r="U1023" s="549"/>
      <c r="V1023" s="549"/>
      <c r="W1023" s="549"/>
      <c r="X1023" s="549"/>
      <c r="Y1023" s="549"/>
      <c r="Z1023" s="549"/>
    </row>
    <row r="1024" spans="1:26" ht="15">
      <c r="A1024" s="549"/>
      <c r="B1024" s="554"/>
      <c r="C1024" s="549"/>
      <c r="D1024" s="549"/>
      <c r="E1024" s="570"/>
      <c r="F1024" s="549"/>
      <c r="G1024" s="549"/>
      <c r="H1024" s="549"/>
      <c r="I1024" s="550"/>
      <c r="J1024" s="549"/>
      <c r="K1024" s="549"/>
      <c r="L1024" s="549"/>
      <c r="M1024" s="549"/>
      <c r="N1024" s="551"/>
      <c r="O1024" s="549"/>
      <c r="P1024" s="549"/>
      <c r="Q1024" s="549"/>
      <c r="R1024" s="549"/>
      <c r="S1024" s="549"/>
      <c r="T1024" s="549"/>
      <c r="U1024" s="549"/>
      <c r="V1024" s="549"/>
      <c r="W1024" s="549"/>
      <c r="X1024" s="549"/>
      <c r="Y1024" s="549"/>
      <c r="Z1024" s="549"/>
    </row>
    <row r="1025" spans="1:26" ht="15">
      <c r="A1025" s="549"/>
      <c r="B1025" s="554"/>
      <c r="C1025" s="549"/>
      <c r="D1025" s="549"/>
      <c r="E1025" s="570"/>
      <c r="F1025" s="549"/>
      <c r="G1025" s="549"/>
      <c r="H1025" s="549"/>
      <c r="I1025" s="550"/>
      <c r="J1025" s="549"/>
      <c r="K1025" s="549"/>
      <c r="L1025" s="549"/>
      <c r="M1025" s="549"/>
      <c r="N1025" s="551"/>
      <c r="O1025" s="549"/>
      <c r="P1025" s="549"/>
      <c r="Q1025" s="549"/>
      <c r="R1025" s="549"/>
      <c r="S1025" s="549"/>
      <c r="T1025" s="549"/>
      <c r="U1025" s="549"/>
      <c r="V1025" s="549"/>
      <c r="W1025" s="549"/>
      <c r="X1025" s="549"/>
      <c r="Y1025" s="549"/>
      <c r="Z1025" s="549"/>
    </row>
    <row r="1026" spans="1:26" ht="15">
      <c r="A1026" s="549"/>
      <c r="B1026" s="554"/>
      <c r="C1026" s="549"/>
      <c r="D1026" s="549"/>
      <c r="E1026" s="570"/>
      <c r="F1026" s="549"/>
      <c r="G1026" s="549"/>
      <c r="H1026" s="549"/>
      <c r="I1026" s="550"/>
      <c r="J1026" s="549"/>
      <c r="K1026" s="549"/>
      <c r="L1026" s="549"/>
      <c r="M1026" s="549"/>
      <c r="N1026" s="551"/>
      <c r="O1026" s="549"/>
      <c r="P1026" s="549"/>
      <c r="Q1026" s="549"/>
      <c r="R1026" s="549"/>
      <c r="S1026" s="549"/>
      <c r="T1026" s="549"/>
      <c r="U1026" s="549"/>
      <c r="V1026" s="549"/>
      <c r="W1026" s="549"/>
      <c r="X1026" s="549"/>
      <c r="Y1026" s="549"/>
      <c r="Z1026" s="549"/>
    </row>
    <row r="1027" spans="1:26" ht="15">
      <c r="A1027" s="549"/>
      <c r="B1027" s="554"/>
      <c r="C1027" s="549"/>
      <c r="D1027" s="549"/>
      <c r="E1027" s="570"/>
      <c r="F1027" s="549"/>
      <c r="G1027" s="549"/>
      <c r="H1027" s="549"/>
      <c r="I1027" s="550"/>
      <c r="J1027" s="549"/>
      <c r="K1027" s="549"/>
      <c r="L1027" s="549"/>
      <c r="M1027" s="549"/>
      <c r="N1027" s="551"/>
      <c r="O1027" s="549"/>
      <c r="P1027" s="549"/>
      <c r="Q1027" s="549"/>
      <c r="R1027" s="549"/>
      <c r="S1027" s="549"/>
      <c r="T1027" s="549"/>
      <c r="U1027" s="549"/>
      <c r="V1027" s="549"/>
      <c r="W1027" s="549"/>
      <c r="X1027" s="549"/>
      <c r="Y1027" s="549"/>
      <c r="Z1027" s="549"/>
    </row>
    <row r="1028" spans="1:26" ht="15">
      <c r="A1028" s="549"/>
      <c r="B1028" s="554"/>
      <c r="C1028" s="549"/>
      <c r="D1028" s="549"/>
      <c r="E1028" s="570"/>
      <c r="F1028" s="549"/>
      <c r="G1028" s="549"/>
      <c r="H1028" s="549"/>
      <c r="I1028" s="550"/>
      <c r="J1028" s="549"/>
      <c r="K1028" s="549"/>
      <c r="L1028" s="549"/>
      <c r="M1028" s="549"/>
      <c r="N1028" s="551"/>
      <c r="O1028" s="549"/>
      <c r="P1028" s="549"/>
      <c r="Q1028" s="549"/>
      <c r="R1028" s="549"/>
      <c r="S1028" s="549"/>
      <c r="T1028" s="549"/>
      <c r="U1028" s="549"/>
      <c r="V1028" s="549"/>
      <c r="W1028" s="549"/>
      <c r="X1028" s="549"/>
      <c r="Y1028" s="549"/>
      <c r="Z1028" s="549"/>
    </row>
    <row r="1029" spans="1:26" ht="15">
      <c r="A1029" s="549"/>
      <c r="B1029" s="554"/>
      <c r="C1029" s="549"/>
      <c r="D1029" s="549"/>
      <c r="E1029" s="570"/>
      <c r="F1029" s="549"/>
      <c r="G1029" s="549"/>
      <c r="H1029" s="549"/>
      <c r="I1029" s="550"/>
      <c r="J1029" s="549"/>
      <c r="K1029" s="549"/>
      <c r="L1029" s="549"/>
      <c r="M1029" s="549"/>
      <c r="N1029" s="551"/>
      <c r="O1029" s="549"/>
      <c r="P1029" s="549"/>
      <c r="Q1029" s="549"/>
      <c r="R1029" s="549"/>
      <c r="S1029" s="549"/>
      <c r="T1029" s="549"/>
      <c r="U1029" s="549"/>
      <c r="V1029" s="549"/>
      <c r="W1029" s="549"/>
      <c r="X1029" s="549"/>
      <c r="Y1029" s="549"/>
      <c r="Z1029" s="549"/>
    </row>
  </sheetData>
  <hyperlinks>
    <hyperlink ref="G2" r:id="rId1" xr:uid="{00000000-0004-0000-0800-000000000000}"/>
  </hyperlinks>
  <printOptions horizontalCentered="1" gridLines="1"/>
  <pageMargins left="0.7" right="0.7" top="0.75" bottom="0.75" header="0" footer="0"/>
  <pageSetup pageOrder="overThenDown" orientation="portrait" cellComments="atEnd"/>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pageSetUpPr fitToPage="1"/>
  </sheetPr>
  <dimension ref="A1:E1000"/>
  <sheetViews>
    <sheetView topLeftCell="A25" workbookViewId="0">
      <selection activeCell="G21" sqref="G21"/>
    </sheetView>
  </sheetViews>
  <sheetFormatPr defaultColWidth="12.7109375" defaultRowHeight="12.75" customHeight="1"/>
  <cols>
    <col min="1" max="1" width="20.85546875" style="1623" customWidth="1"/>
    <col min="2" max="16384" width="12.7109375" style="1623"/>
  </cols>
  <sheetData>
    <row r="1" spans="1:5" ht="12.75" customHeight="1">
      <c r="A1" s="1619" t="s">
        <v>3615</v>
      </c>
      <c r="B1" s="1620" t="s">
        <v>3620</v>
      </c>
      <c r="C1" s="1621">
        <v>1963</v>
      </c>
      <c r="D1" s="1622"/>
      <c r="E1" s="1622"/>
    </row>
    <row r="2" spans="1:5" ht="12.75" customHeight="1">
      <c r="A2" s="1619" t="s">
        <v>3606</v>
      </c>
      <c r="B2" s="1620" t="s">
        <v>3621</v>
      </c>
      <c r="C2" s="1621">
        <v>1961</v>
      </c>
      <c r="D2" s="1622"/>
      <c r="E2" s="1622"/>
    </row>
    <row r="3" spans="1:5" ht="12.75" customHeight="1">
      <c r="A3" s="1619" t="s">
        <v>3566</v>
      </c>
      <c r="B3" s="1620" t="s">
        <v>3463</v>
      </c>
      <c r="C3" s="1621">
        <v>2007</v>
      </c>
      <c r="D3" s="1622"/>
      <c r="E3" s="1622"/>
    </row>
    <row r="4" spans="1:5" ht="12.75" customHeight="1">
      <c r="A4" s="1624" t="s">
        <v>3554</v>
      </c>
      <c r="B4" s="1620" t="s">
        <v>3623</v>
      </c>
      <c r="C4" s="1621">
        <v>1989</v>
      </c>
      <c r="D4" s="1622"/>
      <c r="E4" s="1622"/>
    </row>
    <row r="5" spans="1:5" ht="12.75" customHeight="1">
      <c r="A5" s="1619" t="s">
        <v>3624</v>
      </c>
      <c r="B5" s="1620" t="s">
        <v>3625</v>
      </c>
      <c r="C5" s="1621">
        <v>1987</v>
      </c>
      <c r="D5" s="1622"/>
      <c r="E5" s="1622"/>
    </row>
    <row r="6" spans="1:5" ht="12.75" customHeight="1">
      <c r="A6" s="1619" t="s">
        <v>3564</v>
      </c>
      <c r="B6" s="1620" t="s">
        <v>3626</v>
      </c>
      <c r="C6" s="1621">
        <v>1975</v>
      </c>
      <c r="D6" s="1622"/>
      <c r="E6" s="1622"/>
    </row>
    <row r="7" spans="1:5" ht="12.75" customHeight="1">
      <c r="A7" s="1619" t="s">
        <v>8796</v>
      </c>
      <c r="B7" s="1620" t="s">
        <v>3628</v>
      </c>
      <c r="C7" s="1621">
        <v>2013</v>
      </c>
      <c r="D7" s="1622"/>
      <c r="E7" s="1622"/>
    </row>
    <row r="8" spans="1:5" ht="12.75" customHeight="1">
      <c r="A8" s="1619" t="s">
        <v>3678</v>
      </c>
      <c r="B8" s="1620" t="s">
        <v>3628</v>
      </c>
      <c r="C8" s="1621">
        <v>2018</v>
      </c>
      <c r="D8" s="1622"/>
      <c r="E8" s="1622"/>
    </row>
    <row r="9" spans="1:5" ht="12.75" customHeight="1">
      <c r="A9" s="1619" t="s">
        <v>3563</v>
      </c>
      <c r="B9" s="1620" t="s">
        <v>3629</v>
      </c>
      <c r="C9" s="1621">
        <v>1975</v>
      </c>
      <c r="D9" s="1622"/>
      <c r="E9" s="1622"/>
    </row>
    <row r="10" spans="1:5" ht="12.75" customHeight="1">
      <c r="A10" s="1619" t="s">
        <v>3604</v>
      </c>
      <c r="B10" s="1620" t="s">
        <v>3630</v>
      </c>
      <c r="C10" s="1621">
        <v>2024</v>
      </c>
      <c r="D10" s="1622"/>
      <c r="E10" s="1622"/>
    </row>
    <row r="11" spans="1:5" ht="12.75" customHeight="1">
      <c r="A11" s="1619" t="s">
        <v>3617</v>
      </c>
      <c r="B11" s="1620" t="s">
        <v>3631</v>
      </c>
      <c r="C11" s="1621">
        <v>1950</v>
      </c>
      <c r="D11" s="1622"/>
      <c r="E11" s="1622"/>
    </row>
    <row r="12" spans="1:5" ht="12.75" customHeight="1">
      <c r="A12" s="1619" t="s">
        <v>3679</v>
      </c>
      <c r="B12" s="1620" t="s">
        <v>3632</v>
      </c>
      <c r="C12" s="1621">
        <v>2011</v>
      </c>
      <c r="D12" s="1622"/>
      <c r="E12" s="1622"/>
    </row>
    <row r="13" spans="1:5" ht="12.75" customHeight="1">
      <c r="A13" s="1619" t="s">
        <v>3605</v>
      </c>
      <c r="B13" s="1620" t="s">
        <v>3633</v>
      </c>
      <c r="C13" s="1621">
        <v>1962</v>
      </c>
      <c r="D13" s="1622"/>
      <c r="E13" s="1622"/>
    </row>
    <row r="14" spans="1:5" ht="12.75" customHeight="1">
      <c r="A14" s="1619" t="s">
        <v>3585</v>
      </c>
      <c r="B14" s="1620" t="s">
        <v>3634</v>
      </c>
      <c r="C14" s="1621">
        <v>1993</v>
      </c>
      <c r="D14" s="1625"/>
      <c r="E14" s="1622"/>
    </row>
    <row r="15" spans="1:5" ht="12.75" customHeight="1">
      <c r="A15" s="1619" t="s">
        <v>3680</v>
      </c>
      <c r="B15" s="1620" t="s">
        <v>3635</v>
      </c>
      <c r="C15" s="1621">
        <v>2021</v>
      </c>
      <c r="D15" s="1625"/>
      <c r="E15" s="1622"/>
    </row>
    <row r="16" spans="1:5" ht="12.75" customHeight="1">
      <c r="A16" s="1619" t="s">
        <v>3561</v>
      </c>
      <c r="B16" s="1620" t="s">
        <v>3636</v>
      </c>
      <c r="C16" s="1621">
        <v>1982</v>
      </c>
      <c r="D16" s="1622"/>
      <c r="E16" s="1622"/>
    </row>
    <row r="17" spans="1:5" ht="12.75" customHeight="1">
      <c r="A17" s="1619" t="s">
        <v>3681</v>
      </c>
      <c r="B17" s="1620" t="s">
        <v>3637</v>
      </c>
      <c r="C17" s="1621">
        <v>2009</v>
      </c>
      <c r="D17" s="1622"/>
      <c r="E17" s="1622"/>
    </row>
    <row r="18" spans="1:5" ht="12.75" customHeight="1">
      <c r="A18" s="1619" t="s">
        <v>3555</v>
      </c>
      <c r="B18" s="1620" t="s">
        <v>3638</v>
      </c>
      <c r="C18" s="1621">
        <v>1948</v>
      </c>
      <c r="D18" s="1622"/>
      <c r="E18" s="1622"/>
    </row>
    <row r="19" spans="1:5" ht="12.75" customHeight="1">
      <c r="A19" s="1619" t="s">
        <v>3570</v>
      </c>
      <c r="B19" s="1620" t="s">
        <v>3639</v>
      </c>
      <c r="C19" s="1621">
        <v>1951</v>
      </c>
      <c r="D19" s="1622"/>
      <c r="E19" s="1622"/>
    </row>
    <row r="20" spans="1:5" ht="12.75" customHeight="1">
      <c r="A20" s="1619" t="s">
        <v>3612</v>
      </c>
      <c r="B20" s="1620" t="s">
        <v>3639</v>
      </c>
      <c r="C20" s="1626"/>
      <c r="D20" s="1627"/>
      <c r="E20" s="1627"/>
    </row>
    <row r="21" spans="1:5" ht="12.75" customHeight="1">
      <c r="A21" s="1619" t="s">
        <v>3597</v>
      </c>
      <c r="B21" s="1620" t="s">
        <v>3640</v>
      </c>
      <c r="C21" s="1621">
        <v>1992</v>
      </c>
      <c r="D21" s="1622"/>
      <c r="E21" s="1622"/>
    </row>
    <row r="22" spans="1:5" ht="12.75" customHeight="1">
      <c r="A22" s="1619" t="s">
        <v>3556</v>
      </c>
      <c r="B22" s="1620" t="s">
        <v>3641</v>
      </c>
      <c r="C22" s="1621">
        <v>1973</v>
      </c>
      <c r="D22" s="1622"/>
      <c r="E22" s="1622"/>
    </row>
    <row r="23" spans="1:5" ht="12.75" customHeight="1">
      <c r="A23" s="1619" t="s">
        <v>3546</v>
      </c>
      <c r="B23" s="1620" t="s">
        <v>3642</v>
      </c>
      <c r="C23" s="1621">
        <v>1987</v>
      </c>
      <c r="D23" s="1622"/>
      <c r="E23" s="1622"/>
    </row>
    <row r="24" spans="1:5" ht="12.75" customHeight="1">
      <c r="A24" s="1619" t="s">
        <v>3602</v>
      </c>
      <c r="B24" s="1620" t="s">
        <v>3643</v>
      </c>
      <c r="C24" s="1621">
        <v>2022</v>
      </c>
      <c r="D24" s="1622"/>
      <c r="E24" s="1622"/>
    </row>
    <row r="25" spans="1:5" ht="12.75" customHeight="1">
      <c r="A25" s="1619" t="s">
        <v>3557</v>
      </c>
      <c r="B25" s="1620" t="s">
        <v>3644</v>
      </c>
      <c r="C25" s="1621">
        <v>1972</v>
      </c>
      <c r="D25" s="1622"/>
      <c r="E25" s="1622"/>
    </row>
    <row r="26" spans="1:5" ht="12.75" customHeight="1">
      <c r="A26" s="1619" t="s">
        <v>3682</v>
      </c>
      <c r="B26" s="1620" t="s">
        <v>3644</v>
      </c>
      <c r="C26" s="1621">
        <v>2022</v>
      </c>
      <c r="D26" s="1622"/>
      <c r="E26" s="1622"/>
    </row>
    <row r="27" spans="1:5" ht="12.75" customHeight="1">
      <c r="A27" s="1619" t="s">
        <v>3579</v>
      </c>
      <c r="B27" s="1620" t="s">
        <v>3645</v>
      </c>
      <c r="C27" s="1621">
        <v>1990</v>
      </c>
      <c r="D27" s="1625"/>
      <c r="E27" s="1622"/>
    </row>
    <row r="28" spans="1:5" ht="12.75" customHeight="1">
      <c r="A28" s="1619" t="s">
        <v>3683</v>
      </c>
      <c r="B28" s="1620" t="s">
        <v>3646</v>
      </c>
      <c r="C28" s="1621">
        <v>2019</v>
      </c>
      <c r="D28" s="1625"/>
      <c r="E28" s="1622"/>
    </row>
    <row r="29" spans="1:5" ht="12.75" customHeight="1">
      <c r="A29" s="1619" t="s">
        <v>3572</v>
      </c>
      <c r="B29" s="1620" t="s">
        <v>3647</v>
      </c>
      <c r="C29" s="1621">
        <v>1976</v>
      </c>
      <c r="D29" s="1622"/>
      <c r="E29" s="1622"/>
    </row>
    <row r="30" spans="1:5" ht="12.75" customHeight="1">
      <c r="A30" s="1619" t="s">
        <v>3600</v>
      </c>
      <c r="B30" s="1620" t="s">
        <v>3647</v>
      </c>
      <c r="C30" s="1621">
        <v>1991</v>
      </c>
      <c r="D30" s="1625"/>
      <c r="E30" s="1622"/>
    </row>
    <row r="31" spans="1:5" ht="12.75" customHeight="1">
      <c r="A31" s="1619" t="s">
        <v>3684</v>
      </c>
      <c r="B31" s="1620" t="s">
        <v>3648</v>
      </c>
      <c r="C31" s="1621">
        <v>2015</v>
      </c>
      <c r="D31" s="1625"/>
      <c r="E31" s="1622"/>
    </row>
    <row r="32" spans="1:5" ht="12.75" customHeight="1">
      <c r="A32" s="1619" t="s">
        <v>3598</v>
      </c>
      <c r="B32" s="1620" t="s">
        <v>3649</v>
      </c>
      <c r="C32" s="1621">
        <v>1990</v>
      </c>
      <c r="D32" s="1622"/>
      <c r="E32" s="1622"/>
    </row>
    <row r="33" spans="1:5" ht="15.75">
      <c r="A33" s="1619" t="s">
        <v>3587</v>
      </c>
      <c r="B33" s="1620" t="s">
        <v>3650</v>
      </c>
      <c r="C33" s="1621">
        <v>1993</v>
      </c>
      <c r="D33" s="1625"/>
      <c r="E33" s="1622"/>
    </row>
    <row r="34" spans="1:5" ht="15.75">
      <c r="A34" s="1619" t="s">
        <v>3609</v>
      </c>
      <c r="B34" s="1620" t="s">
        <v>3651</v>
      </c>
      <c r="C34" s="1621">
        <v>2009</v>
      </c>
      <c r="D34" s="1622"/>
      <c r="E34" s="1622"/>
    </row>
    <row r="35" spans="1:5" ht="15.75">
      <c r="A35" s="1619" t="s">
        <v>3608</v>
      </c>
      <c r="B35" s="1620" t="s">
        <v>3652</v>
      </c>
      <c r="C35" s="1626">
        <v>2020</v>
      </c>
      <c r="D35" s="1627"/>
      <c r="E35" s="1627"/>
    </row>
    <row r="36" spans="1:5" ht="15.75">
      <c r="A36" s="1619" t="s">
        <v>3565</v>
      </c>
      <c r="B36" s="1620" t="s">
        <v>3653</v>
      </c>
      <c r="C36" s="1621">
        <v>2005</v>
      </c>
      <c r="D36" s="1622"/>
      <c r="E36" s="1622"/>
    </row>
    <row r="37" spans="1:5" ht="15.75">
      <c r="A37" s="1619" t="s">
        <v>3573</v>
      </c>
      <c r="B37" s="1620" t="s">
        <v>3654</v>
      </c>
      <c r="C37" s="1621">
        <v>1981</v>
      </c>
      <c r="D37" s="1622"/>
      <c r="E37" s="1622"/>
    </row>
    <row r="38" spans="1:5" ht="15.75">
      <c r="A38" s="1619" t="s">
        <v>3553</v>
      </c>
      <c r="B38" s="1620" t="s">
        <v>3655</v>
      </c>
      <c r="C38" s="1621">
        <v>1988</v>
      </c>
      <c r="D38" s="1622"/>
      <c r="E38" s="1622"/>
    </row>
    <row r="39" spans="1:5" ht="15.75">
      <c r="A39" s="1619" t="s">
        <v>3576</v>
      </c>
      <c r="B39" s="1620" t="s">
        <v>3656</v>
      </c>
      <c r="C39" s="1621">
        <v>1930</v>
      </c>
      <c r="D39" s="1622"/>
      <c r="E39" s="1622"/>
    </row>
    <row r="40" spans="1:5" ht="15.75">
      <c r="A40" s="1619" t="s">
        <v>3595</v>
      </c>
      <c r="B40" s="1620" t="s">
        <v>3657</v>
      </c>
      <c r="C40" s="1621">
        <v>1959</v>
      </c>
      <c r="D40" s="1625"/>
      <c r="E40" s="1622"/>
    </row>
    <row r="41" spans="1:5" ht="15.75">
      <c r="A41" s="1619" t="s">
        <v>3560</v>
      </c>
      <c r="B41" s="1620" t="s">
        <v>3658</v>
      </c>
      <c r="C41" s="1621">
        <v>1985</v>
      </c>
      <c r="D41" s="1622"/>
      <c r="E41" s="1622"/>
    </row>
    <row r="42" spans="1:5" ht="15.75">
      <c r="A42" s="1619" t="s">
        <v>3550</v>
      </c>
      <c r="B42" s="1620" t="s">
        <v>3659</v>
      </c>
      <c r="C42" s="1621">
        <v>1987</v>
      </c>
      <c r="D42" s="1622"/>
      <c r="E42" s="1622"/>
    </row>
    <row r="43" spans="1:5" ht="15.75">
      <c r="A43" s="1619" t="s">
        <v>3685</v>
      </c>
      <c r="B43" s="1620" t="s">
        <v>3660</v>
      </c>
      <c r="C43" s="1621">
        <v>1953</v>
      </c>
      <c r="D43" s="1622"/>
      <c r="E43" s="1622"/>
    </row>
    <row r="44" spans="1:5" ht="15.75">
      <c r="A44" s="1619" t="s">
        <v>3610</v>
      </c>
      <c r="B44" s="1620" t="s">
        <v>3661</v>
      </c>
      <c r="C44" s="1621">
        <v>1992</v>
      </c>
      <c r="D44" s="1622"/>
      <c r="E44" s="1622"/>
    </row>
    <row r="45" spans="1:5" ht="15.75">
      <c r="A45" s="1619" t="s">
        <v>3686</v>
      </c>
      <c r="B45" s="1620" t="s">
        <v>3662</v>
      </c>
      <c r="C45" s="1621">
        <v>2015</v>
      </c>
      <c r="D45" s="1625"/>
      <c r="E45" s="1622"/>
    </row>
    <row r="46" spans="1:5" ht="15.75">
      <c r="A46" s="1619" t="s">
        <v>3581</v>
      </c>
      <c r="B46" s="1620" t="s">
        <v>3663</v>
      </c>
      <c r="C46" s="1621">
        <v>1986</v>
      </c>
      <c r="D46" s="1625"/>
      <c r="E46" s="1622"/>
    </row>
    <row r="47" spans="1:5" ht="15.75">
      <c r="A47" s="1619" t="s">
        <v>3687</v>
      </c>
      <c r="B47" s="1620" t="s">
        <v>3664</v>
      </c>
      <c r="C47" s="1621">
        <v>2017</v>
      </c>
      <c r="D47" s="1625"/>
      <c r="E47" s="1622"/>
    </row>
    <row r="48" spans="1:5" ht="15.75">
      <c r="A48" s="1619" t="s">
        <v>3565</v>
      </c>
      <c r="B48" s="1620" t="s">
        <v>3666</v>
      </c>
      <c r="C48" s="1621">
        <v>2013</v>
      </c>
      <c r="D48" s="1622"/>
      <c r="E48" s="1622"/>
    </row>
    <row r="49" spans="1:5" ht="15.75">
      <c r="A49" s="1619" t="s">
        <v>3577</v>
      </c>
      <c r="B49" s="1620" t="s">
        <v>3667</v>
      </c>
      <c r="C49" s="1621">
        <v>1957</v>
      </c>
      <c r="D49" s="1622"/>
      <c r="E49" s="1622"/>
    </row>
    <row r="50" spans="1:5" ht="15.75">
      <c r="A50" s="1619" t="s">
        <v>3688</v>
      </c>
      <c r="B50" s="1620" t="s">
        <v>3669</v>
      </c>
      <c r="C50" s="1621">
        <v>2017</v>
      </c>
      <c r="D50" s="1625"/>
      <c r="E50" s="1622"/>
    </row>
    <row r="51" spans="1:5" ht="15.75">
      <c r="A51" s="1624" t="s">
        <v>3551</v>
      </c>
      <c r="B51" s="1620" t="s">
        <v>3670</v>
      </c>
      <c r="C51" s="1621">
        <v>2009</v>
      </c>
      <c r="D51" s="1622"/>
      <c r="E51" s="1622"/>
    </row>
    <row r="52" spans="1:5" ht="15.75">
      <c r="A52" s="1619" t="s">
        <v>3571</v>
      </c>
      <c r="B52" s="1620" t="s">
        <v>3671</v>
      </c>
      <c r="C52" s="1621">
        <v>1952</v>
      </c>
      <c r="D52" s="1622"/>
      <c r="E52" s="1622"/>
    </row>
    <row r="53" spans="1:5" ht="15.75">
      <c r="A53" s="1619" t="s">
        <v>3596</v>
      </c>
      <c r="B53" s="1620" t="s">
        <v>3672</v>
      </c>
      <c r="C53" s="1621">
        <v>1958</v>
      </c>
      <c r="D53" s="1625"/>
      <c r="E53" s="1622"/>
    </row>
    <row r="54" spans="1:5" ht="15.75">
      <c r="A54" s="1619" t="s">
        <v>3567</v>
      </c>
      <c r="B54" s="1620" t="s">
        <v>3674</v>
      </c>
      <c r="C54" s="1621">
        <v>2011</v>
      </c>
      <c r="D54" s="1622"/>
      <c r="E54" s="1622"/>
    </row>
    <row r="55" spans="1:5" ht="15.75">
      <c r="A55" s="1619" t="s">
        <v>3568</v>
      </c>
      <c r="B55" s="1620" t="s">
        <v>3674</v>
      </c>
      <c r="C55" s="1621">
        <v>2011</v>
      </c>
      <c r="D55" s="1622"/>
      <c r="E55" s="1622"/>
    </row>
    <row r="56" spans="1:5" ht="15.75">
      <c r="A56" s="1619" t="s">
        <v>3569</v>
      </c>
      <c r="B56" s="1620" t="s">
        <v>3674</v>
      </c>
      <c r="C56" s="1621">
        <v>2011</v>
      </c>
      <c r="D56" s="1622"/>
      <c r="E56" s="1622"/>
    </row>
    <row r="57" spans="1:5" ht="15.75">
      <c r="A57" s="1619" t="s">
        <v>3578</v>
      </c>
      <c r="B57" s="1620" t="s">
        <v>3677</v>
      </c>
      <c r="C57" s="1621">
        <v>1959</v>
      </c>
      <c r="D57" s="1622"/>
      <c r="E57" s="1622"/>
    </row>
    <row r="58" spans="1:5" ht="15.75">
      <c r="A58" s="1628"/>
      <c r="B58" s="1629"/>
      <c r="C58" s="1630"/>
      <c r="D58" s="1630"/>
      <c r="E58" s="1630"/>
    </row>
    <row r="59" spans="1:5">
      <c r="A59" s="1631"/>
      <c r="B59" s="1632"/>
      <c r="C59" s="1631"/>
      <c r="D59" s="1631"/>
      <c r="E59" s="1631"/>
    </row>
    <row r="60" spans="1:5">
      <c r="A60" s="1631"/>
      <c r="B60" s="1632"/>
      <c r="C60" s="1631"/>
      <c r="D60" s="1631"/>
      <c r="E60" s="1631"/>
    </row>
    <row r="61" spans="1:5">
      <c r="A61" s="1627"/>
      <c r="B61" s="1633"/>
      <c r="C61" s="1627"/>
      <c r="D61" s="1627"/>
      <c r="E61" s="1627"/>
    </row>
    <row r="62" spans="1:5">
      <c r="A62" s="1631"/>
      <c r="B62" s="1632"/>
      <c r="C62" s="1627"/>
      <c r="D62" s="1627"/>
      <c r="E62" s="1627"/>
    </row>
    <row r="63" spans="1:5">
      <c r="A63" s="1631"/>
      <c r="B63" s="1632"/>
      <c r="C63" s="1627"/>
      <c r="D63" s="1627"/>
      <c r="E63" s="1627"/>
    </row>
    <row r="64" spans="1:5">
      <c r="A64" s="1631"/>
      <c r="B64" s="1632"/>
      <c r="C64" s="1631"/>
      <c r="D64" s="1631"/>
      <c r="E64" s="1631"/>
    </row>
    <row r="65" spans="1:5">
      <c r="A65" s="1631"/>
      <c r="B65" s="1632"/>
      <c r="C65" s="1631"/>
      <c r="D65" s="1631"/>
      <c r="E65" s="1631"/>
    </row>
    <row r="66" spans="1:5">
      <c r="A66" s="1631"/>
      <c r="B66" s="1632"/>
      <c r="C66" s="1631"/>
      <c r="D66" s="1631"/>
      <c r="E66" s="1631"/>
    </row>
    <row r="67" spans="1:5">
      <c r="A67" s="1631"/>
      <c r="B67" s="1632"/>
      <c r="C67" s="1631"/>
      <c r="D67" s="1631"/>
      <c r="E67" s="1631"/>
    </row>
    <row r="68" spans="1:5">
      <c r="A68" s="1634"/>
      <c r="B68" s="1632"/>
      <c r="C68" s="1631"/>
      <c r="D68" s="1631"/>
      <c r="E68" s="1631"/>
    </row>
    <row r="69" spans="1:5">
      <c r="A69" s="1631"/>
      <c r="B69" s="1632"/>
      <c r="C69" s="1631"/>
      <c r="D69" s="1631"/>
      <c r="E69" s="1631"/>
    </row>
    <row r="70" spans="1:5">
      <c r="A70" s="1631"/>
      <c r="B70" s="1632"/>
      <c r="C70" s="1635"/>
      <c r="D70" s="1635"/>
      <c r="E70" s="1631"/>
    </row>
    <row r="71" spans="1:5">
      <c r="A71" s="1631"/>
      <c r="B71" s="1632"/>
      <c r="C71" s="1635"/>
      <c r="D71" s="1635"/>
      <c r="E71" s="1631"/>
    </row>
    <row r="72" spans="1:5">
      <c r="A72" s="1631"/>
      <c r="B72" s="1632"/>
      <c r="C72" s="1635"/>
      <c r="D72" s="1635"/>
      <c r="E72" s="1631"/>
    </row>
    <row r="73" spans="1:5">
      <c r="A73" s="1631"/>
      <c r="B73" s="1632"/>
      <c r="C73" s="1631"/>
      <c r="D73" s="1631"/>
      <c r="E73" s="1631"/>
    </row>
    <row r="74" spans="1:5">
      <c r="A74" s="1631"/>
      <c r="B74" s="1632"/>
      <c r="C74" s="1631"/>
      <c r="D74" s="1631"/>
      <c r="E74" s="1631"/>
    </row>
    <row r="75" spans="1:5">
      <c r="A75" s="1631"/>
      <c r="B75" s="1632"/>
      <c r="C75" s="1631"/>
      <c r="D75" s="1631"/>
      <c r="E75" s="1631"/>
    </row>
    <row r="76" spans="1:5">
      <c r="A76" s="1631"/>
      <c r="B76" s="1632"/>
      <c r="C76" s="1631"/>
      <c r="D76" s="1631"/>
      <c r="E76" s="1631"/>
    </row>
    <row r="77" spans="1:5">
      <c r="B77" s="1636"/>
    </row>
    <row r="78" spans="1:5">
      <c r="B78" s="1636"/>
    </row>
    <row r="79" spans="1:5">
      <c r="B79" s="1636"/>
    </row>
    <row r="80" spans="1:5">
      <c r="B80" s="1636"/>
    </row>
    <row r="81" spans="2:2">
      <c r="B81" s="1636"/>
    </row>
    <row r="82" spans="2:2">
      <c r="B82" s="1636"/>
    </row>
    <row r="83" spans="2:2">
      <c r="B83" s="1636"/>
    </row>
    <row r="84" spans="2:2">
      <c r="B84" s="1636"/>
    </row>
    <row r="85" spans="2:2">
      <c r="B85" s="1636"/>
    </row>
    <row r="86" spans="2:2">
      <c r="B86" s="1636"/>
    </row>
    <row r="87" spans="2:2">
      <c r="B87" s="1636"/>
    </row>
    <row r="88" spans="2:2">
      <c r="B88" s="1636"/>
    </row>
    <row r="89" spans="2:2">
      <c r="B89" s="1636"/>
    </row>
    <row r="90" spans="2:2">
      <c r="B90" s="1636"/>
    </row>
    <row r="91" spans="2:2">
      <c r="B91" s="1636"/>
    </row>
    <row r="92" spans="2:2">
      <c r="B92" s="1636"/>
    </row>
    <row r="93" spans="2:2">
      <c r="B93" s="1636"/>
    </row>
    <row r="94" spans="2:2">
      <c r="B94" s="1636"/>
    </row>
    <row r="95" spans="2:2">
      <c r="B95" s="1636"/>
    </row>
    <row r="96" spans="2:2">
      <c r="B96" s="1636"/>
    </row>
    <row r="97" spans="2:2">
      <c r="B97" s="1636"/>
    </row>
    <row r="98" spans="2:2">
      <c r="B98" s="1636"/>
    </row>
    <row r="99" spans="2:2">
      <c r="B99" s="1636"/>
    </row>
    <row r="100" spans="2:2">
      <c r="B100" s="1636"/>
    </row>
    <row r="101" spans="2:2">
      <c r="B101" s="1636"/>
    </row>
    <row r="102" spans="2:2">
      <c r="B102" s="1636"/>
    </row>
    <row r="103" spans="2:2">
      <c r="B103" s="1636"/>
    </row>
    <row r="104" spans="2:2">
      <c r="B104" s="1636"/>
    </row>
    <row r="105" spans="2:2">
      <c r="B105" s="1636"/>
    </row>
    <row r="106" spans="2:2">
      <c r="B106" s="1636"/>
    </row>
    <row r="107" spans="2:2">
      <c r="B107" s="1636"/>
    </row>
    <row r="108" spans="2:2">
      <c r="B108" s="1636"/>
    </row>
    <row r="109" spans="2:2">
      <c r="B109" s="1636"/>
    </row>
    <row r="110" spans="2:2">
      <c r="B110" s="1636"/>
    </row>
    <row r="111" spans="2:2">
      <c r="B111" s="1636"/>
    </row>
    <row r="112" spans="2:2">
      <c r="B112" s="1636"/>
    </row>
    <row r="113" spans="2:2">
      <c r="B113" s="1636"/>
    </row>
    <row r="114" spans="2:2">
      <c r="B114" s="1636"/>
    </row>
    <row r="115" spans="2:2">
      <c r="B115" s="1636"/>
    </row>
    <row r="116" spans="2:2">
      <c r="B116" s="1636"/>
    </row>
    <row r="117" spans="2:2">
      <c r="B117" s="1636"/>
    </row>
    <row r="118" spans="2:2">
      <c r="B118" s="1636"/>
    </row>
    <row r="119" spans="2:2">
      <c r="B119" s="1636"/>
    </row>
    <row r="120" spans="2:2">
      <c r="B120" s="1636"/>
    </row>
    <row r="121" spans="2:2">
      <c r="B121" s="1636"/>
    </row>
    <row r="122" spans="2:2">
      <c r="B122" s="1636"/>
    </row>
    <row r="123" spans="2:2">
      <c r="B123" s="1636"/>
    </row>
    <row r="124" spans="2:2">
      <c r="B124" s="1636"/>
    </row>
    <row r="125" spans="2:2">
      <c r="B125" s="1636"/>
    </row>
    <row r="126" spans="2:2">
      <c r="B126" s="1636"/>
    </row>
    <row r="127" spans="2:2">
      <c r="B127" s="1636"/>
    </row>
    <row r="128" spans="2:2">
      <c r="B128" s="1636"/>
    </row>
    <row r="129" spans="2:2">
      <c r="B129" s="1636"/>
    </row>
    <row r="130" spans="2:2">
      <c r="B130" s="1636"/>
    </row>
    <row r="131" spans="2:2">
      <c r="B131" s="1636"/>
    </row>
    <row r="132" spans="2:2">
      <c r="B132" s="1636"/>
    </row>
    <row r="133" spans="2:2">
      <c r="B133" s="1636"/>
    </row>
    <row r="134" spans="2:2">
      <c r="B134" s="1636"/>
    </row>
    <row r="135" spans="2:2">
      <c r="B135" s="1636"/>
    </row>
    <row r="136" spans="2:2">
      <c r="B136" s="1636"/>
    </row>
    <row r="137" spans="2:2">
      <c r="B137" s="1636"/>
    </row>
    <row r="138" spans="2:2">
      <c r="B138" s="1636"/>
    </row>
    <row r="139" spans="2:2">
      <c r="B139" s="1636"/>
    </row>
    <row r="140" spans="2:2">
      <c r="B140" s="1636"/>
    </row>
    <row r="141" spans="2:2">
      <c r="B141" s="1636"/>
    </row>
    <row r="142" spans="2:2">
      <c r="B142" s="1636"/>
    </row>
    <row r="143" spans="2:2">
      <c r="B143" s="1636"/>
    </row>
    <row r="144" spans="2:2">
      <c r="B144" s="1636"/>
    </row>
    <row r="145" spans="2:2">
      <c r="B145" s="1636"/>
    </row>
    <row r="146" spans="2:2">
      <c r="B146" s="1636"/>
    </row>
    <row r="147" spans="2:2">
      <c r="B147" s="1636"/>
    </row>
    <row r="148" spans="2:2">
      <c r="B148" s="1636"/>
    </row>
    <row r="149" spans="2:2">
      <c r="B149" s="1636"/>
    </row>
    <row r="150" spans="2:2">
      <c r="B150" s="1636"/>
    </row>
    <row r="151" spans="2:2">
      <c r="B151" s="1636"/>
    </row>
    <row r="152" spans="2:2">
      <c r="B152" s="1636"/>
    </row>
    <row r="153" spans="2:2">
      <c r="B153" s="1636"/>
    </row>
    <row r="154" spans="2:2">
      <c r="B154" s="1636"/>
    </row>
    <row r="155" spans="2:2">
      <c r="B155" s="1636"/>
    </row>
    <row r="156" spans="2:2">
      <c r="B156" s="1636"/>
    </row>
    <row r="157" spans="2:2">
      <c r="B157" s="1636"/>
    </row>
    <row r="158" spans="2:2">
      <c r="B158" s="1636"/>
    </row>
    <row r="159" spans="2:2">
      <c r="B159" s="1636"/>
    </row>
    <row r="160" spans="2:2">
      <c r="B160" s="1636"/>
    </row>
    <row r="161" spans="2:2">
      <c r="B161" s="1636"/>
    </row>
    <row r="162" spans="2:2">
      <c r="B162" s="1636"/>
    </row>
    <row r="163" spans="2:2">
      <c r="B163" s="1636"/>
    </row>
    <row r="164" spans="2:2">
      <c r="B164" s="1636"/>
    </row>
    <row r="165" spans="2:2">
      <c r="B165" s="1636"/>
    </row>
    <row r="166" spans="2:2">
      <c r="B166" s="1636"/>
    </row>
    <row r="167" spans="2:2">
      <c r="B167" s="1636"/>
    </row>
    <row r="168" spans="2:2">
      <c r="B168" s="1636"/>
    </row>
    <row r="169" spans="2:2">
      <c r="B169" s="1636"/>
    </row>
    <row r="170" spans="2:2">
      <c r="B170" s="1636"/>
    </row>
    <row r="171" spans="2:2">
      <c r="B171" s="1636"/>
    </row>
    <row r="172" spans="2:2">
      <c r="B172" s="1636"/>
    </row>
    <row r="173" spans="2:2">
      <c r="B173" s="1636"/>
    </row>
    <row r="174" spans="2:2">
      <c r="B174" s="1636"/>
    </row>
    <row r="175" spans="2:2">
      <c r="B175" s="1636"/>
    </row>
    <row r="176" spans="2:2">
      <c r="B176" s="1636"/>
    </row>
    <row r="177" spans="2:2">
      <c r="B177" s="1636"/>
    </row>
    <row r="178" spans="2:2">
      <c r="B178" s="1636"/>
    </row>
    <row r="179" spans="2:2">
      <c r="B179" s="1636"/>
    </row>
    <row r="180" spans="2:2">
      <c r="B180" s="1636"/>
    </row>
    <row r="181" spans="2:2">
      <c r="B181" s="1636"/>
    </row>
    <row r="182" spans="2:2">
      <c r="B182" s="1636"/>
    </row>
    <row r="183" spans="2:2">
      <c r="B183" s="1636"/>
    </row>
    <row r="184" spans="2:2">
      <c r="B184" s="1636"/>
    </row>
    <row r="185" spans="2:2">
      <c r="B185" s="1636"/>
    </row>
    <row r="186" spans="2:2">
      <c r="B186" s="1636"/>
    </row>
    <row r="187" spans="2:2">
      <c r="B187" s="1636"/>
    </row>
    <row r="188" spans="2:2">
      <c r="B188" s="1636"/>
    </row>
    <row r="189" spans="2:2">
      <c r="B189" s="1636"/>
    </row>
    <row r="190" spans="2:2">
      <c r="B190" s="1636"/>
    </row>
    <row r="191" spans="2:2">
      <c r="B191" s="1636"/>
    </row>
    <row r="192" spans="2:2">
      <c r="B192" s="1636"/>
    </row>
    <row r="193" spans="2:2">
      <c r="B193" s="1636"/>
    </row>
    <row r="194" spans="2:2">
      <c r="B194" s="1636"/>
    </row>
    <row r="195" spans="2:2">
      <c r="B195" s="1636"/>
    </row>
    <row r="196" spans="2:2">
      <c r="B196" s="1636"/>
    </row>
    <row r="197" spans="2:2">
      <c r="B197" s="1636"/>
    </row>
    <row r="198" spans="2:2">
      <c r="B198" s="1636"/>
    </row>
    <row r="199" spans="2:2">
      <c r="B199" s="1636"/>
    </row>
    <row r="200" spans="2:2">
      <c r="B200" s="1636"/>
    </row>
    <row r="201" spans="2:2">
      <c r="B201" s="1636"/>
    </row>
    <row r="202" spans="2:2">
      <c r="B202" s="1636"/>
    </row>
    <row r="203" spans="2:2">
      <c r="B203" s="1636"/>
    </row>
    <row r="204" spans="2:2">
      <c r="B204" s="1636"/>
    </row>
    <row r="205" spans="2:2">
      <c r="B205" s="1636"/>
    </row>
    <row r="206" spans="2:2">
      <c r="B206" s="1636"/>
    </row>
    <row r="207" spans="2:2">
      <c r="B207" s="1636"/>
    </row>
    <row r="208" spans="2:2">
      <c r="B208" s="1636"/>
    </row>
    <row r="209" spans="2:2">
      <c r="B209" s="1636"/>
    </row>
    <row r="210" spans="2:2">
      <c r="B210" s="1636"/>
    </row>
    <row r="211" spans="2:2">
      <c r="B211" s="1636"/>
    </row>
    <row r="212" spans="2:2">
      <c r="B212" s="1636"/>
    </row>
    <row r="213" spans="2:2">
      <c r="B213" s="1636"/>
    </row>
    <row r="214" spans="2:2">
      <c r="B214" s="1636"/>
    </row>
    <row r="215" spans="2:2">
      <c r="B215" s="1636"/>
    </row>
    <row r="216" spans="2:2">
      <c r="B216" s="1636"/>
    </row>
    <row r="217" spans="2:2">
      <c r="B217" s="1636"/>
    </row>
    <row r="218" spans="2:2">
      <c r="B218" s="1636"/>
    </row>
    <row r="219" spans="2:2">
      <c r="B219" s="1636"/>
    </row>
    <row r="220" spans="2:2">
      <c r="B220" s="1636"/>
    </row>
    <row r="221" spans="2:2">
      <c r="B221" s="1636"/>
    </row>
    <row r="222" spans="2:2">
      <c r="B222" s="1636"/>
    </row>
    <row r="223" spans="2:2">
      <c r="B223" s="1636"/>
    </row>
    <row r="224" spans="2:2">
      <c r="B224" s="1636"/>
    </row>
    <row r="225" spans="2:2">
      <c r="B225" s="1636"/>
    </row>
    <row r="226" spans="2:2">
      <c r="B226" s="1636"/>
    </row>
    <row r="227" spans="2:2">
      <c r="B227" s="1636"/>
    </row>
    <row r="228" spans="2:2">
      <c r="B228" s="1636"/>
    </row>
    <row r="229" spans="2:2">
      <c r="B229" s="1636"/>
    </row>
    <row r="230" spans="2:2">
      <c r="B230" s="1636"/>
    </row>
    <row r="231" spans="2:2">
      <c r="B231" s="1636"/>
    </row>
    <row r="232" spans="2:2">
      <c r="B232" s="1636"/>
    </row>
    <row r="233" spans="2:2">
      <c r="B233" s="1636"/>
    </row>
    <row r="234" spans="2:2">
      <c r="B234" s="1636"/>
    </row>
    <row r="235" spans="2:2">
      <c r="B235" s="1636"/>
    </row>
    <row r="236" spans="2:2">
      <c r="B236" s="1636"/>
    </row>
    <row r="237" spans="2:2">
      <c r="B237" s="1636"/>
    </row>
    <row r="238" spans="2:2">
      <c r="B238" s="1636"/>
    </row>
    <row r="239" spans="2:2">
      <c r="B239" s="1636"/>
    </row>
    <row r="240" spans="2:2">
      <c r="B240" s="1636"/>
    </row>
    <row r="241" spans="2:2">
      <c r="B241" s="1636"/>
    </row>
    <row r="242" spans="2:2">
      <c r="B242" s="1636"/>
    </row>
    <row r="243" spans="2:2">
      <c r="B243" s="1636"/>
    </row>
    <row r="244" spans="2:2">
      <c r="B244" s="1636"/>
    </row>
    <row r="245" spans="2:2">
      <c r="B245" s="1636"/>
    </row>
    <row r="246" spans="2:2">
      <c r="B246" s="1636"/>
    </row>
    <row r="247" spans="2:2">
      <c r="B247" s="1636"/>
    </row>
    <row r="248" spans="2:2">
      <c r="B248" s="1636"/>
    </row>
    <row r="249" spans="2:2">
      <c r="B249" s="1636"/>
    </row>
    <row r="250" spans="2:2">
      <c r="B250" s="1636"/>
    </row>
    <row r="251" spans="2:2">
      <c r="B251" s="1636"/>
    </row>
    <row r="252" spans="2:2">
      <c r="B252" s="1636"/>
    </row>
    <row r="253" spans="2:2">
      <c r="B253" s="1636"/>
    </row>
    <row r="254" spans="2:2">
      <c r="B254" s="1636"/>
    </row>
    <row r="255" spans="2:2">
      <c r="B255" s="1636"/>
    </row>
    <row r="256" spans="2:2">
      <c r="B256" s="1636"/>
    </row>
    <row r="257" spans="2:2">
      <c r="B257" s="1636"/>
    </row>
    <row r="258" spans="2:2">
      <c r="B258" s="1636"/>
    </row>
    <row r="259" spans="2:2">
      <c r="B259" s="1636"/>
    </row>
    <row r="260" spans="2:2">
      <c r="B260" s="1636"/>
    </row>
    <row r="261" spans="2:2">
      <c r="B261" s="1636"/>
    </row>
    <row r="262" spans="2:2">
      <c r="B262" s="1636"/>
    </row>
    <row r="263" spans="2:2">
      <c r="B263" s="1636"/>
    </row>
    <row r="264" spans="2:2">
      <c r="B264" s="1636"/>
    </row>
    <row r="265" spans="2:2">
      <c r="B265" s="1636"/>
    </row>
    <row r="266" spans="2:2">
      <c r="B266" s="1636"/>
    </row>
    <row r="267" spans="2:2">
      <c r="B267" s="1636"/>
    </row>
    <row r="268" spans="2:2">
      <c r="B268" s="1636"/>
    </row>
    <row r="269" spans="2:2">
      <c r="B269" s="1636"/>
    </row>
    <row r="270" spans="2:2">
      <c r="B270" s="1636"/>
    </row>
    <row r="271" spans="2:2">
      <c r="B271" s="1636"/>
    </row>
    <row r="272" spans="2:2">
      <c r="B272" s="1636"/>
    </row>
    <row r="273" spans="2:2">
      <c r="B273" s="1636"/>
    </row>
    <row r="274" spans="2:2">
      <c r="B274" s="1636"/>
    </row>
    <row r="275" spans="2:2">
      <c r="B275" s="1636"/>
    </row>
    <row r="276" spans="2:2">
      <c r="B276" s="1636"/>
    </row>
    <row r="277" spans="2:2">
      <c r="B277" s="1636"/>
    </row>
    <row r="278" spans="2:2">
      <c r="B278" s="1636"/>
    </row>
    <row r="279" spans="2:2">
      <c r="B279" s="1636"/>
    </row>
    <row r="280" spans="2:2">
      <c r="B280" s="1636"/>
    </row>
    <row r="281" spans="2:2">
      <c r="B281" s="1636"/>
    </row>
    <row r="282" spans="2:2">
      <c r="B282" s="1636"/>
    </row>
    <row r="283" spans="2:2">
      <c r="B283" s="1636"/>
    </row>
    <row r="284" spans="2:2">
      <c r="B284" s="1636"/>
    </row>
    <row r="285" spans="2:2">
      <c r="B285" s="1636"/>
    </row>
    <row r="286" spans="2:2">
      <c r="B286" s="1636"/>
    </row>
    <row r="287" spans="2:2">
      <c r="B287" s="1636"/>
    </row>
    <row r="288" spans="2:2">
      <c r="B288" s="1636"/>
    </row>
    <row r="289" spans="2:2">
      <c r="B289" s="1636"/>
    </row>
    <row r="290" spans="2:2">
      <c r="B290" s="1636"/>
    </row>
    <row r="291" spans="2:2">
      <c r="B291" s="1636"/>
    </row>
    <row r="292" spans="2:2">
      <c r="B292" s="1636"/>
    </row>
    <row r="293" spans="2:2">
      <c r="B293" s="1636"/>
    </row>
    <row r="294" spans="2:2">
      <c r="B294" s="1636"/>
    </row>
    <row r="295" spans="2:2">
      <c r="B295" s="1636"/>
    </row>
    <row r="296" spans="2:2">
      <c r="B296" s="1636"/>
    </row>
    <row r="297" spans="2:2">
      <c r="B297" s="1636"/>
    </row>
    <row r="298" spans="2:2">
      <c r="B298" s="1636"/>
    </row>
    <row r="299" spans="2:2">
      <c r="B299" s="1636"/>
    </row>
    <row r="300" spans="2:2">
      <c r="B300" s="1636"/>
    </row>
    <row r="301" spans="2:2">
      <c r="B301" s="1636"/>
    </row>
    <row r="302" spans="2:2">
      <c r="B302" s="1636"/>
    </row>
    <row r="303" spans="2:2">
      <c r="B303" s="1636"/>
    </row>
    <row r="304" spans="2:2">
      <c r="B304" s="1636"/>
    </row>
    <row r="305" spans="2:2">
      <c r="B305" s="1636"/>
    </row>
    <row r="306" spans="2:2">
      <c r="B306" s="1636"/>
    </row>
    <row r="307" spans="2:2">
      <c r="B307" s="1636"/>
    </row>
    <row r="308" spans="2:2">
      <c r="B308" s="1636"/>
    </row>
    <row r="309" spans="2:2">
      <c r="B309" s="1636"/>
    </row>
    <row r="310" spans="2:2">
      <c r="B310" s="1636"/>
    </row>
    <row r="311" spans="2:2">
      <c r="B311" s="1636"/>
    </row>
    <row r="312" spans="2:2">
      <c r="B312" s="1636"/>
    </row>
    <row r="313" spans="2:2">
      <c r="B313" s="1636"/>
    </row>
    <row r="314" spans="2:2">
      <c r="B314" s="1636"/>
    </row>
    <row r="315" spans="2:2">
      <c r="B315" s="1636"/>
    </row>
    <row r="316" spans="2:2">
      <c r="B316" s="1636"/>
    </row>
    <row r="317" spans="2:2">
      <c r="B317" s="1636"/>
    </row>
    <row r="318" spans="2:2">
      <c r="B318" s="1636"/>
    </row>
    <row r="319" spans="2:2">
      <c r="B319" s="1636"/>
    </row>
    <row r="320" spans="2:2">
      <c r="B320" s="1636"/>
    </row>
    <row r="321" spans="2:2">
      <c r="B321" s="1636"/>
    </row>
    <row r="322" spans="2:2">
      <c r="B322" s="1636"/>
    </row>
    <row r="323" spans="2:2">
      <c r="B323" s="1636"/>
    </row>
    <row r="324" spans="2:2">
      <c r="B324" s="1636"/>
    </row>
    <row r="325" spans="2:2">
      <c r="B325" s="1636"/>
    </row>
    <row r="326" spans="2:2">
      <c r="B326" s="1636"/>
    </row>
    <row r="327" spans="2:2">
      <c r="B327" s="1636"/>
    </row>
    <row r="328" spans="2:2">
      <c r="B328" s="1636"/>
    </row>
    <row r="329" spans="2:2">
      <c r="B329" s="1636"/>
    </row>
    <row r="330" spans="2:2">
      <c r="B330" s="1636"/>
    </row>
    <row r="331" spans="2:2">
      <c r="B331" s="1636"/>
    </row>
    <row r="332" spans="2:2">
      <c r="B332" s="1636"/>
    </row>
    <row r="333" spans="2:2">
      <c r="B333" s="1636"/>
    </row>
    <row r="334" spans="2:2">
      <c r="B334" s="1636"/>
    </row>
    <row r="335" spans="2:2">
      <c r="B335" s="1636"/>
    </row>
    <row r="336" spans="2:2">
      <c r="B336" s="1636"/>
    </row>
    <row r="337" spans="2:2">
      <c r="B337" s="1636"/>
    </row>
    <row r="338" spans="2:2">
      <c r="B338" s="1636"/>
    </row>
    <row r="339" spans="2:2">
      <c r="B339" s="1636"/>
    </row>
    <row r="340" spans="2:2">
      <c r="B340" s="1636"/>
    </row>
    <row r="341" spans="2:2">
      <c r="B341" s="1636"/>
    </row>
    <row r="342" spans="2:2">
      <c r="B342" s="1636"/>
    </row>
    <row r="343" spans="2:2">
      <c r="B343" s="1636"/>
    </row>
    <row r="344" spans="2:2">
      <c r="B344" s="1636"/>
    </row>
    <row r="345" spans="2:2">
      <c r="B345" s="1636"/>
    </row>
    <row r="346" spans="2:2">
      <c r="B346" s="1636"/>
    </row>
    <row r="347" spans="2:2">
      <c r="B347" s="1636"/>
    </row>
    <row r="348" spans="2:2">
      <c r="B348" s="1636"/>
    </row>
    <row r="349" spans="2:2">
      <c r="B349" s="1636"/>
    </row>
    <row r="350" spans="2:2">
      <c r="B350" s="1636"/>
    </row>
    <row r="351" spans="2:2">
      <c r="B351" s="1636"/>
    </row>
    <row r="352" spans="2:2">
      <c r="B352" s="1636"/>
    </row>
    <row r="353" spans="2:2">
      <c r="B353" s="1636"/>
    </row>
    <row r="354" spans="2:2">
      <c r="B354" s="1636"/>
    </row>
    <row r="355" spans="2:2">
      <c r="B355" s="1636"/>
    </row>
    <row r="356" spans="2:2">
      <c r="B356" s="1636"/>
    </row>
    <row r="357" spans="2:2">
      <c r="B357" s="1636"/>
    </row>
    <row r="358" spans="2:2">
      <c r="B358" s="1636"/>
    </row>
    <row r="359" spans="2:2">
      <c r="B359" s="1636"/>
    </row>
    <row r="360" spans="2:2">
      <c r="B360" s="1636"/>
    </row>
    <row r="361" spans="2:2">
      <c r="B361" s="1636"/>
    </row>
    <row r="362" spans="2:2">
      <c r="B362" s="1636"/>
    </row>
    <row r="363" spans="2:2">
      <c r="B363" s="1636"/>
    </row>
    <row r="364" spans="2:2">
      <c r="B364" s="1636"/>
    </row>
    <row r="365" spans="2:2">
      <c r="B365" s="1636"/>
    </row>
    <row r="366" spans="2:2">
      <c r="B366" s="1636"/>
    </row>
    <row r="367" spans="2:2">
      <c r="B367" s="1636"/>
    </row>
    <row r="368" spans="2:2">
      <c r="B368" s="1636"/>
    </row>
    <row r="369" spans="2:2">
      <c r="B369" s="1636"/>
    </row>
    <row r="370" spans="2:2">
      <c r="B370" s="1636"/>
    </row>
    <row r="371" spans="2:2">
      <c r="B371" s="1636"/>
    </row>
    <row r="372" spans="2:2">
      <c r="B372" s="1636"/>
    </row>
    <row r="373" spans="2:2">
      <c r="B373" s="1636"/>
    </row>
    <row r="374" spans="2:2">
      <c r="B374" s="1636"/>
    </row>
    <row r="375" spans="2:2">
      <c r="B375" s="1636"/>
    </row>
    <row r="376" spans="2:2">
      <c r="B376" s="1636"/>
    </row>
    <row r="377" spans="2:2">
      <c r="B377" s="1636"/>
    </row>
    <row r="378" spans="2:2">
      <c r="B378" s="1636"/>
    </row>
    <row r="379" spans="2:2">
      <c r="B379" s="1636"/>
    </row>
    <row r="380" spans="2:2">
      <c r="B380" s="1636"/>
    </row>
    <row r="381" spans="2:2">
      <c r="B381" s="1636"/>
    </row>
    <row r="382" spans="2:2">
      <c r="B382" s="1636"/>
    </row>
    <row r="383" spans="2:2">
      <c r="B383" s="1636"/>
    </row>
    <row r="384" spans="2:2">
      <c r="B384" s="1636"/>
    </row>
    <row r="385" spans="2:2">
      <c r="B385" s="1636"/>
    </row>
    <row r="386" spans="2:2">
      <c r="B386" s="1636"/>
    </row>
    <row r="387" spans="2:2">
      <c r="B387" s="1636"/>
    </row>
    <row r="388" spans="2:2">
      <c r="B388" s="1636"/>
    </row>
    <row r="389" spans="2:2">
      <c r="B389" s="1636"/>
    </row>
    <row r="390" spans="2:2">
      <c r="B390" s="1636"/>
    </row>
    <row r="391" spans="2:2">
      <c r="B391" s="1636"/>
    </row>
    <row r="392" spans="2:2">
      <c r="B392" s="1636"/>
    </row>
    <row r="393" spans="2:2">
      <c r="B393" s="1636"/>
    </row>
    <row r="394" spans="2:2">
      <c r="B394" s="1636"/>
    </row>
    <row r="395" spans="2:2">
      <c r="B395" s="1636"/>
    </row>
    <row r="396" spans="2:2">
      <c r="B396" s="1636"/>
    </row>
    <row r="397" spans="2:2">
      <c r="B397" s="1636"/>
    </row>
    <row r="398" spans="2:2">
      <c r="B398" s="1636"/>
    </row>
    <row r="399" spans="2:2">
      <c r="B399" s="1636"/>
    </row>
    <row r="400" spans="2:2">
      <c r="B400" s="1636"/>
    </row>
    <row r="401" spans="2:2">
      <c r="B401" s="1636"/>
    </row>
    <row r="402" spans="2:2">
      <c r="B402" s="1636"/>
    </row>
    <row r="403" spans="2:2">
      <c r="B403" s="1636"/>
    </row>
    <row r="404" spans="2:2">
      <c r="B404" s="1636"/>
    </row>
    <row r="405" spans="2:2">
      <c r="B405" s="1636"/>
    </row>
    <row r="406" spans="2:2">
      <c r="B406" s="1636"/>
    </row>
    <row r="407" spans="2:2">
      <c r="B407" s="1636"/>
    </row>
    <row r="408" spans="2:2">
      <c r="B408" s="1636"/>
    </row>
    <row r="409" spans="2:2">
      <c r="B409" s="1636"/>
    </row>
    <row r="410" spans="2:2">
      <c r="B410" s="1636"/>
    </row>
    <row r="411" spans="2:2">
      <c r="B411" s="1636"/>
    </row>
    <row r="412" spans="2:2">
      <c r="B412" s="1636"/>
    </row>
    <row r="413" spans="2:2">
      <c r="B413" s="1636"/>
    </row>
    <row r="414" spans="2:2">
      <c r="B414" s="1636"/>
    </row>
    <row r="415" spans="2:2">
      <c r="B415" s="1636"/>
    </row>
    <row r="416" spans="2:2">
      <c r="B416" s="1636"/>
    </row>
    <row r="417" spans="2:2">
      <c r="B417" s="1636"/>
    </row>
    <row r="418" spans="2:2">
      <c r="B418" s="1636"/>
    </row>
    <row r="419" spans="2:2">
      <c r="B419" s="1636"/>
    </row>
    <row r="420" spans="2:2">
      <c r="B420" s="1636"/>
    </row>
    <row r="421" spans="2:2">
      <c r="B421" s="1636"/>
    </row>
    <row r="422" spans="2:2">
      <c r="B422" s="1636"/>
    </row>
    <row r="423" spans="2:2">
      <c r="B423" s="1636"/>
    </row>
    <row r="424" spans="2:2">
      <c r="B424" s="1636"/>
    </row>
    <row r="425" spans="2:2">
      <c r="B425" s="1636"/>
    </row>
    <row r="426" spans="2:2">
      <c r="B426" s="1636"/>
    </row>
    <row r="427" spans="2:2">
      <c r="B427" s="1636"/>
    </row>
    <row r="428" spans="2:2">
      <c r="B428" s="1636"/>
    </row>
    <row r="429" spans="2:2">
      <c r="B429" s="1636"/>
    </row>
    <row r="430" spans="2:2">
      <c r="B430" s="1636"/>
    </row>
    <row r="431" spans="2:2">
      <c r="B431" s="1636"/>
    </row>
    <row r="432" spans="2:2">
      <c r="B432" s="1636"/>
    </row>
    <row r="433" spans="2:2">
      <c r="B433" s="1636"/>
    </row>
    <row r="434" spans="2:2">
      <c r="B434" s="1636"/>
    </row>
    <row r="435" spans="2:2">
      <c r="B435" s="1636"/>
    </row>
    <row r="436" spans="2:2">
      <c r="B436" s="1636"/>
    </row>
    <row r="437" spans="2:2">
      <c r="B437" s="1636"/>
    </row>
    <row r="438" spans="2:2">
      <c r="B438" s="1636"/>
    </row>
    <row r="439" spans="2:2">
      <c r="B439" s="1636"/>
    </row>
    <row r="440" spans="2:2">
      <c r="B440" s="1636"/>
    </row>
    <row r="441" spans="2:2">
      <c r="B441" s="1636"/>
    </row>
    <row r="442" spans="2:2">
      <c r="B442" s="1636"/>
    </row>
    <row r="443" spans="2:2">
      <c r="B443" s="1636"/>
    </row>
    <row r="444" spans="2:2">
      <c r="B444" s="1636"/>
    </row>
    <row r="445" spans="2:2">
      <c r="B445" s="1636"/>
    </row>
    <row r="446" spans="2:2">
      <c r="B446" s="1636"/>
    </row>
    <row r="447" spans="2:2">
      <c r="B447" s="1636"/>
    </row>
    <row r="448" spans="2:2">
      <c r="B448" s="1636"/>
    </row>
    <row r="449" spans="2:2">
      <c r="B449" s="1636"/>
    </row>
    <row r="450" spans="2:2">
      <c r="B450" s="1636"/>
    </row>
    <row r="451" spans="2:2">
      <c r="B451" s="1636"/>
    </row>
    <row r="452" spans="2:2">
      <c r="B452" s="1636"/>
    </row>
    <row r="453" spans="2:2">
      <c r="B453" s="1636"/>
    </row>
    <row r="454" spans="2:2">
      <c r="B454" s="1636"/>
    </row>
    <row r="455" spans="2:2">
      <c r="B455" s="1636"/>
    </row>
    <row r="456" spans="2:2">
      <c r="B456" s="1636"/>
    </row>
    <row r="457" spans="2:2">
      <c r="B457" s="1636"/>
    </row>
    <row r="458" spans="2:2">
      <c r="B458" s="1636"/>
    </row>
    <row r="459" spans="2:2">
      <c r="B459" s="1636"/>
    </row>
    <row r="460" spans="2:2">
      <c r="B460" s="1636"/>
    </row>
    <row r="461" spans="2:2">
      <c r="B461" s="1636"/>
    </row>
    <row r="462" spans="2:2">
      <c r="B462" s="1636"/>
    </row>
    <row r="463" spans="2:2">
      <c r="B463" s="1636"/>
    </row>
    <row r="464" spans="2:2">
      <c r="B464" s="1636"/>
    </row>
    <row r="465" spans="2:2">
      <c r="B465" s="1636"/>
    </row>
    <row r="466" spans="2:2">
      <c r="B466" s="1636"/>
    </row>
    <row r="467" spans="2:2">
      <c r="B467" s="1636"/>
    </row>
    <row r="468" spans="2:2">
      <c r="B468" s="1636"/>
    </row>
    <row r="469" spans="2:2">
      <c r="B469" s="1636"/>
    </row>
    <row r="470" spans="2:2">
      <c r="B470" s="1636"/>
    </row>
    <row r="471" spans="2:2">
      <c r="B471" s="1636"/>
    </row>
    <row r="472" spans="2:2">
      <c r="B472" s="1636"/>
    </row>
    <row r="473" spans="2:2">
      <c r="B473" s="1636"/>
    </row>
    <row r="474" spans="2:2">
      <c r="B474" s="1636"/>
    </row>
    <row r="475" spans="2:2">
      <c r="B475" s="1636"/>
    </row>
    <row r="476" spans="2:2">
      <c r="B476" s="1636"/>
    </row>
    <row r="477" spans="2:2">
      <c r="B477" s="1636"/>
    </row>
    <row r="478" spans="2:2">
      <c r="B478" s="1636"/>
    </row>
    <row r="479" spans="2:2">
      <c r="B479" s="1636"/>
    </row>
    <row r="480" spans="2:2">
      <c r="B480" s="1636"/>
    </row>
    <row r="481" spans="2:2">
      <c r="B481" s="1636"/>
    </row>
    <row r="482" spans="2:2">
      <c r="B482" s="1636"/>
    </row>
    <row r="483" spans="2:2">
      <c r="B483" s="1636"/>
    </row>
    <row r="484" spans="2:2">
      <c r="B484" s="1636"/>
    </row>
    <row r="485" spans="2:2">
      <c r="B485" s="1636"/>
    </row>
    <row r="486" spans="2:2">
      <c r="B486" s="1636"/>
    </row>
    <row r="487" spans="2:2">
      <c r="B487" s="1636"/>
    </row>
    <row r="488" spans="2:2">
      <c r="B488" s="1636"/>
    </row>
    <row r="489" spans="2:2">
      <c r="B489" s="1636"/>
    </row>
    <row r="490" spans="2:2">
      <c r="B490" s="1636"/>
    </row>
    <row r="491" spans="2:2">
      <c r="B491" s="1636"/>
    </row>
    <row r="492" spans="2:2">
      <c r="B492" s="1636"/>
    </row>
    <row r="493" spans="2:2">
      <c r="B493" s="1636"/>
    </row>
    <row r="494" spans="2:2">
      <c r="B494" s="1636"/>
    </row>
    <row r="495" spans="2:2">
      <c r="B495" s="1636"/>
    </row>
    <row r="496" spans="2:2">
      <c r="B496" s="1636"/>
    </row>
    <row r="497" spans="2:2">
      <c r="B497" s="1636"/>
    </row>
    <row r="498" spans="2:2">
      <c r="B498" s="1636"/>
    </row>
    <row r="499" spans="2:2">
      <c r="B499" s="1636"/>
    </row>
    <row r="500" spans="2:2">
      <c r="B500" s="1636"/>
    </row>
    <row r="501" spans="2:2">
      <c r="B501" s="1636"/>
    </row>
    <row r="502" spans="2:2">
      <c r="B502" s="1636"/>
    </row>
    <row r="503" spans="2:2">
      <c r="B503" s="1636"/>
    </row>
    <row r="504" spans="2:2">
      <c r="B504" s="1636"/>
    </row>
    <row r="505" spans="2:2">
      <c r="B505" s="1636"/>
    </row>
    <row r="506" spans="2:2">
      <c r="B506" s="1636"/>
    </row>
    <row r="507" spans="2:2">
      <c r="B507" s="1636"/>
    </row>
    <row r="508" spans="2:2">
      <c r="B508" s="1636"/>
    </row>
    <row r="509" spans="2:2">
      <c r="B509" s="1636"/>
    </row>
    <row r="510" spans="2:2">
      <c r="B510" s="1636"/>
    </row>
    <row r="511" spans="2:2">
      <c r="B511" s="1636"/>
    </row>
    <row r="512" spans="2:2">
      <c r="B512" s="1636"/>
    </row>
    <row r="513" spans="2:2">
      <c r="B513" s="1636"/>
    </row>
    <row r="514" spans="2:2">
      <c r="B514" s="1636"/>
    </row>
    <row r="515" spans="2:2">
      <c r="B515" s="1636"/>
    </row>
    <row r="516" spans="2:2">
      <c r="B516" s="1636"/>
    </row>
    <row r="517" spans="2:2">
      <c r="B517" s="1636"/>
    </row>
    <row r="518" spans="2:2">
      <c r="B518" s="1636"/>
    </row>
    <row r="519" spans="2:2">
      <c r="B519" s="1636"/>
    </row>
    <row r="520" spans="2:2">
      <c r="B520" s="1636"/>
    </row>
    <row r="521" spans="2:2">
      <c r="B521" s="1636"/>
    </row>
    <row r="522" spans="2:2">
      <c r="B522" s="1636"/>
    </row>
    <row r="523" spans="2:2">
      <c r="B523" s="1636"/>
    </row>
    <row r="524" spans="2:2">
      <c r="B524" s="1636"/>
    </row>
    <row r="525" spans="2:2">
      <c r="B525" s="1636"/>
    </row>
    <row r="526" spans="2:2">
      <c r="B526" s="1636"/>
    </row>
    <row r="527" spans="2:2">
      <c r="B527" s="1636"/>
    </row>
    <row r="528" spans="2:2">
      <c r="B528" s="1636"/>
    </row>
    <row r="529" spans="2:2">
      <c r="B529" s="1636"/>
    </row>
    <row r="530" spans="2:2">
      <c r="B530" s="1636"/>
    </row>
    <row r="531" spans="2:2">
      <c r="B531" s="1636"/>
    </row>
    <row r="532" spans="2:2">
      <c r="B532" s="1636"/>
    </row>
    <row r="533" spans="2:2">
      <c r="B533" s="1636"/>
    </row>
    <row r="534" spans="2:2">
      <c r="B534" s="1636"/>
    </row>
    <row r="535" spans="2:2">
      <c r="B535" s="1636"/>
    </row>
    <row r="536" spans="2:2">
      <c r="B536" s="1636"/>
    </row>
    <row r="537" spans="2:2">
      <c r="B537" s="1636"/>
    </row>
    <row r="538" spans="2:2">
      <c r="B538" s="1636"/>
    </row>
    <row r="539" spans="2:2">
      <c r="B539" s="1636"/>
    </row>
    <row r="540" spans="2:2">
      <c r="B540" s="1636"/>
    </row>
    <row r="541" spans="2:2">
      <c r="B541" s="1636"/>
    </row>
    <row r="542" spans="2:2">
      <c r="B542" s="1636"/>
    </row>
    <row r="543" spans="2:2">
      <c r="B543" s="1636"/>
    </row>
    <row r="544" spans="2:2">
      <c r="B544" s="1636"/>
    </row>
    <row r="545" spans="2:2">
      <c r="B545" s="1636"/>
    </row>
    <row r="546" spans="2:2">
      <c r="B546" s="1636"/>
    </row>
    <row r="547" spans="2:2">
      <c r="B547" s="1636"/>
    </row>
    <row r="548" spans="2:2">
      <c r="B548" s="1636"/>
    </row>
    <row r="549" spans="2:2">
      <c r="B549" s="1636"/>
    </row>
    <row r="550" spans="2:2">
      <c r="B550" s="1636"/>
    </row>
    <row r="551" spans="2:2">
      <c r="B551" s="1636"/>
    </row>
    <row r="552" spans="2:2">
      <c r="B552" s="1636"/>
    </row>
    <row r="553" spans="2:2">
      <c r="B553" s="1636"/>
    </row>
    <row r="554" spans="2:2">
      <c r="B554" s="1636"/>
    </row>
    <row r="555" spans="2:2">
      <c r="B555" s="1636"/>
    </row>
    <row r="556" spans="2:2">
      <c r="B556" s="1636"/>
    </row>
    <row r="557" spans="2:2">
      <c r="B557" s="1636"/>
    </row>
    <row r="558" spans="2:2">
      <c r="B558" s="1636"/>
    </row>
    <row r="559" spans="2:2">
      <c r="B559" s="1636"/>
    </row>
    <row r="560" spans="2:2">
      <c r="B560" s="1636"/>
    </row>
    <row r="561" spans="2:2">
      <c r="B561" s="1636"/>
    </row>
    <row r="562" spans="2:2">
      <c r="B562" s="1636"/>
    </row>
    <row r="563" spans="2:2">
      <c r="B563" s="1636"/>
    </row>
    <row r="564" spans="2:2">
      <c r="B564" s="1636"/>
    </row>
    <row r="565" spans="2:2">
      <c r="B565" s="1636"/>
    </row>
    <row r="566" spans="2:2">
      <c r="B566" s="1636"/>
    </row>
    <row r="567" spans="2:2">
      <c r="B567" s="1636"/>
    </row>
    <row r="568" spans="2:2">
      <c r="B568" s="1636"/>
    </row>
    <row r="569" spans="2:2">
      <c r="B569" s="1636"/>
    </row>
    <row r="570" spans="2:2">
      <c r="B570" s="1636"/>
    </row>
    <row r="571" spans="2:2">
      <c r="B571" s="1636"/>
    </row>
    <row r="572" spans="2:2">
      <c r="B572" s="1636"/>
    </row>
    <row r="573" spans="2:2">
      <c r="B573" s="1636"/>
    </row>
    <row r="574" spans="2:2">
      <c r="B574" s="1636"/>
    </row>
    <row r="575" spans="2:2">
      <c r="B575" s="1636"/>
    </row>
    <row r="576" spans="2:2">
      <c r="B576" s="1636"/>
    </row>
    <row r="577" spans="2:2">
      <c r="B577" s="1636"/>
    </row>
    <row r="578" spans="2:2">
      <c r="B578" s="1636"/>
    </row>
    <row r="579" spans="2:2">
      <c r="B579" s="1636"/>
    </row>
    <row r="580" spans="2:2">
      <c r="B580" s="1636"/>
    </row>
    <row r="581" spans="2:2">
      <c r="B581" s="1636"/>
    </row>
    <row r="582" spans="2:2">
      <c r="B582" s="1636"/>
    </row>
    <row r="583" spans="2:2">
      <c r="B583" s="1636"/>
    </row>
    <row r="584" spans="2:2">
      <c r="B584" s="1636"/>
    </row>
    <row r="585" spans="2:2">
      <c r="B585" s="1636"/>
    </row>
    <row r="586" spans="2:2">
      <c r="B586" s="1636"/>
    </row>
    <row r="587" spans="2:2">
      <c r="B587" s="1636"/>
    </row>
    <row r="588" spans="2:2">
      <c r="B588" s="1636"/>
    </row>
    <row r="589" spans="2:2">
      <c r="B589" s="1636"/>
    </row>
    <row r="590" spans="2:2">
      <c r="B590" s="1636"/>
    </row>
    <row r="591" spans="2:2">
      <c r="B591" s="1636"/>
    </row>
    <row r="592" spans="2:2">
      <c r="B592" s="1636"/>
    </row>
    <row r="593" spans="2:2">
      <c r="B593" s="1636"/>
    </row>
    <row r="594" spans="2:2">
      <c r="B594" s="1636"/>
    </row>
    <row r="595" spans="2:2">
      <c r="B595" s="1636"/>
    </row>
    <row r="596" spans="2:2">
      <c r="B596" s="1636"/>
    </row>
    <row r="597" spans="2:2">
      <c r="B597" s="1636"/>
    </row>
    <row r="598" spans="2:2">
      <c r="B598" s="1636"/>
    </row>
    <row r="599" spans="2:2">
      <c r="B599" s="1636"/>
    </row>
    <row r="600" spans="2:2">
      <c r="B600" s="1636"/>
    </row>
    <row r="601" spans="2:2">
      <c r="B601" s="1636"/>
    </row>
    <row r="602" spans="2:2">
      <c r="B602" s="1636"/>
    </row>
    <row r="603" spans="2:2">
      <c r="B603" s="1636"/>
    </row>
    <row r="604" spans="2:2">
      <c r="B604" s="1636"/>
    </row>
    <row r="605" spans="2:2">
      <c r="B605" s="1636"/>
    </row>
    <row r="606" spans="2:2">
      <c r="B606" s="1636"/>
    </row>
    <row r="607" spans="2:2">
      <c r="B607" s="1636"/>
    </row>
    <row r="608" spans="2:2">
      <c r="B608" s="1636"/>
    </row>
    <row r="609" spans="2:2">
      <c r="B609" s="1636"/>
    </row>
    <row r="610" spans="2:2">
      <c r="B610" s="1636"/>
    </row>
    <row r="611" spans="2:2">
      <c r="B611" s="1636"/>
    </row>
    <row r="612" spans="2:2">
      <c r="B612" s="1636"/>
    </row>
    <row r="613" spans="2:2">
      <c r="B613" s="1636"/>
    </row>
    <row r="614" spans="2:2">
      <c r="B614" s="1636"/>
    </row>
    <row r="615" spans="2:2">
      <c r="B615" s="1636"/>
    </row>
    <row r="616" spans="2:2">
      <c r="B616" s="1636"/>
    </row>
    <row r="617" spans="2:2">
      <c r="B617" s="1636"/>
    </row>
    <row r="618" spans="2:2">
      <c r="B618" s="1636"/>
    </row>
    <row r="619" spans="2:2">
      <c r="B619" s="1636"/>
    </row>
    <row r="620" spans="2:2">
      <c r="B620" s="1636"/>
    </row>
    <row r="621" spans="2:2">
      <c r="B621" s="1636"/>
    </row>
    <row r="622" spans="2:2">
      <c r="B622" s="1636"/>
    </row>
    <row r="623" spans="2:2">
      <c r="B623" s="1636"/>
    </row>
    <row r="624" spans="2:2">
      <c r="B624" s="1636"/>
    </row>
    <row r="625" spans="2:2">
      <c r="B625" s="1636"/>
    </row>
    <row r="626" spans="2:2">
      <c r="B626" s="1636"/>
    </row>
    <row r="627" spans="2:2">
      <c r="B627" s="1636"/>
    </row>
    <row r="628" spans="2:2">
      <c r="B628" s="1636"/>
    </row>
    <row r="629" spans="2:2">
      <c r="B629" s="1636"/>
    </row>
    <row r="630" spans="2:2">
      <c r="B630" s="1636"/>
    </row>
    <row r="631" spans="2:2">
      <c r="B631" s="1636"/>
    </row>
    <row r="632" spans="2:2">
      <c r="B632" s="1636"/>
    </row>
    <row r="633" spans="2:2">
      <c r="B633" s="1636"/>
    </row>
    <row r="634" spans="2:2">
      <c r="B634" s="1636"/>
    </row>
    <row r="635" spans="2:2">
      <c r="B635" s="1636"/>
    </row>
    <row r="636" spans="2:2">
      <c r="B636" s="1636"/>
    </row>
    <row r="637" spans="2:2">
      <c r="B637" s="1636"/>
    </row>
    <row r="638" spans="2:2">
      <c r="B638" s="1636"/>
    </row>
    <row r="639" spans="2:2">
      <c r="B639" s="1636"/>
    </row>
    <row r="640" spans="2:2">
      <c r="B640" s="1636"/>
    </row>
    <row r="641" spans="2:2">
      <c r="B641" s="1636"/>
    </row>
    <row r="642" spans="2:2">
      <c r="B642" s="1636"/>
    </row>
    <row r="643" spans="2:2">
      <c r="B643" s="1636"/>
    </row>
    <row r="644" spans="2:2">
      <c r="B644" s="1636"/>
    </row>
    <row r="645" spans="2:2">
      <c r="B645" s="1636"/>
    </row>
    <row r="646" spans="2:2">
      <c r="B646" s="1636"/>
    </row>
    <row r="647" spans="2:2">
      <c r="B647" s="1636"/>
    </row>
    <row r="648" spans="2:2">
      <c r="B648" s="1636"/>
    </row>
    <row r="649" spans="2:2">
      <c r="B649" s="1636"/>
    </row>
    <row r="650" spans="2:2">
      <c r="B650" s="1636"/>
    </row>
    <row r="651" spans="2:2">
      <c r="B651" s="1636"/>
    </row>
    <row r="652" spans="2:2">
      <c r="B652" s="1636"/>
    </row>
    <row r="653" spans="2:2">
      <c r="B653" s="1636"/>
    </row>
    <row r="654" spans="2:2">
      <c r="B654" s="1636"/>
    </row>
    <row r="655" spans="2:2">
      <c r="B655" s="1636"/>
    </row>
    <row r="656" spans="2:2">
      <c r="B656" s="1636"/>
    </row>
    <row r="657" spans="2:2">
      <c r="B657" s="1636"/>
    </row>
    <row r="658" spans="2:2">
      <c r="B658" s="1636"/>
    </row>
    <row r="659" spans="2:2">
      <c r="B659" s="1636"/>
    </row>
    <row r="660" spans="2:2">
      <c r="B660" s="1636"/>
    </row>
    <row r="661" spans="2:2">
      <c r="B661" s="1636"/>
    </row>
    <row r="662" spans="2:2">
      <c r="B662" s="1636"/>
    </row>
    <row r="663" spans="2:2">
      <c r="B663" s="1636"/>
    </row>
    <row r="664" spans="2:2">
      <c r="B664" s="1636"/>
    </row>
    <row r="665" spans="2:2">
      <c r="B665" s="1636"/>
    </row>
    <row r="666" spans="2:2">
      <c r="B666" s="1636"/>
    </row>
    <row r="667" spans="2:2">
      <c r="B667" s="1636"/>
    </row>
    <row r="668" spans="2:2">
      <c r="B668" s="1636"/>
    </row>
    <row r="669" spans="2:2">
      <c r="B669" s="1636"/>
    </row>
    <row r="670" spans="2:2">
      <c r="B670" s="1636"/>
    </row>
    <row r="671" spans="2:2">
      <c r="B671" s="1636"/>
    </row>
    <row r="672" spans="2:2">
      <c r="B672" s="1636"/>
    </row>
    <row r="673" spans="2:2">
      <c r="B673" s="1636"/>
    </row>
    <row r="674" spans="2:2">
      <c r="B674" s="1636"/>
    </row>
    <row r="675" spans="2:2">
      <c r="B675" s="1636"/>
    </row>
    <row r="676" spans="2:2">
      <c r="B676" s="1636"/>
    </row>
    <row r="677" spans="2:2">
      <c r="B677" s="1636"/>
    </row>
    <row r="678" spans="2:2">
      <c r="B678" s="1636"/>
    </row>
    <row r="679" spans="2:2">
      <c r="B679" s="1636"/>
    </row>
    <row r="680" spans="2:2">
      <c r="B680" s="1636"/>
    </row>
    <row r="681" spans="2:2">
      <c r="B681" s="1636"/>
    </row>
    <row r="682" spans="2:2">
      <c r="B682" s="1636"/>
    </row>
    <row r="683" spans="2:2">
      <c r="B683" s="1636"/>
    </row>
    <row r="684" spans="2:2">
      <c r="B684" s="1636"/>
    </row>
    <row r="685" spans="2:2">
      <c r="B685" s="1636"/>
    </row>
    <row r="686" spans="2:2">
      <c r="B686" s="1636"/>
    </row>
    <row r="687" spans="2:2">
      <c r="B687" s="1636"/>
    </row>
    <row r="688" spans="2:2">
      <c r="B688" s="1636"/>
    </row>
    <row r="689" spans="2:2">
      <c r="B689" s="1636"/>
    </row>
    <row r="690" spans="2:2">
      <c r="B690" s="1636"/>
    </row>
    <row r="691" spans="2:2">
      <c r="B691" s="1636"/>
    </row>
    <row r="692" spans="2:2">
      <c r="B692" s="1636"/>
    </row>
    <row r="693" spans="2:2">
      <c r="B693" s="1636"/>
    </row>
    <row r="694" spans="2:2">
      <c r="B694" s="1636"/>
    </row>
    <row r="695" spans="2:2">
      <c r="B695" s="1636"/>
    </row>
    <row r="696" spans="2:2">
      <c r="B696" s="1636"/>
    </row>
    <row r="697" spans="2:2">
      <c r="B697" s="1636"/>
    </row>
    <row r="698" spans="2:2">
      <c r="B698" s="1636"/>
    </row>
    <row r="699" spans="2:2">
      <c r="B699" s="1636"/>
    </row>
    <row r="700" spans="2:2">
      <c r="B700" s="1636"/>
    </row>
    <row r="701" spans="2:2">
      <c r="B701" s="1636"/>
    </row>
    <row r="702" spans="2:2">
      <c r="B702" s="1636"/>
    </row>
    <row r="703" spans="2:2">
      <c r="B703" s="1636"/>
    </row>
    <row r="704" spans="2:2">
      <c r="B704" s="1636"/>
    </row>
    <row r="705" spans="2:2">
      <c r="B705" s="1636"/>
    </row>
    <row r="706" spans="2:2">
      <c r="B706" s="1636"/>
    </row>
    <row r="707" spans="2:2">
      <c r="B707" s="1636"/>
    </row>
    <row r="708" spans="2:2">
      <c r="B708" s="1636"/>
    </row>
    <row r="709" spans="2:2">
      <c r="B709" s="1636"/>
    </row>
    <row r="710" spans="2:2">
      <c r="B710" s="1636"/>
    </row>
    <row r="711" spans="2:2">
      <c r="B711" s="1636"/>
    </row>
    <row r="712" spans="2:2">
      <c r="B712" s="1636"/>
    </row>
    <row r="713" spans="2:2">
      <c r="B713" s="1636"/>
    </row>
    <row r="714" spans="2:2">
      <c r="B714" s="1636"/>
    </row>
    <row r="715" spans="2:2">
      <c r="B715" s="1636"/>
    </row>
    <row r="716" spans="2:2">
      <c r="B716" s="1636"/>
    </row>
    <row r="717" spans="2:2">
      <c r="B717" s="1636"/>
    </row>
    <row r="718" spans="2:2">
      <c r="B718" s="1636"/>
    </row>
    <row r="719" spans="2:2">
      <c r="B719" s="1636"/>
    </row>
    <row r="720" spans="2:2">
      <c r="B720" s="1636"/>
    </row>
    <row r="721" spans="2:2">
      <c r="B721" s="1636"/>
    </row>
    <row r="722" spans="2:2">
      <c r="B722" s="1636"/>
    </row>
    <row r="723" spans="2:2">
      <c r="B723" s="1636"/>
    </row>
    <row r="724" spans="2:2">
      <c r="B724" s="1636"/>
    </row>
    <row r="725" spans="2:2">
      <c r="B725" s="1636"/>
    </row>
    <row r="726" spans="2:2">
      <c r="B726" s="1636"/>
    </row>
    <row r="727" spans="2:2">
      <c r="B727" s="1636"/>
    </row>
    <row r="728" spans="2:2">
      <c r="B728" s="1636"/>
    </row>
    <row r="729" spans="2:2">
      <c r="B729" s="1636"/>
    </row>
    <row r="730" spans="2:2">
      <c r="B730" s="1636"/>
    </row>
    <row r="731" spans="2:2">
      <c r="B731" s="1636"/>
    </row>
    <row r="732" spans="2:2">
      <c r="B732" s="1636"/>
    </row>
    <row r="733" spans="2:2">
      <c r="B733" s="1636"/>
    </row>
    <row r="734" spans="2:2">
      <c r="B734" s="1636"/>
    </row>
    <row r="735" spans="2:2">
      <c r="B735" s="1636"/>
    </row>
    <row r="736" spans="2:2">
      <c r="B736" s="1636"/>
    </row>
    <row r="737" spans="2:2">
      <c r="B737" s="1636"/>
    </row>
    <row r="738" spans="2:2">
      <c r="B738" s="1636"/>
    </row>
    <row r="739" spans="2:2">
      <c r="B739" s="1636"/>
    </row>
    <row r="740" spans="2:2">
      <c r="B740" s="1636"/>
    </row>
    <row r="741" spans="2:2">
      <c r="B741" s="1636"/>
    </row>
    <row r="742" spans="2:2">
      <c r="B742" s="1636"/>
    </row>
    <row r="743" spans="2:2">
      <c r="B743" s="1636"/>
    </row>
    <row r="744" spans="2:2">
      <c r="B744" s="1636"/>
    </row>
    <row r="745" spans="2:2">
      <c r="B745" s="1636"/>
    </row>
    <row r="746" spans="2:2">
      <c r="B746" s="1636"/>
    </row>
    <row r="747" spans="2:2">
      <c r="B747" s="1636"/>
    </row>
    <row r="748" spans="2:2">
      <c r="B748" s="1636"/>
    </row>
    <row r="749" spans="2:2">
      <c r="B749" s="1636"/>
    </row>
    <row r="750" spans="2:2">
      <c r="B750" s="1636"/>
    </row>
    <row r="751" spans="2:2">
      <c r="B751" s="1636"/>
    </row>
    <row r="752" spans="2:2">
      <c r="B752" s="1636"/>
    </row>
    <row r="753" spans="2:2">
      <c r="B753" s="1636"/>
    </row>
    <row r="754" spans="2:2">
      <c r="B754" s="1636"/>
    </row>
    <row r="755" spans="2:2">
      <c r="B755" s="1636"/>
    </row>
    <row r="756" spans="2:2">
      <c r="B756" s="1636"/>
    </row>
    <row r="757" spans="2:2">
      <c r="B757" s="1636"/>
    </row>
    <row r="758" spans="2:2">
      <c r="B758" s="1636"/>
    </row>
    <row r="759" spans="2:2">
      <c r="B759" s="1636"/>
    </row>
    <row r="760" spans="2:2">
      <c r="B760" s="1636"/>
    </row>
    <row r="761" spans="2:2">
      <c r="B761" s="1636"/>
    </row>
    <row r="762" spans="2:2">
      <c r="B762" s="1636"/>
    </row>
    <row r="763" spans="2:2">
      <c r="B763" s="1636"/>
    </row>
    <row r="764" spans="2:2">
      <c r="B764" s="1636"/>
    </row>
    <row r="765" spans="2:2">
      <c r="B765" s="1636"/>
    </row>
    <row r="766" spans="2:2">
      <c r="B766" s="1636"/>
    </row>
    <row r="767" spans="2:2">
      <c r="B767" s="1636"/>
    </row>
    <row r="768" spans="2:2">
      <c r="B768" s="1636"/>
    </row>
    <row r="769" spans="2:2">
      <c r="B769" s="1636"/>
    </row>
    <row r="770" spans="2:2">
      <c r="B770" s="1636"/>
    </row>
    <row r="771" spans="2:2">
      <c r="B771" s="1636"/>
    </row>
    <row r="772" spans="2:2">
      <c r="B772" s="1636"/>
    </row>
    <row r="773" spans="2:2">
      <c r="B773" s="1636"/>
    </row>
    <row r="774" spans="2:2">
      <c r="B774" s="1636"/>
    </row>
    <row r="775" spans="2:2">
      <c r="B775" s="1636"/>
    </row>
    <row r="776" spans="2:2">
      <c r="B776" s="1636"/>
    </row>
    <row r="777" spans="2:2">
      <c r="B777" s="1636"/>
    </row>
    <row r="778" spans="2:2">
      <c r="B778" s="1636"/>
    </row>
    <row r="779" spans="2:2">
      <c r="B779" s="1636"/>
    </row>
    <row r="780" spans="2:2">
      <c r="B780" s="1636"/>
    </row>
    <row r="781" spans="2:2">
      <c r="B781" s="1636"/>
    </row>
    <row r="782" spans="2:2">
      <c r="B782" s="1636"/>
    </row>
    <row r="783" spans="2:2">
      <c r="B783" s="1636"/>
    </row>
    <row r="784" spans="2:2">
      <c r="B784" s="1636"/>
    </row>
    <row r="785" spans="2:2">
      <c r="B785" s="1636"/>
    </row>
    <row r="786" spans="2:2">
      <c r="B786" s="1636"/>
    </row>
    <row r="787" spans="2:2">
      <c r="B787" s="1636"/>
    </row>
    <row r="788" spans="2:2">
      <c r="B788" s="1636"/>
    </row>
    <row r="789" spans="2:2">
      <c r="B789" s="1636"/>
    </row>
    <row r="790" spans="2:2">
      <c r="B790" s="1636"/>
    </row>
    <row r="791" spans="2:2">
      <c r="B791" s="1636"/>
    </row>
    <row r="792" spans="2:2">
      <c r="B792" s="1636"/>
    </row>
    <row r="793" spans="2:2">
      <c r="B793" s="1636"/>
    </row>
    <row r="794" spans="2:2">
      <c r="B794" s="1636"/>
    </row>
    <row r="795" spans="2:2">
      <c r="B795" s="1636"/>
    </row>
    <row r="796" spans="2:2">
      <c r="B796" s="1636"/>
    </row>
    <row r="797" spans="2:2">
      <c r="B797" s="1636"/>
    </row>
    <row r="798" spans="2:2">
      <c r="B798" s="1636"/>
    </row>
    <row r="799" spans="2:2">
      <c r="B799" s="1636"/>
    </row>
    <row r="800" spans="2:2">
      <c r="B800" s="1636"/>
    </row>
    <row r="801" spans="2:2">
      <c r="B801" s="1636"/>
    </row>
    <row r="802" spans="2:2">
      <c r="B802" s="1636"/>
    </row>
    <row r="803" spans="2:2">
      <c r="B803" s="1636"/>
    </row>
    <row r="804" spans="2:2">
      <c r="B804" s="1636"/>
    </row>
    <row r="805" spans="2:2">
      <c r="B805" s="1636"/>
    </row>
    <row r="806" spans="2:2">
      <c r="B806" s="1636"/>
    </row>
    <row r="807" spans="2:2">
      <c r="B807" s="1636"/>
    </row>
    <row r="808" spans="2:2">
      <c r="B808" s="1636"/>
    </row>
    <row r="809" spans="2:2">
      <c r="B809" s="1636"/>
    </row>
    <row r="810" spans="2:2">
      <c r="B810" s="1636"/>
    </row>
    <row r="811" spans="2:2">
      <c r="B811" s="1636"/>
    </row>
    <row r="812" spans="2:2">
      <c r="B812" s="1636"/>
    </row>
    <row r="813" spans="2:2">
      <c r="B813" s="1636"/>
    </row>
    <row r="814" spans="2:2">
      <c r="B814" s="1636"/>
    </row>
    <row r="815" spans="2:2">
      <c r="B815" s="1636"/>
    </row>
    <row r="816" spans="2:2">
      <c r="B816" s="1636"/>
    </row>
    <row r="817" spans="2:2">
      <c r="B817" s="1636"/>
    </row>
    <row r="818" spans="2:2">
      <c r="B818" s="1636"/>
    </row>
    <row r="819" spans="2:2">
      <c r="B819" s="1636"/>
    </row>
    <row r="820" spans="2:2">
      <c r="B820" s="1636"/>
    </row>
    <row r="821" spans="2:2">
      <c r="B821" s="1636"/>
    </row>
    <row r="822" spans="2:2">
      <c r="B822" s="1636"/>
    </row>
    <row r="823" spans="2:2">
      <c r="B823" s="1636"/>
    </row>
    <row r="824" spans="2:2">
      <c r="B824" s="1636"/>
    </row>
    <row r="825" spans="2:2">
      <c r="B825" s="1636"/>
    </row>
    <row r="826" spans="2:2">
      <c r="B826" s="1636"/>
    </row>
    <row r="827" spans="2:2">
      <c r="B827" s="1636"/>
    </row>
    <row r="828" spans="2:2">
      <c r="B828" s="1636"/>
    </row>
    <row r="829" spans="2:2">
      <c r="B829" s="1636"/>
    </row>
    <row r="830" spans="2:2">
      <c r="B830" s="1636"/>
    </row>
    <row r="831" spans="2:2">
      <c r="B831" s="1636"/>
    </row>
    <row r="832" spans="2:2">
      <c r="B832" s="1636"/>
    </row>
    <row r="833" spans="2:2">
      <c r="B833" s="1636"/>
    </row>
    <row r="834" spans="2:2">
      <c r="B834" s="1636"/>
    </row>
    <row r="835" spans="2:2">
      <c r="B835" s="1636"/>
    </row>
    <row r="836" spans="2:2">
      <c r="B836" s="1636"/>
    </row>
    <row r="837" spans="2:2">
      <c r="B837" s="1636"/>
    </row>
    <row r="838" spans="2:2">
      <c r="B838" s="1636"/>
    </row>
    <row r="839" spans="2:2">
      <c r="B839" s="1636"/>
    </row>
    <row r="840" spans="2:2">
      <c r="B840" s="1636"/>
    </row>
    <row r="841" spans="2:2">
      <c r="B841" s="1636"/>
    </row>
    <row r="842" spans="2:2">
      <c r="B842" s="1636"/>
    </row>
    <row r="843" spans="2:2">
      <c r="B843" s="1636"/>
    </row>
    <row r="844" spans="2:2">
      <c r="B844" s="1636"/>
    </row>
    <row r="845" spans="2:2">
      <c r="B845" s="1636"/>
    </row>
    <row r="846" spans="2:2">
      <c r="B846" s="1636"/>
    </row>
    <row r="847" spans="2:2">
      <c r="B847" s="1636"/>
    </row>
    <row r="848" spans="2:2">
      <c r="B848" s="1636"/>
    </row>
    <row r="849" spans="2:2">
      <c r="B849" s="1636"/>
    </row>
    <row r="850" spans="2:2">
      <c r="B850" s="1636"/>
    </row>
    <row r="851" spans="2:2">
      <c r="B851" s="1636"/>
    </row>
    <row r="852" spans="2:2">
      <c r="B852" s="1636"/>
    </row>
    <row r="853" spans="2:2">
      <c r="B853" s="1636"/>
    </row>
    <row r="854" spans="2:2">
      <c r="B854" s="1636"/>
    </row>
    <row r="855" spans="2:2">
      <c r="B855" s="1636"/>
    </row>
    <row r="856" spans="2:2">
      <c r="B856" s="1636"/>
    </row>
    <row r="857" spans="2:2">
      <c r="B857" s="1636"/>
    </row>
    <row r="858" spans="2:2">
      <c r="B858" s="1636"/>
    </row>
    <row r="859" spans="2:2">
      <c r="B859" s="1636"/>
    </row>
    <row r="860" spans="2:2">
      <c r="B860" s="1636"/>
    </row>
    <row r="861" spans="2:2">
      <c r="B861" s="1636"/>
    </row>
    <row r="862" spans="2:2">
      <c r="B862" s="1636"/>
    </row>
    <row r="863" spans="2:2">
      <c r="B863" s="1636"/>
    </row>
    <row r="864" spans="2:2">
      <c r="B864" s="1636"/>
    </row>
    <row r="865" spans="2:2">
      <c r="B865" s="1636"/>
    </row>
    <row r="866" spans="2:2">
      <c r="B866" s="1636"/>
    </row>
    <row r="867" spans="2:2">
      <c r="B867" s="1636"/>
    </row>
    <row r="868" spans="2:2">
      <c r="B868" s="1636"/>
    </row>
    <row r="869" spans="2:2">
      <c r="B869" s="1636"/>
    </row>
    <row r="870" spans="2:2">
      <c r="B870" s="1636"/>
    </row>
    <row r="871" spans="2:2">
      <c r="B871" s="1636"/>
    </row>
    <row r="872" spans="2:2">
      <c r="B872" s="1636"/>
    </row>
    <row r="873" spans="2:2">
      <c r="B873" s="1636"/>
    </row>
    <row r="874" spans="2:2">
      <c r="B874" s="1636"/>
    </row>
    <row r="875" spans="2:2">
      <c r="B875" s="1636"/>
    </row>
    <row r="876" spans="2:2">
      <c r="B876" s="1636"/>
    </row>
    <row r="877" spans="2:2">
      <c r="B877" s="1636"/>
    </row>
    <row r="878" spans="2:2">
      <c r="B878" s="1636"/>
    </row>
    <row r="879" spans="2:2">
      <c r="B879" s="1636"/>
    </row>
    <row r="880" spans="2:2">
      <c r="B880" s="1636"/>
    </row>
    <row r="881" spans="2:2">
      <c r="B881" s="1636"/>
    </row>
    <row r="882" spans="2:2">
      <c r="B882" s="1636"/>
    </row>
    <row r="883" spans="2:2">
      <c r="B883" s="1636"/>
    </row>
    <row r="884" spans="2:2">
      <c r="B884" s="1636"/>
    </row>
    <row r="885" spans="2:2">
      <c r="B885" s="1636"/>
    </row>
    <row r="886" spans="2:2">
      <c r="B886" s="1636"/>
    </row>
    <row r="887" spans="2:2">
      <c r="B887" s="1636"/>
    </row>
    <row r="888" spans="2:2">
      <c r="B888" s="1636"/>
    </row>
    <row r="889" spans="2:2">
      <c r="B889" s="1636"/>
    </row>
    <row r="890" spans="2:2">
      <c r="B890" s="1636"/>
    </row>
    <row r="891" spans="2:2">
      <c r="B891" s="1636"/>
    </row>
    <row r="892" spans="2:2">
      <c r="B892" s="1636"/>
    </row>
    <row r="893" spans="2:2">
      <c r="B893" s="1636"/>
    </row>
    <row r="894" spans="2:2">
      <c r="B894" s="1636"/>
    </row>
    <row r="895" spans="2:2">
      <c r="B895" s="1636"/>
    </row>
    <row r="896" spans="2:2">
      <c r="B896" s="1636"/>
    </row>
    <row r="897" spans="2:2">
      <c r="B897" s="1636"/>
    </row>
    <row r="898" spans="2:2">
      <c r="B898" s="1636"/>
    </row>
    <row r="899" spans="2:2">
      <c r="B899" s="1636"/>
    </row>
    <row r="900" spans="2:2">
      <c r="B900" s="1636"/>
    </row>
    <row r="901" spans="2:2">
      <c r="B901" s="1636"/>
    </row>
    <row r="902" spans="2:2">
      <c r="B902" s="1636"/>
    </row>
    <row r="903" spans="2:2">
      <c r="B903" s="1636"/>
    </row>
    <row r="904" spans="2:2">
      <c r="B904" s="1636"/>
    </row>
    <row r="905" spans="2:2">
      <c r="B905" s="1636"/>
    </row>
    <row r="906" spans="2:2">
      <c r="B906" s="1636"/>
    </row>
    <row r="907" spans="2:2">
      <c r="B907" s="1636"/>
    </row>
    <row r="908" spans="2:2">
      <c r="B908" s="1636"/>
    </row>
    <row r="909" spans="2:2">
      <c r="B909" s="1636"/>
    </row>
    <row r="910" spans="2:2">
      <c r="B910" s="1636"/>
    </row>
    <row r="911" spans="2:2">
      <c r="B911" s="1636"/>
    </row>
    <row r="912" spans="2:2">
      <c r="B912" s="1636"/>
    </row>
    <row r="913" spans="2:2">
      <c r="B913" s="1636"/>
    </row>
    <row r="914" spans="2:2">
      <c r="B914" s="1636"/>
    </row>
    <row r="915" spans="2:2">
      <c r="B915" s="1636"/>
    </row>
    <row r="916" spans="2:2">
      <c r="B916" s="1636"/>
    </row>
    <row r="917" spans="2:2">
      <c r="B917" s="1636"/>
    </row>
    <row r="918" spans="2:2">
      <c r="B918" s="1636"/>
    </row>
    <row r="919" spans="2:2">
      <c r="B919" s="1636"/>
    </row>
    <row r="920" spans="2:2">
      <c r="B920" s="1636"/>
    </row>
    <row r="921" spans="2:2">
      <c r="B921" s="1636"/>
    </row>
    <row r="922" spans="2:2">
      <c r="B922" s="1636"/>
    </row>
    <row r="923" spans="2:2">
      <c r="B923" s="1636"/>
    </row>
    <row r="924" spans="2:2">
      <c r="B924" s="1636"/>
    </row>
    <row r="925" spans="2:2">
      <c r="B925" s="1636"/>
    </row>
    <row r="926" spans="2:2">
      <c r="B926" s="1636"/>
    </row>
    <row r="927" spans="2:2">
      <c r="B927" s="1636"/>
    </row>
    <row r="928" spans="2:2">
      <c r="B928" s="1636"/>
    </row>
    <row r="929" spans="2:2">
      <c r="B929" s="1636"/>
    </row>
    <row r="930" spans="2:2">
      <c r="B930" s="1636"/>
    </row>
    <row r="931" spans="2:2">
      <c r="B931" s="1636"/>
    </row>
    <row r="932" spans="2:2">
      <c r="B932" s="1636"/>
    </row>
    <row r="933" spans="2:2">
      <c r="B933" s="1636"/>
    </row>
    <row r="934" spans="2:2">
      <c r="B934" s="1636"/>
    </row>
    <row r="935" spans="2:2">
      <c r="B935" s="1636"/>
    </row>
    <row r="936" spans="2:2">
      <c r="B936" s="1636"/>
    </row>
    <row r="937" spans="2:2">
      <c r="B937" s="1636"/>
    </row>
    <row r="938" spans="2:2">
      <c r="B938" s="1636"/>
    </row>
    <row r="939" spans="2:2">
      <c r="B939" s="1636"/>
    </row>
    <row r="940" spans="2:2">
      <c r="B940" s="1636"/>
    </row>
    <row r="941" spans="2:2">
      <c r="B941" s="1636"/>
    </row>
    <row r="942" spans="2:2">
      <c r="B942" s="1636"/>
    </row>
    <row r="943" spans="2:2">
      <c r="B943" s="1636"/>
    </row>
    <row r="944" spans="2:2">
      <c r="B944" s="1636"/>
    </row>
    <row r="945" spans="2:2">
      <c r="B945" s="1636"/>
    </row>
    <row r="946" spans="2:2">
      <c r="B946" s="1636"/>
    </row>
    <row r="947" spans="2:2">
      <c r="B947" s="1636"/>
    </row>
    <row r="948" spans="2:2">
      <c r="B948" s="1636"/>
    </row>
    <row r="949" spans="2:2">
      <c r="B949" s="1636"/>
    </row>
    <row r="950" spans="2:2">
      <c r="B950" s="1636"/>
    </row>
    <row r="951" spans="2:2">
      <c r="B951" s="1636"/>
    </row>
    <row r="952" spans="2:2">
      <c r="B952" s="1636"/>
    </row>
    <row r="953" spans="2:2">
      <c r="B953" s="1636"/>
    </row>
    <row r="954" spans="2:2">
      <c r="B954" s="1636"/>
    </row>
    <row r="955" spans="2:2">
      <c r="B955" s="1636"/>
    </row>
    <row r="956" spans="2:2">
      <c r="B956" s="1636"/>
    </row>
    <row r="957" spans="2:2">
      <c r="B957" s="1636"/>
    </row>
    <row r="958" spans="2:2">
      <c r="B958" s="1636"/>
    </row>
    <row r="959" spans="2:2">
      <c r="B959" s="1636"/>
    </row>
    <row r="960" spans="2:2">
      <c r="B960" s="1636"/>
    </row>
    <row r="961" spans="2:2">
      <c r="B961" s="1636"/>
    </row>
    <row r="962" spans="2:2">
      <c r="B962" s="1636"/>
    </row>
    <row r="963" spans="2:2">
      <c r="B963" s="1636"/>
    </row>
    <row r="964" spans="2:2">
      <c r="B964" s="1636"/>
    </row>
    <row r="965" spans="2:2">
      <c r="B965" s="1636"/>
    </row>
    <row r="966" spans="2:2">
      <c r="B966" s="1636"/>
    </row>
    <row r="967" spans="2:2">
      <c r="B967" s="1636"/>
    </row>
    <row r="968" spans="2:2">
      <c r="B968" s="1636"/>
    </row>
    <row r="969" spans="2:2">
      <c r="B969" s="1636"/>
    </row>
    <row r="970" spans="2:2">
      <c r="B970" s="1636"/>
    </row>
    <row r="971" spans="2:2">
      <c r="B971" s="1636"/>
    </row>
    <row r="972" spans="2:2">
      <c r="B972" s="1636"/>
    </row>
    <row r="973" spans="2:2">
      <c r="B973" s="1636"/>
    </row>
    <row r="974" spans="2:2">
      <c r="B974" s="1636"/>
    </row>
    <row r="975" spans="2:2">
      <c r="B975" s="1636"/>
    </row>
    <row r="976" spans="2:2">
      <c r="B976" s="1636"/>
    </row>
    <row r="977" spans="2:2">
      <c r="B977" s="1636"/>
    </row>
    <row r="978" spans="2:2">
      <c r="B978" s="1636"/>
    </row>
    <row r="979" spans="2:2">
      <c r="B979" s="1636"/>
    </row>
    <row r="980" spans="2:2">
      <c r="B980" s="1636"/>
    </row>
    <row r="981" spans="2:2">
      <c r="B981" s="1636"/>
    </row>
    <row r="982" spans="2:2">
      <c r="B982" s="1636"/>
    </row>
    <row r="983" spans="2:2">
      <c r="B983" s="1636"/>
    </row>
    <row r="984" spans="2:2">
      <c r="B984" s="1636"/>
    </row>
    <row r="985" spans="2:2">
      <c r="B985" s="1636"/>
    </row>
    <row r="986" spans="2:2">
      <c r="B986" s="1636"/>
    </row>
    <row r="987" spans="2:2">
      <c r="B987" s="1636"/>
    </row>
    <row r="988" spans="2:2">
      <c r="B988" s="1636"/>
    </row>
    <row r="989" spans="2:2">
      <c r="B989" s="1636"/>
    </row>
    <row r="990" spans="2:2">
      <c r="B990" s="1636"/>
    </row>
    <row r="991" spans="2:2">
      <c r="B991" s="1636"/>
    </row>
    <row r="992" spans="2:2">
      <c r="B992" s="1636"/>
    </row>
    <row r="993" spans="2:2">
      <c r="B993" s="1636"/>
    </row>
    <row r="994" spans="2:2">
      <c r="B994" s="1636"/>
    </row>
    <row r="995" spans="2:2">
      <c r="B995" s="1636"/>
    </row>
    <row r="996" spans="2:2">
      <c r="B996" s="1636"/>
    </row>
    <row r="997" spans="2:2">
      <c r="B997" s="1636"/>
    </row>
    <row r="998" spans="2:2">
      <c r="B998" s="1636"/>
    </row>
    <row r="999" spans="2:2">
      <c r="B999" s="1636"/>
    </row>
    <row r="1000" spans="2:2">
      <c r="B1000" s="1636"/>
    </row>
  </sheetData>
  <printOptions horizontalCentered="1" gridLines="1"/>
  <pageMargins left="0.7" right="0.7" top="0.75" bottom="0.75" header="0" footer="0"/>
  <pageSetup fitToWidth="0" pageOrder="overThenDown" orientation="portrait" cellComments="atEnd"/>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pageSetUpPr fitToPage="1"/>
  </sheetPr>
  <dimension ref="A1:Z359"/>
  <sheetViews>
    <sheetView topLeftCell="A168" workbookViewId="0">
      <selection activeCell="A181" sqref="A181"/>
    </sheetView>
  </sheetViews>
  <sheetFormatPr defaultColWidth="12.7109375" defaultRowHeight="12.75" customHeight="1"/>
  <cols>
    <col min="1" max="1" width="44.28515625" customWidth="1"/>
    <col min="2" max="2" width="33.28515625" customWidth="1"/>
    <col min="3" max="3" width="23.28515625" customWidth="1"/>
    <col min="4" max="4" width="46.140625" customWidth="1"/>
    <col min="5" max="5" width="50.140625" customWidth="1"/>
    <col min="6" max="6" width="28.42578125" customWidth="1"/>
  </cols>
  <sheetData>
    <row r="1" spans="1:26">
      <c r="A1" s="578"/>
      <c r="B1" s="578" t="s">
        <v>3689</v>
      </c>
      <c r="C1" s="578" t="s">
        <v>3690</v>
      </c>
      <c r="D1" s="253"/>
      <c r="E1" s="578"/>
    </row>
    <row r="2" spans="1:26" ht="15">
      <c r="A2" s="579" t="s">
        <v>3691</v>
      </c>
      <c r="B2" s="70" t="s">
        <v>3692</v>
      </c>
      <c r="C2" s="580" t="s">
        <v>3693</v>
      </c>
      <c r="D2" s="59" t="s">
        <v>3694</v>
      </c>
      <c r="E2" s="581"/>
      <c r="F2" s="581"/>
      <c r="G2" s="581"/>
      <c r="H2" s="581"/>
      <c r="I2" s="581"/>
      <c r="J2" s="581"/>
      <c r="K2" s="581"/>
      <c r="L2" s="581"/>
      <c r="M2" s="581"/>
      <c r="N2" s="581"/>
      <c r="O2" s="581"/>
      <c r="P2" s="581"/>
      <c r="Q2" s="581"/>
      <c r="R2" s="581"/>
      <c r="S2" s="581"/>
      <c r="T2" s="581"/>
      <c r="U2" s="581"/>
      <c r="V2" s="581"/>
      <c r="W2" s="581"/>
      <c r="X2" s="581"/>
      <c r="Y2" s="581"/>
      <c r="Z2" s="581"/>
    </row>
    <row r="3" spans="1:26" ht="14.25">
      <c r="A3" s="582" t="s">
        <v>3695</v>
      </c>
      <c r="B3" s="583" t="s">
        <v>3696</v>
      </c>
      <c r="C3" s="583" t="s">
        <v>3697</v>
      </c>
      <c r="D3" s="584" t="s">
        <v>3698</v>
      </c>
      <c r="E3" s="581"/>
      <c r="F3" s="581"/>
      <c r="G3" s="581"/>
      <c r="H3" s="581"/>
      <c r="I3" s="581"/>
      <c r="J3" s="581"/>
      <c r="K3" s="581"/>
      <c r="L3" s="581"/>
      <c r="M3" s="581"/>
      <c r="N3" s="581"/>
      <c r="O3" s="581"/>
      <c r="P3" s="581"/>
      <c r="Q3" s="581"/>
      <c r="R3" s="581"/>
      <c r="S3" s="581"/>
      <c r="T3" s="581"/>
      <c r="U3" s="581"/>
      <c r="V3" s="581"/>
      <c r="W3" s="581"/>
      <c r="X3" s="581"/>
      <c r="Y3" s="581"/>
      <c r="Z3" s="581"/>
    </row>
    <row r="4" spans="1:26" ht="14.25">
      <c r="A4" s="582" t="s">
        <v>3699</v>
      </c>
      <c r="B4" s="583" t="s">
        <v>3700</v>
      </c>
      <c r="C4" s="583" t="s">
        <v>3697</v>
      </c>
      <c r="D4" s="584" t="s">
        <v>3701</v>
      </c>
      <c r="E4" s="581"/>
      <c r="F4" s="581"/>
      <c r="G4" s="581"/>
      <c r="H4" s="581"/>
      <c r="I4" s="581"/>
      <c r="J4" s="581"/>
      <c r="K4" s="581"/>
      <c r="L4" s="581"/>
      <c r="M4" s="581"/>
      <c r="N4" s="581"/>
      <c r="O4" s="581"/>
      <c r="P4" s="581"/>
      <c r="Q4" s="581"/>
      <c r="R4" s="581"/>
      <c r="S4" s="581"/>
      <c r="T4" s="581"/>
      <c r="U4" s="581"/>
      <c r="V4" s="581"/>
      <c r="W4" s="581"/>
      <c r="X4" s="581"/>
      <c r="Y4" s="581"/>
      <c r="Z4" s="581"/>
    </row>
    <row r="5" spans="1:26" ht="14.25">
      <c r="A5" s="585" t="s">
        <v>3702</v>
      </c>
      <c r="B5" s="586"/>
      <c r="C5" s="583" t="s">
        <v>3697</v>
      </c>
      <c r="D5" s="587">
        <v>281628</v>
      </c>
      <c r="E5" s="581"/>
      <c r="F5" s="581"/>
      <c r="G5" s="581"/>
      <c r="H5" s="581"/>
      <c r="I5" s="581"/>
      <c r="J5" s="581"/>
      <c r="K5" s="581"/>
      <c r="L5" s="581"/>
      <c r="M5" s="581"/>
      <c r="N5" s="581"/>
      <c r="O5" s="581"/>
      <c r="P5" s="581"/>
      <c r="Q5" s="581"/>
      <c r="R5" s="581"/>
      <c r="S5" s="581"/>
      <c r="T5" s="581"/>
      <c r="U5" s="581"/>
      <c r="V5" s="581"/>
      <c r="W5" s="581"/>
      <c r="X5" s="581"/>
      <c r="Y5" s="581"/>
      <c r="Z5" s="581"/>
    </row>
    <row r="6" spans="1:26" ht="14.25">
      <c r="A6" s="585" t="s">
        <v>3703</v>
      </c>
      <c r="B6" s="586" t="s">
        <v>3692</v>
      </c>
      <c r="C6" s="583" t="s">
        <v>3697</v>
      </c>
      <c r="D6" s="587" t="s">
        <v>3704</v>
      </c>
      <c r="E6" s="581"/>
      <c r="F6" s="581"/>
      <c r="G6" s="581"/>
      <c r="H6" s="581"/>
      <c r="I6" s="581"/>
      <c r="J6" s="581"/>
      <c r="K6" s="581"/>
      <c r="L6" s="581"/>
      <c r="M6" s="581"/>
      <c r="N6" s="581"/>
      <c r="O6" s="581"/>
      <c r="P6" s="581"/>
      <c r="Q6" s="581"/>
      <c r="R6" s="581"/>
      <c r="S6" s="581"/>
      <c r="T6" s="581"/>
      <c r="U6" s="581"/>
      <c r="V6" s="581"/>
      <c r="W6" s="581"/>
      <c r="X6" s="581"/>
      <c r="Y6" s="581"/>
      <c r="Z6" s="581"/>
    </row>
    <row r="7" spans="1:26" ht="14.25">
      <c r="A7" s="582" t="s">
        <v>3705</v>
      </c>
      <c r="B7" s="583" t="s">
        <v>3288</v>
      </c>
      <c r="C7" s="588" t="s">
        <v>3706</v>
      </c>
      <c r="D7" s="584" t="s">
        <v>3707</v>
      </c>
      <c r="E7" s="581"/>
      <c r="F7" s="581"/>
      <c r="G7" s="581"/>
      <c r="H7" s="581"/>
      <c r="I7" s="581"/>
      <c r="J7" s="581"/>
      <c r="K7" s="581"/>
      <c r="L7" s="581"/>
      <c r="M7" s="581"/>
      <c r="N7" s="581"/>
      <c r="O7" s="581"/>
      <c r="P7" s="581"/>
      <c r="Q7" s="581"/>
      <c r="R7" s="581"/>
      <c r="S7" s="581"/>
      <c r="T7" s="581"/>
      <c r="U7" s="581"/>
      <c r="V7" s="581"/>
      <c r="W7" s="581"/>
      <c r="X7" s="581"/>
      <c r="Y7" s="581"/>
      <c r="Z7" s="581"/>
    </row>
    <row r="8" spans="1:26">
      <c r="A8" s="581" t="s">
        <v>3708</v>
      </c>
      <c r="B8" s="581" t="s">
        <v>3292</v>
      </c>
      <c r="C8" s="581" t="s">
        <v>3709</v>
      </c>
      <c r="D8" s="584">
        <v>281628</v>
      </c>
      <c r="E8" s="581"/>
      <c r="F8" s="581"/>
      <c r="G8" s="581"/>
      <c r="H8" s="581"/>
      <c r="I8" s="581"/>
      <c r="J8" s="581"/>
      <c r="K8" s="581"/>
      <c r="L8" s="581"/>
      <c r="M8" s="581"/>
      <c r="N8" s="581"/>
      <c r="O8" s="581"/>
      <c r="P8" s="581"/>
      <c r="Q8" s="581"/>
      <c r="R8" s="581"/>
      <c r="S8" s="581"/>
      <c r="T8" s="581"/>
      <c r="U8" s="581"/>
      <c r="V8" s="581"/>
      <c r="W8" s="581"/>
      <c r="X8" s="581"/>
      <c r="Y8" s="581"/>
      <c r="Z8" s="581"/>
    </row>
    <row r="9" spans="1:26" ht="15">
      <c r="A9" s="70" t="s">
        <v>3710</v>
      </c>
      <c r="B9" s="59" t="s">
        <v>3692</v>
      </c>
      <c r="C9" s="580" t="s">
        <v>3693</v>
      </c>
      <c r="D9" s="589"/>
      <c r="E9" s="581"/>
      <c r="F9" s="581"/>
      <c r="G9" s="581"/>
      <c r="H9" s="581"/>
      <c r="I9" s="581"/>
      <c r="J9" s="581"/>
      <c r="K9" s="581"/>
      <c r="L9" s="581"/>
      <c r="M9" s="581"/>
      <c r="N9" s="581"/>
      <c r="O9" s="581"/>
      <c r="P9" s="581"/>
      <c r="Q9" s="581"/>
      <c r="R9" s="581"/>
      <c r="S9" s="581"/>
      <c r="T9" s="581"/>
      <c r="U9" s="581"/>
      <c r="V9" s="581"/>
      <c r="W9" s="581"/>
      <c r="X9" s="581"/>
      <c r="Y9" s="581"/>
      <c r="Z9" s="581"/>
    </row>
    <row r="10" spans="1:26" ht="25.5">
      <c r="A10" s="70" t="s">
        <v>3711</v>
      </c>
      <c r="B10" s="70" t="s">
        <v>3692</v>
      </c>
      <c r="C10" s="70" t="s">
        <v>3712</v>
      </c>
      <c r="D10" s="581" t="s">
        <v>3713</v>
      </c>
      <c r="E10" s="581" t="s">
        <v>3714</v>
      </c>
      <c r="F10" s="581"/>
      <c r="G10" s="581"/>
      <c r="H10" s="581"/>
      <c r="I10" s="581"/>
      <c r="J10" s="581"/>
      <c r="K10" s="581"/>
      <c r="L10" s="581"/>
      <c r="M10" s="581"/>
      <c r="N10" s="581"/>
      <c r="O10" s="581"/>
      <c r="P10" s="581"/>
      <c r="Q10" s="581"/>
      <c r="R10" s="581"/>
      <c r="S10" s="581"/>
      <c r="T10" s="581"/>
      <c r="U10" s="581"/>
      <c r="V10" s="581"/>
      <c r="W10" s="581"/>
      <c r="X10" s="581"/>
      <c r="Y10" s="581"/>
      <c r="Z10" s="581"/>
    </row>
    <row r="11" spans="1:26">
      <c r="A11" s="590" t="s">
        <v>3715</v>
      </c>
      <c r="B11" s="581" t="s">
        <v>3716</v>
      </c>
      <c r="C11" s="591" t="s">
        <v>3717</v>
      </c>
      <c r="D11" s="591" t="s">
        <v>3718</v>
      </c>
      <c r="E11" s="581"/>
      <c r="F11" s="581"/>
      <c r="G11" s="581"/>
      <c r="H11" s="581"/>
      <c r="I11" s="581"/>
      <c r="J11" s="581"/>
      <c r="K11" s="581"/>
      <c r="L11" s="581"/>
      <c r="M11" s="581"/>
      <c r="N11" s="581"/>
      <c r="O11" s="581"/>
      <c r="P11" s="581"/>
      <c r="Q11" s="581"/>
      <c r="R11" s="581"/>
      <c r="S11" s="581"/>
      <c r="T11" s="581"/>
      <c r="U11" s="581"/>
      <c r="V11" s="581"/>
      <c r="W11" s="581"/>
      <c r="X11" s="581"/>
      <c r="Y11" s="581"/>
      <c r="Z11" s="581"/>
    </row>
    <row r="12" spans="1:26">
      <c r="A12" s="590" t="s">
        <v>3719</v>
      </c>
      <c r="B12" s="581" t="s">
        <v>3720</v>
      </c>
      <c r="C12" s="581"/>
      <c r="D12" s="581" t="s">
        <v>3721</v>
      </c>
      <c r="E12" s="592" t="s">
        <v>3722</v>
      </c>
      <c r="F12" s="581"/>
      <c r="G12" s="581"/>
      <c r="H12" s="581"/>
      <c r="I12" s="581"/>
      <c r="J12" s="581"/>
      <c r="K12" s="581"/>
      <c r="L12" s="581"/>
      <c r="M12" s="581"/>
      <c r="N12" s="581"/>
      <c r="O12" s="581"/>
      <c r="P12" s="581"/>
      <c r="Q12" s="581"/>
      <c r="R12" s="581"/>
      <c r="S12" s="581"/>
      <c r="T12" s="581"/>
      <c r="U12" s="581"/>
      <c r="V12" s="581"/>
      <c r="W12" s="581"/>
      <c r="X12" s="581"/>
      <c r="Y12" s="581"/>
      <c r="Z12" s="581"/>
    </row>
    <row r="13" spans="1:26" ht="25.5">
      <c r="A13" s="593" t="s">
        <v>3723</v>
      </c>
      <c r="B13" s="70" t="s">
        <v>3692</v>
      </c>
      <c r="C13" s="70" t="s">
        <v>3724</v>
      </c>
      <c r="D13" s="581" t="s">
        <v>3725</v>
      </c>
      <c r="E13" s="581"/>
      <c r="F13" s="581"/>
      <c r="G13" s="581"/>
      <c r="H13" s="581"/>
      <c r="I13" s="581"/>
      <c r="J13" s="581"/>
      <c r="K13" s="581"/>
      <c r="L13" s="581"/>
      <c r="M13" s="581"/>
      <c r="N13" s="581"/>
      <c r="O13" s="581"/>
      <c r="P13" s="581"/>
      <c r="Q13" s="581"/>
      <c r="R13" s="581"/>
      <c r="S13" s="581"/>
      <c r="T13" s="581"/>
      <c r="U13" s="581"/>
      <c r="V13" s="581"/>
      <c r="W13" s="581"/>
      <c r="X13" s="581"/>
      <c r="Y13" s="581"/>
      <c r="Z13" s="581"/>
    </row>
    <row r="14" spans="1:26">
      <c r="A14" s="25" t="s">
        <v>3726</v>
      </c>
      <c r="B14" s="25" t="s">
        <v>3692</v>
      </c>
      <c r="C14" s="594" t="s">
        <v>3727</v>
      </c>
      <c r="D14" s="595" t="s">
        <v>3728</v>
      </c>
      <c r="E14" s="9"/>
    </row>
    <row r="15" spans="1:26">
      <c r="A15" s="596" t="s">
        <v>3729</v>
      </c>
      <c r="B15" s="597" t="s">
        <v>3292</v>
      </c>
      <c r="C15" s="596" t="s">
        <v>3730</v>
      </c>
      <c r="D15" s="597" t="s">
        <v>3731</v>
      </c>
      <c r="E15" s="597"/>
      <c r="F15" s="597"/>
      <c r="G15" s="597"/>
      <c r="H15" s="597"/>
      <c r="I15" s="597"/>
      <c r="J15" s="597"/>
      <c r="K15" s="597"/>
      <c r="L15" s="597"/>
      <c r="M15" s="597"/>
      <c r="N15" s="597"/>
      <c r="O15" s="597"/>
      <c r="P15" s="597"/>
      <c r="Q15" s="597"/>
      <c r="R15" s="597"/>
      <c r="S15" s="597"/>
      <c r="T15" s="597"/>
      <c r="U15" s="597"/>
      <c r="V15" s="597"/>
      <c r="W15" s="597"/>
      <c r="X15" s="597"/>
      <c r="Y15" s="597"/>
      <c r="Z15" s="597"/>
    </row>
    <row r="16" spans="1:26">
      <c r="A16" s="596" t="s">
        <v>3732</v>
      </c>
      <c r="B16" s="70" t="s">
        <v>3696</v>
      </c>
      <c r="C16" s="2306" t="s">
        <v>3706</v>
      </c>
      <c r="D16" s="598">
        <v>45273</v>
      </c>
      <c r="E16" s="59"/>
      <c r="F16" s="597"/>
      <c r="G16" s="597"/>
      <c r="H16" s="597"/>
      <c r="I16" s="597"/>
      <c r="J16" s="597"/>
      <c r="K16" s="597"/>
      <c r="L16" s="597"/>
      <c r="M16" s="597"/>
      <c r="N16" s="597"/>
      <c r="O16" s="597"/>
      <c r="P16" s="597"/>
      <c r="Q16" s="597"/>
      <c r="R16" s="597"/>
      <c r="S16" s="597"/>
      <c r="T16" s="597"/>
      <c r="U16" s="597"/>
      <c r="V16" s="597"/>
      <c r="W16" s="597"/>
      <c r="X16" s="597"/>
      <c r="Y16" s="597"/>
      <c r="Z16" s="597"/>
    </row>
    <row r="17" spans="1:26">
      <c r="A17" s="597" t="s">
        <v>3733</v>
      </c>
      <c r="B17" s="596" t="s">
        <v>3716</v>
      </c>
      <c r="C17" s="599" t="s">
        <v>3734</v>
      </c>
      <c r="D17" s="1716"/>
      <c r="E17" s="9"/>
    </row>
    <row r="18" spans="1:26">
      <c r="A18" s="597" t="s">
        <v>3735</v>
      </c>
      <c r="B18" s="596" t="s">
        <v>3696</v>
      </c>
      <c r="C18" s="599" t="s">
        <v>3706</v>
      </c>
      <c r="D18" s="1716">
        <v>44185</v>
      </c>
      <c r="E18" s="9"/>
    </row>
    <row r="19" spans="1:26">
      <c r="A19" s="597" t="s">
        <v>2264</v>
      </c>
      <c r="B19" s="9" t="s">
        <v>3696</v>
      </c>
      <c r="C19" s="9" t="s">
        <v>3736</v>
      </c>
      <c r="D19" s="1712"/>
      <c r="E19" s="9" t="s">
        <v>3737</v>
      </c>
    </row>
    <row r="20" spans="1:26">
      <c r="A20" s="597" t="s">
        <v>3738</v>
      </c>
      <c r="B20" s="9"/>
      <c r="C20" s="361"/>
      <c r="D20" s="9"/>
      <c r="E20" s="9"/>
      <c r="F20" s="9"/>
      <c r="G20" s="9"/>
      <c r="H20" s="9"/>
      <c r="I20" s="9"/>
      <c r="J20" s="9"/>
      <c r="K20" s="9"/>
      <c r="L20" s="9"/>
      <c r="M20" s="9"/>
      <c r="N20" s="9"/>
      <c r="O20" s="9"/>
      <c r="P20" s="9"/>
      <c r="Q20" s="9"/>
      <c r="R20" s="9"/>
      <c r="S20" s="9"/>
      <c r="T20" s="9"/>
      <c r="U20" s="9"/>
      <c r="V20" s="9"/>
      <c r="W20" s="9"/>
      <c r="X20" s="9"/>
      <c r="Y20" s="9"/>
      <c r="Z20" s="9"/>
    </row>
    <row r="21" spans="1:26">
      <c r="A21" s="597" t="s">
        <v>3739</v>
      </c>
      <c r="B21" s="1713" t="s">
        <v>3740</v>
      </c>
      <c r="C21" s="1713" t="s">
        <v>3692</v>
      </c>
      <c r="D21" s="1714" t="s">
        <v>3741</v>
      </c>
      <c r="E21" s="9"/>
      <c r="F21" s="597"/>
      <c r="G21" s="597"/>
      <c r="H21" s="597"/>
      <c r="I21" s="597"/>
      <c r="J21" s="597"/>
      <c r="K21" s="597"/>
      <c r="L21" s="597"/>
      <c r="M21" s="597"/>
      <c r="N21" s="597"/>
      <c r="O21" s="597"/>
      <c r="P21" s="597"/>
      <c r="Q21" s="597"/>
      <c r="R21" s="597"/>
      <c r="S21" s="597"/>
      <c r="T21" s="597"/>
      <c r="U21" s="597"/>
      <c r="V21" s="597"/>
      <c r="W21" s="597"/>
      <c r="X21" s="597"/>
      <c r="Y21" s="597"/>
      <c r="Z21" s="597"/>
    </row>
    <row r="22" spans="1:26" s="1596" customFormat="1">
      <c r="A22" s="1717" t="s">
        <v>3742</v>
      </c>
      <c r="B22" s="22" t="s">
        <v>3743</v>
      </c>
      <c r="C22" s="343">
        <v>2816</v>
      </c>
      <c r="D22" s="22"/>
      <c r="E22" s="22"/>
      <c r="F22" s="1718"/>
      <c r="G22" s="1718"/>
      <c r="H22" s="1718"/>
      <c r="I22" s="1718"/>
      <c r="J22" s="1718"/>
      <c r="K22" s="1718"/>
      <c r="L22" s="1718"/>
      <c r="M22" s="1718"/>
      <c r="N22" s="1718"/>
      <c r="O22" s="1718"/>
      <c r="P22" s="1718"/>
      <c r="Q22" s="1718"/>
      <c r="R22" s="1718"/>
      <c r="S22" s="1718"/>
      <c r="T22" s="1718"/>
      <c r="U22" s="1718"/>
      <c r="V22" s="1718"/>
      <c r="W22" s="1718"/>
      <c r="X22" s="1718"/>
      <c r="Y22" s="1718"/>
      <c r="Z22" s="1718"/>
    </row>
    <row r="23" spans="1:26">
      <c r="A23" s="597" t="s">
        <v>3744</v>
      </c>
      <c r="B23" s="9" t="s">
        <v>3745</v>
      </c>
      <c r="C23" s="2088" t="s">
        <v>3746</v>
      </c>
      <c r="D23" s="2087"/>
      <c r="E23" s="9"/>
      <c r="F23" s="597"/>
      <c r="G23" s="597"/>
      <c r="H23" s="597"/>
      <c r="I23" s="597"/>
      <c r="J23" s="597"/>
      <c r="K23" s="597"/>
      <c r="L23" s="597"/>
      <c r="M23" s="597"/>
      <c r="N23" s="597"/>
      <c r="O23" s="597"/>
      <c r="P23" s="597"/>
      <c r="Q23" s="597"/>
      <c r="R23" s="597"/>
      <c r="S23" s="597"/>
      <c r="T23" s="597"/>
      <c r="U23" s="597"/>
      <c r="V23" s="597"/>
      <c r="W23" s="597"/>
      <c r="X23" s="597"/>
      <c r="Y23" s="597"/>
      <c r="Z23" s="597"/>
    </row>
    <row r="24" spans="1:26">
      <c r="A24" s="597" t="s">
        <v>3747</v>
      </c>
      <c r="B24" s="9" t="s">
        <v>3696</v>
      </c>
      <c r="C24" s="40" t="s">
        <v>3741</v>
      </c>
      <c r="D24" s="9"/>
      <c r="E24" s="9"/>
      <c r="F24" s="597"/>
      <c r="G24" s="597"/>
      <c r="H24" s="597"/>
      <c r="I24" s="597"/>
      <c r="J24" s="597"/>
      <c r="K24" s="597"/>
      <c r="L24" s="597"/>
      <c r="M24" s="597"/>
      <c r="N24" s="597"/>
      <c r="O24" s="597"/>
      <c r="P24" s="597"/>
      <c r="Q24" s="597"/>
      <c r="R24" s="597"/>
      <c r="S24" s="597"/>
      <c r="T24" s="597"/>
      <c r="U24" s="597"/>
      <c r="V24" s="597"/>
      <c r="W24" s="597"/>
      <c r="X24" s="597"/>
      <c r="Y24" s="597"/>
      <c r="Z24" s="597"/>
    </row>
    <row r="25" spans="1:26">
      <c r="A25" s="597" t="s">
        <v>3748</v>
      </c>
      <c r="B25" s="9"/>
      <c r="C25" s="9"/>
      <c r="D25" s="1715" t="s">
        <v>3749</v>
      </c>
      <c r="E25" s="9"/>
      <c r="F25" s="597"/>
      <c r="G25" s="597"/>
      <c r="H25" s="597"/>
      <c r="I25" s="597"/>
      <c r="J25" s="597"/>
      <c r="K25" s="597"/>
      <c r="L25" s="597"/>
      <c r="M25" s="597"/>
      <c r="N25" s="597"/>
      <c r="O25" s="597"/>
      <c r="P25" s="597"/>
      <c r="Q25" s="597"/>
      <c r="R25" s="597"/>
      <c r="S25" s="597"/>
      <c r="T25" s="597"/>
      <c r="U25" s="597"/>
      <c r="V25" s="597"/>
      <c r="W25" s="597"/>
      <c r="X25" s="597"/>
      <c r="Y25" s="597"/>
      <c r="Z25" s="597"/>
    </row>
    <row r="26" spans="1:26">
      <c r="A26" s="601" t="s">
        <v>3750</v>
      </c>
      <c r="B26" s="133" t="s">
        <v>3751</v>
      </c>
      <c r="C26" s="133"/>
      <c r="D26" s="133" t="s">
        <v>210</v>
      </c>
      <c r="E26" s="133" t="s">
        <v>3752</v>
      </c>
      <c r="F26" s="601"/>
      <c r="G26" s="601"/>
      <c r="H26" s="601"/>
      <c r="I26" s="601"/>
      <c r="J26" s="601"/>
      <c r="K26" s="601"/>
      <c r="L26" s="601"/>
      <c r="M26" s="601"/>
      <c r="N26" s="601"/>
      <c r="O26" s="601"/>
      <c r="P26" s="601"/>
      <c r="Q26" s="601"/>
      <c r="R26" s="601"/>
      <c r="S26" s="601"/>
      <c r="T26" s="601"/>
      <c r="U26" s="601"/>
      <c r="V26" s="601"/>
      <c r="W26" s="601"/>
      <c r="X26" s="601"/>
      <c r="Y26" s="601"/>
      <c r="Z26" s="601"/>
    </row>
    <row r="27" spans="1:26">
      <c r="A27" s="9" t="s">
        <v>137</v>
      </c>
      <c r="B27" s="9" t="s">
        <v>3753</v>
      </c>
      <c r="C27" s="1719"/>
      <c r="D27" s="9"/>
      <c r="E27" s="9"/>
    </row>
    <row r="28" spans="1:26" ht="15" customHeight="1">
      <c r="A28" s="9" t="s">
        <v>8857</v>
      </c>
      <c r="B28" s="1939" t="s">
        <v>4227</v>
      </c>
      <c r="C28" s="1939" t="s">
        <v>3706</v>
      </c>
      <c r="D28" s="760"/>
      <c r="E28" s="9"/>
    </row>
    <row r="29" spans="1:26" ht="15" customHeight="1">
      <c r="A29" s="9" t="s">
        <v>8906</v>
      </c>
      <c r="B29" s="1977" t="s">
        <v>3288</v>
      </c>
      <c r="C29" s="1939" t="s">
        <v>9022</v>
      </c>
      <c r="D29" s="760"/>
      <c r="E29" s="9"/>
    </row>
    <row r="30" spans="1:26">
      <c r="A30" s="9" t="s">
        <v>8881</v>
      </c>
      <c r="B30" s="1653" t="s">
        <v>3692</v>
      </c>
      <c r="C30" s="1719" t="s">
        <v>3706</v>
      </c>
      <c r="D30" s="9" t="s">
        <v>8828</v>
      </c>
      <c r="E30" s="9"/>
    </row>
    <row r="31" spans="1:26" ht="13.5" thickBot="1">
      <c r="A31" s="9" t="s">
        <v>8804</v>
      </c>
      <c r="B31" s="9" t="s">
        <v>8805</v>
      </c>
      <c r="C31" s="1719" t="s">
        <v>8806</v>
      </c>
      <c r="D31" s="9" t="s">
        <v>8807</v>
      </c>
      <c r="E31" s="9"/>
    </row>
    <row r="32" spans="1:26" ht="15.75" thickBot="1">
      <c r="A32" s="1782" t="s">
        <v>8940</v>
      </c>
      <c r="B32" s="1783" t="s">
        <v>8826</v>
      </c>
      <c r="C32" s="1783" t="s">
        <v>3779</v>
      </c>
      <c r="D32" s="1784" t="s">
        <v>3925</v>
      </c>
      <c r="E32" s="1784" t="s">
        <v>8882</v>
      </c>
      <c r="F32" s="1784"/>
      <c r="G32" s="1784"/>
      <c r="H32" s="1784"/>
      <c r="I32" s="1784"/>
      <c r="J32" s="1784"/>
      <c r="K32" s="1784"/>
      <c r="L32" s="1784"/>
      <c r="M32" s="1784"/>
      <c r="N32" s="1784"/>
      <c r="O32" s="1784"/>
      <c r="P32" s="1784"/>
      <c r="Q32" s="1784"/>
      <c r="R32" s="1784"/>
      <c r="S32" s="1784"/>
      <c r="T32" s="1784"/>
      <c r="U32" s="1784"/>
      <c r="V32" s="1784"/>
      <c r="W32" s="1784"/>
      <c r="X32" s="1784"/>
      <c r="Y32" s="1784"/>
      <c r="Z32" s="1784"/>
    </row>
    <row r="33" spans="1:26" ht="15.75" thickBot="1">
      <c r="A33" s="1782" t="s">
        <v>3926</v>
      </c>
      <c r="B33" s="1783" t="s">
        <v>8826</v>
      </c>
      <c r="C33" s="1783" t="s">
        <v>3779</v>
      </c>
      <c r="D33" s="1784" t="s">
        <v>3925</v>
      </c>
      <c r="E33" s="1784" t="s">
        <v>8882</v>
      </c>
      <c r="F33" s="1784"/>
      <c r="G33" s="1784"/>
      <c r="H33" s="1784"/>
      <c r="I33" s="1784"/>
      <c r="J33" s="1784"/>
      <c r="K33" s="1784"/>
      <c r="L33" s="1784"/>
      <c r="M33" s="1784"/>
      <c r="N33" s="1784"/>
      <c r="O33" s="1784"/>
      <c r="P33" s="1784"/>
      <c r="Q33" s="1784"/>
      <c r="R33" s="1784"/>
      <c r="S33" s="1784"/>
      <c r="T33" s="1784"/>
      <c r="U33" s="1784"/>
      <c r="V33" s="1784"/>
      <c r="W33" s="1784"/>
      <c r="X33" s="1784"/>
      <c r="Y33" s="1784"/>
      <c r="Z33" s="1784"/>
    </row>
    <row r="34" spans="1:26">
      <c r="A34" s="9" t="s">
        <v>3754</v>
      </c>
      <c r="B34" s="9" t="s">
        <v>3755</v>
      </c>
      <c r="C34" s="1720" t="s">
        <v>3756</v>
      </c>
      <c r="D34" s="9"/>
      <c r="E34" s="9"/>
    </row>
    <row r="35" spans="1:26" ht="15">
      <c r="A35" s="9" t="s">
        <v>8801</v>
      </c>
      <c r="B35" s="1653" t="s">
        <v>3692</v>
      </c>
      <c r="C35" s="1721" t="s">
        <v>8799</v>
      </c>
      <c r="D35" s="9" t="s">
        <v>8800</v>
      </c>
      <c r="E35" s="9"/>
    </row>
    <row r="36" spans="1:26" ht="14.25">
      <c r="A36" s="603" t="s">
        <v>3757</v>
      </c>
      <c r="B36" s="9" t="s">
        <v>3758</v>
      </c>
      <c r="C36" s="9" t="s">
        <v>3706</v>
      </c>
      <c r="D36" s="9"/>
      <c r="E36" s="9"/>
    </row>
    <row r="37" spans="1:26" s="1596" customFormat="1">
      <c r="A37" s="1786" t="s">
        <v>3759</v>
      </c>
      <c r="B37" s="22" t="s">
        <v>8809</v>
      </c>
      <c r="C37" s="1785" t="s">
        <v>3760</v>
      </c>
      <c r="D37" s="1781" t="s">
        <v>3761</v>
      </c>
      <c r="E37" s="22" t="s">
        <v>8808</v>
      </c>
    </row>
    <row r="38" spans="1:26">
      <c r="A38" s="603" t="s">
        <v>3762</v>
      </c>
      <c r="B38" s="9" t="s">
        <v>3692</v>
      </c>
      <c r="C38" s="1719" t="s">
        <v>3706</v>
      </c>
      <c r="D38" s="9"/>
      <c r="E38" s="9"/>
    </row>
    <row r="39" spans="1:26">
      <c r="A39" s="9" t="s">
        <v>371</v>
      </c>
      <c r="B39" s="9" t="s">
        <v>3288</v>
      </c>
      <c r="C39" s="1719" t="s">
        <v>3736</v>
      </c>
      <c r="E39" s="9"/>
    </row>
    <row r="40" spans="1:26" s="1596" customFormat="1" ht="14.25">
      <c r="A40" s="22" t="s">
        <v>3763</v>
      </c>
      <c r="B40" s="22" t="s">
        <v>3764</v>
      </c>
      <c r="C40" s="2052" t="s">
        <v>3765</v>
      </c>
      <c r="D40" s="2053" t="s">
        <v>8860</v>
      </c>
      <c r="E40" s="22"/>
    </row>
    <row r="41" spans="1:26">
      <c r="A41" s="9" t="s">
        <v>3766</v>
      </c>
      <c r="B41" s="928" t="s">
        <v>3692</v>
      </c>
      <c r="C41" s="1719" t="s">
        <v>3767</v>
      </c>
      <c r="D41" s="9"/>
      <c r="E41" s="9"/>
    </row>
    <row r="42" spans="1:26">
      <c r="A42" s="9" t="s">
        <v>3768</v>
      </c>
      <c r="B42" s="928" t="s">
        <v>3769</v>
      </c>
      <c r="C42" s="1719" t="s">
        <v>3706</v>
      </c>
      <c r="D42" s="9" t="s">
        <v>3770</v>
      </c>
      <c r="E42" s="9"/>
    </row>
    <row r="43" spans="1:26">
      <c r="A43" s="9" t="s">
        <v>3771</v>
      </c>
      <c r="B43" s="928" t="s">
        <v>3292</v>
      </c>
      <c r="C43" s="1719" t="s">
        <v>3734</v>
      </c>
      <c r="D43" s="9"/>
      <c r="E43" s="9"/>
    </row>
    <row r="44" spans="1:26">
      <c r="A44" s="9" t="s">
        <v>8943</v>
      </c>
      <c r="B44" s="1967" t="s">
        <v>3692</v>
      </c>
      <c r="C44" s="1719" t="s">
        <v>3773</v>
      </c>
      <c r="E44" s="9" t="s">
        <v>3774</v>
      </c>
    </row>
    <row r="45" spans="1:26">
      <c r="A45" s="9" t="s">
        <v>3775</v>
      </c>
      <c r="B45" s="9" t="s">
        <v>3288</v>
      </c>
      <c r="C45" s="9" t="s">
        <v>3756</v>
      </c>
      <c r="D45" s="9"/>
      <c r="E45" s="9"/>
    </row>
    <row r="46" spans="1:26">
      <c r="A46" s="9" t="s">
        <v>3776</v>
      </c>
      <c r="B46" s="9" t="s">
        <v>3292</v>
      </c>
      <c r="C46" s="9" t="s">
        <v>3777</v>
      </c>
      <c r="D46" s="9" t="s">
        <v>3778</v>
      </c>
    </row>
    <row r="47" spans="1:26">
      <c r="A47" s="9" t="s">
        <v>8942</v>
      </c>
      <c r="B47" s="9" t="s">
        <v>3696</v>
      </c>
      <c r="C47" s="9" t="s">
        <v>3779</v>
      </c>
      <c r="D47" s="9"/>
    </row>
    <row r="48" spans="1:26" ht="22.5">
      <c r="A48" s="9" t="s">
        <v>3780</v>
      </c>
      <c r="B48" s="9" t="s">
        <v>3781</v>
      </c>
      <c r="C48" s="9" t="s">
        <v>3782</v>
      </c>
      <c r="D48" s="9" t="s">
        <v>3783</v>
      </c>
      <c r="E48" s="1706"/>
      <c r="F48" s="1772"/>
      <c r="G48" s="9"/>
      <c r="H48" s="9"/>
      <c r="I48" s="9"/>
      <c r="J48" s="9"/>
      <c r="K48" s="9"/>
      <c r="L48" s="9"/>
      <c r="M48" s="9"/>
      <c r="N48" s="9"/>
      <c r="O48" s="9"/>
      <c r="P48" s="9"/>
      <c r="Q48" s="9"/>
      <c r="R48" s="9"/>
      <c r="S48" s="9"/>
      <c r="T48" s="9"/>
      <c r="U48" s="9"/>
      <c r="V48" s="9"/>
      <c r="W48" s="9"/>
      <c r="X48" s="9"/>
      <c r="Y48" s="9"/>
      <c r="Z48" s="9"/>
    </row>
    <row r="49" spans="1:26" s="1596" customFormat="1" ht="22.5">
      <c r="A49" s="22" t="s">
        <v>3784</v>
      </c>
      <c r="B49" s="22" t="s">
        <v>3696</v>
      </c>
      <c r="C49" s="22" t="s">
        <v>3785</v>
      </c>
      <c r="D49" s="22" t="s">
        <v>3783</v>
      </c>
      <c r="E49" s="1707"/>
      <c r="F49" s="1773"/>
      <c r="G49" s="22"/>
      <c r="H49" s="22"/>
      <c r="I49" s="22"/>
      <c r="J49" s="22"/>
      <c r="K49" s="22"/>
      <c r="L49" s="22"/>
      <c r="M49" s="22"/>
      <c r="N49" s="22"/>
      <c r="O49" s="22"/>
      <c r="P49" s="22"/>
      <c r="Q49" s="22"/>
      <c r="R49" s="22"/>
      <c r="S49" s="22"/>
      <c r="T49" s="22"/>
      <c r="U49" s="22"/>
      <c r="V49" s="22"/>
      <c r="W49" s="22"/>
      <c r="X49" s="22"/>
      <c r="Y49" s="22"/>
      <c r="Z49" s="22"/>
    </row>
    <row r="50" spans="1:26" s="1596" customFormat="1" ht="22.5">
      <c r="A50" s="2054" t="s">
        <v>3786</v>
      </c>
      <c r="B50" s="2055" t="s">
        <v>3692</v>
      </c>
      <c r="C50" s="2056" t="s">
        <v>3787</v>
      </c>
      <c r="D50" s="2056" t="s">
        <v>3788</v>
      </c>
      <c r="E50" s="1707"/>
      <c r="F50" s="1773"/>
      <c r="G50" s="22"/>
      <c r="H50" s="22"/>
      <c r="I50" s="22"/>
      <c r="J50" s="22"/>
      <c r="K50" s="22"/>
      <c r="L50" s="22"/>
      <c r="M50" s="22"/>
      <c r="N50" s="22"/>
      <c r="O50" s="22"/>
      <c r="P50" s="22"/>
      <c r="Q50" s="22"/>
      <c r="R50" s="22"/>
      <c r="S50" s="22"/>
      <c r="T50" s="22"/>
      <c r="U50" s="22"/>
      <c r="V50" s="22"/>
      <c r="W50" s="22"/>
      <c r="X50" s="22"/>
      <c r="Y50" s="22"/>
      <c r="Z50" s="22"/>
    </row>
    <row r="51" spans="1:26" ht="22.5">
      <c r="A51" s="9" t="s">
        <v>3324</v>
      </c>
      <c r="B51" s="1708" t="s">
        <v>3692</v>
      </c>
      <c r="C51" s="1711" t="s">
        <v>3756</v>
      </c>
      <c r="D51" s="1711" t="s">
        <v>3789</v>
      </c>
      <c r="E51" s="1706"/>
      <c r="F51" s="1772"/>
      <c r="G51" s="9"/>
      <c r="H51" s="9"/>
      <c r="I51" s="9"/>
      <c r="J51" s="9"/>
      <c r="K51" s="9"/>
      <c r="L51" s="9"/>
      <c r="M51" s="9"/>
      <c r="N51" s="9"/>
      <c r="O51" s="9"/>
      <c r="P51" s="9"/>
      <c r="Q51" s="9"/>
      <c r="R51" s="9"/>
      <c r="S51" s="9"/>
      <c r="T51" s="9"/>
      <c r="U51" s="9"/>
      <c r="V51" s="9"/>
      <c r="W51" s="9"/>
      <c r="X51" s="9"/>
      <c r="Y51" s="9"/>
      <c r="Z51" s="9"/>
    </row>
    <row r="52" spans="1:26">
      <c r="A52" s="9" t="s">
        <v>3790</v>
      </c>
      <c r="B52" s="9" t="s">
        <v>3692</v>
      </c>
      <c r="C52" s="9" t="s">
        <v>3779</v>
      </c>
      <c r="D52" s="9" t="s">
        <v>3791</v>
      </c>
      <c r="E52" s="9" t="s">
        <v>3792</v>
      </c>
    </row>
    <row r="53" spans="1:26">
      <c r="A53" s="9" t="s">
        <v>3793</v>
      </c>
      <c r="B53" s="9" t="s">
        <v>3692</v>
      </c>
      <c r="D53" s="9" t="s">
        <v>3794</v>
      </c>
    </row>
    <row r="54" spans="1:26" s="1596" customFormat="1" ht="22.5">
      <c r="A54" s="1774" t="s">
        <v>3795</v>
      </c>
      <c r="B54" s="1775" t="s">
        <v>3796</v>
      </c>
      <c r="C54" s="22" t="s">
        <v>3706</v>
      </c>
      <c r="D54" s="1776"/>
      <c r="E54" s="1707"/>
      <c r="F54" s="1773"/>
      <c r="G54" s="22"/>
      <c r="H54" s="22"/>
      <c r="I54" s="22"/>
      <c r="J54" s="22"/>
      <c r="K54" s="22"/>
      <c r="L54" s="22"/>
      <c r="M54" s="22"/>
      <c r="N54" s="22"/>
      <c r="O54" s="22"/>
      <c r="P54" s="22"/>
      <c r="Q54" s="22"/>
      <c r="R54" s="22"/>
      <c r="S54" s="22"/>
      <c r="T54" s="22"/>
      <c r="U54" s="22"/>
      <c r="V54" s="22"/>
      <c r="W54" s="22"/>
      <c r="X54" s="22"/>
      <c r="Y54" s="22"/>
      <c r="Z54" s="22"/>
    </row>
    <row r="55" spans="1:26" ht="22.5">
      <c r="A55" s="607" t="s">
        <v>3797</v>
      </c>
      <c r="B55" s="1709" t="s">
        <v>3781</v>
      </c>
      <c r="C55" s="9" t="s">
        <v>3734</v>
      </c>
      <c r="D55" s="1722"/>
      <c r="E55" s="1706"/>
      <c r="F55" s="1772"/>
      <c r="G55" s="9"/>
      <c r="H55" s="9"/>
      <c r="I55" s="9"/>
      <c r="J55" s="9"/>
      <c r="K55" s="9"/>
      <c r="L55" s="9"/>
      <c r="M55" s="9"/>
      <c r="N55" s="9"/>
      <c r="O55" s="9"/>
      <c r="P55" s="9"/>
      <c r="Q55" s="9"/>
      <c r="R55" s="9"/>
      <c r="S55" s="9"/>
      <c r="T55" s="9"/>
      <c r="U55" s="9"/>
      <c r="V55" s="9"/>
      <c r="W55" s="9"/>
      <c r="X55" s="9"/>
      <c r="Y55" s="9"/>
      <c r="Z55" s="9"/>
    </row>
    <row r="56" spans="1:26" ht="14.25">
      <c r="A56" s="1719" t="s">
        <v>3798</v>
      </c>
      <c r="B56" s="1710" t="s">
        <v>3692</v>
      </c>
      <c r="C56" s="609" t="s">
        <v>3785</v>
      </c>
      <c r="D56" s="1714" t="s">
        <v>3799</v>
      </c>
      <c r="E56" s="9" t="s">
        <v>3800</v>
      </c>
    </row>
    <row r="57" spans="1:26" ht="25.5">
      <c r="A57" s="1777" t="s">
        <v>3801</v>
      </c>
      <c r="B57" s="1778" t="s">
        <v>3802</v>
      </c>
      <c r="C57" s="1779" t="s">
        <v>3782</v>
      </c>
      <c r="D57" s="1727" t="s">
        <v>3803</v>
      </c>
      <c r="E57" s="9"/>
    </row>
    <row r="58" spans="1:26">
      <c r="A58" s="9"/>
      <c r="B58" s="9"/>
      <c r="C58" s="9"/>
    </row>
    <row r="59" spans="1:26">
      <c r="A59" s="9" t="s">
        <v>3804</v>
      </c>
      <c r="B59" s="9" t="s">
        <v>3692</v>
      </c>
      <c r="C59" s="9" t="s">
        <v>3706</v>
      </c>
    </row>
    <row r="60" spans="1:26">
      <c r="A60" s="9" t="s">
        <v>3805</v>
      </c>
      <c r="B60" s="9" t="s">
        <v>3781</v>
      </c>
      <c r="C60" s="9" t="s">
        <v>3806</v>
      </c>
    </row>
    <row r="61" spans="1:26">
      <c r="A61" s="9"/>
      <c r="B61" s="9"/>
      <c r="C61" s="9"/>
    </row>
    <row r="62" spans="1:26">
      <c r="A62" s="9" t="s">
        <v>3807</v>
      </c>
      <c r="B62" s="9" t="s">
        <v>3808</v>
      </c>
      <c r="C62" s="9" t="s">
        <v>3706</v>
      </c>
    </row>
    <row r="63" spans="1:26" ht="22.5">
      <c r="A63" s="1723" t="s">
        <v>3809</v>
      </c>
      <c r="B63" s="1708" t="s">
        <v>3692</v>
      </c>
      <c r="C63" s="1711" t="s">
        <v>3779</v>
      </c>
      <c r="D63" s="1711"/>
      <c r="E63" s="1706"/>
      <c r="F63" s="604"/>
      <c r="G63" s="9"/>
      <c r="H63" s="9"/>
      <c r="I63" s="9"/>
      <c r="J63" s="9"/>
      <c r="K63" s="9"/>
      <c r="L63" s="9"/>
      <c r="M63" s="9"/>
      <c r="N63" s="9"/>
      <c r="O63" s="9"/>
      <c r="P63" s="9"/>
      <c r="Q63" s="9"/>
      <c r="R63" s="9"/>
      <c r="S63" s="9"/>
      <c r="T63" s="9"/>
      <c r="U63" s="9"/>
      <c r="V63" s="9"/>
      <c r="W63" s="9"/>
      <c r="X63" s="9"/>
      <c r="Y63" s="9"/>
      <c r="Z63" s="9"/>
    </row>
    <row r="64" spans="1:26" ht="28.5">
      <c r="A64" s="9" t="s">
        <v>3810</v>
      </c>
      <c r="B64" s="1708" t="s">
        <v>3692</v>
      </c>
      <c r="C64" s="1711" t="s">
        <v>3811</v>
      </c>
      <c r="D64" s="1711" t="s">
        <v>3812</v>
      </c>
      <c r="E64" s="1706" t="s">
        <v>3813</v>
      </c>
      <c r="F64" s="604"/>
      <c r="G64" s="9"/>
      <c r="H64" s="9"/>
      <c r="I64" s="9"/>
      <c r="J64" s="9"/>
      <c r="K64" s="9"/>
      <c r="L64" s="9"/>
      <c r="M64" s="9"/>
      <c r="N64" s="9"/>
      <c r="O64" s="9"/>
      <c r="P64" s="9"/>
      <c r="Q64" s="9"/>
      <c r="R64" s="9"/>
      <c r="S64" s="9"/>
      <c r="T64" s="9"/>
      <c r="U64" s="9"/>
      <c r="V64" s="9"/>
      <c r="W64" s="9"/>
      <c r="X64" s="9"/>
      <c r="Y64" s="9"/>
      <c r="Z64" s="9"/>
    </row>
    <row r="65" spans="1:26" ht="22.5">
      <c r="A65" s="9"/>
      <c r="B65" s="1708"/>
      <c r="C65" s="1711"/>
      <c r="D65" s="1711"/>
      <c r="E65" s="1706"/>
      <c r="F65" s="604"/>
      <c r="G65" s="9"/>
      <c r="H65" s="9"/>
      <c r="I65" s="9"/>
      <c r="J65" s="9"/>
      <c r="K65" s="9"/>
      <c r="L65" s="9"/>
      <c r="M65" s="9"/>
      <c r="N65" s="9"/>
      <c r="O65" s="9"/>
      <c r="P65" s="9"/>
      <c r="Q65" s="9"/>
      <c r="R65" s="9"/>
      <c r="S65" s="9"/>
      <c r="T65" s="9"/>
      <c r="U65" s="9"/>
      <c r="V65" s="9"/>
      <c r="W65" s="9"/>
      <c r="X65" s="9"/>
      <c r="Y65" s="9"/>
      <c r="Z65" s="9"/>
    </row>
    <row r="66" spans="1:26" ht="22.5">
      <c r="A66" s="9" t="s">
        <v>3814</v>
      </c>
      <c r="B66" s="1708" t="s">
        <v>3755</v>
      </c>
      <c r="C66" s="9" t="s">
        <v>3706</v>
      </c>
      <c r="D66" s="361" t="s">
        <v>3815</v>
      </c>
      <c r="E66" s="1706"/>
      <c r="F66" s="604"/>
      <c r="G66" s="9"/>
      <c r="H66" s="9"/>
      <c r="I66" s="9"/>
      <c r="J66" s="9"/>
      <c r="K66" s="9"/>
      <c r="L66" s="9"/>
      <c r="M66" s="9"/>
      <c r="N66" s="9"/>
      <c r="O66" s="9"/>
      <c r="P66" s="9"/>
      <c r="Q66" s="9"/>
      <c r="R66" s="9"/>
      <c r="S66" s="9"/>
      <c r="T66" s="9"/>
      <c r="U66" s="9"/>
      <c r="V66" s="9"/>
      <c r="W66" s="9"/>
      <c r="X66" s="9"/>
      <c r="Y66" s="9"/>
      <c r="Z66" s="9"/>
    </row>
    <row r="67" spans="1:26" ht="22.5">
      <c r="A67" s="9" t="s">
        <v>3816</v>
      </c>
      <c r="B67" s="1708"/>
      <c r="C67" s="9"/>
      <c r="D67" s="1724"/>
      <c r="E67" s="1706"/>
      <c r="F67" s="604"/>
      <c r="G67" s="9"/>
      <c r="H67" s="9"/>
      <c r="I67" s="9"/>
      <c r="J67" s="9"/>
      <c r="K67" s="9"/>
      <c r="L67" s="9"/>
      <c r="M67" s="9"/>
      <c r="N67" s="9"/>
      <c r="O67" s="9"/>
      <c r="P67" s="9"/>
      <c r="Q67" s="9"/>
      <c r="R67" s="9"/>
      <c r="S67" s="9"/>
      <c r="T67" s="9"/>
      <c r="U67" s="9"/>
      <c r="V67" s="9"/>
      <c r="W67" s="9"/>
      <c r="X67" s="9"/>
      <c r="Y67" s="9"/>
      <c r="Z67" s="9"/>
    </row>
    <row r="68" spans="1:26" ht="22.5">
      <c r="A68" s="9" t="s">
        <v>3817</v>
      </c>
      <c r="B68" s="1708" t="s">
        <v>3692</v>
      </c>
      <c r="C68" s="9" t="s">
        <v>3706</v>
      </c>
      <c r="D68" s="1724"/>
      <c r="E68" s="1706"/>
      <c r="F68" s="604"/>
      <c r="G68" s="9"/>
      <c r="H68" s="9"/>
      <c r="I68" s="9"/>
      <c r="J68" s="9"/>
      <c r="K68" s="9"/>
      <c r="L68" s="9"/>
      <c r="M68" s="9"/>
      <c r="N68" s="9"/>
      <c r="O68" s="9"/>
      <c r="P68" s="9"/>
      <c r="Q68" s="9"/>
      <c r="R68" s="9"/>
      <c r="S68" s="9"/>
      <c r="T68" s="9"/>
      <c r="U68" s="9"/>
      <c r="V68" s="9"/>
      <c r="W68" s="9"/>
      <c r="X68" s="9"/>
      <c r="Y68" s="9"/>
      <c r="Z68" s="9"/>
    </row>
    <row r="69" spans="1:26" ht="22.5">
      <c r="A69" s="9" t="s">
        <v>3818</v>
      </c>
      <c r="B69" s="1708" t="s">
        <v>3696</v>
      </c>
      <c r="C69" s="9" t="s">
        <v>3819</v>
      </c>
      <c r="D69" s="1724"/>
      <c r="E69" s="1706"/>
      <c r="F69" s="604"/>
      <c r="G69" s="9"/>
      <c r="H69" s="9"/>
      <c r="I69" s="9"/>
      <c r="J69" s="9"/>
      <c r="K69" s="9"/>
      <c r="L69" s="9"/>
      <c r="M69" s="9"/>
      <c r="N69" s="9"/>
      <c r="O69" s="9"/>
      <c r="P69" s="9"/>
      <c r="Q69" s="9"/>
      <c r="R69" s="9"/>
      <c r="S69" s="9"/>
      <c r="T69" s="9"/>
      <c r="U69" s="9"/>
      <c r="V69" s="9"/>
      <c r="W69" s="9"/>
      <c r="X69" s="9"/>
      <c r="Y69" s="9"/>
      <c r="Z69" s="9"/>
    </row>
    <row r="70" spans="1:26" ht="22.5">
      <c r="A70" s="607" t="s">
        <v>3820</v>
      </c>
      <c r="B70" s="1708" t="s">
        <v>3692</v>
      </c>
      <c r="C70" s="9" t="s">
        <v>3706</v>
      </c>
      <c r="D70" s="1724"/>
      <c r="E70" s="1706"/>
      <c r="F70" s="604"/>
      <c r="G70" s="9"/>
      <c r="H70" s="9"/>
      <c r="I70" s="9"/>
      <c r="J70" s="9"/>
      <c r="K70" s="9"/>
      <c r="L70" s="9"/>
      <c r="M70" s="9"/>
      <c r="N70" s="9"/>
      <c r="O70" s="9"/>
      <c r="P70" s="9"/>
      <c r="Q70" s="9"/>
      <c r="R70" s="9"/>
      <c r="S70" s="9"/>
      <c r="T70" s="9"/>
      <c r="U70" s="9"/>
      <c r="V70" s="9"/>
      <c r="W70" s="9"/>
      <c r="X70" s="9"/>
      <c r="Y70" s="9"/>
      <c r="Z70" s="9"/>
    </row>
    <row r="71" spans="1:26" ht="22.5">
      <c r="A71" s="607" t="s">
        <v>3821</v>
      </c>
      <c r="B71" s="1708" t="s">
        <v>3692</v>
      </c>
      <c r="C71" s="9" t="s">
        <v>3706</v>
      </c>
      <c r="D71" s="1724"/>
      <c r="E71" s="1706"/>
      <c r="F71" s="604"/>
      <c r="G71" s="9"/>
      <c r="H71" s="9"/>
      <c r="I71" s="9"/>
      <c r="J71" s="9"/>
      <c r="K71" s="9"/>
      <c r="L71" s="9"/>
      <c r="M71" s="9"/>
      <c r="N71" s="9"/>
      <c r="O71" s="9"/>
      <c r="P71" s="9"/>
      <c r="Q71" s="9"/>
      <c r="R71" s="9"/>
      <c r="S71" s="9"/>
      <c r="T71" s="9"/>
      <c r="U71" s="9"/>
      <c r="V71" s="9"/>
      <c r="W71" s="9"/>
      <c r="X71" s="9"/>
      <c r="Y71" s="9"/>
      <c r="Z71" s="9"/>
    </row>
    <row r="72" spans="1:26" ht="22.5">
      <c r="A72" s="1725" t="s">
        <v>3822</v>
      </c>
      <c r="B72" s="1708" t="s">
        <v>3288</v>
      </c>
      <c r="C72" s="9" t="s">
        <v>3706</v>
      </c>
      <c r="D72" s="1724"/>
      <c r="E72" s="1726"/>
      <c r="F72" s="611"/>
      <c r="G72" s="606"/>
      <c r="H72" s="606"/>
      <c r="I72" s="606"/>
      <c r="J72" s="606"/>
      <c r="K72" s="606"/>
      <c r="L72" s="606"/>
      <c r="M72" s="606"/>
      <c r="N72" s="606"/>
      <c r="O72" s="606"/>
      <c r="P72" s="606"/>
      <c r="Q72" s="606"/>
      <c r="R72" s="606"/>
      <c r="S72" s="606"/>
      <c r="T72" s="606"/>
      <c r="U72" s="606"/>
      <c r="V72" s="606"/>
      <c r="W72" s="606"/>
      <c r="X72" s="606"/>
      <c r="Y72" s="606"/>
      <c r="Z72" s="606"/>
    </row>
    <row r="73" spans="1:26" ht="22.5">
      <c r="A73" s="1725" t="s">
        <v>3822</v>
      </c>
      <c r="B73" s="1708" t="s">
        <v>3692</v>
      </c>
      <c r="C73" s="9" t="s">
        <v>3785</v>
      </c>
      <c r="D73" s="1724" t="s">
        <v>3823</v>
      </c>
      <c r="E73" s="1726"/>
      <c r="F73" s="611"/>
      <c r="G73" s="606"/>
      <c r="H73" s="606"/>
      <c r="I73" s="606"/>
      <c r="J73" s="606"/>
      <c r="K73" s="606"/>
      <c r="L73" s="606"/>
      <c r="M73" s="606"/>
      <c r="N73" s="606"/>
      <c r="O73" s="606"/>
      <c r="P73" s="606"/>
      <c r="Q73" s="606"/>
      <c r="R73" s="606"/>
      <c r="S73" s="606"/>
      <c r="T73" s="606"/>
      <c r="U73" s="606"/>
      <c r="V73" s="606"/>
      <c r="W73" s="606"/>
      <c r="X73" s="606"/>
      <c r="Y73" s="606"/>
      <c r="Z73" s="606"/>
    </row>
    <row r="74" spans="1:26" ht="22.5">
      <c r="A74" s="1725" t="s">
        <v>3824</v>
      </c>
      <c r="B74" s="1708"/>
      <c r="C74" s="9"/>
      <c r="D74" s="1724" t="s">
        <v>3825</v>
      </c>
      <c r="E74" s="1726"/>
      <c r="F74" s="611"/>
      <c r="G74" s="606"/>
      <c r="H74" s="606"/>
      <c r="I74" s="606"/>
      <c r="J74" s="606"/>
      <c r="K74" s="606"/>
      <c r="L74" s="606"/>
      <c r="M74" s="606"/>
      <c r="N74" s="606"/>
      <c r="O74" s="606"/>
      <c r="P74" s="606"/>
      <c r="Q74" s="606"/>
      <c r="R74" s="606"/>
      <c r="S74" s="606"/>
      <c r="T74" s="606"/>
      <c r="U74" s="606"/>
      <c r="V74" s="606"/>
      <c r="W74" s="606"/>
      <c r="X74" s="606"/>
      <c r="Y74" s="606"/>
      <c r="Z74" s="606"/>
    </row>
    <row r="75" spans="1:26" ht="22.5">
      <c r="A75" s="1725" t="s">
        <v>3826</v>
      </c>
      <c r="B75" s="1709" t="s">
        <v>3692</v>
      </c>
      <c r="C75" s="9" t="s">
        <v>3706</v>
      </c>
      <c r="D75" s="361" t="s">
        <v>3827</v>
      </c>
      <c r="E75" s="1726"/>
      <c r="F75" s="611"/>
      <c r="G75" s="606"/>
      <c r="H75" s="606"/>
      <c r="I75" s="606"/>
      <c r="J75" s="606"/>
      <c r="K75" s="606"/>
      <c r="L75" s="606"/>
      <c r="M75" s="606"/>
      <c r="N75" s="606"/>
      <c r="O75" s="606"/>
      <c r="P75" s="606"/>
      <c r="Q75" s="606"/>
      <c r="R75" s="606"/>
      <c r="S75" s="606"/>
      <c r="T75" s="606"/>
      <c r="U75" s="606"/>
      <c r="V75" s="606"/>
      <c r="W75" s="606"/>
      <c r="X75" s="606"/>
      <c r="Y75" s="606"/>
      <c r="Z75" s="606"/>
    </row>
    <row r="76" spans="1:26" ht="22.5">
      <c r="A76" s="1725" t="s">
        <v>3828</v>
      </c>
      <c r="B76" s="1709" t="s">
        <v>3692</v>
      </c>
      <c r="C76" s="1709" t="s">
        <v>3785</v>
      </c>
      <c r="D76" s="1724"/>
      <c r="E76" s="1726"/>
      <c r="F76" s="611"/>
      <c r="G76" s="606"/>
      <c r="H76" s="606"/>
      <c r="I76" s="606"/>
      <c r="J76" s="606"/>
      <c r="K76" s="606"/>
      <c r="L76" s="606"/>
      <c r="M76" s="606"/>
      <c r="N76" s="606"/>
      <c r="O76" s="606"/>
      <c r="P76" s="606"/>
      <c r="Q76" s="606"/>
      <c r="R76" s="606"/>
      <c r="S76" s="606"/>
      <c r="T76" s="606"/>
      <c r="U76" s="606"/>
      <c r="V76" s="606"/>
      <c r="W76" s="606"/>
      <c r="X76" s="606"/>
      <c r="Y76" s="606"/>
      <c r="Z76" s="606"/>
    </row>
    <row r="77" spans="1:26" ht="22.5">
      <c r="A77" s="1725" t="s">
        <v>3829</v>
      </c>
      <c r="B77" s="1709" t="s">
        <v>3692</v>
      </c>
      <c r="C77" s="1709" t="s">
        <v>3830</v>
      </c>
      <c r="D77" s="1724"/>
      <c r="E77" s="1726"/>
      <c r="F77" s="611"/>
      <c r="G77" s="606"/>
      <c r="H77" s="606"/>
      <c r="I77" s="606"/>
      <c r="J77" s="606"/>
      <c r="K77" s="606"/>
      <c r="L77" s="606"/>
      <c r="M77" s="606"/>
      <c r="N77" s="606"/>
      <c r="O77" s="606"/>
      <c r="P77" s="606"/>
      <c r="Q77" s="606"/>
      <c r="R77" s="606"/>
      <c r="S77" s="606"/>
      <c r="T77" s="606"/>
      <c r="U77" s="606"/>
      <c r="V77" s="606"/>
      <c r="W77" s="606"/>
      <c r="X77" s="606"/>
      <c r="Y77" s="606"/>
      <c r="Z77" s="606"/>
    </row>
    <row r="78" spans="1:26" ht="22.5">
      <c r="A78" s="9" t="s">
        <v>3831</v>
      </c>
      <c r="B78" s="9" t="s">
        <v>3692</v>
      </c>
      <c r="C78" s="9" t="s">
        <v>3706</v>
      </c>
      <c r="D78" s="9"/>
      <c r="E78" s="1726"/>
      <c r="F78" s="611"/>
      <c r="G78" s="606"/>
      <c r="H78" s="606"/>
      <c r="I78" s="606"/>
      <c r="J78" s="606"/>
      <c r="K78" s="606"/>
      <c r="L78" s="606"/>
      <c r="M78" s="606"/>
      <c r="N78" s="606"/>
      <c r="O78" s="606"/>
      <c r="P78" s="606"/>
      <c r="Q78" s="606"/>
      <c r="R78" s="606"/>
      <c r="S78" s="606"/>
      <c r="T78" s="606"/>
      <c r="U78" s="606"/>
      <c r="V78" s="606"/>
      <c r="W78" s="606"/>
      <c r="X78" s="606"/>
      <c r="Y78" s="606"/>
      <c r="Z78" s="606"/>
    </row>
    <row r="79" spans="1:26" ht="22.5">
      <c r="A79" s="607" t="s">
        <v>3832</v>
      </c>
      <c r="B79" s="605" t="s">
        <v>3692</v>
      </c>
      <c r="C79" s="9" t="s">
        <v>3756</v>
      </c>
      <c r="D79" s="1724" t="s">
        <v>3833</v>
      </c>
      <c r="E79" s="1706"/>
      <c r="F79" s="604"/>
      <c r="G79" s="9"/>
      <c r="H79" s="9"/>
      <c r="I79" s="9"/>
      <c r="J79" s="9"/>
      <c r="K79" s="9"/>
      <c r="L79" s="9"/>
      <c r="M79" s="9"/>
      <c r="N79" s="9"/>
      <c r="O79" s="9"/>
      <c r="P79" s="9"/>
      <c r="Q79" s="9"/>
      <c r="R79" s="9"/>
      <c r="S79" s="9"/>
      <c r="T79" s="9"/>
      <c r="U79" s="9"/>
      <c r="V79" s="9"/>
      <c r="W79" s="9"/>
      <c r="X79" s="9"/>
      <c r="Y79" s="9"/>
      <c r="Z79" s="9"/>
    </row>
    <row r="80" spans="1:26" ht="22.5">
      <c r="A80" s="607" t="s">
        <v>3832</v>
      </c>
      <c r="B80" s="605" t="s">
        <v>3696</v>
      </c>
      <c r="C80" s="9" t="s">
        <v>3706</v>
      </c>
      <c r="D80" s="1724" t="s">
        <v>3834</v>
      </c>
      <c r="E80" s="1706"/>
      <c r="F80" s="604"/>
      <c r="G80" s="9"/>
      <c r="H80" s="9"/>
      <c r="I80" s="9"/>
      <c r="J80" s="9"/>
      <c r="K80" s="9"/>
      <c r="L80" s="9"/>
      <c r="M80" s="9"/>
      <c r="N80" s="9"/>
      <c r="O80" s="9"/>
      <c r="P80" s="9"/>
      <c r="Q80" s="9"/>
      <c r="R80" s="9"/>
      <c r="S80" s="9"/>
      <c r="T80" s="9"/>
      <c r="U80" s="9"/>
      <c r="V80" s="9"/>
      <c r="W80" s="9"/>
      <c r="X80" s="9"/>
      <c r="Y80" s="9"/>
      <c r="Z80" s="9"/>
    </row>
    <row r="81" spans="1:26" ht="22.5">
      <c r="A81" s="607" t="s">
        <v>3835</v>
      </c>
      <c r="B81" s="605" t="s">
        <v>3836</v>
      </c>
      <c r="C81" s="9" t="s">
        <v>3706</v>
      </c>
      <c r="D81" s="1724"/>
      <c r="E81" s="1706"/>
      <c r="F81" s="604"/>
      <c r="G81" s="9"/>
      <c r="H81" s="9"/>
      <c r="I81" s="9"/>
      <c r="J81" s="9"/>
      <c r="K81" s="9"/>
      <c r="L81" s="9"/>
      <c r="M81" s="9"/>
      <c r="N81" s="9"/>
      <c r="O81" s="9"/>
      <c r="P81" s="9"/>
      <c r="Q81" s="9"/>
      <c r="R81" s="9"/>
      <c r="S81" s="9"/>
      <c r="T81" s="9"/>
      <c r="U81" s="9"/>
      <c r="V81" s="9"/>
      <c r="W81" s="9"/>
      <c r="X81" s="9"/>
      <c r="Y81" s="9"/>
      <c r="Z81" s="9"/>
    </row>
    <row r="82" spans="1:26" ht="22.5">
      <c r="A82" s="607" t="s">
        <v>1595</v>
      </c>
      <c r="B82" s="9" t="s">
        <v>3696</v>
      </c>
      <c r="C82" s="9" t="s">
        <v>3706</v>
      </c>
      <c r="D82" s="1724" t="s">
        <v>3837</v>
      </c>
      <c r="E82" s="1706"/>
      <c r="F82" s="604"/>
      <c r="G82" s="9"/>
      <c r="H82" s="9"/>
      <c r="I82" s="9"/>
      <c r="J82" s="9"/>
      <c r="K82" s="9"/>
      <c r="L82" s="9"/>
      <c r="M82" s="9"/>
      <c r="N82" s="9"/>
      <c r="O82" s="9"/>
      <c r="P82" s="9"/>
      <c r="Q82" s="9"/>
      <c r="R82" s="9"/>
      <c r="S82" s="9"/>
      <c r="T82" s="9"/>
      <c r="U82" s="9"/>
      <c r="V82" s="9"/>
      <c r="W82" s="9"/>
      <c r="X82" s="9"/>
      <c r="Y82" s="9"/>
      <c r="Z82" s="9"/>
    </row>
    <row r="83" spans="1:26" ht="22.5">
      <c r="A83" s="607" t="s">
        <v>3838</v>
      </c>
      <c r="B83" s="9" t="s">
        <v>3839</v>
      </c>
      <c r="C83" s="9" t="s">
        <v>3706</v>
      </c>
      <c r="D83" s="1724"/>
      <c r="E83" s="1706"/>
      <c r="F83" s="604"/>
      <c r="G83" s="9"/>
      <c r="H83" s="9"/>
      <c r="I83" s="9"/>
      <c r="J83" s="9"/>
      <c r="K83" s="9"/>
      <c r="L83" s="9"/>
      <c r="M83" s="9"/>
      <c r="N83" s="9"/>
      <c r="O83" s="9"/>
      <c r="P83" s="9"/>
      <c r="Q83" s="9"/>
      <c r="R83" s="9"/>
      <c r="S83" s="9"/>
      <c r="T83" s="9"/>
      <c r="U83" s="9"/>
      <c r="V83" s="9"/>
      <c r="W83" s="9"/>
      <c r="X83" s="9"/>
      <c r="Y83" s="9"/>
      <c r="Z83" s="9"/>
    </row>
    <row r="84" spans="1:26" ht="22.5">
      <c r="A84" s="607" t="s">
        <v>3020</v>
      </c>
      <c r="B84" s="9" t="s">
        <v>3692</v>
      </c>
      <c r="C84" s="9" t="s">
        <v>3706</v>
      </c>
      <c r="D84" s="1724"/>
      <c r="E84" s="1706"/>
      <c r="F84" s="604"/>
      <c r="G84" s="9"/>
      <c r="H84" s="9"/>
      <c r="I84" s="9"/>
      <c r="J84" s="9"/>
      <c r="K84" s="9"/>
      <c r="L84" s="9"/>
      <c r="M84" s="9"/>
      <c r="N84" s="9"/>
      <c r="O84" s="9"/>
      <c r="P84" s="9"/>
      <c r="Q84" s="9"/>
      <c r="R84" s="9"/>
      <c r="S84" s="9"/>
      <c r="T84" s="9"/>
      <c r="U84" s="9"/>
      <c r="V84" s="9"/>
      <c r="W84" s="9"/>
      <c r="X84" s="9"/>
      <c r="Y84" s="9"/>
      <c r="Z84" s="9"/>
    </row>
    <row r="85" spans="1:26" ht="22.5">
      <c r="A85" s="365" t="s">
        <v>3840</v>
      </c>
      <c r="B85" s="9" t="s">
        <v>3755</v>
      </c>
      <c r="C85" s="9" t="s">
        <v>3756</v>
      </c>
      <c r="D85" s="1724" t="s">
        <v>3841</v>
      </c>
      <c r="E85" s="1706"/>
      <c r="F85" s="604"/>
      <c r="G85" s="9"/>
      <c r="H85" s="9"/>
      <c r="I85" s="9"/>
      <c r="J85" s="9"/>
      <c r="K85" s="9"/>
      <c r="L85" s="9"/>
      <c r="M85" s="9"/>
      <c r="N85" s="9"/>
      <c r="O85" s="9"/>
      <c r="P85" s="9"/>
      <c r="Q85" s="9"/>
      <c r="R85" s="9"/>
      <c r="S85" s="9"/>
      <c r="T85" s="9"/>
      <c r="U85" s="9"/>
      <c r="V85" s="9"/>
      <c r="W85" s="9"/>
      <c r="X85" s="9"/>
      <c r="Y85" s="9"/>
      <c r="Z85" s="9"/>
    </row>
    <row r="86" spans="1:26" ht="22.5">
      <c r="A86" s="9" t="s">
        <v>3842</v>
      </c>
      <c r="B86" s="9" t="s">
        <v>3755</v>
      </c>
      <c r="C86" s="9" t="s">
        <v>3706</v>
      </c>
      <c r="D86" s="1724"/>
      <c r="E86" s="1706"/>
      <c r="F86" s="604"/>
      <c r="G86" s="9"/>
      <c r="H86" s="9"/>
      <c r="I86" s="9"/>
      <c r="J86" s="9"/>
      <c r="K86" s="9"/>
      <c r="L86" s="9"/>
      <c r="M86" s="9"/>
      <c r="N86" s="9"/>
      <c r="O86" s="9"/>
      <c r="P86" s="9"/>
      <c r="Q86" s="9"/>
      <c r="R86" s="9"/>
      <c r="S86" s="9"/>
      <c r="T86" s="9"/>
      <c r="U86" s="9"/>
      <c r="V86" s="9"/>
      <c r="W86" s="9"/>
      <c r="X86" s="9"/>
      <c r="Y86" s="9"/>
      <c r="Z86" s="9"/>
    </row>
    <row r="87" spans="1:26" ht="22.5">
      <c r="A87" s="9" t="s">
        <v>3843</v>
      </c>
      <c r="B87" s="9" t="s">
        <v>3844</v>
      </c>
      <c r="C87" s="9" t="s">
        <v>3845</v>
      </c>
      <c r="D87" s="1724"/>
      <c r="E87" s="1706"/>
      <c r="F87" s="604"/>
      <c r="G87" s="9"/>
      <c r="H87" s="9"/>
      <c r="I87" s="9"/>
      <c r="J87" s="9"/>
      <c r="K87" s="9"/>
      <c r="L87" s="9"/>
      <c r="M87" s="9"/>
      <c r="N87" s="9"/>
      <c r="O87" s="9"/>
      <c r="P87" s="9"/>
      <c r="Q87" s="9"/>
      <c r="R87" s="9"/>
      <c r="S87" s="9"/>
      <c r="T87" s="9"/>
      <c r="U87" s="9"/>
      <c r="V87" s="9"/>
      <c r="W87" s="9"/>
      <c r="X87" s="9"/>
      <c r="Y87" s="9"/>
      <c r="Z87" s="9"/>
    </row>
    <row r="88" spans="1:26" ht="22.5">
      <c r="A88" s="9" t="s">
        <v>3846</v>
      </c>
      <c r="B88" s="9" t="s">
        <v>3692</v>
      </c>
      <c r="C88" s="9" t="s">
        <v>3706</v>
      </c>
      <c r="D88" s="1724" t="s">
        <v>3847</v>
      </c>
      <c r="E88" s="1706"/>
      <c r="F88" s="604"/>
      <c r="G88" s="9"/>
      <c r="H88" s="9"/>
      <c r="I88" s="9"/>
      <c r="J88" s="9"/>
      <c r="K88" s="9"/>
      <c r="L88" s="9"/>
      <c r="M88" s="9"/>
      <c r="N88" s="9"/>
      <c r="O88" s="9"/>
      <c r="P88" s="9"/>
      <c r="Q88" s="9"/>
      <c r="R88" s="9"/>
      <c r="S88" s="9"/>
      <c r="T88" s="9"/>
      <c r="U88" s="9"/>
      <c r="V88" s="9"/>
      <c r="W88" s="9"/>
      <c r="X88" s="9"/>
      <c r="Y88" s="9"/>
      <c r="Z88" s="9"/>
    </row>
    <row r="89" spans="1:26" ht="22.5">
      <c r="A89" s="9" t="s">
        <v>3848</v>
      </c>
      <c r="B89" s="9" t="s">
        <v>3692</v>
      </c>
      <c r="C89" s="9" t="s">
        <v>3706</v>
      </c>
      <c r="D89" s="1728" t="s">
        <v>3849</v>
      </c>
      <c r="E89" s="1706"/>
      <c r="F89" s="604"/>
      <c r="G89" s="9"/>
      <c r="H89" s="9"/>
      <c r="I89" s="9"/>
      <c r="J89" s="9"/>
      <c r="K89" s="9"/>
      <c r="L89" s="9"/>
      <c r="M89" s="9"/>
      <c r="N89" s="9"/>
      <c r="O89" s="9"/>
      <c r="P89" s="9"/>
      <c r="Q89" s="9"/>
      <c r="R89" s="9"/>
      <c r="S89" s="9"/>
      <c r="T89" s="9"/>
      <c r="U89" s="9"/>
      <c r="V89" s="9"/>
      <c r="W89" s="9"/>
      <c r="X89" s="9"/>
      <c r="Y89" s="9"/>
      <c r="Z89" s="9"/>
    </row>
    <row r="90" spans="1:26" ht="12.75" customHeight="1">
      <c r="A90" s="612" t="s">
        <v>3850</v>
      </c>
      <c r="B90" s="1709" t="s">
        <v>3781</v>
      </c>
      <c r="C90" s="9" t="s">
        <v>3851</v>
      </c>
      <c r="D90" s="1728" t="s">
        <v>3852</v>
      </c>
      <c r="E90" s="1706"/>
      <c r="F90" s="604"/>
      <c r="G90" s="9"/>
      <c r="H90" s="9"/>
      <c r="I90" s="9"/>
      <c r="J90" s="9"/>
      <c r="K90" s="9"/>
      <c r="L90" s="9"/>
      <c r="M90" s="9"/>
      <c r="N90" s="9"/>
      <c r="O90" s="9"/>
      <c r="P90" s="9"/>
      <c r="Q90" s="9"/>
      <c r="R90" s="9"/>
      <c r="S90" s="9"/>
      <c r="T90" s="9"/>
      <c r="U90" s="9"/>
      <c r="V90" s="9"/>
      <c r="W90" s="9"/>
      <c r="X90" s="9"/>
      <c r="Y90" s="9"/>
      <c r="Z90" s="9"/>
    </row>
    <row r="91" spans="1:26" ht="12.75" customHeight="1">
      <c r="A91" s="612" t="s">
        <v>3853</v>
      </c>
      <c r="B91" s="1709" t="s">
        <v>3692</v>
      </c>
      <c r="C91" s="9" t="s">
        <v>3706</v>
      </c>
      <c r="D91" s="1728"/>
      <c r="E91" s="1706"/>
      <c r="F91" s="604"/>
      <c r="G91" s="9"/>
      <c r="H91" s="9"/>
      <c r="I91" s="9"/>
      <c r="J91" s="9"/>
      <c r="K91" s="9"/>
      <c r="L91" s="9"/>
      <c r="M91" s="9"/>
      <c r="N91" s="9"/>
      <c r="O91" s="9"/>
      <c r="P91" s="9"/>
      <c r="Q91" s="9"/>
      <c r="R91" s="9"/>
      <c r="S91" s="9"/>
      <c r="T91" s="9"/>
      <c r="U91" s="9"/>
      <c r="V91" s="9"/>
      <c r="W91" s="9"/>
      <c r="X91" s="9"/>
      <c r="Y91" s="9"/>
      <c r="Z91" s="9"/>
    </row>
    <row r="92" spans="1:26" ht="12.75" customHeight="1">
      <c r="A92" s="612" t="s">
        <v>3854</v>
      </c>
      <c r="B92" s="1709" t="s">
        <v>3692</v>
      </c>
      <c r="C92" s="9" t="s">
        <v>3756</v>
      </c>
      <c r="D92" s="1728" t="s">
        <v>3855</v>
      </c>
      <c r="E92" s="1706"/>
      <c r="F92" s="604"/>
      <c r="G92" s="9"/>
      <c r="H92" s="9"/>
      <c r="I92" s="9"/>
      <c r="J92" s="9"/>
      <c r="K92" s="9"/>
      <c r="L92" s="9"/>
      <c r="M92" s="9"/>
      <c r="N92" s="9"/>
      <c r="O92" s="9"/>
      <c r="P92" s="9"/>
      <c r="Q92" s="9"/>
      <c r="R92" s="9"/>
      <c r="S92" s="9"/>
      <c r="T92" s="9"/>
      <c r="U92" s="9"/>
      <c r="V92" s="9"/>
      <c r="W92" s="9"/>
      <c r="X92" s="9"/>
      <c r="Y92" s="9"/>
      <c r="Z92" s="9"/>
    </row>
    <row r="93" spans="1:26" ht="22.5">
      <c r="A93" s="607" t="s">
        <v>3856</v>
      </c>
      <c r="B93" s="1709" t="s">
        <v>3692</v>
      </c>
      <c r="C93" s="9" t="s">
        <v>3706</v>
      </c>
      <c r="D93" s="1724"/>
      <c r="E93" s="1706"/>
      <c r="F93" s="604"/>
      <c r="G93" s="9"/>
      <c r="H93" s="9"/>
      <c r="I93" s="9"/>
      <c r="J93" s="9"/>
      <c r="K93" s="9"/>
      <c r="L93" s="9"/>
      <c r="M93" s="9"/>
      <c r="N93" s="9"/>
      <c r="O93" s="9"/>
      <c r="P93" s="9"/>
      <c r="Q93" s="9"/>
      <c r="R93" s="9"/>
      <c r="S93" s="9"/>
      <c r="T93" s="9"/>
      <c r="U93" s="9"/>
      <c r="V93" s="9"/>
      <c r="W93" s="9"/>
      <c r="X93" s="9"/>
      <c r="Y93" s="9"/>
      <c r="Z93" s="9"/>
    </row>
    <row r="94" spans="1:26" ht="22.5">
      <c r="A94" s="365" t="s">
        <v>3857</v>
      </c>
      <c r="B94" s="1709" t="s">
        <v>3692</v>
      </c>
      <c r="C94" s="9" t="s">
        <v>3858</v>
      </c>
      <c r="D94" s="1724" t="s">
        <v>3859</v>
      </c>
      <c r="E94" s="1706"/>
      <c r="F94" s="604"/>
      <c r="G94" s="9"/>
      <c r="H94" s="9"/>
      <c r="I94" s="9"/>
      <c r="J94" s="9"/>
      <c r="K94" s="9"/>
      <c r="L94" s="9"/>
      <c r="M94" s="9"/>
      <c r="N94" s="9"/>
      <c r="O94" s="9"/>
      <c r="P94" s="9"/>
      <c r="Q94" s="9"/>
      <c r="R94" s="9"/>
      <c r="S94" s="9"/>
      <c r="T94" s="9"/>
      <c r="U94" s="9"/>
      <c r="V94" s="9"/>
      <c r="W94" s="9"/>
      <c r="X94" s="9"/>
      <c r="Y94" s="9"/>
      <c r="Z94" s="9"/>
    </row>
    <row r="95" spans="1:26" ht="22.5">
      <c r="A95" s="365" t="s">
        <v>3860</v>
      </c>
      <c r="B95" s="1709" t="s">
        <v>3292</v>
      </c>
      <c r="C95" s="9" t="s">
        <v>3782</v>
      </c>
      <c r="D95" s="1722"/>
      <c r="E95" s="1706"/>
      <c r="F95" s="604"/>
      <c r="G95" s="9"/>
      <c r="H95" s="9"/>
      <c r="I95" s="9"/>
      <c r="J95" s="9"/>
      <c r="K95" s="9"/>
      <c r="L95" s="9"/>
      <c r="M95" s="9"/>
      <c r="N95" s="9"/>
      <c r="O95" s="9"/>
      <c r="P95" s="9"/>
      <c r="Q95" s="9"/>
      <c r="R95" s="9"/>
      <c r="S95" s="9"/>
      <c r="T95" s="9"/>
      <c r="U95" s="9"/>
      <c r="V95" s="9"/>
      <c r="W95" s="9"/>
      <c r="X95" s="9"/>
      <c r="Y95" s="9"/>
      <c r="Z95" s="9"/>
    </row>
    <row r="96" spans="1:26" ht="28.5">
      <c r="A96" s="607" t="s">
        <v>3861</v>
      </c>
      <c r="B96" s="1709" t="s">
        <v>3288</v>
      </c>
      <c r="C96" s="9" t="s">
        <v>3862</v>
      </c>
      <c r="D96" s="1729" t="s">
        <v>3863</v>
      </c>
      <c r="E96" s="1706"/>
      <c r="F96" s="604"/>
      <c r="G96" s="9"/>
      <c r="H96" s="9"/>
      <c r="I96" s="9"/>
      <c r="J96" s="9"/>
      <c r="K96" s="9"/>
      <c r="L96" s="9"/>
      <c r="M96" s="9"/>
      <c r="N96" s="9"/>
      <c r="O96" s="9"/>
      <c r="P96" s="9"/>
      <c r="Q96" s="9"/>
      <c r="R96" s="9"/>
      <c r="S96" s="9"/>
      <c r="T96" s="9"/>
      <c r="U96" s="9"/>
      <c r="V96" s="9"/>
      <c r="W96" s="9"/>
      <c r="X96" s="9"/>
      <c r="Y96" s="9"/>
      <c r="Z96" s="9"/>
    </row>
    <row r="99" spans="1:26" ht="30">
      <c r="A99" s="613" t="s">
        <v>3864</v>
      </c>
      <c r="B99" s="1709" t="s">
        <v>3865</v>
      </c>
      <c r="C99" s="9" t="s">
        <v>3866</v>
      </c>
      <c r="D99" s="1729" t="s">
        <v>3867</v>
      </c>
      <c r="E99" s="1706" t="s">
        <v>3868</v>
      </c>
      <c r="F99" s="604"/>
      <c r="G99" s="9"/>
      <c r="H99" s="9"/>
      <c r="I99" s="9"/>
      <c r="J99" s="9"/>
      <c r="K99" s="9"/>
      <c r="L99" s="9"/>
      <c r="M99" s="9"/>
      <c r="N99" s="9"/>
      <c r="O99" s="9"/>
      <c r="P99" s="9"/>
      <c r="Q99" s="9"/>
      <c r="R99" s="9"/>
      <c r="S99" s="9"/>
      <c r="T99" s="9"/>
      <c r="U99" s="9"/>
      <c r="V99" s="9"/>
      <c r="W99" s="9"/>
      <c r="X99" s="9"/>
      <c r="Y99" s="9"/>
      <c r="Z99" s="9"/>
    </row>
    <row r="100" spans="1:26" ht="22.5">
      <c r="E100" s="1706"/>
      <c r="F100" s="604"/>
      <c r="G100" s="9"/>
      <c r="H100" s="9"/>
      <c r="I100" s="9"/>
      <c r="J100" s="9"/>
      <c r="K100" s="9"/>
      <c r="L100" s="9"/>
      <c r="M100" s="9"/>
      <c r="N100" s="9"/>
      <c r="O100" s="9"/>
      <c r="P100" s="9"/>
      <c r="Q100" s="9"/>
      <c r="R100" s="9"/>
      <c r="S100" s="9"/>
      <c r="T100" s="9"/>
      <c r="U100" s="9"/>
      <c r="V100" s="9"/>
      <c r="W100" s="9"/>
      <c r="X100" s="9"/>
      <c r="Y100" s="9"/>
      <c r="Z100" s="9"/>
    </row>
    <row r="101" spans="1:26" ht="22.5">
      <c r="A101" s="607" t="s">
        <v>3869</v>
      </c>
      <c r="B101" s="1709" t="s">
        <v>3692</v>
      </c>
      <c r="C101" s="9" t="s">
        <v>3870</v>
      </c>
      <c r="D101" s="361"/>
      <c r="E101" s="1706"/>
      <c r="F101" s="604"/>
      <c r="G101" s="9"/>
      <c r="H101" s="9"/>
      <c r="I101" s="9"/>
      <c r="J101" s="9"/>
      <c r="K101" s="9"/>
      <c r="L101" s="9"/>
      <c r="M101" s="9"/>
      <c r="N101" s="9"/>
      <c r="O101" s="9"/>
      <c r="P101" s="9"/>
      <c r="Q101" s="9"/>
      <c r="R101" s="9"/>
      <c r="S101" s="9"/>
      <c r="T101" s="9"/>
      <c r="U101" s="9"/>
      <c r="V101" s="9"/>
      <c r="W101" s="9"/>
      <c r="X101" s="9"/>
      <c r="Y101" s="9"/>
      <c r="Z101" s="9"/>
    </row>
    <row r="102" spans="1:26" ht="22.5">
      <c r="A102" s="607" t="s">
        <v>3871</v>
      </c>
      <c r="B102" s="1709" t="s">
        <v>3692</v>
      </c>
      <c r="C102" s="9" t="s">
        <v>3706</v>
      </c>
      <c r="D102" s="361" t="s">
        <v>3872</v>
      </c>
      <c r="E102" s="1706"/>
      <c r="F102" s="604"/>
      <c r="G102" s="9"/>
      <c r="H102" s="9"/>
      <c r="I102" s="9"/>
      <c r="J102" s="9"/>
      <c r="K102" s="9"/>
      <c r="L102" s="9"/>
      <c r="M102" s="9"/>
      <c r="N102" s="9"/>
      <c r="O102" s="9"/>
      <c r="P102" s="9"/>
      <c r="Q102" s="9"/>
      <c r="R102" s="9"/>
      <c r="S102" s="9"/>
      <c r="T102" s="9"/>
      <c r="U102" s="9"/>
      <c r="V102" s="9"/>
      <c r="W102" s="9"/>
      <c r="X102" s="9"/>
      <c r="Y102" s="9"/>
      <c r="Z102" s="9"/>
    </row>
    <row r="103" spans="1:26" ht="22.5">
      <c r="A103" s="607" t="s">
        <v>3873</v>
      </c>
      <c r="B103" s="1709" t="s">
        <v>3874</v>
      </c>
      <c r="C103" s="9" t="s">
        <v>3706</v>
      </c>
      <c r="D103" s="1730"/>
      <c r="E103" s="1706"/>
      <c r="F103" s="604"/>
      <c r="G103" s="9"/>
      <c r="H103" s="9"/>
      <c r="I103" s="9"/>
      <c r="J103" s="9"/>
      <c r="K103" s="9"/>
      <c r="L103" s="9"/>
      <c r="M103" s="9"/>
      <c r="N103" s="9"/>
      <c r="O103" s="9"/>
      <c r="P103" s="9"/>
      <c r="Q103" s="9"/>
      <c r="R103" s="9"/>
      <c r="S103" s="9"/>
      <c r="T103" s="9"/>
      <c r="U103" s="9"/>
      <c r="V103" s="9"/>
      <c r="W103" s="9"/>
      <c r="X103" s="9"/>
      <c r="Y103" s="9"/>
      <c r="Z103" s="9"/>
    </row>
    <row r="104" spans="1:26" ht="22.5">
      <c r="A104" s="607" t="s">
        <v>3875</v>
      </c>
      <c r="B104" s="1709" t="s">
        <v>3876</v>
      </c>
      <c r="C104" s="9" t="s">
        <v>3782</v>
      </c>
      <c r="D104" s="1730"/>
      <c r="E104" s="1706"/>
      <c r="F104" s="604"/>
      <c r="G104" s="9"/>
      <c r="H104" s="9"/>
      <c r="I104" s="9"/>
      <c r="J104" s="9"/>
      <c r="K104" s="9"/>
      <c r="L104" s="9"/>
      <c r="M104" s="9"/>
      <c r="N104" s="9"/>
      <c r="O104" s="9"/>
      <c r="P104" s="9"/>
      <c r="Q104" s="9"/>
      <c r="R104" s="9"/>
      <c r="S104" s="9"/>
      <c r="T104" s="9"/>
      <c r="U104" s="9"/>
      <c r="V104" s="9"/>
      <c r="W104" s="9"/>
      <c r="X104" s="9"/>
      <c r="Y104" s="9"/>
      <c r="Z104" s="9"/>
    </row>
    <row r="105" spans="1:26" ht="22.5">
      <c r="A105" s="365" t="s">
        <v>3877</v>
      </c>
      <c r="B105" s="1709" t="s">
        <v>3692</v>
      </c>
      <c r="C105" s="9" t="s">
        <v>3706</v>
      </c>
      <c r="D105" s="1730" t="s">
        <v>3878</v>
      </c>
      <c r="E105" s="1706"/>
      <c r="F105" s="604"/>
      <c r="G105" s="9"/>
      <c r="H105" s="9"/>
      <c r="I105" s="9"/>
      <c r="J105" s="9"/>
      <c r="K105" s="9"/>
      <c r="L105" s="9"/>
      <c r="M105" s="9"/>
      <c r="N105" s="9"/>
      <c r="O105" s="9"/>
      <c r="P105" s="9"/>
      <c r="Q105" s="9"/>
      <c r="R105" s="9"/>
      <c r="S105" s="9"/>
      <c r="T105" s="9"/>
      <c r="U105" s="9"/>
      <c r="V105" s="9"/>
      <c r="W105" s="9"/>
      <c r="X105" s="9"/>
      <c r="Y105" s="9"/>
      <c r="Z105" s="9"/>
    </row>
    <row r="106" spans="1:26" ht="22.5">
      <c r="A106" s="607" t="s">
        <v>3879</v>
      </c>
      <c r="B106" s="1709" t="s">
        <v>3692</v>
      </c>
      <c r="C106" s="18" t="s">
        <v>3785</v>
      </c>
      <c r="D106" s="361" t="s">
        <v>3880</v>
      </c>
      <c r="E106" s="1706">
        <f>140/44</f>
        <v>3.1818181818181817</v>
      </c>
      <c r="F106" s="604"/>
      <c r="G106" s="9"/>
      <c r="H106" s="9"/>
      <c r="I106" s="9"/>
      <c r="J106" s="9"/>
      <c r="K106" s="9"/>
      <c r="L106" s="9"/>
      <c r="M106" s="9"/>
      <c r="N106" s="9"/>
      <c r="O106" s="9"/>
      <c r="P106" s="9"/>
      <c r="Q106" s="9"/>
      <c r="R106" s="9"/>
      <c r="S106" s="9"/>
      <c r="T106" s="9"/>
      <c r="U106" s="9"/>
      <c r="V106" s="9"/>
      <c r="W106" s="9"/>
      <c r="X106" s="9"/>
      <c r="Y106" s="9"/>
      <c r="Z106" s="9"/>
    </row>
    <row r="107" spans="1:26" ht="22.5">
      <c r="A107" s="607" t="s">
        <v>3881</v>
      </c>
      <c r="B107" s="1709" t="s">
        <v>3692</v>
      </c>
      <c r="C107" s="9" t="s">
        <v>3706</v>
      </c>
      <c r="D107" s="1730"/>
      <c r="E107" s="1706"/>
      <c r="F107" s="604"/>
      <c r="G107" s="9"/>
      <c r="H107" s="9"/>
      <c r="I107" s="9"/>
      <c r="J107" s="9"/>
      <c r="K107" s="9"/>
      <c r="L107" s="9"/>
      <c r="M107" s="9"/>
      <c r="N107" s="9"/>
      <c r="O107" s="9"/>
      <c r="P107" s="9"/>
      <c r="Q107" s="9"/>
      <c r="R107" s="9"/>
      <c r="S107" s="9"/>
      <c r="T107" s="9"/>
      <c r="U107" s="9"/>
      <c r="V107" s="9"/>
      <c r="W107" s="9"/>
      <c r="X107" s="9"/>
      <c r="Y107" s="9"/>
      <c r="Z107" s="9"/>
    </row>
    <row r="108" spans="1:26" ht="22.5">
      <c r="A108" s="607" t="s">
        <v>1388</v>
      </c>
      <c r="B108" s="1709" t="s">
        <v>3755</v>
      </c>
      <c r="C108" s="9" t="s">
        <v>3706</v>
      </c>
      <c r="D108" s="1730"/>
      <c r="E108" s="1706"/>
      <c r="F108" s="604"/>
      <c r="G108" s="9"/>
      <c r="H108" s="9"/>
      <c r="I108" s="9"/>
      <c r="J108" s="9"/>
      <c r="K108" s="9"/>
      <c r="L108" s="9"/>
      <c r="M108" s="9"/>
      <c r="N108" s="9"/>
      <c r="O108" s="9"/>
      <c r="P108" s="9"/>
      <c r="Q108" s="9"/>
      <c r="R108" s="9"/>
      <c r="S108" s="9"/>
      <c r="T108" s="9"/>
      <c r="U108" s="9"/>
      <c r="V108" s="9"/>
      <c r="W108" s="9"/>
      <c r="X108" s="9"/>
      <c r="Y108" s="9"/>
      <c r="Z108" s="9"/>
    </row>
    <row r="109" spans="1:26" ht="22.5">
      <c r="A109" s="607" t="s">
        <v>3882</v>
      </c>
      <c r="B109" s="1709" t="s">
        <v>3692</v>
      </c>
      <c r="C109" s="9" t="s">
        <v>3785</v>
      </c>
      <c r="D109" s="1748" t="s">
        <v>3883</v>
      </c>
      <c r="E109" s="1706"/>
      <c r="F109" s="604"/>
      <c r="G109" s="9"/>
      <c r="H109" s="9"/>
      <c r="I109" s="9"/>
      <c r="J109" s="9"/>
      <c r="K109" s="9"/>
      <c r="L109" s="9"/>
      <c r="M109" s="9"/>
      <c r="N109" s="9"/>
      <c r="O109" s="9"/>
      <c r="P109" s="9"/>
      <c r="Q109" s="9"/>
      <c r="R109" s="9"/>
      <c r="S109" s="9"/>
      <c r="T109" s="9"/>
      <c r="U109" s="9"/>
      <c r="V109" s="9"/>
      <c r="W109" s="9"/>
      <c r="X109" s="9"/>
      <c r="Y109" s="9"/>
      <c r="Z109" s="9"/>
    </row>
    <row r="110" spans="1:26" ht="22.5">
      <c r="A110" s="607" t="s">
        <v>3884</v>
      </c>
      <c r="B110" s="1709" t="s">
        <v>3692</v>
      </c>
      <c r="C110" s="9" t="s">
        <v>3885</v>
      </c>
      <c r="D110" s="9" t="s">
        <v>3886</v>
      </c>
      <c r="E110" s="1706"/>
      <c r="F110" s="604"/>
      <c r="G110" s="9"/>
      <c r="H110" s="9"/>
      <c r="I110" s="9"/>
      <c r="J110" s="9"/>
      <c r="K110" s="9"/>
      <c r="L110" s="9"/>
      <c r="M110" s="9"/>
      <c r="N110" s="9"/>
      <c r="O110" s="9"/>
      <c r="P110" s="9"/>
      <c r="Q110" s="9"/>
      <c r="R110" s="9"/>
      <c r="S110" s="9"/>
      <c r="T110" s="9"/>
      <c r="U110" s="9"/>
      <c r="V110" s="9"/>
      <c r="W110" s="9"/>
      <c r="X110" s="9"/>
      <c r="Y110" s="9"/>
      <c r="Z110" s="9"/>
    </row>
    <row r="111" spans="1:26" ht="22.5">
      <c r="A111" s="607" t="s">
        <v>1718</v>
      </c>
      <c r="B111" s="1709" t="s">
        <v>3887</v>
      </c>
      <c r="C111" s="9" t="s">
        <v>3706</v>
      </c>
      <c r="D111" s="9" t="s">
        <v>3692</v>
      </c>
      <c r="E111" s="1706"/>
      <c r="F111" s="604"/>
      <c r="G111" s="9"/>
      <c r="H111" s="9"/>
      <c r="I111" s="9"/>
      <c r="J111" s="9"/>
      <c r="K111" s="9"/>
      <c r="L111" s="9"/>
      <c r="M111" s="9"/>
      <c r="N111" s="9"/>
      <c r="O111" s="9"/>
      <c r="P111" s="9"/>
      <c r="Q111" s="9"/>
      <c r="R111" s="9"/>
      <c r="S111" s="9"/>
      <c r="T111" s="9"/>
      <c r="U111" s="9"/>
      <c r="V111" s="9"/>
      <c r="W111" s="9"/>
      <c r="X111" s="9"/>
      <c r="Y111" s="9"/>
      <c r="Z111" s="9"/>
    </row>
    <row r="112" spans="1:26" ht="22.5">
      <c r="A112" s="607" t="s">
        <v>3888</v>
      </c>
      <c r="B112" s="1709" t="s">
        <v>3692</v>
      </c>
      <c r="C112" s="9" t="s">
        <v>3785</v>
      </c>
      <c r="D112" s="9"/>
      <c r="E112" s="1706"/>
      <c r="F112" s="604"/>
      <c r="G112" s="9"/>
      <c r="H112" s="9"/>
      <c r="I112" s="9"/>
      <c r="J112" s="9"/>
      <c r="K112" s="9"/>
      <c r="L112" s="9"/>
      <c r="M112" s="9"/>
      <c r="N112" s="9"/>
      <c r="O112" s="9"/>
      <c r="P112" s="9"/>
      <c r="Q112" s="9"/>
      <c r="R112" s="9"/>
      <c r="S112" s="9"/>
      <c r="T112" s="9"/>
      <c r="U112" s="9"/>
      <c r="V112" s="9"/>
      <c r="W112" s="9"/>
      <c r="X112" s="9"/>
      <c r="Y112" s="9"/>
      <c r="Z112" s="9"/>
    </row>
    <row r="113" spans="1:26" ht="22.5">
      <c r="A113" s="607" t="s">
        <v>3889</v>
      </c>
      <c r="B113" s="1709" t="s">
        <v>3692</v>
      </c>
      <c r="C113" s="9" t="s">
        <v>3785</v>
      </c>
      <c r="D113" s="9"/>
      <c r="E113" s="1706"/>
      <c r="F113" s="604"/>
      <c r="G113" s="9"/>
      <c r="H113" s="9"/>
      <c r="I113" s="9"/>
      <c r="J113" s="9"/>
      <c r="K113" s="9"/>
      <c r="L113" s="9"/>
      <c r="M113" s="9"/>
      <c r="N113" s="9"/>
      <c r="O113" s="9"/>
      <c r="P113" s="9"/>
      <c r="Q113" s="9"/>
      <c r="R113" s="9"/>
      <c r="S113" s="9"/>
      <c r="T113" s="9"/>
      <c r="U113" s="9"/>
      <c r="V113" s="9"/>
      <c r="W113" s="9"/>
      <c r="X113" s="9"/>
      <c r="Y113" s="9"/>
      <c r="Z113" s="9"/>
    </row>
    <row r="114" spans="1:26" ht="22.5">
      <c r="A114" s="365" t="s">
        <v>3890</v>
      </c>
      <c r="B114" s="1709" t="s">
        <v>3891</v>
      </c>
      <c r="C114" s="9" t="s">
        <v>3706</v>
      </c>
      <c r="D114" s="9"/>
      <c r="E114" s="1706"/>
      <c r="F114" s="604"/>
      <c r="G114" s="9"/>
      <c r="H114" s="9"/>
      <c r="I114" s="9"/>
      <c r="J114" s="9"/>
      <c r="K114" s="9"/>
      <c r="L114" s="9"/>
      <c r="M114" s="9"/>
      <c r="N114" s="9"/>
      <c r="O114" s="9"/>
      <c r="P114" s="9"/>
      <c r="Q114" s="9"/>
      <c r="R114" s="9"/>
      <c r="S114" s="9"/>
      <c r="T114" s="9"/>
      <c r="U114" s="9"/>
      <c r="V114" s="9"/>
      <c r="W114" s="9"/>
      <c r="X114" s="9"/>
      <c r="Y114" s="9"/>
      <c r="Z114" s="9"/>
    </row>
    <row r="115" spans="1:26" ht="22.5">
      <c r="A115" s="607" t="s">
        <v>3892</v>
      </c>
      <c r="B115" s="1709" t="s">
        <v>3755</v>
      </c>
      <c r="C115" s="9" t="s">
        <v>3706</v>
      </c>
      <c r="D115" s="9" t="s">
        <v>3893</v>
      </c>
      <c r="E115" s="1706" t="s">
        <v>3894</v>
      </c>
      <c r="F115" s="604"/>
      <c r="G115" s="9"/>
      <c r="H115" s="9"/>
      <c r="I115" s="9"/>
      <c r="J115" s="9"/>
      <c r="K115" s="9"/>
      <c r="L115" s="9"/>
      <c r="M115" s="9"/>
      <c r="N115" s="9"/>
      <c r="O115" s="9"/>
      <c r="P115" s="9"/>
      <c r="Q115" s="9"/>
      <c r="R115" s="9"/>
      <c r="S115" s="9"/>
      <c r="T115" s="9"/>
      <c r="U115" s="9"/>
      <c r="V115" s="9"/>
      <c r="W115" s="9"/>
      <c r="X115" s="9"/>
      <c r="Y115" s="9"/>
      <c r="Z115" s="9"/>
    </row>
    <row r="116" spans="1:26" ht="22.5">
      <c r="A116" s="365" t="s">
        <v>3895</v>
      </c>
      <c r="B116" s="1709" t="s">
        <v>3692</v>
      </c>
      <c r="C116" s="9" t="s">
        <v>3592</v>
      </c>
      <c r="D116" s="253" t="s">
        <v>3896</v>
      </c>
      <c r="E116" s="1731"/>
      <c r="F116" s="604"/>
      <c r="G116" s="9"/>
      <c r="H116" s="9"/>
      <c r="I116" s="9"/>
      <c r="J116" s="9"/>
      <c r="K116" s="9"/>
      <c r="L116" s="9"/>
      <c r="M116" s="9"/>
      <c r="N116" s="9"/>
      <c r="O116" s="9"/>
      <c r="P116" s="9"/>
      <c r="Q116" s="9"/>
      <c r="R116" s="9"/>
      <c r="S116" s="9"/>
      <c r="T116" s="9"/>
      <c r="U116" s="9"/>
      <c r="V116" s="9"/>
      <c r="W116" s="9"/>
      <c r="X116" s="9"/>
      <c r="Y116" s="9"/>
      <c r="Z116" s="9"/>
    </row>
    <row r="117" spans="1:26" ht="22.5">
      <c r="A117" s="9" t="s">
        <v>3897</v>
      </c>
      <c r="B117" s="1732" t="s">
        <v>3898</v>
      </c>
      <c r="C117" s="9" t="s">
        <v>3899</v>
      </c>
      <c r="D117" s="9"/>
      <c r="E117" s="1731"/>
      <c r="F117" s="604"/>
      <c r="G117" s="9"/>
      <c r="H117" s="9"/>
      <c r="I117" s="9"/>
      <c r="J117" s="9"/>
      <c r="K117" s="9"/>
      <c r="L117" s="9"/>
      <c r="M117" s="9"/>
      <c r="N117" s="9"/>
      <c r="O117" s="9"/>
      <c r="P117" s="9"/>
      <c r="Q117" s="9"/>
      <c r="R117" s="9"/>
      <c r="S117" s="9"/>
      <c r="T117" s="9"/>
      <c r="U117" s="9"/>
      <c r="V117" s="9"/>
      <c r="W117" s="9"/>
      <c r="X117" s="9"/>
      <c r="Y117" s="9"/>
      <c r="Z117" s="9"/>
    </row>
    <row r="118" spans="1:26" ht="22.5">
      <c r="A118" s="1733" t="s">
        <v>3900</v>
      </c>
      <c r="B118" s="1709"/>
      <c r="C118" s="9"/>
      <c r="D118" s="9"/>
      <c r="E118" s="1731"/>
      <c r="F118" s="604"/>
      <c r="G118" s="9"/>
      <c r="H118" s="9"/>
      <c r="I118" s="9"/>
      <c r="J118" s="9"/>
      <c r="K118" s="9"/>
      <c r="L118" s="9"/>
      <c r="M118" s="9"/>
      <c r="N118" s="9"/>
      <c r="O118" s="9"/>
      <c r="P118" s="9"/>
      <c r="Q118" s="9"/>
      <c r="R118" s="9"/>
      <c r="S118" s="9"/>
      <c r="T118" s="9"/>
      <c r="U118" s="9"/>
      <c r="V118" s="9"/>
      <c r="W118" s="9"/>
      <c r="X118" s="9"/>
      <c r="Y118" s="9"/>
      <c r="Z118" s="9"/>
    </row>
    <row r="119" spans="1:26" ht="22.5">
      <c r="A119" s="1733" t="s">
        <v>3901</v>
      </c>
      <c r="B119" s="1709" t="s">
        <v>3692</v>
      </c>
      <c r="C119" s="9" t="s">
        <v>3767</v>
      </c>
      <c r="D119" s="9"/>
      <c r="E119" s="1731"/>
      <c r="F119" s="604"/>
      <c r="G119" s="9"/>
      <c r="H119" s="9"/>
      <c r="I119" s="9"/>
      <c r="J119" s="9"/>
      <c r="K119" s="9"/>
      <c r="L119" s="9"/>
      <c r="M119" s="9"/>
      <c r="N119" s="9"/>
      <c r="O119" s="9"/>
      <c r="P119" s="9"/>
      <c r="Q119" s="9"/>
      <c r="R119" s="9"/>
      <c r="S119" s="9"/>
      <c r="T119" s="9"/>
      <c r="U119" s="9"/>
      <c r="V119" s="9"/>
      <c r="W119" s="9"/>
      <c r="X119" s="9"/>
      <c r="Y119" s="9"/>
      <c r="Z119" s="9"/>
    </row>
    <row r="120" spans="1:26" ht="22.5">
      <c r="A120" s="1733" t="s">
        <v>3901</v>
      </c>
      <c r="B120" s="1709" t="s">
        <v>3292</v>
      </c>
      <c r="C120" s="9" t="s">
        <v>3734</v>
      </c>
      <c r="D120" s="9" t="s">
        <v>3903</v>
      </c>
      <c r="E120" s="1731"/>
      <c r="F120" s="604"/>
      <c r="G120" s="9"/>
      <c r="H120" s="9"/>
      <c r="I120" s="9"/>
      <c r="J120" s="9"/>
      <c r="K120" s="9"/>
      <c r="L120" s="9"/>
      <c r="M120" s="9"/>
      <c r="N120" s="9"/>
      <c r="O120" s="9"/>
      <c r="P120" s="9"/>
      <c r="Q120" s="9"/>
      <c r="R120" s="9"/>
      <c r="S120" s="9"/>
      <c r="T120" s="9"/>
      <c r="U120" s="9"/>
      <c r="V120" s="9"/>
      <c r="W120" s="9"/>
      <c r="X120" s="9"/>
      <c r="Y120" s="9"/>
      <c r="Z120" s="9"/>
    </row>
    <row r="121" spans="1:26" ht="22.5">
      <c r="A121" s="1733" t="s">
        <v>3901</v>
      </c>
      <c r="B121" s="1709" t="s">
        <v>3904</v>
      </c>
      <c r="C121" s="9"/>
      <c r="D121" s="9"/>
      <c r="E121" s="1731"/>
      <c r="F121" s="604"/>
      <c r="G121" s="9"/>
      <c r="H121" s="9"/>
      <c r="I121" s="9"/>
      <c r="J121" s="9"/>
      <c r="K121" s="9"/>
      <c r="L121" s="9"/>
      <c r="M121" s="9"/>
      <c r="N121" s="9"/>
      <c r="O121" s="9"/>
      <c r="P121" s="9"/>
      <c r="Q121" s="9"/>
      <c r="R121" s="9"/>
      <c r="S121" s="9"/>
      <c r="T121" s="9"/>
      <c r="U121" s="9"/>
      <c r="V121" s="9"/>
      <c r="W121" s="9"/>
      <c r="X121" s="9"/>
      <c r="Y121" s="9"/>
      <c r="Z121" s="9"/>
    </row>
    <row r="122" spans="1:26" ht="22.5">
      <c r="A122" s="1733" t="s">
        <v>3905</v>
      </c>
      <c r="B122" s="1709" t="s">
        <v>3292</v>
      </c>
      <c r="C122" s="9" t="s">
        <v>3782</v>
      </c>
      <c r="D122" s="9"/>
      <c r="E122" s="1731"/>
      <c r="F122" s="604"/>
      <c r="G122" s="9"/>
      <c r="H122" s="9"/>
      <c r="I122" s="9"/>
      <c r="J122" s="9"/>
      <c r="K122" s="9"/>
      <c r="L122" s="9"/>
      <c r="M122" s="9"/>
      <c r="N122" s="9"/>
      <c r="O122" s="9"/>
      <c r="P122" s="9"/>
      <c r="Q122" s="9"/>
      <c r="R122" s="9"/>
      <c r="S122" s="9"/>
      <c r="T122" s="9"/>
      <c r="U122" s="9"/>
      <c r="V122" s="9"/>
      <c r="W122" s="9"/>
      <c r="X122" s="9"/>
      <c r="Y122" s="9"/>
      <c r="Z122" s="9"/>
    </row>
    <row r="123" spans="1:26" ht="22.5">
      <c r="A123" s="1733" t="s">
        <v>3906</v>
      </c>
      <c r="B123" s="1709" t="s">
        <v>3288</v>
      </c>
      <c r="C123" s="9" t="s">
        <v>3706</v>
      </c>
      <c r="D123" s="9"/>
      <c r="E123" s="1731"/>
      <c r="F123" s="604"/>
      <c r="G123" s="9"/>
      <c r="H123" s="9"/>
      <c r="I123" s="9"/>
      <c r="J123" s="9"/>
      <c r="K123" s="9"/>
      <c r="L123" s="9"/>
      <c r="M123" s="9"/>
      <c r="N123" s="9"/>
      <c r="O123" s="9"/>
      <c r="P123" s="9"/>
      <c r="Q123" s="9"/>
      <c r="R123" s="9"/>
      <c r="S123" s="9"/>
      <c r="T123" s="9"/>
      <c r="U123" s="9"/>
      <c r="V123" s="9"/>
      <c r="W123" s="9"/>
      <c r="X123" s="9"/>
      <c r="Y123" s="9"/>
      <c r="Z123" s="9"/>
    </row>
    <row r="124" spans="1:26" ht="22.5">
      <c r="A124" s="1733" t="s">
        <v>3907</v>
      </c>
      <c r="B124" s="1709" t="s">
        <v>3908</v>
      </c>
      <c r="C124" s="9" t="s">
        <v>3845</v>
      </c>
      <c r="D124" s="9"/>
      <c r="E124" s="1731"/>
      <c r="F124" s="604"/>
      <c r="G124" s="9"/>
      <c r="H124" s="9"/>
      <c r="I124" s="9"/>
      <c r="J124" s="9"/>
      <c r="K124" s="9"/>
      <c r="L124" s="9"/>
      <c r="M124" s="9"/>
      <c r="N124" s="9"/>
      <c r="O124" s="9"/>
      <c r="P124" s="9"/>
      <c r="Q124" s="9"/>
      <c r="R124" s="9"/>
      <c r="S124" s="9"/>
      <c r="T124" s="9"/>
      <c r="U124" s="9"/>
      <c r="V124" s="9"/>
      <c r="W124" s="9"/>
      <c r="X124" s="9"/>
      <c r="Y124" s="9"/>
      <c r="Z124" s="9"/>
    </row>
    <row r="125" spans="1:26" ht="22.5">
      <c r="A125" s="1734" t="s">
        <v>3909</v>
      </c>
      <c r="B125" s="1709"/>
      <c r="C125" s="9" t="s">
        <v>3706</v>
      </c>
      <c r="D125" s="9"/>
      <c r="E125" s="1731"/>
      <c r="F125" s="604"/>
      <c r="G125" s="9"/>
      <c r="H125" s="9"/>
      <c r="I125" s="9"/>
      <c r="J125" s="9"/>
      <c r="K125" s="9"/>
      <c r="L125" s="9"/>
      <c r="M125" s="9"/>
      <c r="N125" s="9"/>
      <c r="O125" s="9"/>
      <c r="P125" s="9"/>
      <c r="Q125" s="9"/>
      <c r="R125" s="9"/>
      <c r="S125" s="9"/>
      <c r="T125" s="9"/>
      <c r="U125" s="9"/>
      <c r="V125" s="9"/>
      <c r="W125" s="9"/>
      <c r="X125" s="9"/>
      <c r="Y125" s="9"/>
      <c r="Z125" s="9"/>
    </row>
    <row r="126" spans="1:26" ht="22.5">
      <c r="A126" s="1734" t="s">
        <v>3910</v>
      </c>
      <c r="B126" s="1709" t="s">
        <v>3755</v>
      </c>
      <c r="C126" s="9" t="s">
        <v>3706</v>
      </c>
      <c r="D126" s="9" t="s">
        <v>3911</v>
      </c>
      <c r="E126" s="1731" t="s">
        <v>3912</v>
      </c>
      <c r="F126" s="604"/>
      <c r="G126" s="9"/>
      <c r="H126" s="9"/>
      <c r="I126" s="9"/>
      <c r="J126" s="9"/>
      <c r="K126" s="9"/>
      <c r="L126" s="9"/>
      <c r="M126" s="9"/>
      <c r="N126" s="9"/>
      <c r="O126" s="9"/>
      <c r="P126" s="9"/>
      <c r="Q126" s="9"/>
      <c r="R126" s="9"/>
      <c r="S126" s="9"/>
      <c r="T126" s="9"/>
      <c r="U126" s="9"/>
      <c r="V126" s="9"/>
      <c r="W126" s="9"/>
      <c r="X126" s="9"/>
      <c r="Y126" s="9"/>
      <c r="Z126" s="9"/>
    </row>
    <row r="127" spans="1:26" ht="15">
      <c r="A127" s="1735" t="s">
        <v>3913</v>
      </c>
      <c r="B127" s="1709" t="s">
        <v>3692</v>
      </c>
      <c r="C127" s="9" t="s">
        <v>3706</v>
      </c>
      <c r="D127" s="9"/>
      <c r="E127" s="9"/>
      <c r="F127" s="9"/>
      <c r="G127" s="9"/>
      <c r="H127" s="9"/>
      <c r="I127" s="9"/>
      <c r="J127" s="9"/>
      <c r="K127" s="9"/>
      <c r="L127" s="9"/>
      <c r="M127" s="9"/>
      <c r="N127" s="9"/>
      <c r="O127" s="9"/>
      <c r="P127" s="9"/>
      <c r="Q127" s="9"/>
      <c r="R127" s="9"/>
      <c r="S127" s="9"/>
      <c r="T127" s="9"/>
      <c r="U127" s="9"/>
      <c r="V127" s="9"/>
      <c r="W127" s="9"/>
      <c r="X127" s="9"/>
      <c r="Y127" s="9"/>
      <c r="Z127" s="9"/>
    </row>
    <row r="128" spans="1:26" ht="15">
      <c r="A128" s="1736" t="s">
        <v>3914</v>
      </c>
      <c r="B128" s="1709" t="s">
        <v>3755</v>
      </c>
      <c r="C128" s="9" t="s">
        <v>3706</v>
      </c>
      <c r="D128" s="9"/>
      <c r="E128" s="9"/>
      <c r="F128" s="9"/>
      <c r="G128" s="9"/>
      <c r="H128" s="9"/>
      <c r="I128" s="9"/>
      <c r="J128" s="9"/>
      <c r="K128" s="9"/>
      <c r="L128" s="9"/>
      <c r="M128" s="9"/>
      <c r="N128" s="9"/>
      <c r="O128" s="9"/>
      <c r="P128" s="9"/>
      <c r="Q128" s="9"/>
      <c r="R128" s="9"/>
      <c r="S128" s="9"/>
      <c r="T128" s="9"/>
      <c r="U128" s="9"/>
      <c r="V128" s="9"/>
      <c r="W128" s="9"/>
      <c r="X128" s="9"/>
      <c r="Y128" s="9"/>
      <c r="Z128" s="9"/>
    </row>
    <row r="129" spans="1:26" ht="15">
      <c r="A129" s="365" t="s">
        <v>3915</v>
      </c>
      <c r="B129" s="1709" t="s">
        <v>3692</v>
      </c>
      <c r="C129" s="1709" t="s">
        <v>3885</v>
      </c>
      <c r="D129" s="9"/>
      <c r="F129" s="9"/>
      <c r="G129" s="9"/>
      <c r="H129" s="9"/>
      <c r="I129" s="9"/>
      <c r="J129" s="9"/>
      <c r="K129" s="9"/>
      <c r="L129" s="9"/>
      <c r="M129" s="9"/>
      <c r="N129" s="9"/>
      <c r="O129" s="9"/>
      <c r="P129" s="9"/>
      <c r="Q129" s="9"/>
      <c r="R129" s="9"/>
      <c r="S129" s="9"/>
      <c r="T129" s="9"/>
      <c r="U129" s="9"/>
      <c r="V129" s="9"/>
      <c r="W129" s="9"/>
      <c r="X129" s="9"/>
      <c r="Y129" s="9"/>
      <c r="Z129" s="9"/>
    </row>
    <row r="130" spans="1:26" ht="15">
      <c r="A130" s="607" t="s">
        <v>3916</v>
      </c>
      <c r="B130" s="1709" t="s">
        <v>3692</v>
      </c>
      <c r="C130" s="1709" t="s">
        <v>3706</v>
      </c>
      <c r="D130" s="9"/>
      <c r="E130" s="9"/>
      <c r="F130" s="9"/>
      <c r="G130" s="9"/>
      <c r="H130" s="9"/>
      <c r="I130" s="9"/>
      <c r="J130" s="9"/>
      <c r="K130" s="9"/>
      <c r="L130" s="9"/>
      <c r="M130" s="9"/>
      <c r="N130" s="9"/>
      <c r="O130" s="9"/>
      <c r="P130" s="9"/>
      <c r="Q130" s="9"/>
      <c r="R130" s="9"/>
      <c r="S130" s="9"/>
      <c r="T130" s="9"/>
      <c r="U130" s="9"/>
      <c r="V130" s="9"/>
      <c r="W130" s="9"/>
      <c r="X130" s="9"/>
      <c r="Y130" s="9"/>
      <c r="Z130" s="9"/>
    </row>
    <row r="131" spans="1:26" ht="15">
      <c r="A131" s="607" t="s">
        <v>3917</v>
      </c>
      <c r="B131" s="1709" t="s">
        <v>3692</v>
      </c>
      <c r="C131" s="1709" t="s">
        <v>3785</v>
      </c>
      <c r="D131" s="9"/>
      <c r="E131" s="9"/>
      <c r="F131" s="9"/>
      <c r="G131" s="9"/>
      <c r="H131" s="9"/>
      <c r="I131" s="9"/>
      <c r="J131" s="9"/>
      <c r="K131" s="9"/>
      <c r="L131" s="9"/>
      <c r="M131" s="9"/>
      <c r="N131" s="9"/>
      <c r="O131" s="9"/>
      <c r="P131" s="9"/>
      <c r="Q131" s="9"/>
      <c r="R131" s="9"/>
      <c r="S131" s="9"/>
      <c r="T131" s="9"/>
      <c r="U131" s="9"/>
      <c r="V131" s="9"/>
      <c r="W131" s="9"/>
      <c r="X131" s="9"/>
      <c r="Y131" s="9"/>
      <c r="Z131" s="9"/>
    </row>
    <row r="132" spans="1:26">
      <c r="D132" s="9"/>
      <c r="E132" s="9"/>
      <c r="F132" s="9"/>
      <c r="G132" s="9"/>
      <c r="H132" s="9"/>
      <c r="I132" s="9"/>
      <c r="J132" s="9"/>
      <c r="K132" s="9"/>
      <c r="L132" s="9"/>
      <c r="M132" s="9"/>
      <c r="N132" s="9"/>
      <c r="O132" s="9"/>
      <c r="P132" s="9"/>
      <c r="Q132" s="9"/>
      <c r="R132" s="9"/>
      <c r="S132" s="9"/>
      <c r="T132" s="9"/>
      <c r="U132" s="9"/>
      <c r="V132" s="9"/>
      <c r="W132" s="9"/>
      <c r="X132" s="9"/>
      <c r="Y132" s="9"/>
      <c r="Z132" s="9"/>
    </row>
    <row r="133" spans="1:26">
      <c r="D133" s="9"/>
      <c r="E133" s="9"/>
      <c r="F133" s="9"/>
      <c r="G133" s="9"/>
      <c r="H133" s="9"/>
      <c r="I133" s="9"/>
      <c r="J133" s="9"/>
      <c r="K133" s="9"/>
      <c r="L133" s="9"/>
      <c r="M133" s="9"/>
      <c r="N133" s="9"/>
      <c r="O133" s="9"/>
      <c r="P133" s="9"/>
      <c r="Q133" s="9"/>
      <c r="R133" s="9"/>
      <c r="S133" s="9"/>
      <c r="T133" s="9"/>
      <c r="U133" s="9"/>
      <c r="V133" s="9"/>
      <c r="W133" s="9"/>
      <c r="X133" s="9"/>
      <c r="Y133" s="9"/>
      <c r="Z133" s="9"/>
    </row>
    <row r="134" spans="1:26" ht="15">
      <c r="A134" s="607" t="s">
        <v>3918</v>
      </c>
      <c r="B134" s="1709"/>
      <c r="C134" s="170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5">
      <c r="A135" s="607" t="s">
        <v>3919</v>
      </c>
      <c r="B135" s="1709" t="s">
        <v>3920</v>
      </c>
      <c r="C135" s="1709" t="s">
        <v>3706</v>
      </c>
      <c r="D135" s="9" t="s">
        <v>3921</v>
      </c>
      <c r="E135" s="9"/>
      <c r="F135" s="9"/>
      <c r="G135" s="9"/>
      <c r="H135" s="9"/>
      <c r="I135" s="9"/>
      <c r="J135" s="9"/>
      <c r="K135" s="9"/>
      <c r="L135" s="9"/>
      <c r="M135" s="9"/>
      <c r="N135" s="9"/>
      <c r="O135" s="9"/>
      <c r="P135" s="9"/>
      <c r="Q135" s="9"/>
      <c r="R135" s="9"/>
      <c r="S135" s="9"/>
      <c r="T135" s="9"/>
      <c r="U135" s="9"/>
      <c r="V135" s="9"/>
      <c r="W135" s="9"/>
      <c r="X135" s="9"/>
      <c r="Y135" s="9"/>
      <c r="Z135" s="9"/>
    </row>
    <row r="136" spans="1:26" ht="15">
      <c r="A136" s="607" t="s">
        <v>3922</v>
      </c>
      <c r="B136" s="1709" t="s">
        <v>3755</v>
      </c>
      <c r="C136" s="1709" t="s">
        <v>3785</v>
      </c>
      <c r="D136" s="9"/>
      <c r="E136" s="9"/>
      <c r="F136" s="9"/>
      <c r="G136" s="9"/>
      <c r="H136" s="9"/>
      <c r="I136" s="9"/>
      <c r="J136" s="9"/>
      <c r="K136" s="9"/>
      <c r="L136" s="9"/>
      <c r="M136" s="9"/>
      <c r="N136" s="9"/>
      <c r="O136" s="9"/>
      <c r="P136" s="9"/>
      <c r="Q136" s="9"/>
      <c r="R136" s="9"/>
      <c r="S136" s="9"/>
      <c r="T136" s="9"/>
      <c r="U136" s="9"/>
      <c r="V136" s="9"/>
      <c r="W136" s="9"/>
      <c r="X136" s="9"/>
      <c r="Y136" s="9"/>
      <c r="Z136" s="9"/>
    </row>
    <row r="137" spans="1:26" ht="15">
      <c r="A137" s="1737" t="s">
        <v>3923</v>
      </c>
      <c r="B137" s="1738" t="s">
        <v>3924</v>
      </c>
      <c r="C137" s="1733" t="s">
        <v>3779</v>
      </c>
      <c r="D137" s="9" t="s">
        <v>3925</v>
      </c>
      <c r="E137" s="9" t="s">
        <v>3926</v>
      </c>
      <c r="F137" s="9"/>
      <c r="G137" s="9"/>
      <c r="H137" s="9"/>
      <c r="I137" s="9"/>
      <c r="J137" s="9"/>
      <c r="K137" s="9"/>
      <c r="L137" s="9"/>
      <c r="M137" s="9"/>
      <c r="N137" s="9"/>
      <c r="O137" s="9"/>
      <c r="P137" s="9"/>
      <c r="Q137" s="9"/>
      <c r="R137" s="9"/>
      <c r="S137" s="9"/>
      <c r="T137" s="9"/>
      <c r="U137" s="9"/>
      <c r="V137" s="9"/>
      <c r="W137" s="9"/>
      <c r="X137" s="9"/>
      <c r="Y137" s="9"/>
      <c r="Z137" s="9"/>
    </row>
    <row r="138" spans="1:26" ht="30">
      <c r="A138" s="1739" t="s">
        <v>3927</v>
      </c>
      <c r="B138" s="1709" t="s">
        <v>8824</v>
      </c>
      <c r="C138" s="1709" t="s">
        <v>3929</v>
      </c>
      <c r="D138" s="9" t="s">
        <v>3930</v>
      </c>
      <c r="E138" s="9"/>
      <c r="F138" s="9"/>
      <c r="G138" s="9"/>
      <c r="H138" s="9"/>
      <c r="I138" s="9"/>
      <c r="J138" s="9"/>
      <c r="K138" s="9"/>
      <c r="L138" s="9"/>
      <c r="M138" s="9"/>
      <c r="N138" s="9"/>
      <c r="O138" s="9"/>
      <c r="P138" s="9"/>
      <c r="Q138" s="9"/>
      <c r="R138" s="9"/>
      <c r="S138" s="9"/>
      <c r="T138" s="9"/>
      <c r="U138" s="9"/>
      <c r="V138" s="9"/>
      <c r="W138" s="9"/>
      <c r="X138" s="9"/>
      <c r="Y138" s="9"/>
      <c r="Z138" s="9"/>
    </row>
    <row r="139" spans="1:26" ht="15">
      <c r="A139" s="607" t="s">
        <v>3931</v>
      </c>
      <c r="B139" s="1708" t="s">
        <v>3932</v>
      </c>
      <c r="C139" s="1709" t="s">
        <v>3933</v>
      </c>
      <c r="D139" s="365" t="s">
        <v>3934</v>
      </c>
      <c r="E139" s="9" t="s">
        <v>3935</v>
      </c>
      <c r="F139" s="9" t="s">
        <v>3936</v>
      </c>
      <c r="G139" s="9"/>
      <c r="H139" s="9"/>
      <c r="I139" s="9"/>
      <c r="J139" s="9"/>
      <c r="K139" s="9"/>
      <c r="L139" s="9"/>
      <c r="M139" s="9"/>
      <c r="N139" s="9"/>
      <c r="O139" s="9"/>
      <c r="P139" s="9"/>
      <c r="Q139" s="9"/>
      <c r="R139" s="9"/>
      <c r="S139" s="9"/>
      <c r="T139" s="9"/>
      <c r="U139" s="9"/>
      <c r="V139" s="9"/>
      <c r="W139" s="9"/>
      <c r="X139" s="9"/>
      <c r="Y139" s="9"/>
      <c r="Z139" s="9"/>
    </row>
    <row r="140" spans="1:26">
      <c r="A140" s="9"/>
      <c r="B140" s="1740"/>
      <c r="C140" s="361"/>
      <c r="D140" s="1741" t="s">
        <v>3937</v>
      </c>
      <c r="E140" s="9"/>
    </row>
    <row r="141" spans="1:26">
      <c r="A141" s="9" t="s">
        <v>3938</v>
      </c>
      <c r="B141" s="1740" t="s">
        <v>3920</v>
      </c>
      <c r="C141" s="361" t="s">
        <v>3939</v>
      </c>
      <c r="D141" s="1712" t="s">
        <v>3940</v>
      </c>
      <c r="E141" s="9" t="s">
        <v>3941</v>
      </c>
    </row>
    <row r="142" spans="1:26" ht="12.75" customHeight="1">
      <c r="A142" s="607" t="s">
        <v>3942</v>
      </c>
      <c r="B142" s="1742" t="s">
        <v>3943</v>
      </c>
      <c r="C142" s="1742" t="s">
        <v>3933</v>
      </c>
      <c r="D142" s="1712" t="s">
        <v>3940</v>
      </c>
      <c r="E142" s="1743" t="s">
        <v>3944</v>
      </c>
      <c r="F142" s="9"/>
      <c r="G142" s="9"/>
      <c r="H142" s="9"/>
      <c r="I142" s="9"/>
      <c r="J142" s="9"/>
      <c r="K142" s="9"/>
      <c r="L142" s="9"/>
      <c r="M142" s="9"/>
      <c r="N142" s="9"/>
      <c r="O142" s="9"/>
      <c r="P142" s="9"/>
      <c r="Q142" s="9"/>
      <c r="R142" s="9"/>
      <c r="S142" s="9"/>
      <c r="T142" s="9"/>
      <c r="U142" s="9"/>
      <c r="V142" s="9"/>
      <c r="W142" s="9"/>
      <c r="X142" s="9"/>
      <c r="Y142" s="9"/>
      <c r="Z142" s="9"/>
    </row>
    <row r="143" spans="1:26" ht="12.75" customHeight="1">
      <c r="A143" s="607"/>
      <c r="B143" s="1742"/>
      <c r="C143" s="1742"/>
      <c r="D143" s="1743" t="s">
        <v>3944</v>
      </c>
      <c r="E143" s="253" t="s">
        <v>3945</v>
      </c>
      <c r="F143" s="9"/>
      <c r="G143" s="9"/>
      <c r="H143" s="9"/>
      <c r="I143" s="9"/>
      <c r="J143" s="9"/>
      <c r="K143" s="9"/>
      <c r="L143" s="9"/>
      <c r="M143" s="9"/>
      <c r="N143" s="9"/>
      <c r="O143" s="9"/>
      <c r="P143" s="9"/>
      <c r="Q143" s="9"/>
      <c r="R143" s="9"/>
      <c r="S143" s="9"/>
      <c r="T143" s="9"/>
      <c r="U143" s="9"/>
      <c r="V143" s="9"/>
      <c r="W143" s="9"/>
      <c r="X143" s="9"/>
      <c r="Y143" s="9"/>
      <c r="Z143" s="9"/>
    </row>
    <row r="144" spans="1:26" ht="12.75" customHeight="1">
      <c r="A144" s="607" t="s">
        <v>3946</v>
      </c>
      <c r="B144" s="1744"/>
      <c r="C144" s="1744"/>
      <c r="D144" s="9"/>
      <c r="E144" s="9"/>
      <c r="F144" s="9"/>
      <c r="G144" s="9"/>
      <c r="H144" s="9"/>
      <c r="I144" s="9"/>
      <c r="J144" s="9"/>
      <c r="K144" s="9"/>
      <c r="L144" s="9"/>
      <c r="M144" s="9"/>
      <c r="N144" s="9"/>
      <c r="O144" s="9"/>
      <c r="P144" s="9"/>
      <c r="Q144" s="9"/>
      <c r="R144" s="9"/>
      <c r="S144" s="9"/>
      <c r="T144" s="9"/>
      <c r="U144" s="9"/>
      <c r="V144" s="9"/>
      <c r="W144" s="9"/>
      <c r="X144" s="9"/>
      <c r="Y144" s="9"/>
      <c r="Z144" s="9"/>
    </row>
    <row r="145" spans="1:26" ht="15">
      <c r="A145" s="607" t="s">
        <v>3947</v>
      </c>
      <c r="B145" s="1708" t="s">
        <v>3692</v>
      </c>
      <c r="C145" s="1708" t="s">
        <v>3706</v>
      </c>
      <c r="D145" s="9"/>
      <c r="E145" s="9"/>
      <c r="F145" s="9"/>
      <c r="G145" s="9"/>
      <c r="H145" s="9"/>
      <c r="I145" s="9"/>
      <c r="J145" s="9"/>
      <c r="K145" s="9"/>
      <c r="L145" s="9"/>
      <c r="M145" s="9"/>
      <c r="N145" s="9"/>
      <c r="O145" s="9"/>
      <c r="P145" s="9"/>
      <c r="Q145" s="9"/>
      <c r="R145" s="9"/>
      <c r="S145" s="9"/>
      <c r="T145" s="9"/>
      <c r="U145" s="9"/>
      <c r="V145" s="9"/>
      <c r="W145" s="9"/>
      <c r="X145" s="9"/>
      <c r="Y145" s="9"/>
      <c r="Z145" s="9"/>
    </row>
    <row r="146" spans="1:26">
      <c r="A146" s="365" t="s">
        <v>3948</v>
      </c>
      <c r="B146" s="9" t="s">
        <v>3692</v>
      </c>
      <c r="C146" s="361" t="s">
        <v>3785</v>
      </c>
      <c r="D146" s="9" t="s">
        <v>3949</v>
      </c>
      <c r="E146" s="9"/>
      <c r="F146" s="9"/>
      <c r="G146" s="9"/>
      <c r="H146" s="9"/>
      <c r="I146" s="9"/>
      <c r="J146" s="9"/>
      <c r="K146" s="9"/>
      <c r="L146" s="9"/>
      <c r="M146" s="9"/>
      <c r="N146" s="9"/>
      <c r="O146" s="9"/>
      <c r="P146" s="9"/>
      <c r="Q146" s="9"/>
      <c r="R146" s="9"/>
      <c r="S146" s="9"/>
      <c r="T146" s="9"/>
      <c r="U146" s="9"/>
      <c r="V146" s="9"/>
      <c r="W146" s="9"/>
      <c r="X146" s="9"/>
      <c r="Y146" s="9"/>
      <c r="Z146" s="9"/>
    </row>
    <row r="147" spans="1:26">
      <c r="A147" s="9" t="s">
        <v>3950</v>
      </c>
      <c r="B147" s="9" t="s">
        <v>3928</v>
      </c>
      <c r="C147" s="361" t="s">
        <v>3785</v>
      </c>
      <c r="D147" s="9"/>
      <c r="E147" s="9"/>
      <c r="F147" s="9"/>
      <c r="G147" s="9"/>
      <c r="H147" s="9"/>
      <c r="I147" s="9"/>
      <c r="J147" s="9"/>
      <c r="K147" s="9"/>
      <c r="L147" s="9"/>
      <c r="M147" s="9"/>
      <c r="N147" s="9"/>
      <c r="O147" s="9"/>
      <c r="P147" s="9"/>
      <c r="Q147" s="9"/>
      <c r="R147" s="9"/>
      <c r="S147" s="9"/>
      <c r="T147" s="9"/>
      <c r="U147" s="9"/>
      <c r="V147" s="9"/>
      <c r="W147" s="9"/>
      <c r="X147" s="9"/>
      <c r="Y147" s="9"/>
      <c r="Z147" s="9"/>
    </row>
    <row r="148" spans="1:26" ht="14.25">
      <c r="A148" s="1719" t="s">
        <v>3951</v>
      </c>
      <c r="B148" s="1710" t="s">
        <v>3952</v>
      </c>
      <c r="C148" s="361" t="s">
        <v>3782</v>
      </c>
      <c r="D148" s="1716">
        <v>44501</v>
      </c>
      <c r="E148" s="9"/>
      <c r="F148" s="9"/>
      <c r="G148" s="9"/>
      <c r="H148" s="9"/>
      <c r="I148" s="9"/>
      <c r="J148" s="9"/>
      <c r="K148" s="9"/>
      <c r="L148" s="9"/>
      <c r="M148" s="9"/>
      <c r="N148" s="9"/>
      <c r="O148" s="9"/>
      <c r="P148" s="9"/>
      <c r="Q148" s="9"/>
      <c r="R148" s="9"/>
      <c r="S148" s="9"/>
      <c r="T148" s="9"/>
      <c r="U148" s="9"/>
      <c r="V148" s="9"/>
      <c r="W148" s="9"/>
      <c r="X148" s="9"/>
      <c r="Y148" s="9"/>
      <c r="Z148" s="9"/>
    </row>
    <row r="149" spans="1:26">
      <c r="A149" s="9" t="s">
        <v>3953</v>
      </c>
      <c r="B149" s="9" t="s">
        <v>3954</v>
      </c>
      <c r="C149" s="361" t="s">
        <v>3955</v>
      </c>
      <c r="D149" s="9" t="s">
        <v>3956</v>
      </c>
      <c r="E149" s="9"/>
      <c r="F149" s="9"/>
      <c r="G149" s="9"/>
      <c r="H149" s="9"/>
      <c r="I149" s="9"/>
      <c r="J149" s="9"/>
      <c r="K149" s="9"/>
      <c r="L149" s="9"/>
      <c r="M149" s="9"/>
      <c r="N149" s="9"/>
      <c r="O149" s="9"/>
      <c r="P149" s="9"/>
      <c r="Q149" s="9"/>
      <c r="R149" s="9"/>
      <c r="S149" s="9"/>
      <c r="T149" s="9"/>
      <c r="U149" s="9"/>
      <c r="V149" s="9"/>
      <c r="W149" s="9"/>
      <c r="X149" s="9"/>
      <c r="Y149" s="9"/>
      <c r="Z149" s="9"/>
    </row>
    <row r="150" spans="1:26">
      <c r="A150" s="9" t="s">
        <v>3957</v>
      </c>
      <c r="B150" s="9" t="s">
        <v>3755</v>
      </c>
      <c r="C150" s="361" t="s">
        <v>3958</v>
      </c>
      <c r="D150" s="9"/>
      <c r="E150" s="9"/>
      <c r="F150" s="9"/>
      <c r="G150" s="9"/>
      <c r="H150" s="9"/>
      <c r="I150" s="9"/>
      <c r="J150" s="9"/>
      <c r="K150" s="9"/>
      <c r="L150" s="9"/>
      <c r="M150" s="9"/>
      <c r="N150" s="9"/>
      <c r="O150" s="9"/>
      <c r="P150" s="9"/>
      <c r="Q150" s="9"/>
      <c r="R150" s="9"/>
      <c r="S150" s="9"/>
      <c r="T150" s="9"/>
      <c r="U150" s="9"/>
      <c r="V150" s="9"/>
      <c r="W150" s="9"/>
      <c r="X150" s="9"/>
      <c r="Y150" s="9"/>
      <c r="Z150" s="9"/>
    </row>
    <row r="151" spans="1:26">
      <c r="A151" s="9"/>
      <c r="B151" s="9" t="s">
        <v>3959</v>
      </c>
      <c r="C151" s="9" t="s">
        <v>3958</v>
      </c>
      <c r="D151" s="9"/>
      <c r="E151" s="9"/>
      <c r="F151" s="9"/>
      <c r="G151" s="9"/>
      <c r="H151" s="9"/>
      <c r="I151" s="9"/>
      <c r="J151" s="9"/>
      <c r="K151" s="9"/>
      <c r="L151" s="9"/>
      <c r="M151" s="9"/>
      <c r="N151" s="9"/>
      <c r="O151" s="9"/>
      <c r="P151" s="9"/>
      <c r="Q151" s="9"/>
      <c r="R151" s="9"/>
      <c r="S151" s="9"/>
      <c r="T151" s="9"/>
      <c r="U151" s="9"/>
      <c r="V151" s="9"/>
      <c r="W151" s="9"/>
      <c r="X151" s="9"/>
      <c r="Y151" s="9"/>
      <c r="Z151" s="9"/>
    </row>
    <row r="152" spans="1:26">
      <c r="A152" s="9" t="s">
        <v>3960</v>
      </c>
      <c r="B152" s="9" t="s">
        <v>3961</v>
      </c>
      <c r="C152" s="9" t="s">
        <v>3958</v>
      </c>
      <c r="E152" s="9"/>
      <c r="F152" s="9"/>
      <c r="G152" s="9"/>
      <c r="H152" s="9"/>
      <c r="I152" s="9"/>
      <c r="J152" s="9"/>
      <c r="K152" s="9"/>
      <c r="L152" s="9"/>
      <c r="M152" s="9"/>
      <c r="N152" s="9"/>
      <c r="O152" s="9"/>
      <c r="P152" s="9"/>
      <c r="Q152" s="9"/>
      <c r="R152" s="9"/>
      <c r="S152" s="9"/>
      <c r="T152" s="9"/>
      <c r="U152" s="9"/>
      <c r="V152" s="9"/>
      <c r="W152" s="9"/>
      <c r="X152" s="9"/>
      <c r="Y152" s="9"/>
      <c r="Z152" s="9"/>
    </row>
    <row r="153" spans="1:26">
      <c r="A153" s="9" t="s">
        <v>3962</v>
      </c>
      <c r="B153" s="9" t="s">
        <v>3692</v>
      </c>
      <c r="C153" s="9" t="s">
        <v>3958</v>
      </c>
      <c r="E153" s="9"/>
      <c r="F153" s="9"/>
      <c r="G153" s="9"/>
      <c r="H153" s="9"/>
      <c r="I153" s="9"/>
      <c r="J153" s="9"/>
      <c r="K153" s="9"/>
      <c r="L153" s="9"/>
      <c r="M153" s="9"/>
      <c r="N153" s="9"/>
      <c r="O153" s="9"/>
      <c r="P153" s="9"/>
      <c r="Q153" s="9"/>
      <c r="R153" s="9"/>
      <c r="S153" s="9"/>
      <c r="T153" s="9"/>
      <c r="U153" s="9"/>
      <c r="V153" s="9"/>
      <c r="W153" s="9"/>
      <c r="X153" s="9"/>
      <c r="Y153" s="9"/>
      <c r="Z153" s="9"/>
    </row>
    <row r="154" spans="1:26">
      <c r="A154" s="9" t="s">
        <v>3963</v>
      </c>
      <c r="B154" s="9" t="s">
        <v>3696</v>
      </c>
      <c r="C154" s="9" t="s">
        <v>3964</v>
      </c>
      <c r="E154" s="9"/>
      <c r="F154" s="9"/>
      <c r="G154" s="9"/>
      <c r="H154" s="9"/>
      <c r="I154" s="9"/>
      <c r="J154" s="9"/>
      <c r="K154" s="9"/>
      <c r="L154" s="9"/>
      <c r="M154" s="9"/>
      <c r="N154" s="9"/>
      <c r="O154" s="9"/>
      <c r="P154" s="9"/>
      <c r="Q154" s="9"/>
      <c r="R154" s="9"/>
      <c r="S154" s="9"/>
      <c r="T154" s="9"/>
      <c r="U154" s="9"/>
      <c r="V154" s="9"/>
      <c r="W154" s="9"/>
      <c r="X154" s="9"/>
      <c r="Y154" s="9"/>
      <c r="Z154" s="9"/>
    </row>
    <row r="155" spans="1:26">
      <c r="A155" s="9" t="s">
        <v>3965</v>
      </c>
      <c r="B155" s="9" t="s">
        <v>3692</v>
      </c>
      <c r="C155" s="9" t="s">
        <v>3706</v>
      </c>
      <c r="D155" s="9">
        <v>1954</v>
      </c>
      <c r="E155" s="253" t="s">
        <v>3966</v>
      </c>
      <c r="F155" s="9"/>
      <c r="G155" s="9"/>
      <c r="H155" s="9"/>
      <c r="I155" s="9"/>
      <c r="J155" s="9"/>
      <c r="K155" s="9"/>
      <c r="L155" s="9"/>
      <c r="M155" s="9"/>
      <c r="N155" s="9"/>
      <c r="O155" s="9"/>
      <c r="P155" s="9"/>
      <c r="Q155" s="9"/>
      <c r="R155" s="9"/>
      <c r="S155" s="9"/>
      <c r="T155" s="9"/>
      <c r="U155" s="9"/>
      <c r="V155" s="9"/>
      <c r="W155" s="9"/>
      <c r="X155" s="9"/>
      <c r="Y155" s="9"/>
      <c r="Z155" s="9"/>
    </row>
    <row r="156" spans="1:26">
      <c r="A156" s="9" t="s">
        <v>3967</v>
      </c>
      <c r="B156" s="9" t="s">
        <v>3692</v>
      </c>
      <c r="C156" s="9" t="s">
        <v>3706</v>
      </c>
      <c r="D156" s="9"/>
      <c r="E156" s="9"/>
      <c r="F156" s="9"/>
      <c r="G156" s="9"/>
      <c r="H156" s="9"/>
      <c r="I156" s="9"/>
      <c r="J156" s="9"/>
      <c r="K156" s="9"/>
      <c r="L156" s="9"/>
      <c r="M156" s="9"/>
      <c r="N156" s="9"/>
      <c r="O156" s="9"/>
      <c r="P156" s="9"/>
      <c r="Q156" s="9"/>
      <c r="R156" s="9"/>
      <c r="S156" s="9"/>
      <c r="T156" s="9"/>
      <c r="U156" s="9"/>
      <c r="V156" s="9"/>
      <c r="W156" s="9"/>
      <c r="X156" s="9"/>
      <c r="Y156" s="9"/>
      <c r="Z156" s="9"/>
    </row>
    <row r="157" spans="1:26">
      <c r="A157" s="9" t="s">
        <v>3968</v>
      </c>
      <c r="B157" s="9" t="s">
        <v>3692</v>
      </c>
      <c r="C157" s="9" t="s">
        <v>3765</v>
      </c>
      <c r="D157" s="9"/>
      <c r="E157" s="112"/>
      <c r="F157" s="9"/>
      <c r="G157" s="9"/>
      <c r="H157" s="9"/>
      <c r="I157" s="9"/>
      <c r="J157" s="9"/>
      <c r="K157" s="9"/>
      <c r="L157" s="9"/>
      <c r="M157" s="9"/>
      <c r="N157" s="9"/>
      <c r="O157" s="9"/>
      <c r="P157" s="9"/>
      <c r="Q157" s="9"/>
      <c r="R157" s="9"/>
      <c r="S157" s="9"/>
      <c r="T157" s="9"/>
      <c r="U157" s="9"/>
      <c r="V157" s="9"/>
      <c r="W157" s="9"/>
      <c r="X157" s="9"/>
      <c r="Y157" s="9"/>
      <c r="Z157" s="9"/>
    </row>
    <row r="158" spans="1:26">
      <c r="A158" s="9" t="s">
        <v>3969</v>
      </c>
      <c r="B158" s="9" t="s">
        <v>3692</v>
      </c>
      <c r="C158" s="9" t="s">
        <v>3785</v>
      </c>
      <c r="D158" s="9"/>
      <c r="E158" s="9"/>
      <c r="F158" s="9"/>
      <c r="G158" s="9"/>
      <c r="H158" s="9"/>
      <c r="I158" s="9"/>
      <c r="J158" s="9"/>
      <c r="K158" s="9"/>
      <c r="L158" s="9"/>
      <c r="M158" s="9"/>
      <c r="N158" s="9"/>
      <c r="O158" s="9"/>
      <c r="P158" s="9"/>
      <c r="Q158" s="9"/>
      <c r="R158" s="9"/>
      <c r="S158" s="9"/>
      <c r="T158" s="9"/>
      <c r="U158" s="9"/>
      <c r="V158" s="9"/>
      <c r="W158" s="9"/>
      <c r="X158" s="9"/>
      <c r="Y158" s="9"/>
      <c r="Z158" s="9"/>
    </row>
    <row r="159" spans="1:26">
      <c r="D159" s="9"/>
      <c r="E159" s="9"/>
      <c r="F159" s="9"/>
      <c r="G159" s="9"/>
      <c r="H159" s="9"/>
      <c r="I159" s="9"/>
      <c r="J159" s="9"/>
      <c r="K159" s="9"/>
      <c r="L159" s="9"/>
      <c r="M159" s="9"/>
      <c r="N159" s="9"/>
      <c r="O159" s="9"/>
      <c r="P159" s="9"/>
      <c r="Q159" s="9"/>
      <c r="R159" s="9"/>
      <c r="S159" s="9"/>
      <c r="T159" s="9"/>
      <c r="U159" s="9"/>
      <c r="V159" s="9"/>
      <c r="W159" s="9"/>
      <c r="X159" s="9"/>
      <c r="Y159" s="9"/>
      <c r="Z159" s="9"/>
    </row>
    <row r="160" spans="1:26">
      <c r="A160" s="9" t="s">
        <v>3970</v>
      </c>
      <c r="B160" s="9" t="s">
        <v>3924</v>
      </c>
      <c r="C160" s="9" t="s">
        <v>3939</v>
      </c>
      <c r="D160" s="9"/>
      <c r="E160" s="9"/>
      <c r="F160" s="9"/>
      <c r="G160" s="9"/>
      <c r="H160" s="9"/>
      <c r="I160" s="9"/>
      <c r="J160" s="9"/>
      <c r="K160" s="9"/>
      <c r="L160" s="9"/>
      <c r="M160" s="9"/>
      <c r="N160" s="9"/>
      <c r="O160" s="9"/>
      <c r="P160" s="9"/>
      <c r="Q160" s="9"/>
      <c r="R160" s="9"/>
      <c r="S160" s="9"/>
      <c r="T160" s="9"/>
      <c r="U160" s="9"/>
      <c r="V160" s="9"/>
      <c r="W160" s="9"/>
      <c r="X160" s="9"/>
      <c r="Y160" s="9"/>
      <c r="Z160" s="9"/>
    </row>
    <row r="161" spans="1:26">
      <c r="A161" s="253" t="s">
        <v>3971</v>
      </c>
      <c r="B161" s="9" t="s">
        <v>3692</v>
      </c>
      <c r="C161" s="9" t="s">
        <v>3756</v>
      </c>
      <c r="D161" s="9" t="s">
        <v>8925</v>
      </c>
      <c r="E161" s="9"/>
      <c r="F161" s="9"/>
      <c r="G161" s="9"/>
      <c r="H161" s="9"/>
      <c r="I161" s="9"/>
      <c r="J161" s="9"/>
      <c r="K161" s="9"/>
      <c r="L161" s="9"/>
      <c r="M161" s="9"/>
      <c r="N161" s="9"/>
      <c r="O161" s="9"/>
      <c r="P161" s="9"/>
      <c r="Q161" s="9"/>
      <c r="R161" s="9"/>
      <c r="S161" s="9"/>
      <c r="T161" s="9"/>
      <c r="U161" s="9"/>
      <c r="V161" s="9"/>
      <c r="W161" s="9"/>
      <c r="X161" s="9"/>
      <c r="Y161" s="9"/>
      <c r="Z161" s="9"/>
    </row>
    <row r="162" spans="1:26">
      <c r="A162" s="9" t="s">
        <v>3972</v>
      </c>
      <c r="B162" s="9" t="s">
        <v>3692</v>
      </c>
      <c r="C162" s="9" t="s">
        <v>3785</v>
      </c>
      <c r="D162" s="9"/>
      <c r="E162" s="9" t="s">
        <v>3741</v>
      </c>
      <c r="F162" s="9"/>
      <c r="G162" s="9"/>
      <c r="H162" s="9"/>
      <c r="I162" s="9"/>
      <c r="J162" s="9"/>
      <c r="K162" s="9"/>
      <c r="L162" s="9"/>
      <c r="M162" s="9"/>
      <c r="N162" s="9"/>
      <c r="O162" s="9"/>
      <c r="P162" s="9"/>
      <c r="Q162" s="9"/>
      <c r="R162" s="9"/>
      <c r="S162" s="9"/>
      <c r="T162" s="9"/>
      <c r="U162" s="9"/>
      <c r="V162" s="9"/>
      <c r="W162" s="9"/>
      <c r="X162" s="9"/>
      <c r="Y162" s="9"/>
      <c r="Z162" s="9"/>
    </row>
    <row r="163" spans="1:26">
      <c r="A163" s="9" t="s">
        <v>3973</v>
      </c>
      <c r="B163" s="1740" t="s">
        <v>3692</v>
      </c>
      <c r="C163" s="361" t="s">
        <v>3939</v>
      </c>
      <c r="D163" s="1712" t="s">
        <v>3974</v>
      </c>
      <c r="E163" s="9"/>
    </row>
    <row r="164" spans="1:26">
      <c r="A164" s="9" t="s">
        <v>3975</v>
      </c>
      <c r="B164" s="1740" t="s">
        <v>3692</v>
      </c>
      <c r="C164" s="361" t="s">
        <v>3845</v>
      </c>
      <c r="D164" s="1712"/>
      <c r="E164" s="9"/>
    </row>
    <row r="165" spans="1:26">
      <c r="A165" s="9" t="s">
        <v>3976</v>
      </c>
      <c r="B165" s="1740" t="s">
        <v>3292</v>
      </c>
      <c r="C165" s="361" t="s">
        <v>3977</v>
      </c>
      <c r="D165" s="1712" t="s">
        <v>3718</v>
      </c>
      <c r="E165" s="9"/>
    </row>
    <row r="166" spans="1:26">
      <c r="A166" s="253" t="s">
        <v>3978</v>
      </c>
      <c r="B166" s="1740" t="s">
        <v>3755</v>
      </c>
      <c r="C166" s="361" t="s">
        <v>3785</v>
      </c>
      <c r="D166" s="1712" t="s">
        <v>3979</v>
      </c>
      <c r="E166" s="9"/>
    </row>
    <row r="167" spans="1:26" ht="25.5">
      <c r="A167" s="9" t="s">
        <v>3980</v>
      </c>
      <c r="B167" s="1740" t="s">
        <v>3692</v>
      </c>
      <c r="C167" s="361" t="s">
        <v>3981</v>
      </c>
      <c r="D167" s="1712" t="s">
        <v>3982</v>
      </c>
      <c r="E167" s="9"/>
    </row>
    <row r="168" spans="1:26">
      <c r="A168" s="9" t="s">
        <v>3983</v>
      </c>
      <c r="B168" s="361">
        <v>1991531</v>
      </c>
    </row>
    <row r="169" spans="1:26">
      <c r="A169" s="9" t="s">
        <v>3984</v>
      </c>
      <c r="B169" s="361">
        <v>39063672</v>
      </c>
      <c r="C169" s="9" t="s">
        <v>3985</v>
      </c>
    </row>
    <row r="170" spans="1:26" ht="15">
      <c r="A170" s="9" t="s">
        <v>3986</v>
      </c>
      <c r="B170" s="1710" t="s">
        <v>3692</v>
      </c>
      <c r="C170" s="361" t="s">
        <v>3785</v>
      </c>
      <c r="D170" s="1745">
        <v>45336</v>
      </c>
      <c r="E170" s="1746" t="s">
        <v>3987</v>
      </c>
    </row>
    <row r="171" spans="1:26" ht="15">
      <c r="A171" s="3" t="s">
        <v>3988</v>
      </c>
      <c r="B171" s="1747" t="s">
        <v>3755</v>
      </c>
      <c r="C171" s="416" t="s">
        <v>3706</v>
      </c>
      <c r="D171" s="1714" t="s">
        <v>3989</v>
      </c>
      <c r="E171" s="3" t="s">
        <v>3990</v>
      </c>
    </row>
    <row r="172" spans="1:26" ht="14.25">
      <c r="A172" s="9" t="s">
        <v>3991</v>
      </c>
      <c r="B172" s="1710" t="s">
        <v>3692</v>
      </c>
      <c r="C172" s="361" t="s">
        <v>3845</v>
      </c>
      <c r="D172" s="1712" t="s">
        <v>3992</v>
      </c>
      <c r="E172" s="9"/>
    </row>
    <row r="173" spans="1:26" ht="14.25">
      <c r="A173" s="22" t="s">
        <v>3993</v>
      </c>
      <c r="B173" s="1710" t="s">
        <v>3994</v>
      </c>
      <c r="C173" s="1780" t="s">
        <v>3995</v>
      </c>
      <c r="D173" s="9" t="s">
        <v>3996</v>
      </c>
      <c r="E173" s="9" t="s">
        <v>3997</v>
      </c>
    </row>
    <row r="174" spans="1:26" ht="14.25">
      <c r="A174" s="9" t="s">
        <v>3998</v>
      </c>
      <c r="B174" s="1710" t="s">
        <v>3292</v>
      </c>
      <c r="C174" s="361" t="s">
        <v>3999</v>
      </c>
      <c r="D174" s="1712"/>
      <c r="E174" s="9"/>
    </row>
    <row r="175" spans="1:26" ht="14.25">
      <c r="A175" s="9" t="s">
        <v>4000</v>
      </c>
      <c r="B175" s="1710" t="s">
        <v>3796</v>
      </c>
      <c r="C175" s="361" t="s">
        <v>3706</v>
      </c>
      <c r="D175" s="1712"/>
      <c r="E175" s="9"/>
    </row>
    <row r="176" spans="1:26" ht="14.25">
      <c r="B176" s="1710"/>
      <c r="C176" s="361"/>
      <c r="D176" s="1712"/>
      <c r="E176" s="9"/>
    </row>
    <row r="177" spans="1:5" ht="14.25">
      <c r="A177" s="9" t="s">
        <v>4001</v>
      </c>
      <c r="B177" s="1710" t="s">
        <v>4002</v>
      </c>
      <c r="C177" s="361" t="s">
        <v>3706</v>
      </c>
      <c r="D177" s="1712"/>
    </row>
    <row r="178" spans="1:5" ht="14.25">
      <c r="A178" s="1719" t="s">
        <v>4003</v>
      </c>
      <c r="B178" s="1710" t="s">
        <v>4004</v>
      </c>
      <c r="C178" s="609" t="s">
        <v>3785</v>
      </c>
      <c r="D178" s="1712" t="s">
        <v>4005</v>
      </c>
      <c r="E178" s="9"/>
    </row>
    <row r="179" spans="1:5" ht="14.25">
      <c r="A179" s="253" t="s">
        <v>4006</v>
      </c>
      <c r="B179" s="1710" t="s">
        <v>3692</v>
      </c>
      <c r="C179" s="361" t="s">
        <v>3756</v>
      </c>
      <c r="D179" s="1712" t="s">
        <v>4007</v>
      </c>
      <c r="E179" s="9"/>
    </row>
    <row r="180" spans="1:5" ht="14.25">
      <c r="A180" s="1719" t="s">
        <v>4008</v>
      </c>
      <c r="B180" s="1710" t="s">
        <v>3764</v>
      </c>
      <c r="C180" s="361" t="s">
        <v>4009</v>
      </c>
      <c r="D180" s="1714" t="s">
        <v>4010</v>
      </c>
      <c r="E180" s="9"/>
    </row>
    <row r="181" spans="1:5" ht="14.25">
      <c r="A181" s="1719" t="s">
        <v>4011</v>
      </c>
      <c r="B181" s="1710" t="s">
        <v>4012</v>
      </c>
      <c r="C181" s="361" t="s">
        <v>3734</v>
      </c>
      <c r="D181" s="1712" t="s">
        <v>135</v>
      </c>
      <c r="E181" s="9"/>
    </row>
    <row r="182" spans="1:5" ht="14.25">
      <c r="A182" s="1719" t="s">
        <v>4013</v>
      </c>
      <c r="B182" s="1710" t="s">
        <v>3924</v>
      </c>
      <c r="C182" s="361" t="s">
        <v>3706</v>
      </c>
      <c r="D182" s="1712"/>
      <c r="E182" s="9"/>
    </row>
    <row r="183" spans="1:5">
      <c r="A183" s="9" t="s">
        <v>4014</v>
      </c>
      <c r="B183" s="9" t="s">
        <v>3924</v>
      </c>
      <c r="C183" s="9" t="s">
        <v>3785</v>
      </c>
      <c r="E183" s="9"/>
    </row>
    <row r="184" spans="1:5" ht="14.25">
      <c r="A184" s="1719" t="s">
        <v>4015</v>
      </c>
      <c r="B184" s="1710" t="s">
        <v>3692</v>
      </c>
      <c r="C184" s="361" t="s">
        <v>3939</v>
      </c>
      <c r="D184" s="1712" t="s">
        <v>4016</v>
      </c>
      <c r="E184" s="9"/>
    </row>
    <row r="185" spans="1:5" ht="14.25">
      <c r="A185" s="1749" t="s">
        <v>4017</v>
      </c>
      <c r="B185" s="1710" t="s">
        <v>3755</v>
      </c>
      <c r="C185" s="361" t="s">
        <v>3785</v>
      </c>
      <c r="D185" s="1712"/>
      <c r="E185" s="9"/>
    </row>
    <row r="186" spans="1:5" ht="14.25">
      <c r="A186" s="1719" t="s">
        <v>4018</v>
      </c>
      <c r="B186" s="1710"/>
      <c r="C186" s="361"/>
      <c r="D186" s="1712"/>
      <c r="E186" s="9"/>
    </row>
    <row r="187" spans="1:5" ht="14.25">
      <c r="A187" s="1719" t="s">
        <v>358</v>
      </c>
      <c r="B187" s="1710" t="s">
        <v>3292</v>
      </c>
      <c r="C187" s="361" t="s">
        <v>4019</v>
      </c>
      <c r="D187" s="1712"/>
      <c r="E187" s="9"/>
    </row>
    <row r="188" spans="1:5" ht="14.25">
      <c r="A188" s="1749" t="s">
        <v>4020</v>
      </c>
      <c r="B188" s="1710" t="s">
        <v>3755</v>
      </c>
      <c r="C188" s="1676" t="s">
        <v>8896</v>
      </c>
      <c r="D188" s="1712" t="s">
        <v>4022</v>
      </c>
      <c r="E188" s="9"/>
    </row>
    <row r="189" spans="1:5" ht="14.25">
      <c r="A189" s="1749" t="s">
        <v>4023</v>
      </c>
      <c r="B189" s="1710" t="s">
        <v>3692</v>
      </c>
      <c r="C189" s="361" t="s">
        <v>3706</v>
      </c>
      <c r="D189" s="1712"/>
      <c r="E189" s="9"/>
    </row>
    <row r="190" spans="1:5" ht="14.25">
      <c r="A190" s="1749" t="s">
        <v>4024</v>
      </c>
      <c r="B190" s="1710" t="s">
        <v>3692</v>
      </c>
      <c r="C190" s="361" t="s">
        <v>4025</v>
      </c>
      <c r="D190" s="1712"/>
      <c r="E190" s="9"/>
    </row>
    <row r="191" spans="1:5" ht="14.25">
      <c r="A191" s="1719" t="s">
        <v>4026</v>
      </c>
      <c r="B191" s="1710" t="s">
        <v>3755</v>
      </c>
      <c r="C191" s="361" t="s">
        <v>4027</v>
      </c>
      <c r="D191" s="1712"/>
      <c r="E191" s="9"/>
    </row>
    <row r="192" spans="1:5" ht="14.25">
      <c r="A192" s="1719" t="s">
        <v>4028</v>
      </c>
      <c r="B192" s="1710" t="s">
        <v>3692</v>
      </c>
      <c r="C192" s="609" t="s">
        <v>3785</v>
      </c>
      <c r="D192" s="1712"/>
      <c r="E192" s="9"/>
    </row>
    <row r="193" spans="1:5" ht="14.25">
      <c r="A193" s="1719" t="s">
        <v>4029</v>
      </c>
      <c r="B193" s="1710" t="s">
        <v>3755</v>
      </c>
      <c r="C193" s="609" t="s">
        <v>3706</v>
      </c>
      <c r="D193" s="1712"/>
      <c r="E193" s="9"/>
    </row>
    <row r="194" spans="1:5" ht="14.25">
      <c r="A194" s="1719" t="s">
        <v>4030</v>
      </c>
      <c r="B194" s="1710" t="s">
        <v>3692</v>
      </c>
      <c r="C194" s="609" t="s">
        <v>4031</v>
      </c>
      <c r="D194" s="1712" t="s">
        <v>4032</v>
      </c>
      <c r="E194" s="9"/>
    </row>
    <row r="197" spans="1:5" ht="14.25">
      <c r="A197" s="1719" t="s">
        <v>4033</v>
      </c>
      <c r="B197" s="1710" t="s">
        <v>4034</v>
      </c>
      <c r="C197" s="609">
        <v>123456</v>
      </c>
      <c r="D197" s="609" t="s">
        <v>4035</v>
      </c>
      <c r="E197" s="9" t="s">
        <v>4036</v>
      </c>
    </row>
    <row r="198" spans="1:5" ht="14.25">
      <c r="A198" s="1719" t="s">
        <v>4037</v>
      </c>
      <c r="B198" s="1710" t="s">
        <v>3692</v>
      </c>
      <c r="C198" s="610" t="s">
        <v>3785</v>
      </c>
      <c r="D198" s="609" t="s">
        <v>4038</v>
      </c>
      <c r="E198" s="9"/>
    </row>
    <row r="199" spans="1:5" ht="14.25">
      <c r="A199" s="1719" t="s">
        <v>4039</v>
      </c>
      <c r="B199" s="1710" t="s">
        <v>3781</v>
      </c>
      <c r="C199" s="610" t="s">
        <v>3734</v>
      </c>
      <c r="D199" s="609" t="s">
        <v>4040</v>
      </c>
      <c r="E199" s="9"/>
    </row>
    <row r="200" spans="1:5" ht="14.25">
      <c r="A200" s="1719" t="s">
        <v>4041</v>
      </c>
      <c r="B200" s="1710" t="s">
        <v>3692</v>
      </c>
      <c r="C200" s="610" t="s">
        <v>4042</v>
      </c>
      <c r="D200" s="609"/>
      <c r="E200" s="9" t="s">
        <v>135</v>
      </c>
    </row>
    <row r="201" spans="1:5" ht="14.25">
      <c r="A201" s="1719" t="s">
        <v>4043</v>
      </c>
      <c r="B201" s="1710" t="s">
        <v>3755</v>
      </c>
      <c r="C201" s="610" t="s">
        <v>4044</v>
      </c>
      <c r="D201" s="609"/>
      <c r="E201" s="9"/>
    </row>
    <row r="202" spans="1:5" ht="14.25">
      <c r="A202" s="1719" t="s">
        <v>4045</v>
      </c>
      <c r="B202" s="1710" t="s">
        <v>3781</v>
      </c>
      <c r="C202" s="610" t="s">
        <v>3782</v>
      </c>
      <c r="D202" s="609" t="s">
        <v>4046</v>
      </c>
      <c r="E202" s="9"/>
    </row>
    <row r="203" spans="1:5" ht="14.25">
      <c r="A203" s="1719" t="s">
        <v>4047</v>
      </c>
      <c r="B203" s="1710" t="s">
        <v>3692</v>
      </c>
      <c r="C203" s="610" t="s">
        <v>3785</v>
      </c>
      <c r="D203" s="609"/>
      <c r="E203" s="9"/>
    </row>
    <row r="204" spans="1:5" ht="14.25">
      <c r="A204" s="1719" t="s">
        <v>4048</v>
      </c>
      <c r="B204" s="1710">
        <v>23375</v>
      </c>
      <c r="C204" s="610" t="s">
        <v>3734</v>
      </c>
      <c r="D204" s="609"/>
      <c r="E204" s="9"/>
    </row>
    <row r="205" spans="1:5" ht="14.25">
      <c r="A205" s="1719" t="s">
        <v>4049</v>
      </c>
      <c r="B205" s="1710" t="s">
        <v>3755</v>
      </c>
      <c r="C205" s="610" t="s">
        <v>3845</v>
      </c>
      <c r="D205" s="609"/>
      <c r="E205" s="9"/>
    </row>
    <row r="206" spans="1:5" ht="14.25">
      <c r="A206" s="1749" t="s">
        <v>4050</v>
      </c>
      <c r="B206" s="1710" t="s">
        <v>3692</v>
      </c>
      <c r="C206" s="610"/>
      <c r="D206" s="609"/>
      <c r="E206" s="9"/>
    </row>
    <row r="207" spans="1:5" ht="14.25">
      <c r="A207" s="1719" t="s">
        <v>4051</v>
      </c>
      <c r="B207" s="1710" t="s">
        <v>3692</v>
      </c>
      <c r="C207" s="610" t="s">
        <v>3706</v>
      </c>
      <c r="D207" s="609"/>
      <c r="E207" s="9"/>
    </row>
    <row r="208" spans="1:5" ht="14.25">
      <c r="A208" s="1719" t="s">
        <v>4052</v>
      </c>
      <c r="B208" s="1710" t="s">
        <v>3692</v>
      </c>
      <c r="C208" s="610" t="s">
        <v>4053</v>
      </c>
      <c r="D208" s="609"/>
      <c r="E208" s="9"/>
    </row>
    <row r="209" spans="1:26" ht="14.25">
      <c r="A209" s="616" t="s">
        <v>4054</v>
      </c>
      <c r="B209" s="617" t="s">
        <v>3292</v>
      </c>
      <c r="C209" s="618" t="s">
        <v>4055</v>
      </c>
      <c r="D209" s="619"/>
      <c r="E209" s="620"/>
      <c r="F209" s="620"/>
      <c r="G209" s="620"/>
      <c r="H209" s="620"/>
      <c r="I209" s="620"/>
      <c r="J209" s="620"/>
      <c r="K209" s="620"/>
      <c r="L209" s="620"/>
      <c r="M209" s="620"/>
      <c r="N209" s="620"/>
      <c r="O209" s="620"/>
      <c r="P209" s="620"/>
      <c r="Q209" s="620"/>
      <c r="R209" s="620"/>
      <c r="S209" s="620"/>
      <c r="T209" s="620"/>
      <c r="U209" s="620"/>
      <c r="V209" s="620"/>
      <c r="W209" s="620"/>
      <c r="X209" s="620"/>
      <c r="Y209" s="620"/>
      <c r="Z209" s="620"/>
    </row>
    <row r="210" spans="1:26" ht="14.25">
      <c r="A210" s="621" t="s">
        <v>4056</v>
      </c>
      <c r="B210" s="622" t="s">
        <v>3696</v>
      </c>
      <c r="C210" s="618" t="s">
        <v>4057</v>
      </c>
      <c r="D210" s="618"/>
      <c r="E210" s="623"/>
      <c r="F210" s="620"/>
      <c r="G210" s="620"/>
      <c r="H210" s="620"/>
      <c r="I210" s="620"/>
      <c r="J210" s="620"/>
      <c r="K210" s="620"/>
      <c r="L210" s="620"/>
      <c r="M210" s="620"/>
      <c r="N210" s="620"/>
      <c r="O210" s="620"/>
      <c r="P210" s="620"/>
      <c r="Q210" s="620"/>
      <c r="R210" s="620"/>
      <c r="S210" s="620"/>
      <c r="T210" s="620"/>
      <c r="U210" s="620"/>
      <c r="V210" s="620"/>
      <c r="W210" s="620"/>
      <c r="X210" s="620"/>
      <c r="Y210" s="620"/>
      <c r="Z210" s="620"/>
    </row>
    <row r="211" spans="1:26">
      <c r="A211" s="620" t="s">
        <v>725</v>
      </c>
      <c r="B211" s="624" t="s">
        <v>3692</v>
      </c>
      <c r="C211" s="624" t="s">
        <v>4058</v>
      </c>
      <c r="D211" s="620" t="s">
        <v>4059</v>
      </c>
      <c r="E211" s="620"/>
      <c r="F211" s="620"/>
      <c r="G211" s="620"/>
      <c r="H211" s="620"/>
      <c r="I211" s="620"/>
      <c r="J211" s="620"/>
      <c r="K211" s="620"/>
      <c r="L211" s="620"/>
      <c r="M211" s="620"/>
      <c r="N211" s="620"/>
      <c r="O211" s="620"/>
      <c r="P211" s="620"/>
      <c r="Q211" s="620"/>
      <c r="R211" s="620"/>
      <c r="S211" s="620"/>
      <c r="T211" s="620"/>
      <c r="U211" s="620"/>
      <c r="V211" s="620"/>
      <c r="W211" s="620"/>
      <c r="X211" s="620"/>
      <c r="Y211" s="620"/>
      <c r="Z211" s="620"/>
    </row>
    <row r="212" spans="1:26">
      <c r="A212" s="620" t="s">
        <v>725</v>
      </c>
      <c r="B212" s="620" t="s">
        <v>3292</v>
      </c>
      <c r="C212" s="620" t="s">
        <v>8827</v>
      </c>
      <c r="D212" s="620"/>
      <c r="E212" s="620"/>
      <c r="F212" s="620"/>
      <c r="G212" s="620"/>
      <c r="H212" s="620"/>
      <c r="I212" s="620"/>
      <c r="J212" s="620"/>
      <c r="K212" s="620"/>
      <c r="L212" s="620"/>
      <c r="M212" s="620"/>
      <c r="N212" s="620"/>
      <c r="O212" s="620"/>
      <c r="P212" s="620"/>
      <c r="Q212" s="620"/>
      <c r="R212" s="620"/>
      <c r="S212" s="620"/>
      <c r="T212" s="620"/>
      <c r="U212" s="620"/>
      <c r="V212" s="620"/>
      <c r="W212" s="620"/>
      <c r="X212" s="620"/>
      <c r="Y212" s="620"/>
      <c r="Z212" s="620"/>
    </row>
    <row r="213" spans="1:26" ht="14.25">
      <c r="A213" s="1719" t="s">
        <v>4060</v>
      </c>
      <c r="B213" s="1710" t="s">
        <v>3692</v>
      </c>
      <c r="C213" s="610" t="s">
        <v>4044</v>
      </c>
      <c r="D213" s="609">
        <v>520268585372</v>
      </c>
      <c r="E213" s="9" t="s">
        <v>4061</v>
      </c>
    </row>
    <row r="214" spans="1:26" ht="14.25">
      <c r="A214" s="1750" t="s">
        <v>4062</v>
      </c>
      <c r="B214" s="1710" t="s">
        <v>4063</v>
      </c>
      <c r="C214" s="610" t="s">
        <v>3785</v>
      </c>
      <c r="D214" s="1710"/>
      <c r="E214" s="578"/>
    </row>
    <row r="215" spans="1:26" ht="14.25">
      <c r="A215" s="626" t="s">
        <v>4064</v>
      </c>
      <c r="B215" s="1710" t="s">
        <v>4065</v>
      </c>
      <c r="C215" s="610" t="s">
        <v>3785</v>
      </c>
      <c r="D215" s="1710"/>
      <c r="E215" s="578"/>
    </row>
    <row r="216" spans="1:26" ht="14.25">
      <c r="A216" s="1751" t="s">
        <v>4066</v>
      </c>
      <c r="B216" s="1710" t="s">
        <v>3692</v>
      </c>
      <c r="C216" s="610" t="s">
        <v>3706</v>
      </c>
      <c r="D216" s="1710" t="s">
        <v>4067</v>
      </c>
      <c r="E216" s="578"/>
    </row>
    <row r="217" spans="1:26" ht="14.25">
      <c r="A217" s="1768" t="s">
        <v>4068</v>
      </c>
      <c r="B217" s="1710" t="s">
        <v>3692</v>
      </c>
      <c r="C217" s="610"/>
      <c r="D217" s="610"/>
      <c r="E217" s="578"/>
    </row>
    <row r="218" spans="1:26">
      <c r="A218" s="1751" t="s">
        <v>4069</v>
      </c>
      <c r="B218" s="1596" t="s">
        <v>4258</v>
      </c>
      <c r="C218" s="9" t="s">
        <v>4259</v>
      </c>
      <c r="D218" s="610"/>
      <c r="E218" s="578"/>
    </row>
    <row r="219" spans="1:26" ht="14.25">
      <c r="A219" s="1753" t="s">
        <v>4070</v>
      </c>
      <c r="B219" s="1752">
        <v>6202782524</v>
      </c>
      <c r="C219" s="610" t="s">
        <v>3785</v>
      </c>
      <c r="D219" s="610" t="s">
        <v>4071</v>
      </c>
      <c r="E219" s="578"/>
    </row>
    <row r="220" spans="1:26" ht="14.25">
      <c r="A220" s="610" t="s">
        <v>4072</v>
      </c>
      <c r="B220" s="1710" t="s">
        <v>4073</v>
      </c>
      <c r="C220" s="1770" t="s">
        <v>4074</v>
      </c>
      <c r="D220" s="1770" t="s">
        <v>4075</v>
      </c>
      <c r="E220" s="1771" t="s">
        <v>4076</v>
      </c>
      <c r="F220" s="1596"/>
    </row>
    <row r="221" spans="1:26">
      <c r="A221" s="1754" t="s">
        <v>4077</v>
      </c>
      <c r="B221" s="610"/>
      <c r="C221" s="610"/>
      <c r="D221" s="610"/>
      <c r="E221" s="578"/>
    </row>
    <row r="222" spans="1:26">
      <c r="A222" s="630" t="s">
        <v>4078</v>
      </c>
      <c r="B222" s="610" t="s">
        <v>4073</v>
      </c>
      <c r="C222" s="610" t="s">
        <v>3734</v>
      </c>
      <c r="D222" s="610"/>
      <c r="E222" s="578"/>
    </row>
    <row r="223" spans="1:26">
      <c r="A223" s="610" t="s">
        <v>4079</v>
      </c>
      <c r="B223" s="610" t="s">
        <v>3692</v>
      </c>
      <c r="C223" s="610" t="s">
        <v>3885</v>
      </c>
      <c r="D223" s="610" t="s">
        <v>4080</v>
      </c>
      <c r="E223" s="578"/>
    </row>
    <row r="224" spans="1:26">
      <c r="A224" s="610" t="s">
        <v>4081</v>
      </c>
      <c r="B224" s="631" t="s">
        <v>3924</v>
      </c>
      <c r="C224" s="609" t="s">
        <v>4053</v>
      </c>
      <c r="D224" s="1767" t="s">
        <v>4082</v>
      </c>
      <c r="E224" s="578"/>
    </row>
    <row r="225" spans="1:5">
      <c r="A225" s="610" t="s">
        <v>4083</v>
      </c>
      <c r="B225" s="631" t="s">
        <v>3696</v>
      </c>
      <c r="C225" s="609" t="s">
        <v>4084</v>
      </c>
      <c r="D225" s="1767"/>
      <c r="E225" s="578"/>
    </row>
    <row r="226" spans="1:5">
      <c r="A226" s="610" t="s">
        <v>4085</v>
      </c>
      <c r="B226" s="631" t="s">
        <v>3292</v>
      </c>
      <c r="C226" s="609" t="s">
        <v>3782</v>
      </c>
      <c r="D226" s="1767" t="s">
        <v>4086</v>
      </c>
      <c r="E226" s="578"/>
    </row>
    <row r="227" spans="1:5">
      <c r="A227" s="610" t="s">
        <v>4087</v>
      </c>
      <c r="B227" s="631" t="s">
        <v>3692</v>
      </c>
      <c r="C227" s="609"/>
      <c r="D227" s="1767" t="s">
        <v>4088</v>
      </c>
      <c r="E227" s="578"/>
    </row>
    <row r="228" spans="1:5" ht="14.25">
      <c r="A228" s="610" t="s">
        <v>4089</v>
      </c>
      <c r="B228" s="1755" t="s">
        <v>4090</v>
      </c>
      <c r="C228" s="609" t="s">
        <v>4091</v>
      </c>
      <c r="D228" s="1769" t="s">
        <v>4092</v>
      </c>
      <c r="E228" s="578"/>
    </row>
    <row r="229" spans="1:5">
      <c r="A229" s="610" t="s">
        <v>4093</v>
      </c>
      <c r="B229" s="928" t="s">
        <v>3755</v>
      </c>
      <c r="C229" s="361" t="s">
        <v>3706</v>
      </c>
      <c r="D229" s="928"/>
      <c r="E229" s="610"/>
    </row>
    <row r="230" spans="1:5">
      <c r="A230" s="361" t="s">
        <v>4094</v>
      </c>
      <c r="B230" s="928" t="s">
        <v>3692</v>
      </c>
      <c r="C230" s="361" t="s">
        <v>3706</v>
      </c>
      <c r="D230" s="928" t="s">
        <v>3755</v>
      </c>
      <c r="E230" s="610"/>
    </row>
    <row r="231" spans="1:5" ht="12.75" customHeight="1">
      <c r="A231" s="1756" t="s">
        <v>4095</v>
      </c>
      <c r="B231" s="928" t="s">
        <v>3924</v>
      </c>
      <c r="C231" s="361" t="s">
        <v>3706</v>
      </c>
      <c r="D231" s="1757" t="s">
        <v>4096</v>
      </c>
      <c r="E231" s="610"/>
    </row>
    <row r="232" spans="1:5">
      <c r="A232" s="9" t="s">
        <v>4097</v>
      </c>
      <c r="B232" s="9" t="s">
        <v>3924</v>
      </c>
      <c r="C232" s="9" t="s">
        <v>3785</v>
      </c>
      <c r="D232" s="578" t="s">
        <v>4098</v>
      </c>
      <c r="E232" s="9" t="s">
        <v>4099</v>
      </c>
    </row>
    <row r="233" spans="1:5" ht="25.5">
      <c r="A233" s="361" t="s">
        <v>4100</v>
      </c>
      <c r="B233" s="928" t="s">
        <v>3755</v>
      </c>
      <c r="C233" s="361" t="s">
        <v>4101</v>
      </c>
      <c r="D233" s="928" t="s">
        <v>4102</v>
      </c>
      <c r="E233" s="610" t="s">
        <v>4103</v>
      </c>
    </row>
    <row r="234" spans="1:5">
      <c r="A234" s="361" t="s">
        <v>4104</v>
      </c>
      <c r="B234" s="928"/>
      <c r="C234" s="361"/>
      <c r="D234" s="928" t="s">
        <v>4105</v>
      </c>
      <c r="E234" s="9"/>
    </row>
    <row r="235" spans="1:5">
      <c r="A235" s="361" t="s">
        <v>4106</v>
      </c>
      <c r="B235" s="928" t="s">
        <v>2654</v>
      </c>
      <c r="C235" s="361" t="s">
        <v>3999</v>
      </c>
      <c r="D235" s="928"/>
    </row>
    <row r="236" spans="1:5">
      <c r="A236" s="361" t="s">
        <v>4107</v>
      </c>
      <c r="B236" s="928" t="s">
        <v>4108</v>
      </c>
      <c r="C236" s="361" t="s">
        <v>3706</v>
      </c>
      <c r="D236" s="928" t="s">
        <v>4109</v>
      </c>
      <c r="E236" s="610"/>
    </row>
    <row r="237" spans="1:5">
      <c r="A237" s="414" t="s">
        <v>4110</v>
      </c>
      <c r="B237" s="928" t="s">
        <v>3755</v>
      </c>
      <c r="C237" s="361" t="s">
        <v>3706</v>
      </c>
      <c r="D237" s="928"/>
      <c r="E237" s="610"/>
    </row>
    <row r="238" spans="1:5">
      <c r="A238" s="361" t="s">
        <v>4111</v>
      </c>
      <c r="B238" s="928" t="s">
        <v>3755</v>
      </c>
      <c r="C238" s="361" t="s">
        <v>3706</v>
      </c>
      <c r="D238" s="928"/>
      <c r="E238" s="610"/>
    </row>
    <row r="239" spans="1:5">
      <c r="A239" s="361" t="s">
        <v>4112</v>
      </c>
      <c r="B239" s="928" t="s">
        <v>3902</v>
      </c>
      <c r="C239" s="361"/>
      <c r="D239" s="928"/>
      <c r="E239" s="610"/>
    </row>
    <row r="240" spans="1:5">
      <c r="A240" s="361" t="s">
        <v>4113</v>
      </c>
      <c r="B240" s="928" t="s">
        <v>3755</v>
      </c>
      <c r="C240" s="361"/>
      <c r="D240" s="928">
        <v>133433</v>
      </c>
      <c r="E240" s="610"/>
    </row>
    <row r="241" spans="1:5">
      <c r="A241" s="361" t="s">
        <v>4114</v>
      </c>
      <c r="B241" s="928" t="s">
        <v>3692</v>
      </c>
      <c r="C241" s="361" t="s">
        <v>4115</v>
      </c>
      <c r="D241" s="361" t="s">
        <v>4116</v>
      </c>
      <c r="E241" s="610" t="s">
        <v>4117</v>
      </c>
    </row>
    <row r="242" spans="1:5">
      <c r="A242" s="361" t="s">
        <v>1576</v>
      </c>
      <c r="B242" s="928" t="s">
        <v>3692</v>
      </c>
      <c r="C242" s="1676" t="s">
        <v>8903</v>
      </c>
      <c r="D242" s="361"/>
      <c r="E242" s="610"/>
    </row>
    <row r="243" spans="1:5">
      <c r="A243" s="361" t="s">
        <v>4118</v>
      </c>
      <c r="B243" s="928" t="s">
        <v>3755</v>
      </c>
      <c r="C243" s="361" t="s">
        <v>3785</v>
      </c>
      <c r="D243" s="361"/>
      <c r="E243" s="610"/>
    </row>
    <row r="244" spans="1:5" ht="12.75" customHeight="1">
      <c r="A244" s="361" t="s">
        <v>4119</v>
      </c>
      <c r="B244" s="1758" t="s">
        <v>3292</v>
      </c>
      <c r="C244" s="1758" t="s">
        <v>3782</v>
      </c>
      <c r="D244" s="1759"/>
      <c r="E244" s="610"/>
    </row>
    <row r="245" spans="1:5" ht="12.75" customHeight="1">
      <c r="A245" s="361" t="s">
        <v>4120</v>
      </c>
      <c r="B245" s="1758" t="s">
        <v>3696</v>
      </c>
      <c r="C245" s="1758" t="s">
        <v>3830</v>
      </c>
      <c r="D245" s="1759"/>
      <c r="E245" s="610"/>
    </row>
    <row r="246" spans="1:5" ht="12.75" customHeight="1">
      <c r="A246" s="361" t="s">
        <v>4120</v>
      </c>
      <c r="B246" s="1758" t="s">
        <v>3692</v>
      </c>
      <c r="C246" s="1758" t="s">
        <v>4044</v>
      </c>
      <c r="D246" s="1759"/>
      <c r="E246" s="610"/>
    </row>
    <row r="247" spans="1:5" ht="12.75" customHeight="1">
      <c r="A247" s="361" t="s">
        <v>195</v>
      </c>
      <c r="B247" s="1758" t="s">
        <v>3692</v>
      </c>
      <c r="C247" s="1758" t="s">
        <v>3706</v>
      </c>
      <c r="D247" s="1760" t="s">
        <v>4121</v>
      </c>
      <c r="E247" s="610"/>
    </row>
    <row r="248" spans="1:5">
      <c r="A248" s="361" t="s">
        <v>4122</v>
      </c>
      <c r="B248" s="361" t="s">
        <v>3692</v>
      </c>
      <c r="C248" s="361" t="s">
        <v>3785</v>
      </c>
      <c r="D248" s="928" t="s">
        <v>4123</v>
      </c>
      <c r="E248" s="610"/>
    </row>
    <row r="249" spans="1:5">
      <c r="A249" s="361" t="s">
        <v>4124</v>
      </c>
      <c r="B249" s="361" t="s">
        <v>3292</v>
      </c>
      <c r="C249" s="361" t="s">
        <v>3782</v>
      </c>
      <c r="D249" s="361"/>
      <c r="E249" s="610"/>
    </row>
    <row r="250" spans="1:5">
      <c r="A250" s="361" t="s">
        <v>4124</v>
      </c>
      <c r="B250" s="361" t="s">
        <v>3692</v>
      </c>
      <c r="C250" s="361" t="s">
        <v>3785</v>
      </c>
      <c r="D250" s="361"/>
      <c r="E250" s="610"/>
    </row>
    <row r="251" spans="1:5">
      <c r="A251" s="361" t="s">
        <v>4125</v>
      </c>
      <c r="B251" s="361" t="s">
        <v>3692</v>
      </c>
      <c r="C251" s="361" t="s">
        <v>3885</v>
      </c>
      <c r="D251" s="361" t="s">
        <v>4126</v>
      </c>
      <c r="E251" s="610" t="s">
        <v>4127</v>
      </c>
    </row>
    <row r="252" spans="1:5">
      <c r="A252" s="361" t="s">
        <v>4128</v>
      </c>
      <c r="B252" s="361" t="s">
        <v>3755</v>
      </c>
      <c r="C252" s="361" t="s">
        <v>4053</v>
      </c>
      <c r="D252" s="361" t="s">
        <v>4129</v>
      </c>
      <c r="E252" s="610"/>
    </row>
    <row r="253" spans="1:5">
      <c r="A253" s="361" t="s">
        <v>4130</v>
      </c>
      <c r="B253" s="361" t="s">
        <v>3292</v>
      </c>
      <c r="C253" s="361" t="s">
        <v>3782</v>
      </c>
      <c r="D253" s="361"/>
      <c r="E253" s="610"/>
    </row>
    <row r="254" spans="1:5">
      <c r="A254" s="361" t="s">
        <v>4131</v>
      </c>
      <c r="B254" s="361" t="s">
        <v>3692</v>
      </c>
      <c r="C254" s="361" t="s">
        <v>3706</v>
      </c>
      <c r="D254" s="361"/>
      <c r="E254" s="610"/>
    </row>
    <row r="255" spans="1:5">
      <c r="A255" s="361" t="s">
        <v>4132</v>
      </c>
      <c r="B255" s="361" t="s">
        <v>3755</v>
      </c>
      <c r="C255" s="361" t="s">
        <v>4044</v>
      </c>
      <c r="D255" s="361"/>
      <c r="E255" s="610"/>
    </row>
    <row r="256" spans="1:5">
      <c r="A256" s="361" t="s">
        <v>4133</v>
      </c>
      <c r="B256" s="361" t="s">
        <v>3781</v>
      </c>
      <c r="C256" s="361" t="s">
        <v>4134</v>
      </c>
      <c r="D256" s="361" t="s">
        <v>4135</v>
      </c>
      <c r="E256" s="610"/>
    </row>
    <row r="257" spans="1:5">
      <c r="A257" s="361" t="s">
        <v>4136</v>
      </c>
      <c r="B257" s="361" t="s">
        <v>3692</v>
      </c>
      <c r="C257" s="361" t="s">
        <v>4137</v>
      </c>
      <c r="D257" s="361"/>
      <c r="E257" s="610"/>
    </row>
    <row r="258" spans="1:5">
      <c r="A258" s="361" t="s">
        <v>4136</v>
      </c>
      <c r="B258" s="361" t="s">
        <v>3696</v>
      </c>
      <c r="C258" s="361" t="s">
        <v>3706</v>
      </c>
      <c r="D258" s="361"/>
      <c r="E258" s="610"/>
    </row>
    <row r="259" spans="1:5">
      <c r="A259" s="361" t="s">
        <v>4138</v>
      </c>
      <c r="B259" s="361" t="s">
        <v>3716</v>
      </c>
      <c r="C259" s="9" t="s">
        <v>3782</v>
      </c>
      <c r="D259" s="361">
        <v>28162816</v>
      </c>
      <c r="E259" s="610"/>
    </row>
    <row r="260" spans="1:5">
      <c r="A260" s="9" t="s">
        <v>4139</v>
      </c>
      <c r="B260" s="9" t="s">
        <v>2654</v>
      </c>
      <c r="C260" s="40">
        <v>28162816</v>
      </c>
    </row>
    <row r="261" spans="1:5">
      <c r="A261" s="9" t="s">
        <v>4140</v>
      </c>
      <c r="B261" s="9" t="s">
        <v>3696</v>
      </c>
      <c r="C261" s="3" t="s">
        <v>4141</v>
      </c>
      <c r="D261" s="9">
        <v>28162816</v>
      </c>
    </row>
    <row r="262" spans="1:5">
      <c r="A262" s="361" t="s">
        <v>1237</v>
      </c>
      <c r="B262" s="361" t="s">
        <v>3692</v>
      </c>
      <c r="C262" s="361" t="s">
        <v>3785</v>
      </c>
      <c r="D262" s="361">
        <v>2816</v>
      </c>
      <c r="E262" s="610"/>
    </row>
    <row r="263" spans="1:5">
      <c r="A263" s="361" t="s">
        <v>4142</v>
      </c>
      <c r="B263" s="361" t="s">
        <v>4143</v>
      </c>
      <c r="C263" s="361" t="s">
        <v>4144</v>
      </c>
      <c r="D263" s="361" t="s">
        <v>4145</v>
      </c>
      <c r="E263" s="1770" t="s">
        <v>4146</v>
      </c>
    </row>
    <row r="264" spans="1:5" s="1721" customFormat="1" ht="21" customHeight="1">
      <c r="A264" s="1708" t="s">
        <v>4147</v>
      </c>
      <c r="B264" s="1857" t="s">
        <v>4148</v>
      </c>
      <c r="C264" s="1708"/>
      <c r="D264" s="1708"/>
      <c r="E264" s="1858"/>
    </row>
    <row r="265" spans="1:5" ht="12.75" customHeight="1">
      <c r="A265" s="361" t="s">
        <v>4149</v>
      </c>
      <c r="B265" s="1761" t="s">
        <v>4150</v>
      </c>
      <c r="C265" s="361" t="s">
        <v>4151</v>
      </c>
      <c r="D265" s="1732" t="s">
        <v>4152</v>
      </c>
      <c r="E265" s="610" t="s">
        <v>4153</v>
      </c>
    </row>
    <row r="266" spans="1:5" ht="12.75" customHeight="1">
      <c r="A266" s="1676" t="s">
        <v>8830</v>
      </c>
      <c r="B266" s="1761" t="s">
        <v>3692</v>
      </c>
      <c r="C266" s="1676" t="s">
        <v>8831</v>
      </c>
      <c r="D266" s="1732"/>
      <c r="E266" s="610"/>
    </row>
    <row r="267" spans="1:5" ht="12.75" customHeight="1">
      <c r="A267" s="361" t="s">
        <v>4154</v>
      </c>
      <c r="B267" s="1761" t="s">
        <v>3692</v>
      </c>
      <c r="C267" s="361" t="s">
        <v>3706</v>
      </c>
      <c r="D267" s="1732" t="s">
        <v>4155</v>
      </c>
      <c r="E267" s="610" t="s">
        <v>4156</v>
      </c>
    </row>
    <row r="268" spans="1:5" ht="12.75" customHeight="1">
      <c r="A268" s="361" t="s">
        <v>4157</v>
      </c>
      <c r="B268" s="1761" t="s">
        <v>3692</v>
      </c>
      <c r="C268" s="416" t="s">
        <v>3845</v>
      </c>
      <c r="D268" s="9" t="s">
        <v>4158</v>
      </c>
      <c r="E268" s="610"/>
    </row>
    <row r="269" spans="1:5">
      <c r="A269" s="9" t="s">
        <v>4159</v>
      </c>
      <c r="B269" s="9" t="s">
        <v>3692</v>
      </c>
      <c r="C269" s="9" t="s">
        <v>3785</v>
      </c>
      <c r="D269" s="9" t="s">
        <v>4159</v>
      </c>
      <c r="E269" s="9" t="s">
        <v>3692</v>
      </c>
    </row>
    <row r="270" spans="1:5" ht="12.75" customHeight="1">
      <c r="A270" s="1762" t="s">
        <v>4160</v>
      </c>
      <c r="B270" s="1761" t="s">
        <v>3755</v>
      </c>
      <c r="C270" s="610" t="s">
        <v>3785</v>
      </c>
      <c r="D270" s="9"/>
      <c r="E270" s="610"/>
    </row>
    <row r="271" spans="1:5" ht="12.75" customHeight="1">
      <c r="A271" s="361" t="s">
        <v>4161</v>
      </c>
      <c r="B271" s="1761" t="s">
        <v>4162</v>
      </c>
      <c r="C271" s="361" t="s">
        <v>4163</v>
      </c>
      <c r="D271" s="1763" t="s">
        <v>4164</v>
      </c>
      <c r="E271" s="1764" t="s">
        <v>4165</v>
      </c>
    </row>
    <row r="272" spans="1:5" ht="12.75" customHeight="1">
      <c r="A272" s="1762" t="s">
        <v>4166</v>
      </c>
      <c r="B272" s="1761" t="s">
        <v>3692</v>
      </c>
      <c r="C272" s="610" t="s">
        <v>3785</v>
      </c>
      <c r="D272" s="9"/>
      <c r="E272" s="610"/>
    </row>
    <row r="273" spans="1:5" ht="12.75" customHeight="1">
      <c r="A273" s="361" t="s">
        <v>4167</v>
      </c>
      <c r="B273" s="1761" t="s">
        <v>4034</v>
      </c>
      <c r="C273" s="610" t="s">
        <v>4168</v>
      </c>
      <c r="D273" s="9" t="s">
        <v>4169</v>
      </c>
      <c r="E273" s="610" t="s">
        <v>4170</v>
      </c>
    </row>
    <row r="274" spans="1:5">
      <c r="A274" s="1639" t="s">
        <v>4171</v>
      </c>
      <c r="B274" s="610" t="s">
        <v>3755</v>
      </c>
      <c r="C274" s="1765" t="s">
        <v>8868</v>
      </c>
      <c r="D274" s="9" t="s">
        <v>4173</v>
      </c>
      <c r="E274" s="610" t="s">
        <v>4174</v>
      </c>
    </row>
    <row r="275" spans="1:5">
      <c r="A275" s="610" t="s">
        <v>4175</v>
      </c>
      <c r="B275" s="610" t="s">
        <v>3755</v>
      </c>
      <c r="C275" s="610" t="s">
        <v>3706</v>
      </c>
      <c r="D275" s="9" t="s">
        <v>4176</v>
      </c>
      <c r="E275" s="610"/>
    </row>
    <row r="276" spans="1:5">
      <c r="A276" s="610" t="s">
        <v>4177</v>
      </c>
      <c r="B276" s="610" t="s">
        <v>3755</v>
      </c>
      <c r="C276" s="610" t="s">
        <v>3785</v>
      </c>
      <c r="D276" s="9" t="s">
        <v>4178</v>
      </c>
      <c r="E276" s="610" t="s">
        <v>4179</v>
      </c>
    </row>
    <row r="277" spans="1:5">
      <c r="A277" s="610" t="s">
        <v>4180</v>
      </c>
      <c r="B277" s="610" t="s">
        <v>4181</v>
      </c>
      <c r="C277" s="610" t="s">
        <v>4182</v>
      </c>
      <c r="D277" s="646"/>
      <c r="E277" s="9"/>
    </row>
    <row r="278" spans="1:5">
      <c r="A278" s="610" t="s">
        <v>4183</v>
      </c>
      <c r="B278" s="610" t="s">
        <v>3692</v>
      </c>
      <c r="C278" s="610" t="s">
        <v>3779</v>
      </c>
      <c r="D278" s="40" t="s">
        <v>4184</v>
      </c>
      <c r="E278" s="361" t="s">
        <v>4185</v>
      </c>
    </row>
    <row r="279" spans="1:5">
      <c r="A279" s="610" t="s">
        <v>4186</v>
      </c>
      <c r="B279" s="610" t="s">
        <v>4187</v>
      </c>
      <c r="C279" s="610" t="s">
        <v>4188</v>
      </c>
      <c r="D279" s="40" t="s">
        <v>4189</v>
      </c>
      <c r="E279" s="1766"/>
    </row>
    <row r="280" spans="1:5">
      <c r="A280" s="610" t="s">
        <v>4190</v>
      </c>
      <c r="B280" s="610" t="s">
        <v>3692</v>
      </c>
      <c r="C280" s="610" t="s">
        <v>3706</v>
      </c>
      <c r="D280" s="40" t="s">
        <v>3696</v>
      </c>
      <c r="E280" s="1766"/>
    </row>
    <row r="281" spans="1:5">
      <c r="A281" s="610" t="s">
        <v>4191</v>
      </c>
      <c r="B281" s="610" t="s">
        <v>3716</v>
      </c>
      <c r="C281" s="610" t="s">
        <v>3782</v>
      </c>
      <c r="D281" s="40"/>
      <c r="E281" s="1766"/>
    </row>
    <row r="282" spans="1:5">
      <c r="A282" s="610" t="s">
        <v>4192</v>
      </c>
      <c r="B282" s="610" t="s">
        <v>4193</v>
      </c>
      <c r="C282" s="610" t="s">
        <v>4194</v>
      </c>
      <c r="D282" s="40"/>
      <c r="E282" s="9"/>
    </row>
    <row r="283" spans="1:5">
      <c r="A283" s="9" t="s">
        <v>4195</v>
      </c>
      <c r="B283" s="9" t="s">
        <v>4196</v>
      </c>
      <c r="C283" s="9" t="s">
        <v>4197</v>
      </c>
      <c r="D283" s="9" t="s">
        <v>4198</v>
      </c>
      <c r="E283" s="9" t="s">
        <v>4199</v>
      </c>
    </row>
    <row r="284" spans="1:5">
      <c r="A284" s="9" t="s">
        <v>4200</v>
      </c>
      <c r="B284" s="610"/>
      <c r="C284" s="40" t="s">
        <v>4201</v>
      </c>
      <c r="D284" s="9"/>
    </row>
    <row r="285" spans="1:5">
      <c r="A285" s="9" t="s">
        <v>4202</v>
      </c>
      <c r="B285" s="610" t="s">
        <v>3692</v>
      </c>
      <c r="C285" s="40" t="s">
        <v>3706</v>
      </c>
      <c r="D285" s="1781" t="s">
        <v>4203</v>
      </c>
    </row>
    <row r="286" spans="1:5">
      <c r="A286" s="596" t="s">
        <v>4204</v>
      </c>
      <c r="B286" s="596" t="s">
        <v>4205</v>
      </c>
      <c r="C286" s="596" t="s">
        <v>4206</v>
      </c>
      <c r="D286" s="597" t="s">
        <v>4207</v>
      </c>
      <c r="E286" s="597"/>
    </row>
    <row r="287" spans="1:5">
      <c r="A287" s="597" t="s">
        <v>4208</v>
      </c>
      <c r="B287" s="597" t="s">
        <v>4209</v>
      </c>
      <c r="C287" s="597" t="s">
        <v>4210</v>
      </c>
      <c r="D287" s="597" t="s">
        <v>4211</v>
      </c>
      <c r="E287" s="597"/>
    </row>
    <row r="288" spans="1:5">
      <c r="A288" s="597" t="s">
        <v>4212</v>
      </c>
      <c r="B288" s="597" t="s">
        <v>4213</v>
      </c>
      <c r="C288" s="597" t="s">
        <v>3706</v>
      </c>
      <c r="D288" s="597" t="s">
        <v>4214</v>
      </c>
      <c r="E288" s="597"/>
    </row>
    <row r="289" spans="1:5">
      <c r="A289" s="597" t="s">
        <v>4215</v>
      </c>
      <c r="B289" s="597" t="s">
        <v>4216</v>
      </c>
      <c r="C289" s="597" t="s">
        <v>4217</v>
      </c>
      <c r="D289" s="597"/>
      <c r="E289" s="597"/>
    </row>
    <row r="290" spans="1:5" ht="25.5">
      <c r="A290" s="597" t="s">
        <v>4218</v>
      </c>
      <c r="B290" s="597" t="s">
        <v>4219</v>
      </c>
      <c r="C290" s="597" t="s">
        <v>4220</v>
      </c>
      <c r="D290" s="597" t="s">
        <v>4221</v>
      </c>
      <c r="E290" s="597"/>
    </row>
    <row r="291" spans="1:5">
      <c r="A291" s="597" t="s">
        <v>4222</v>
      </c>
      <c r="B291" s="597" t="s">
        <v>4223</v>
      </c>
      <c r="C291" s="597" t="s">
        <v>4224</v>
      </c>
      <c r="D291" s="597" t="s">
        <v>4225</v>
      </c>
      <c r="E291" s="597"/>
    </row>
    <row r="292" spans="1:5">
      <c r="A292" s="597" t="s">
        <v>4226</v>
      </c>
      <c r="B292" s="597" t="s">
        <v>4227</v>
      </c>
      <c r="C292" s="648" t="s">
        <v>3885</v>
      </c>
      <c r="D292" s="597" t="s">
        <v>4207</v>
      </c>
      <c r="E292" s="597"/>
    </row>
    <row r="293" spans="1:5">
      <c r="A293" s="597" t="s">
        <v>4228</v>
      </c>
      <c r="B293" s="597" t="s">
        <v>4229</v>
      </c>
      <c r="C293" s="597" t="s">
        <v>4230</v>
      </c>
      <c r="D293" s="597"/>
      <c r="E293" s="597"/>
    </row>
    <row r="294" spans="1:5">
      <c r="A294" s="597" t="s">
        <v>4231</v>
      </c>
      <c r="B294" s="597" t="s">
        <v>3692</v>
      </c>
      <c r="C294" s="597" t="s">
        <v>3939</v>
      </c>
      <c r="D294" s="597">
        <v>2816</v>
      </c>
      <c r="E294" s="597"/>
    </row>
    <row r="295" spans="1:5">
      <c r="A295" s="597" t="s">
        <v>4232</v>
      </c>
      <c r="B295" s="597" t="s">
        <v>4233</v>
      </c>
      <c r="C295" s="597" t="s">
        <v>3851</v>
      </c>
      <c r="D295" s="597"/>
      <c r="E295" s="597"/>
    </row>
    <row r="296" spans="1:5">
      <c r="A296" s="597" t="s">
        <v>4234</v>
      </c>
      <c r="B296" s="597" t="s">
        <v>3288</v>
      </c>
      <c r="C296" s="597" t="s">
        <v>3830</v>
      </c>
      <c r="D296" s="597" t="s">
        <v>4235</v>
      </c>
      <c r="E296" s="597"/>
    </row>
    <row r="297" spans="1:5">
      <c r="A297" s="649" t="s">
        <v>4236</v>
      </c>
      <c r="B297" s="649" t="s">
        <v>4237</v>
      </c>
      <c r="C297" s="649" t="s">
        <v>3782</v>
      </c>
      <c r="D297" s="649"/>
      <c r="E297" s="649"/>
    </row>
    <row r="298" spans="1:5">
      <c r="A298" s="649" t="s">
        <v>4238</v>
      </c>
      <c r="B298" s="649" t="s">
        <v>4223</v>
      </c>
      <c r="C298" s="650" t="s">
        <v>4224</v>
      </c>
      <c r="D298" s="649"/>
      <c r="E298" s="649"/>
    </row>
    <row r="299" spans="1:5">
      <c r="A299" s="649" t="s">
        <v>4239</v>
      </c>
      <c r="B299" s="649" t="s">
        <v>3692</v>
      </c>
      <c r="C299" s="649" t="s">
        <v>4240</v>
      </c>
      <c r="D299" s="649"/>
      <c r="E299" s="649"/>
    </row>
    <row r="300" spans="1:5">
      <c r="A300" s="59" t="s">
        <v>4241</v>
      </c>
      <c r="B300" s="651">
        <v>1305916</v>
      </c>
      <c r="C300" s="651" t="s">
        <v>4242</v>
      </c>
      <c r="D300" s="651" t="s">
        <v>4243</v>
      </c>
      <c r="E300" s="651" t="s">
        <v>4244</v>
      </c>
    </row>
    <row r="301" spans="1:5">
      <c r="A301" s="59" t="s">
        <v>4245</v>
      </c>
      <c r="B301" s="651" t="s">
        <v>4246</v>
      </c>
      <c r="C301" s="651" t="s">
        <v>4247</v>
      </c>
      <c r="D301" s="651" t="s">
        <v>4248</v>
      </c>
      <c r="E301" s="651" t="s">
        <v>4249</v>
      </c>
    </row>
    <row r="302" spans="1:5">
      <c r="A302" s="70" t="s">
        <v>4250</v>
      </c>
      <c r="B302" s="652" t="s">
        <v>4251</v>
      </c>
      <c r="C302" s="336" t="s">
        <v>4242</v>
      </c>
      <c r="D302" s="651" t="s">
        <v>4252</v>
      </c>
      <c r="E302" s="651" t="s">
        <v>4253</v>
      </c>
    </row>
    <row r="303" spans="1:5">
      <c r="A303" s="59" t="s">
        <v>4254</v>
      </c>
      <c r="B303" s="651" t="s">
        <v>2654</v>
      </c>
      <c r="C303" s="651" t="s">
        <v>3782</v>
      </c>
      <c r="D303" s="651" t="s">
        <v>4255</v>
      </c>
      <c r="E303" s="651" t="s">
        <v>4256</v>
      </c>
    </row>
    <row r="304" spans="1:5">
      <c r="A304" s="59" t="s">
        <v>4257</v>
      </c>
      <c r="B304" s="651" t="s">
        <v>4258</v>
      </c>
      <c r="C304" s="70" t="s">
        <v>4259</v>
      </c>
      <c r="D304" s="651" t="s">
        <v>4260</v>
      </c>
      <c r="E304" s="651"/>
    </row>
    <row r="305" spans="1:5">
      <c r="A305" s="59" t="s">
        <v>4261</v>
      </c>
      <c r="B305" s="651" t="s">
        <v>3755</v>
      </c>
      <c r="C305" s="651" t="s">
        <v>4242</v>
      </c>
      <c r="D305" s="651" t="s">
        <v>4262</v>
      </c>
      <c r="E305" s="651"/>
    </row>
    <row r="306" spans="1:5">
      <c r="A306" s="70" t="s">
        <v>4263</v>
      </c>
      <c r="B306" s="652" t="s">
        <v>4264</v>
      </c>
      <c r="C306" s="76" t="s">
        <v>3779</v>
      </c>
      <c r="D306" s="651" t="s">
        <v>4265</v>
      </c>
      <c r="E306" s="651"/>
    </row>
    <row r="307" spans="1:5">
      <c r="A307" s="59" t="s">
        <v>4266</v>
      </c>
      <c r="B307" s="651" t="s">
        <v>4267</v>
      </c>
      <c r="C307" s="651" t="s">
        <v>4268</v>
      </c>
      <c r="D307" s="651" t="s">
        <v>4269</v>
      </c>
      <c r="E307" s="651"/>
    </row>
    <row r="308" spans="1:5" ht="38.25">
      <c r="A308" s="9" t="s">
        <v>4270</v>
      </c>
      <c r="B308" s="9" t="s">
        <v>3692</v>
      </c>
      <c r="C308" s="9" t="s">
        <v>3706</v>
      </c>
      <c r="D308" s="9" t="s">
        <v>4271</v>
      </c>
      <c r="E308" s="9" t="s">
        <v>4272</v>
      </c>
    </row>
    <row r="309" spans="1:5">
      <c r="A309" s="9" t="s">
        <v>4273</v>
      </c>
      <c r="B309" s="9" t="s">
        <v>4274</v>
      </c>
      <c r="C309" s="9" t="s">
        <v>3706</v>
      </c>
    </row>
    <row r="310" spans="1:5">
      <c r="A310" s="9" t="s">
        <v>4275</v>
      </c>
      <c r="C310" s="9" t="s">
        <v>4276</v>
      </c>
      <c r="D310" s="9" t="s">
        <v>4277</v>
      </c>
    </row>
    <row r="311" spans="1:5">
      <c r="A311" s="9" t="s">
        <v>4278</v>
      </c>
      <c r="B311" s="9" t="s">
        <v>3924</v>
      </c>
      <c r="C311" s="9" t="s">
        <v>3706</v>
      </c>
      <c r="D311" s="9" t="s">
        <v>4279</v>
      </c>
      <c r="E311" s="9" t="s">
        <v>4280</v>
      </c>
    </row>
    <row r="312" spans="1:5">
      <c r="A312" s="9" t="s">
        <v>4281</v>
      </c>
      <c r="B312" s="9" t="s">
        <v>3755</v>
      </c>
      <c r="C312" s="9" t="s">
        <v>4282</v>
      </c>
      <c r="D312" s="9"/>
    </row>
    <row r="313" spans="1:5">
      <c r="A313" s="9" t="s">
        <v>1217</v>
      </c>
      <c r="B313" s="9" t="s">
        <v>3939</v>
      </c>
      <c r="C313" s="9" t="s">
        <v>3819</v>
      </c>
    </row>
    <row r="314" spans="1:5">
      <c r="A314" s="9" t="s">
        <v>4283</v>
      </c>
      <c r="B314" s="9" t="s">
        <v>3755</v>
      </c>
      <c r="C314" s="9" t="s">
        <v>4284</v>
      </c>
    </row>
    <row r="315" spans="1:5">
      <c r="A315" s="9" t="s">
        <v>4285</v>
      </c>
      <c r="B315" s="9" t="s">
        <v>3692</v>
      </c>
      <c r="C315" s="9" t="s">
        <v>3706</v>
      </c>
      <c r="D315" s="9" t="s">
        <v>4286</v>
      </c>
      <c r="E315" s="615" t="s">
        <v>4287</v>
      </c>
    </row>
    <row r="316" spans="1:5">
      <c r="A316" s="9" t="s">
        <v>4288</v>
      </c>
      <c r="B316" s="9"/>
      <c r="C316" s="9"/>
      <c r="D316" s="9" t="s">
        <v>4289</v>
      </c>
      <c r="E316" s="9" t="s">
        <v>4290</v>
      </c>
    </row>
    <row r="317" spans="1:5">
      <c r="A317" s="9" t="s">
        <v>4291</v>
      </c>
      <c r="B317" s="9" t="s">
        <v>3692</v>
      </c>
      <c r="C317" s="9" t="s">
        <v>3785</v>
      </c>
      <c r="D317" s="9" t="s">
        <v>4292</v>
      </c>
    </row>
    <row r="318" spans="1:5">
      <c r="A318" s="9" t="s">
        <v>4293</v>
      </c>
      <c r="B318" s="9" t="s">
        <v>3692</v>
      </c>
      <c r="C318" s="20" t="s">
        <v>4163</v>
      </c>
    </row>
    <row r="319" spans="1:5">
      <c r="A319" s="9" t="s">
        <v>4294</v>
      </c>
      <c r="B319" s="40" t="s">
        <v>3755</v>
      </c>
      <c r="C319" s="9" t="s">
        <v>4295</v>
      </c>
    </row>
    <row r="320" spans="1:5">
      <c r="A320" s="59" t="s">
        <v>4296</v>
      </c>
      <c r="B320" s="9" t="s">
        <v>4297</v>
      </c>
      <c r="C320" s="9" t="s">
        <v>9023</v>
      </c>
      <c r="D320" s="9" t="s">
        <v>3692</v>
      </c>
    </row>
    <row r="321" spans="1:5">
      <c r="A321" s="9" t="s">
        <v>4298</v>
      </c>
      <c r="B321" s="9" t="s">
        <v>4299</v>
      </c>
      <c r="C321" s="9" t="s">
        <v>3782</v>
      </c>
      <c r="D321" s="2327" t="s">
        <v>4300</v>
      </c>
    </row>
    <row r="322" spans="1:5">
      <c r="A322" s="9" t="s">
        <v>4301</v>
      </c>
      <c r="B322" s="9" t="s">
        <v>4302</v>
      </c>
      <c r="C322" s="9" t="s">
        <v>4303</v>
      </c>
      <c r="D322" s="2328" t="s">
        <v>4304</v>
      </c>
    </row>
    <row r="323" spans="1:5">
      <c r="A323" s="9" t="s">
        <v>4305</v>
      </c>
      <c r="B323" s="9" t="s">
        <v>4306</v>
      </c>
      <c r="D323" s="2329"/>
    </row>
    <row r="327" spans="1:5">
      <c r="A327" s="253" t="s">
        <v>4307</v>
      </c>
      <c r="B327" s="9" t="s">
        <v>4308</v>
      </c>
      <c r="C327" s="9" t="s">
        <v>4309</v>
      </c>
      <c r="D327" s="9"/>
      <c r="E327" s="9"/>
    </row>
    <row r="328" spans="1:5">
      <c r="A328" s="9" t="s">
        <v>4310</v>
      </c>
      <c r="B328" s="9" t="s">
        <v>4311</v>
      </c>
      <c r="C328" s="9" t="s">
        <v>4312</v>
      </c>
      <c r="D328" s="653" t="s">
        <v>4313</v>
      </c>
      <c r="E328" s="9" t="s">
        <v>4314</v>
      </c>
    </row>
    <row r="329" spans="1:5">
      <c r="A329" s="9" t="s">
        <v>4315</v>
      </c>
      <c r="B329" s="9" t="s">
        <v>4316</v>
      </c>
      <c r="D329" s="653" t="s">
        <v>4317</v>
      </c>
      <c r="E329" s="9" t="s">
        <v>4318</v>
      </c>
    </row>
    <row r="330" spans="1:5">
      <c r="A330" s="9" t="s">
        <v>4319</v>
      </c>
      <c r="B330" s="9" t="s">
        <v>3859</v>
      </c>
      <c r="C330" s="9" t="s">
        <v>3779</v>
      </c>
      <c r="D330" s="9" t="s">
        <v>4320</v>
      </c>
    </row>
    <row r="331" spans="1:5">
      <c r="A331" s="9" t="s">
        <v>4321</v>
      </c>
      <c r="B331" s="9" t="s">
        <v>3692</v>
      </c>
      <c r="C331" s="40">
        <v>2816</v>
      </c>
      <c r="D331" s="9" t="s">
        <v>4322</v>
      </c>
    </row>
    <row r="332" spans="1:5">
      <c r="A332" s="9" t="s">
        <v>4323</v>
      </c>
      <c r="B332" s="9" t="s">
        <v>4324</v>
      </c>
      <c r="C332" s="9" t="s">
        <v>4325</v>
      </c>
      <c r="D332" s="9" t="s">
        <v>4326</v>
      </c>
    </row>
    <row r="333" spans="1:5">
      <c r="A333" s="9" t="s">
        <v>4327</v>
      </c>
      <c r="B333" s="9" t="s">
        <v>4328</v>
      </c>
      <c r="C333" s="9" t="s">
        <v>4295</v>
      </c>
    </row>
    <row r="334" spans="1:5">
      <c r="A334" s="9" t="s">
        <v>4329</v>
      </c>
      <c r="B334" s="9" t="s">
        <v>4330</v>
      </c>
      <c r="C334" s="9" t="s">
        <v>4055</v>
      </c>
    </row>
    <row r="335" spans="1:5">
      <c r="A335" s="9" t="s">
        <v>4329</v>
      </c>
      <c r="B335" s="9" t="s">
        <v>3692</v>
      </c>
      <c r="C335" s="9" t="s">
        <v>4331</v>
      </c>
    </row>
    <row r="336" spans="1:5">
      <c r="A336" s="9" t="s">
        <v>4332</v>
      </c>
      <c r="B336" s="9" t="s">
        <v>4333</v>
      </c>
      <c r="C336" s="9" t="s">
        <v>3785</v>
      </c>
    </row>
    <row r="337" spans="1:5">
      <c r="A337" s="9" t="s">
        <v>4334</v>
      </c>
      <c r="B337" s="9" t="s">
        <v>4335</v>
      </c>
      <c r="C337" s="9" t="s">
        <v>3785</v>
      </c>
      <c r="D337" s="365" t="s">
        <v>4336</v>
      </c>
      <c r="E337" s="653" t="s">
        <v>4337</v>
      </c>
    </row>
    <row r="338" spans="1:5">
      <c r="A338" s="253" t="s">
        <v>4338</v>
      </c>
      <c r="B338" s="9" t="s">
        <v>3692</v>
      </c>
      <c r="C338" s="9" t="s">
        <v>3785</v>
      </c>
      <c r="D338" s="653" t="s">
        <v>4339</v>
      </c>
      <c r="E338" s="9" t="s">
        <v>4340</v>
      </c>
    </row>
    <row r="339" spans="1:5" ht="15">
      <c r="A339" s="9" t="s">
        <v>4341</v>
      </c>
      <c r="B339" s="9" t="s">
        <v>3692</v>
      </c>
      <c r="C339" s="9" t="s">
        <v>3785</v>
      </c>
      <c r="D339" s="654" t="s">
        <v>4342</v>
      </c>
      <c r="E339" s="9" t="s">
        <v>4343</v>
      </c>
    </row>
    <row r="340" spans="1:5">
      <c r="A340" s="9" t="s">
        <v>4344</v>
      </c>
      <c r="B340" s="9" t="s">
        <v>3692</v>
      </c>
      <c r="C340" s="9" t="s">
        <v>3785</v>
      </c>
      <c r="D340" s="655" t="s">
        <v>4345</v>
      </c>
      <c r="E340" s="653" t="s">
        <v>4346</v>
      </c>
    </row>
    <row r="341" spans="1:5" ht="12.75" customHeight="1">
      <c r="A341" s="9" t="s">
        <v>4347</v>
      </c>
      <c r="B341" s="9" t="s">
        <v>3924</v>
      </c>
      <c r="C341" s="9" t="s">
        <v>3785</v>
      </c>
      <c r="D341" s="656" t="s">
        <v>4348</v>
      </c>
    </row>
    <row r="342" spans="1:5" ht="15">
      <c r="A342" s="9" t="s">
        <v>4349</v>
      </c>
      <c r="B342" s="9" t="s">
        <v>4350</v>
      </c>
      <c r="C342" s="9" t="s">
        <v>3706</v>
      </c>
      <c r="D342" s="657"/>
    </row>
    <row r="343" spans="1:5">
      <c r="A343" s="9" t="s">
        <v>3716</v>
      </c>
      <c r="B343" s="9" t="s">
        <v>3781</v>
      </c>
      <c r="C343" s="9" t="s">
        <v>3782</v>
      </c>
    </row>
    <row r="346" spans="1:5" ht="25.5">
      <c r="A346" s="9" t="s">
        <v>4351</v>
      </c>
      <c r="B346" s="9" t="s">
        <v>3920</v>
      </c>
      <c r="D346" s="603" t="s">
        <v>4352</v>
      </c>
    </row>
    <row r="347" spans="1:5" ht="14.25">
      <c r="A347" s="9" t="s">
        <v>4353</v>
      </c>
      <c r="B347" s="9" t="s">
        <v>3920</v>
      </c>
      <c r="C347" s="658" t="s">
        <v>3706</v>
      </c>
      <c r="D347" s="659" t="s">
        <v>4354</v>
      </c>
      <c r="E347" s="9"/>
    </row>
    <row r="348" spans="1:5">
      <c r="A348" s="9" t="s">
        <v>4355</v>
      </c>
      <c r="B348" s="9" t="s">
        <v>3292</v>
      </c>
      <c r="C348" s="9" t="s">
        <v>4356</v>
      </c>
      <c r="D348" s="9"/>
      <c r="E348" s="9"/>
    </row>
    <row r="349" spans="1:5">
      <c r="A349" s="9" t="s">
        <v>4357</v>
      </c>
      <c r="B349" s="9" t="s">
        <v>3755</v>
      </c>
      <c r="C349" s="9" t="s">
        <v>4358</v>
      </c>
      <c r="D349" s="9"/>
      <c r="E349" s="9"/>
    </row>
    <row r="350" spans="1:5">
      <c r="A350" s="9" t="s">
        <v>4359</v>
      </c>
      <c r="B350" s="9" t="s">
        <v>4360</v>
      </c>
      <c r="C350" s="20"/>
      <c r="D350" s="9" t="s">
        <v>4361</v>
      </c>
      <c r="E350" s="9"/>
    </row>
    <row r="351" spans="1:5">
      <c r="A351" s="9" t="s">
        <v>4362</v>
      </c>
      <c r="B351" s="9" t="s">
        <v>3755</v>
      </c>
      <c r="C351" s="9" t="s">
        <v>4363</v>
      </c>
      <c r="D351" s="20" t="s">
        <v>4364</v>
      </c>
      <c r="E351" s="9" t="s">
        <v>4365</v>
      </c>
    </row>
    <row r="352" spans="1:5">
      <c r="A352" s="9" t="s">
        <v>4366</v>
      </c>
      <c r="B352" s="9" t="s">
        <v>3755</v>
      </c>
      <c r="C352" s="9" t="s">
        <v>3785</v>
      </c>
      <c r="D352" s="9" t="s">
        <v>4367</v>
      </c>
    </row>
    <row r="353" spans="1:4">
      <c r="A353" s="9" t="s">
        <v>4368</v>
      </c>
      <c r="B353" s="9" t="s">
        <v>4369</v>
      </c>
      <c r="C353" s="9" t="s">
        <v>4370</v>
      </c>
      <c r="D353" s="9" t="s">
        <v>4371</v>
      </c>
    </row>
    <row r="354" spans="1:4">
      <c r="A354" s="653" t="s">
        <v>4372</v>
      </c>
      <c r="B354" s="9" t="s">
        <v>4373</v>
      </c>
      <c r="D354" s="9" t="s">
        <v>4374</v>
      </c>
    </row>
    <row r="355" spans="1:4">
      <c r="A355" s="9" t="s">
        <v>4375</v>
      </c>
      <c r="B355" s="9" t="s">
        <v>4376</v>
      </c>
      <c r="C355" s="9" t="s">
        <v>4377</v>
      </c>
    </row>
    <row r="356" spans="1:4">
      <c r="A356" s="9" t="s">
        <v>4378</v>
      </c>
      <c r="B356" s="9" t="s">
        <v>4379</v>
      </c>
      <c r="C356" s="9" t="s">
        <v>4380</v>
      </c>
    </row>
    <row r="357" spans="1:4">
      <c r="A357" s="9" t="s">
        <v>4381</v>
      </c>
      <c r="B357" s="9" t="s">
        <v>4382</v>
      </c>
      <c r="C357" s="9" t="s">
        <v>3692</v>
      </c>
    </row>
    <row r="358" spans="1:4">
      <c r="A358" s="9" t="s">
        <v>4383</v>
      </c>
      <c r="B358" s="9" t="s">
        <v>3920</v>
      </c>
      <c r="C358" s="9" t="s">
        <v>4384</v>
      </c>
      <c r="D358" s="9" t="s">
        <v>4385</v>
      </c>
    </row>
    <row r="359" spans="1:4" ht="12.75" customHeight="1">
      <c r="A359" s="760" t="s">
        <v>8838</v>
      </c>
      <c r="B359" s="760" t="s">
        <v>8839</v>
      </c>
      <c r="C359" s="1653" t="s">
        <v>8841</v>
      </c>
      <c r="D359" s="760" t="s">
        <v>8840</v>
      </c>
    </row>
  </sheetData>
  <mergeCells count="1">
    <mergeCell ref="C23:D23"/>
  </mergeCells>
  <hyperlinks>
    <hyperlink ref="D1" r:id="rId1" display="https://www.bonanza.com/" xr:uid="{00000000-0004-0000-0A00-000000000000}"/>
    <hyperlink ref="E12" r:id="rId2" xr:uid="{00000000-0004-0000-0A00-000001000000}"/>
    <hyperlink ref="D25" r:id="rId3" xr:uid="{00000000-0004-0000-0A00-000002000000}"/>
    <hyperlink ref="A36" r:id="rId4" xr:uid="{00000000-0004-0000-0A00-000003000000}"/>
    <hyperlink ref="A37" r:id="rId5" xr:uid="{00000000-0004-0000-0A00-000004000000}"/>
    <hyperlink ref="D37" r:id="rId6" xr:uid="{00000000-0004-0000-0A00-000005000000}"/>
    <hyperlink ref="A38" r:id="rId7" xr:uid="{00000000-0004-0000-0A00-000006000000}"/>
    <hyperlink ref="A50" r:id="rId8" xr:uid="{00000000-0004-0000-0A00-000007000000}"/>
    <hyperlink ref="A63" r:id="rId9" xr:uid="{00000000-0004-0000-0A00-000008000000}"/>
    <hyperlink ref="E64" r:id="rId10" xr:uid="{00000000-0004-0000-0A00-000009000000}"/>
    <hyperlink ref="A85" r:id="rId11" xr:uid="{00000000-0004-0000-0A00-00000A000000}"/>
    <hyperlink ref="D92" r:id="rId12" xr:uid="{00000000-0004-0000-0A00-00000B000000}"/>
    <hyperlink ref="A94" r:id="rId13" xr:uid="{00000000-0004-0000-0A00-00000C000000}"/>
    <hyperlink ref="A95" r:id="rId14" xr:uid="{00000000-0004-0000-0A00-00000D000000}"/>
    <hyperlink ref="D96" r:id="rId15" xr:uid="{00000000-0004-0000-0A00-00000E000000}"/>
    <hyperlink ref="D99" r:id="rId16" xr:uid="{00000000-0004-0000-0A00-00000F000000}"/>
    <hyperlink ref="A105" r:id="rId17" xr:uid="{00000000-0004-0000-0A00-000010000000}"/>
    <hyperlink ref="D109" r:id="rId18" xr:uid="{00000000-0004-0000-0A00-000011000000}"/>
    <hyperlink ref="A114" r:id="rId19" xr:uid="{00000000-0004-0000-0A00-000012000000}"/>
    <hyperlink ref="E115" r:id="rId20" xr:uid="{00000000-0004-0000-0A00-000013000000}"/>
    <hyperlink ref="A116" r:id="rId21" xr:uid="{00000000-0004-0000-0A00-000014000000}"/>
    <hyperlink ref="D116" r:id="rId22" xr:uid="{00000000-0004-0000-0A00-000015000000}"/>
    <hyperlink ref="A124" r:id="rId23" xr:uid="{00000000-0004-0000-0A00-000016000000}"/>
    <hyperlink ref="A125" r:id="rId24" xr:uid="{00000000-0004-0000-0A00-000017000000}"/>
    <hyperlink ref="A126" r:id="rId25" xr:uid="{00000000-0004-0000-0A00-000018000000}"/>
    <hyperlink ref="A129" r:id="rId26" xr:uid="{00000000-0004-0000-0A00-000019000000}"/>
    <hyperlink ref="D139" r:id="rId27" xr:uid="{00000000-0004-0000-0A00-00001A000000}"/>
    <hyperlink ref="D140" r:id="rId28" xr:uid="{00000000-0004-0000-0A00-00001B000000}"/>
    <hyperlink ref="E142" r:id="rId29" xr:uid="{00000000-0004-0000-0A00-00001C000000}"/>
    <hyperlink ref="D143" r:id="rId30" xr:uid="{00000000-0004-0000-0A00-00001D000000}"/>
    <hyperlink ref="E143" r:id="rId31" xr:uid="{00000000-0004-0000-0A00-00001E000000}"/>
    <hyperlink ref="A146" r:id="rId32" xr:uid="{00000000-0004-0000-0A00-00001F000000}"/>
    <hyperlink ref="E155" r:id="rId33" xr:uid="{00000000-0004-0000-0A00-000020000000}"/>
    <hyperlink ref="A161" r:id="rId34" xr:uid="{00000000-0004-0000-0A00-000021000000}"/>
    <hyperlink ref="A166" r:id="rId35" xr:uid="{00000000-0004-0000-0A00-000022000000}"/>
    <hyperlink ref="E170" r:id="rId36" xr:uid="{00000000-0004-0000-0A00-000023000000}"/>
    <hyperlink ref="A179" r:id="rId37" xr:uid="{00000000-0004-0000-0A00-000024000000}"/>
    <hyperlink ref="A185" r:id="rId38" xr:uid="{00000000-0004-0000-0A00-000025000000}"/>
    <hyperlink ref="A188" r:id="rId39" xr:uid="{00000000-0004-0000-0A00-000026000000}"/>
    <hyperlink ref="A189" r:id="rId40" xr:uid="{00000000-0004-0000-0A00-000027000000}"/>
    <hyperlink ref="A190" r:id="rId41" xr:uid="{00000000-0004-0000-0A00-000028000000}"/>
    <hyperlink ref="A206" r:id="rId42" xr:uid="{00000000-0004-0000-0A00-000029000000}"/>
    <hyperlink ref="A214" r:id="rId43" xr:uid="{00000000-0004-0000-0A00-00002A000000}"/>
    <hyperlink ref="A215" r:id="rId44" xr:uid="{00000000-0004-0000-0A00-00002B000000}"/>
    <hyperlink ref="A219" r:id="rId45" xr:uid="{00000000-0004-0000-0A00-00002C000000}"/>
    <hyperlink ref="E220" r:id="rId46" xr:uid="{00000000-0004-0000-0A00-00002D000000}"/>
    <hyperlink ref="A221" r:id="rId47" xr:uid="{00000000-0004-0000-0A00-00002E000000}"/>
    <hyperlink ref="D228" r:id="rId48" location="/oneClickARSearch/BusinessSearch" xr:uid="{00000000-0004-0000-0A00-00002F000000}"/>
    <hyperlink ref="A231" r:id="rId49" xr:uid="{00000000-0004-0000-0A00-000030000000}"/>
    <hyperlink ref="D247" r:id="rId50" xr:uid="{00000000-0004-0000-0A00-000031000000}"/>
    <hyperlink ref="A270" r:id="rId51" xr:uid="{00000000-0004-0000-0A00-000032000000}"/>
    <hyperlink ref="A272" r:id="rId52" xr:uid="{00000000-0004-0000-0A00-000033000000}"/>
    <hyperlink ref="D285" r:id="rId53" location="/purchases" xr:uid="{00000000-0004-0000-0A00-000034000000}"/>
    <hyperlink ref="E315" r:id="rId54" xr:uid="{00000000-0004-0000-0A00-000035000000}"/>
    <hyperlink ref="A327" r:id="rId55" xr:uid="{00000000-0004-0000-0A00-000036000000}"/>
    <hyperlink ref="D328" r:id="rId56" xr:uid="{00000000-0004-0000-0A00-000037000000}"/>
    <hyperlink ref="D329" r:id="rId57" xr:uid="{00000000-0004-0000-0A00-000038000000}"/>
    <hyperlink ref="D337" r:id="rId58" xr:uid="{00000000-0004-0000-0A00-000039000000}"/>
    <hyperlink ref="E337" r:id="rId59" xr:uid="{00000000-0004-0000-0A00-00003A000000}"/>
    <hyperlink ref="A338" r:id="rId60" xr:uid="{00000000-0004-0000-0A00-00003B000000}"/>
    <hyperlink ref="D338" r:id="rId61" xr:uid="{00000000-0004-0000-0A00-00003C000000}"/>
    <hyperlink ref="E340" r:id="rId62" xr:uid="{00000000-0004-0000-0A00-00003D000000}"/>
    <hyperlink ref="D346" r:id="rId63" xr:uid="{00000000-0004-0000-0A00-00003E000000}"/>
    <hyperlink ref="D347" r:id="rId64" xr:uid="{00000000-0004-0000-0A00-00003F000000}"/>
    <hyperlink ref="A354" r:id="rId65" xr:uid="{00000000-0004-0000-0A00-000040000000}"/>
    <hyperlink ref="B35" r:id="rId66" xr:uid="{092E0081-4632-40AE-B827-2FCEC71098A5}"/>
    <hyperlink ref="B30" r:id="rId67" xr:uid="{8A456938-E5B5-4687-9DE7-CFE13AD06EF6}"/>
    <hyperlink ref="C359" r:id="rId68" xr:uid="{655F5F5D-7D36-460D-B08E-7660B5692135}"/>
    <hyperlink ref="B44" r:id="rId69" xr:uid="{04081313-3B88-4626-A63D-B69302996A3D}"/>
    <hyperlink ref="B29" r:id="rId70" xr:uid="{0CFF3FB8-DBFB-44B4-89D7-F1A660A54B2D}"/>
  </hyperlinks>
  <printOptions horizontalCentered="1" gridLines="1"/>
  <pageMargins left="0.7" right="0.7" top="0.75" bottom="0.75" header="0" footer="0"/>
  <pageSetup fitToHeight="0" pageOrder="overThenDown" orientation="portrait" cellComments="atEnd"/>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CC7C2-3CAB-4E1B-8158-AD57697E68FB}">
  <dimension ref="A1:U49"/>
  <sheetViews>
    <sheetView topLeftCell="D23" workbookViewId="0">
      <selection activeCell="B17" sqref="B17"/>
    </sheetView>
  </sheetViews>
  <sheetFormatPr defaultColWidth="12.7109375" defaultRowHeight="12.75"/>
  <cols>
    <col min="1" max="1" width="22.28515625" customWidth="1"/>
    <col min="2" max="11" width="10.140625" customWidth="1"/>
    <col min="12" max="13" width="9.7109375" customWidth="1"/>
    <col min="14" max="14" width="10.140625" customWidth="1"/>
    <col min="15" max="15" width="5.28515625" customWidth="1"/>
    <col min="17" max="17" width="25.85546875" customWidth="1"/>
  </cols>
  <sheetData>
    <row r="1" spans="1:21">
      <c r="A1" s="660"/>
      <c r="B1" s="660"/>
      <c r="C1" s="660"/>
      <c r="D1" s="660"/>
      <c r="E1" s="660"/>
      <c r="F1" s="660"/>
      <c r="G1" s="660"/>
      <c r="H1" s="660"/>
      <c r="I1" s="660"/>
      <c r="J1" s="660"/>
      <c r="K1" s="660"/>
      <c r="L1" s="660"/>
      <c r="M1" s="660"/>
      <c r="N1" s="660"/>
      <c r="O1" s="660"/>
      <c r="Q1" s="9" t="s">
        <v>4386</v>
      </c>
      <c r="S1" s="9" t="s">
        <v>4387</v>
      </c>
    </row>
    <row r="2" spans="1:21">
      <c r="A2" s="660"/>
      <c r="B2" s="660"/>
      <c r="C2" s="660"/>
      <c r="D2" s="660"/>
      <c r="E2" s="660"/>
      <c r="F2" s="660"/>
      <c r="G2" s="660"/>
      <c r="H2" s="660"/>
      <c r="I2" s="660"/>
      <c r="J2" s="660"/>
      <c r="K2" s="660"/>
      <c r="L2" s="660"/>
      <c r="M2" s="660"/>
      <c r="N2" s="660"/>
      <c r="O2" s="660"/>
      <c r="U2" s="9" t="s">
        <v>4388</v>
      </c>
    </row>
    <row r="3" spans="1:21">
      <c r="A3" s="2126" t="s">
        <v>4389</v>
      </c>
      <c r="B3" s="2127"/>
      <c r="C3" s="2127"/>
      <c r="D3" s="2127"/>
      <c r="E3" s="2127"/>
      <c r="F3" s="2127"/>
      <c r="G3" s="2127"/>
      <c r="H3" s="2127"/>
      <c r="I3" s="2127"/>
      <c r="J3" s="2127"/>
      <c r="K3" s="2127"/>
      <c r="L3" s="2127"/>
      <c r="M3" s="2127"/>
      <c r="N3" s="2128"/>
      <c r="O3" s="661"/>
      <c r="Q3" s="9" t="s">
        <v>4390</v>
      </c>
      <c r="R3" s="9">
        <v>2.99</v>
      </c>
      <c r="S3" s="9">
        <v>27</v>
      </c>
      <c r="T3" s="9" t="s">
        <v>116</v>
      </c>
      <c r="U3" s="9" t="s">
        <v>1114</v>
      </c>
    </row>
    <row r="4" spans="1:21" ht="25.5">
      <c r="A4" s="1997" t="s">
        <v>8930</v>
      </c>
      <c r="B4" s="663" t="s">
        <v>143</v>
      </c>
      <c r="C4" s="663" t="s">
        <v>26</v>
      </c>
      <c r="D4" s="663" t="s">
        <v>25</v>
      </c>
      <c r="E4" s="663" t="s">
        <v>24</v>
      </c>
      <c r="F4" s="663" t="s">
        <v>23</v>
      </c>
      <c r="G4" s="663" t="s">
        <v>22</v>
      </c>
      <c r="H4" s="663" t="s">
        <v>21</v>
      </c>
      <c r="I4" s="663" t="s">
        <v>20</v>
      </c>
      <c r="J4" s="663" t="s">
        <v>256</v>
      </c>
      <c r="K4" s="663" t="s">
        <v>18</v>
      </c>
      <c r="L4" s="663" t="s">
        <v>17</v>
      </c>
      <c r="M4" s="663" t="s">
        <v>86</v>
      </c>
      <c r="N4" s="664" t="s">
        <v>67</v>
      </c>
      <c r="O4" s="665"/>
      <c r="P4" s="69" t="s">
        <v>4392</v>
      </c>
      <c r="Q4" s="18" t="s">
        <v>4393</v>
      </c>
      <c r="R4" s="9">
        <v>9.9499999999999993</v>
      </c>
      <c r="S4" s="9">
        <v>28</v>
      </c>
      <c r="T4" s="9" t="s">
        <v>116</v>
      </c>
      <c r="U4" s="9" t="s">
        <v>4394</v>
      </c>
    </row>
    <row r="5" spans="1:21">
      <c r="A5" s="1998" t="s">
        <v>6847</v>
      </c>
      <c r="B5" s="667"/>
      <c r="C5" s="667"/>
      <c r="D5" s="667"/>
      <c r="E5" s="667"/>
      <c r="F5" s="667"/>
      <c r="G5" s="667"/>
      <c r="H5" s="667"/>
      <c r="I5" s="667"/>
      <c r="J5" s="667"/>
      <c r="K5" s="667"/>
      <c r="L5" s="667"/>
      <c r="M5" s="667"/>
      <c r="N5" s="668">
        <f>SUM(B5:M5)</f>
        <v>0</v>
      </c>
      <c r="O5" s="669"/>
      <c r="P5" s="69"/>
      <c r="Q5" s="670" t="s">
        <v>4396</v>
      </c>
      <c r="R5" s="9">
        <v>5.99</v>
      </c>
      <c r="T5" s="9" t="s">
        <v>116</v>
      </c>
      <c r="U5" s="9" t="s">
        <v>1114</v>
      </c>
    </row>
    <row r="6" spans="1:21">
      <c r="A6" s="666" t="s">
        <v>4397</v>
      </c>
      <c r="B6" s="671"/>
      <c r="C6" s="671"/>
      <c r="D6" s="671"/>
      <c r="E6" s="671"/>
      <c r="F6" s="671"/>
      <c r="G6" s="671"/>
      <c r="H6" s="671"/>
      <c r="I6" s="671"/>
      <c r="J6" s="671"/>
      <c r="K6" s="671"/>
      <c r="L6" s="671"/>
      <c r="M6" s="671"/>
      <c r="N6" s="668"/>
      <c r="O6" s="672"/>
      <c r="P6" s="69"/>
      <c r="Q6" s="673" t="s">
        <v>4398</v>
      </c>
      <c r="R6" s="9">
        <v>6.5</v>
      </c>
      <c r="S6" s="9">
        <v>26</v>
      </c>
      <c r="T6" s="9" t="s">
        <v>116</v>
      </c>
      <c r="U6" s="9" t="s">
        <v>1114</v>
      </c>
    </row>
    <row r="7" spans="1:21">
      <c r="A7" s="674" t="s">
        <v>4399</v>
      </c>
      <c r="B7" s="675"/>
      <c r="C7" s="675"/>
      <c r="D7" s="675"/>
      <c r="E7" s="675"/>
      <c r="F7" s="675"/>
      <c r="G7" s="675"/>
      <c r="H7" s="675"/>
      <c r="I7" s="675"/>
      <c r="J7" s="675"/>
      <c r="K7" s="675"/>
      <c r="L7" s="676">
        <v>2331.1</v>
      </c>
      <c r="M7" s="675"/>
      <c r="N7" s="677">
        <f t="shared" ref="N7:N19" si="0">SUM(B7:M7)</f>
        <v>2331.1</v>
      </c>
      <c r="O7" s="672"/>
      <c r="P7" s="678">
        <v>0</v>
      </c>
      <c r="Q7" s="679" t="s">
        <v>4400</v>
      </c>
      <c r="R7" s="9">
        <v>4.9000000000000004</v>
      </c>
      <c r="S7" s="9">
        <v>26</v>
      </c>
      <c r="T7" s="9" t="s">
        <v>116</v>
      </c>
      <c r="U7" s="9" t="s">
        <v>1114</v>
      </c>
    </row>
    <row r="8" spans="1:21">
      <c r="A8" s="680" t="s">
        <v>4401</v>
      </c>
      <c r="B8" s="680"/>
      <c r="C8" s="680"/>
      <c r="D8" s="680"/>
      <c r="E8" s="680"/>
      <c r="F8" s="680"/>
      <c r="G8" s="680"/>
      <c r="H8" s="680"/>
      <c r="I8" s="680"/>
      <c r="J8" s="680"/>
      <c r="K8" s="680">
        <v>3.75</v>
      </c>
      <c r="L8" s="680">
        <v>3.75</v>
      </c>
      <c r="M8" s="680"/>
      <c r="N8" s="677">
        <f t="shared" si="0"/>
        <v>7.5</v>
      </c>
      <c r="O8" s="681"/>
      <c r="P8" s="682">
        <f>AVERAGE(B8:K8)</f>
        <v>3.75</v>
      </c>
      <c r="Q8" s="9" t="s">
        <v>4402</v>
      </c>
      <c r="R8" s="82">
        <v>15</v>
      </c>
      <c r="S8" s="9">
        <v>19</v>
      </c>
      <c r="T8" s="9" t="s">
        <v>116</v>
      </c>
      <c r="U8" s="9" t="s">
        <v>1114</v>
      </c>
    </row>
    <row r="9" spans="1:21">
      <c r="A9" s="683" t="s">
        <v>4403</v>
      </c>
      <c r="B9" s="683"/>
      <c r="C9" s="683"/>
      <c r="D9" s="683"/>
      <c r="E9" s="683"/>
      <c r="F9" s="683"/>
      <c r="G9" s="683"/>
      <c r="H9" s="683"/>
      <c r="I9" s="683"/>
      <c r="J9" s="683"/>
      <c r="K9" s="683">
        <v>129.58000000000001</v>
      </c>
      <c r="L9" s="683">
        <v>138.41</v>
      </c>
      <c r="M9" s="683"/>
      <c r="N9" s="677">
        <f t="shared" si="0"/>
        <v>267.99</v>
      </c>
      <c r="O9" s="681"/>
      <c r="P9" s="682">
        <f t="shared" ref="P9:P20" si="1">AVERAGE(B9:K9)</f>
        <v>129.58000000000001</v>
      </c>
      <c r="Q9" s="684" t="s">
        <v>4404</v>
      </c>
      <c r="R9" s="9" t="s">
        <v>3592</v>
      </c>
      <c r="S9" s="9">
        <v>13</v>
      </c>
      <c r="T9" s="9" t="s">
        <v>4405</v>
      </c>
    </row>
    <row r="10" spans="1:21">
      <c r="A10" s="675" t="s">
        <v>4406</v>
      </c>
      <c r="B10" s="675"/>
      <c r="C10" s="675"/>
      <c r="D10" s="675"/>
      <c r="E10" s="675"/>
      <c r="F10" s="675"/>
      <c r="G10" s="675"/>
      <c r="H10" s="675"/>
      <c r="I10" s="675"/>
      <c r="J10" s="675"/>
      <c r="K10" s="675">
        <v>21.67</v>
      </c>
      <c r="L10" s="675">
        <v>22.34</v>
      </c>
      <c r="M10" s="675"/>
      <c r="N10" s="677">
        <f t="shared" si="0"/>
        <v>44.010000000000005</v>
      </c>
      <c r="O10" s="681"/>
      <c r="P10" s="682">
        <f t="shared" si="1"/>
        <v>21.67</v>
      </c>
      <c r="Q10" s="9" t="s">
        <v>3888</v>
      </c>
      <c r="R10" s="9">
        <v>5.41</v>
      </c>
      <c r="S10" s="9">
        <v>13</v>
      </c>
      <c r="T10" s="9" t="s">
        <v>4407</v>
      </c>
      <c r="U10" s="9" t="s">
        <v>1114</v>
      </c>
    </row>
    <row r="11" spans="1:21">
      <c r="A11" s="685" t="s">
        <v>4408</v>
      </c>
      <c r="B11" s="685"/>
      <c r="C11" s="685"/>
      <c r="D11" s="685"/>
      <c r="E11" s="685"/>
      <c r="F11" s="685"/>
      <c r="G11" s="685"/>
      <c r="H11" s="685"/>
      <c r="I11" s="685"/>
      <c r="J11" s="685"/>
      <c r="K11" s="685">
        <v>8.77</v>
      </c>
      <c r="L11" s="685">
        <v>8.77</v>
      </c>
      <c r="M11" s="685"/>
      <c r="N11" s="677">
        <f t="shared" si="0"/>
        <v>17.54</v>
      </c>
      <c r="O11" s="681"/>
      <c r="P11" s="682">
        <f t="shared" si="1"/>
        <v>8.77</v>
      </c>
      <c r="Q11" s="9" t="s">
        <v>4409</v>
      </c>
      <c r="R11" s="9">
        <v>190</v>
      </c>
      <c r="S11" s="9">
        <v>12</v>
      </c>
      <c r="T11" s="3" t="s">
        <v>4405</v>
      </c>
      <c r="U11" s="9" t="s">
        <v>4410</v>
      </c>
    </row>
    <row r="12" spans="1:21">
      <c r="A12" s="675" t="s">
        <v>4411</v>
      </c>
      <c r="B12" s="675"/>
      <c r="C12" s="675"/>
      <c r="D12" s="675"/>
      <c r="E12" s="675"/>
      <c r="F12" s="675"/>
      <c r="G12" s="675"/>
      <c r="H12" s="675"/>
      <c r="I12" s="675"/>
      <c r="J12" s="675"/>
      <c r="K12" s="675">
        <v>23.85</v>
      </c>
      <c r="L12" s="675">
        <v>23.85</v>
      </c>
      <c r="M12" s="675"/>
      <c r="N12" s="677">
        <f t="shared" si="0"/>
        <v>47.7</v>
      </c>
      <c r="O12" s="681"/>
      <c r="P12" s="682">
        <f t="shared" si="1"/>
        <v>23.85</v>
      </c>
      <c r="Q12" s="9" t="s">
        <v>4412</v>
      </c>
      <c r="R12" s="9">
        <v>10</v>
      </c>
      <c r="S12" s="9">
        <v>10</v>
      </c>
      <c r="T12" s="9" t="s">
        <v>116</v>
      </c>
      <c r="U12" s="9" t="s">
        <v>4413</v>
      </c>
    </row>
    <row r="13" spans="1:21">
      <c r="A13" s="683" t="s">
        <v>4414</v>
      </c>
      <c r="B13" s="683"/>
      <c r="C13" s="683"/>
      <c r="D13" s="683"/>
      <c r="E13" s="683"/>
      <c r="F13" s="683"/>
      <c r="G13" s="683"/>
      <c r="H13" s="683"/>
      <c r="I13" s="683"/>
      <c r="J13" s="683"/>
      <c r="K13" s="683">
        <v>47.26</v>
      </c>
      <c r="L13" s="683">
        <v>45.71</v>
      </c>
      <c r="M13" s="683"/>
      <c r="N13" s="677">
        <f t="shared" si="0"/>
        <v>92.97</v>
      </c>
      <c r="O13" s="681"/>
      <c r="P13" s="682">
        <f t="shared" si="1"/>
        <v>47.26</v>
      </c>
      <c r="Q13" s="9" t="s">
        <v>4415</v>
      </c>
      <c r="R13" s="9">
        <v>120</v>
      </c>
      <c r="S13" s="9">
        <v>11</v>
      </c>
      <c r="T13" s="9" t="s">
        <v>116</v>
      </c>
      <c r="U13" s="9" t="s">
        <v>1114</v>
      </c>
    </row>
    <row r="14" spans="1:21" s="1596" customFormat="1">
      <c r="A14" s="1859" t="s">
        <v>4416</v>
      </c>
      <c r="B14" s="1859"/>
      <c r="C14" s="1859"/>
      <c r="D14" s="1859"/>
      <c r="E14" s="1859"/>
      <c r="F14" s="1859"/>
      <c r="G14" s="1859"/>
      <c r="H14" s="1859"/>
      <c r="I14" s="1859"/>
      <c r="J14" s="1859"/>
      <c r="K14" s="1859">
        <v>0.31</v>
      </c>
      <c r="L14" s="1859">
        <v>0.28999999999999998</v>
      </c>
      <c r="M14" s="1859"/>
      <c r="N14" s="1860">
        <f t="shared" si="0"/>
        <v>0.6</v>
      </c>
      <c r="O14" s="1861"/>
      <c r="P14" s="682">
        <f t="shared" si="1"/>
        <v>0.31</v>
      </c>
      <c r="Q14" s="22" t="s">
        <v>1120</v>
      </c>
      <c r="R14" s="22" t="s">
        <v>135</v>
      </c>
      <c r="S14" s="22" t="s">
        <v>135</v>
      </c>
      <c r="T14" s="22" t="s">
        <v>135</v>
      </c>
      <c r="U14" s="22" t="s">
        <v>135</v>
      </c>
    </row>
    <row r="15" spans="1:21">
      <c r="A15" s="685" t="s">
        <v>4417</v>
      </c>
      <c r="B15" s="685"/>
      <c r="C15" s="685"/>
      <c r="D15" s="685"/>
      <c r="E15" s="685"/>
      <c r="F15" s="685"/>
      <c r="G15" s="685"/>
      <c r="H15" s="685"/>
      <c r="I15" s="685"/>
      <c r="J15" s="685"/>
      <c r="K15" s="685">
        <v>3.02</v>
      </c>
      <c r="L15" s="685">
        <v>3.22</v>
      </c>
      <c r="M15" s="685"/>
      <c r="N15" s="677">
        <f t="shared" si="0"/>
        <v>6.24</v>
      </c>
      <c r="O15" s="681"/>
      <c r="P15" s="682">
        <f t="shared" si="1"/>
        <v>3.02</v>
      </c>
    </row>
    <row r="16" spans="1:21">
      <c r="A16" s="686" t="s">
        <v>4418</v>
      </c>
      <c r="B16" s="686">
        <f t="shared" ref="B16:M16" si="2">SUM(B8:B15)</f>
        <v>0</v>
      </c>
      <c r="C16" s="686">
        <f t="shared" si="2"/>
        <v>0</v>
      </c>
      <c r="D16" s="686">
        <f t="shared" si="2"/>
        <v>0</v>
      </c>
      <c r="E16" s="686">
        <f t="shared" si="2"/>
        <v>0</v>
      </c>
      <c r="F16" s="686">
        <f t="shared" si="2"/>
        <v>0</v>
      </c>
      <c r="G16" s="686">
        <f t="shared" si="2"/>
        <v>0</v>
      </c>
      <c r="H16" s="686">
        <f t="shared" si="2"/>
        <v>0</v>
      </c>
      <c r="I16" s="686">
        <f t="shared" si="2"/>
        <v>0</v>
      </c>
      <c r="J16" s="686">
        <f t="shared" si="2"/>
        <v>0</v>
      </c>
      <c r="K16" s="686">
        <f t="shared" si="2"/>
        <v>238.21</v>
      </c>
      <c r="L16" s="686">
        <f t="shared" si="2"/>
        <v>246.34</v>
      </c>
      <c r="M16" s="686">
        <f t="shared" si="2"/>
        <v>0</v>
      </c>
      <c r="N16" s="677">
        <f t="shared" si="0"/>
        <v>484.55</v>
      </c>
      <c r="O16" s="681"/>
      <c r="P16" s="682">
        <f t="shared" si="1"/>
        <v>23.821000000000002</v>
      </c>
    </row>
    <row r="17" spans="1:18">
      <c r="A17" s="674" t="s">
        <v>4419</v>
      </c>
      <c r="B17" s="675"/>
      <c r="C17" s="675"/>
      <c r="D17" s="675"/>
      <c r="E17" s="675"/>
      <c r="F17" s="675"/>
      <c r="G17" s="675"/>
      <c r="H17" s="675"/>
      <c r="I17" s="675"/>
      <c r="J17" s="675"/>
      <c r="K17" s="675">
        <v>89.81</v>
      </c>
      <c r="L17" s="675">
        <v>254.62</v>
      </c>
      <c r="M17" s="675" t="s">
        <v>135</v>
      </c>
      <c r="N17" s="677">
        <f t="shared" si="0"/>
        <v>344.43</v>
      </c>
      <c r="O17" s="672"/>
      <c r="P17" s="682">
        <f t="shared" si="1"/>
        <v>89.81</v>
      </c>
    </row>
    <row r="18" spans="1:18" s="1596" customFormat="1">
      <c r="A18" s="1862" t="s">
        <v>4420</v>
      </c>
      <c r="B18" s="1863"/>
      <c r="C18" s="1863"/>
      <c r="D18" s="1863"/>
      <c r="E18" s="1863"/>
      <c r="F18" s="1863"/>
      <c r="G18" s="1863"/>
      <c r="H18" s="1863"/>
      <c r="I18" s="1863"/>
      <c r="J18" s="1863"/>
      <c r="K18" s="1863"/>
      <c r="L18" s="1864">
        <v>2995.54</v>
      </c>
      <c r="M18" s="1863"/>
      <c r="N18" s="1860">
        <f t="shared" si="0"/>
        <v>2995.54</v>
      </c>
      <c r="O18" s="1865"/>
      <c r="P18" s="682"/>
      <c r="Q18" s="1924" t="s">
        <v>8832</v>
      </c>
      <c r="R18" s="1596">
        <v>307</v>
      </c>
    </row>
    <row r="19" spans="1:18">
      <c r="A19" s="666" t="s">
        <v>4421</v>
      </c>
      <c r="B19" s="677">
        <f t="shared" ref="B19:M19" si="3">SUM(B16:B18)</f>
        <v>0</v>
      </c>
      <c r="C19" s="677">
        <f t="shared" si="3"/>
        <v>0</v>
      </c>
      <c r="D19" s="677">
        <f t="shared" si="3"/>
        <v>0</v>
      </c>
      <c r="E19" s="677">
        <f t="shared" si="3"/>
        <v>0</v>
      </c>
      <c r="F19" s="677">
        <f t="shared" si="3"/>
        <v>0</v>
      </c>
      <c r="G19" s="677">
        <f t="shared" si="3"/>
        <v>0</v>
      </c>
      <c r="H19" s="677">
        <f t="shared" si="3"/>
        <v>0</v>
      </c>
      <c r="I19" s="677">
        <f t="shared" si="3"/>
        <v>0</v>
      </c>
      <c r="J19" s="677">
        <f t="shared" si="3"/>
        <v>0</v>
      </c>
      <c r="K19" s="677">
        <f t="shared" si="3"/>
        <v>328.02</v>
      </c>
      <c r="L19" s="677">
        <f t="shared" si="3"/>
        <v>3496.5</v>
      </c>
      <c r="M19" s="677">
        <f t="shared" si="3"/>
        <v>0</v>
      </c>
      <c r="N19" s="668">
        <f t="shared" si="0"/>
        <v>3824.52</v>
      </c>
      <c r="O19" s="669"/>
      <c r="P19" s="682">
        <f t="shared" si="1"/>
        <v>32.802</v>
      </c>
      <c r="Q19" s="760" t="s">
        <v>8833</v>
      </c>
      <c r="R19">
        <f>2331/12</f>
        <v>194.25</v>
      </c>
    </row>
    <row r="20" spans="1:18">
      <c r="A20" s="689" t="s">
        <v>1126</v>
      </c>
      <c r="B20" s="690">
        <f t="shared" ref="B20:M20" si="4">B19</f>
        <v>0</v>
      </c>
      <c r="C20" s="690">
        <f t="shared" si="4"/>
        <v>0</v>
      </c>
      <c r="D20" s="690">
        <f t="shared" si="4"/>
        <v>0</v>
      </c>
      <c r="E20" s="690">
        <f t="shared" si="4"/>
        <v>0</v>
      </c>
      <c r="F20" s="690">
        <f t="shared" si="4"/>
        <v>0</v>
      </c>
      <c r="G20" s="690">
        <f t="shared" si="4"/>
        <v>0</v>
      </c>
      <c r="H20" s="690">
        <f t="shared" si="4"/>
        <v>0</v>
      </c>
      <c r="I20" s="690">
        <f t="shared" si="4"/>
        <v>0</v>
      </c>
      <c r="J20" s="690">
        <f t="shared" si="4"/>
        <v>0</v>
      </c>
      <c r="K20" s="690">
        <f t="shared" si="4"/>
        <v>328.02</v>
      </c>
      <c r="L20" s="690">
        <f t="shared" si="4"/>
        <v>3496.5</v>
      </c>
      <c r="M20" s="690">
        <f t="shared" si="4"/>
        <v>0</v>
      </c>
      <c r="N20" s="690">
        <f>SUM(N7:N18)</f>
        <v>6640.17</v>
      </c>
      <c r="O20" s="691"/>
      <c r="P20" s="682">
        <f t="shared" si="1"/>
        <v>32.802</v>
      </c>
    </row>
    <row r="21" spans="1:18">
      <c r="A21" s="692"/>
      <c r="B21" s="693"/>
      <c r="C21" s="693"/>
      <c r="D21" s="693"/>
      <c r="E21" s="693"/>
      <c r="F21" s="693"/>
      <c r="G21" s="693"/>
      <c r="H21" s="693"/>
      <c r="I21" s="693"/>
      <c r="J21" s="693"/>
      <c r="K21" s="693"/>
      <c r="L21" s="693"/>
      <c r="M21" s="693"/>
      <c r="N21" s="693"/>
      <c r="O21" s="694"/>
    </row>
    <row r="22" spans="1:18" ht="14.25">
      <c r="A22" s="9"/>
      <c r="B22" s="9"/>
      <c r="C22" s="9"/>
      <c r="D22" s="9"/>
      <c r="E22" s="9"/>
      <c r="F22" s="9"/>
      <c r="G22" s="9"/>
      <c r="H22" s="9"/>
      <c r="I22" s="9"/>
      <c r="J22" s="9"/>
      <c r="K22" s="9"/>
      <c r="Q22" s="9" t="s">
        <v>4422</v>
      </c>
      <c r="R22" s="695"/>
    </row>
    <row r="23" spans="1:18">
      <c r="Q23" s="11">
        <f>L7*1.5/100</f>
        <v>34.966499999999996</v>
      </c>
    </row>
    <row r="24" spans="1:18">
      <c r="A24" s="660"/>
      <c r="B24" s="660"/>
      <c r="C24" s="660"/>
      <c r="D24" s="660"/>
      <c r="E24" s="660"/>
      <c r="F24" s="660"/>
      <c r="G24" s="660"/>
      <c r="H24" s="660"/>
      <c r="I24" s="660"/>
      <c r="J24" s="660"/>
      <c r="K24" s="660"/>
      <c r="L24" s="660"/>
      <c r="M24" s="660"/>
      <c r="N24" s="660"/>
      <c r="O24" s="660"/>
      <c r="R24" s="43"/>
    </row>
    <row r="25" spans="1:18">
      <c r="A25" s="2126" t="s">
        <v>4423</v>
      </c>
      <c r="B25" s="2127"/>
      <c r="C25" s="2127"/>
      <c r="D25" s="2127"/>
      <c r="E25" s="2127"/>
      <c r="F25" s="2127"/>
      <c r="G25" s="2127"/>
      <c r="H25" s="2127"/>
      <c r="I25" s="2127"/>
      <c r="J25" s="2127"/>
      <c r="K25" s="2127"/>
      <c r="L25" s="2127"/>
      <c r="M25" s="2127"/>
      <c r="N25" s="2128"/>
      <c r="O25" s="661"/>
    </row>
    <row r="26" spans="1:18">
      <c r="A26" s="1997" t="s">
        <v>8929</v>
      </c>
      <c r="B26" s="663" t="s">
        <v>143</v>
      </c>
      <c r="C26" s="663" t="s">
        <v>26</v>
      </c>
      <c r="D26" s="663" t="s">
        <v>25</v>
      </c>
      <c r="E26" s="663" t="s">
        <v>24</v>
      </c>
      <c r="F26" s="663" t="s">
        <v>23</v>
      </c>
      <c r="G26" s="663" t="s">
        <v>22</v>
      </c>
      <c r="H26" s="663" t="s">
        <v>21</v>
      </c>
      <c r="I26" s="663" t="s">
        <v>20</v>
      </c>
      <c r="J26" s="663" t="s">
        <v>256</v>
      </c>
      <c r="K26" s="663" t="s">
        <v>18</v>
      </c>
      <c r="L26" s="663" t="s">
        <v>17</v>
      </c>
      <c r="M26" s="663" t="s">
        <v>86</v>
      </c>
      <c r="N26" s="664" t="s">
        <v>67</v>
      </c>
      <c r="O26" s="665"/>
      <c r="Q26" s="40">
        <f>175.6-88.84</f>
        <v>86.759999999999991</v>
      </c>
    </row>
    <row r="27" spans="1:18">
      <c r="A27" s="666" t="s">
        <v>4424</v>
      </c>
      <c r="B27" s="671"/>
      <c r="C27" s="671"/>
      <c r="D27" s="671"/>
      <c r="E27" s="671"/>
      <c r="F27" s="671"/>
      <c r="G27" s="671"/>
      <c r="H27" s="671"/>
      <c r="I27" s="671"/>
      <c r="J27" s="671"/>
      <c r="K27" s="671"/>
      <c r="L27" s="671"/>
      <c r="M27" s="671"/>
      <c r="N27" s="668"/>
      <c r="O27" s="672"/>
    </row>
    <row r="28" spans="1:18">
      <c r="A28" s="674" t="s">
        <v>4425</v>
      </c>
      <c r="B28" s="696">
        <v>0</v>
      </c>
      <c r="C28" s="697"/>
      <c r="D28" s="697"/>
      <c r="E28" s="698"/>
      <c r="F28" s="697"/>
      <c r="G28" s="697"/>
      <c r="H28" s="697"/>
      <c r="I28" s="697"/>
      <c r="J28" s="697"/>
      <c r="K28" s="697"/>
      <c r="L28" s="697"/>
      <c r="M28" s="697"/>
      <c r="N28" s="668">
        <f>SUM(B28:M28)</f>
        <v>0</v>
      </c>
      <c r="O28" s="672"/>
      <c r="Q28">
        <f>556.25*4</f>
        <v>2225</v>
      </c>
    </row>
    <row r="29" spans="1:18">
      <c r="A29" s="674" t="s">
        <v>4426</v>
      </c>
      <c r="B29" s="699">
        <v>120</v>
      </c>
      <c r="C29" s="697"/>
      <c r="D29" s="697"/>
      <c r="E29" s="698"/>
      <c r="F29" s="697"/>
      <c r="G29" s="697"/>
      <c r="H29" s="697"/>
      <c r="I29" s="697"/>
      <c r="J29" s="697"/>
      <c r="K29" s="697"/>
      <c r="L29" s="697"/>
      <c r="M29" s="697"/>
      <c r="N29" s="668">
        <f>SUM(B29:M29)</f>
        <v>120</v>
      </c>
      <c r="O29" s="672"/>
    </row>
    <row r="30" spans="1:18">
      <c r="A30" s="674" t="s">
        <v>4427</v>
      </c>
      <c r="B30" s="696">
        <v>0</v>
      </c>
      <c r="C30" s="675"/>
      <c r="D30" s="697"/>
      <c r="E30" s="698"/>
      <c r="F30" s="697"/>
      <c r="G30" s="697"/>
      <c r="H30" s="697"/>
      <c r="I30" s="697"/>
      <c r="J30" s="697"/>
      <c r="K30" s="697"/>
      <c r="L30" s="697"/>
      <c r="M30" s="697"/>
      <c r="N30" s="668">
        <f>SUM(B30:M30)</f>
        <v>0</v>
      </c>
      <c r="O30" s="672"/>
    </row>
    <row r="31" spans="1:18">
      <c r="A31" s="674" t="s">
        <v>4428</v>
      </c>
      <c r="B31" s="699">
        <v>135</v>
      </c>
      <c r="C31" s="697"/>
      <c r="D31" s="697"/>
      <c r="E31" s="698"/>
      <c r="F31" s="697"/>
      <c r="G31" s="697"/>
      <c r="H31" s="697"/>
      <c r="I31" s="697"/>
      <c r="J31" s="697"/>
      <c r="K31" s="697"/>
      <c r="L31" s="697"/>
      <c r="M31" s="697"/>
      <c r="N31" s="668">
        <f>SUM(I31:M31)</f>
        <v>0</v>
      </c>
      <c r="O31" s="672"/>
    </row>
    <row r="32" spans="1:18">
      <c r="A32" s="674" t="s">
        <v>4429</v>
      </c>
      <c r="B32" s="700">
        <v>0</v>
      </c>
      <c r="C32" s="697"/>
      <c r="D32" s="697"/>
      <c r="E32" s="698"/>
      <c r="F32" s="697"/>
      <c r="G32" s="697"/>
      <c r="H32" s="697"/>
      <c r="I32" s="697"/>
      <c r="J32" s="697"/>
      <c r="K32" s="697"/>
      <c r="L32" s="697"/>
      <c r="M32" s="697"/>
      <c r="N32" s="668">
        <f>SUM(B32:M32)</f>
        <v>0</v>
      </c>
      <c r="O32" s="672"/>
    </row>
    <row r="33" spans="1:17">
      <c r="A33" s="674"/>
      <c r="B33" s="701"/>
      <c r="C33" s="697"/>
      <c r="D33" s="702" t="s">
        <v>4430</v>
      </c>
      <c r="E33" s="698"/>
      <c r="F33" s="697"/>
      <c r="G33" s="697"/>
      <c r="H33" s="697"/>
      <c r="I33" s="697"/>
      <c r="J33" s="697"/>
      <c r="K33" s="697"/>
      <c r="L33" s="697"/>
      <c r="M33" s="697"/>
      <c r="N33" s="668">
        <f>SUM(B33:M33)</f>
        <v>0</v>
      </c>
      <c r="O33" s="672"/>
      <c r="P33" s="2088" t="s">
        <v>4431</v>
      </c>
      <c r="Q33" s="2087"/>
    </row>
    <row r="34" spans="1:17">
      <c r="A34" s="703"/>
      <c r="B34" s="696"/>
      <c r="C34" s="697"/>
      <c r="D34" s="697"/>
      <c r="E34" s="698"/>
      <c r="F34" s="697"/>
      <c r="G34" s="697"/>
      <c r="H34" s="704"/>
      <c r="I34" s="697"/>
      <c r="J34" s="697"/>
      <c r="K34" s="697"/>
      <c r="L34" s="697"/>
      <c r="M34" s="697"/>
      <c r="N34" s="668">
        <f>SUM(B34:M34)</f>
        <v>0</v>
      </c>
      <c r="O34" s="672"/>
    </row>
    <row r="35" spans="1:17">
      <c r="A35" s="674" t="s">
        <v>4432</v>
      </c>
      <c r="B35" s="699">
        <v>179</v>
      </c>
      <c r="C35" s="697"/>
      <c r="D35" s="697"/>
      <c r="E35" s="698"/>
      <c r="F35" s="697"/>
      <c r="G35" s="697"/>
      <c r="H35" s="697"/>
      <c r="I35" s="697"/>
      <c r="J35" s="697"/>
      <c r="K35" s="697"/>
      <c r="L35" s="697"/>
      <c r="M35" s="697"/>
      <c r="N35" s="668">
        <f>SUM(B35:M35)</f>
        <v>179</v>
      </c>
      <c r="O35" s="672"/>
    </row>
    <row r="36" spans="1:17">
      <c r="A36" s="674"/>
      <c r="B36" s="700"/>
      <c r="C36" s="697"/>
      <c r="D36" s="697"/>
      <c r="E36" s="698"/>
      <c r="F36" s="697"/>
      <c r="G36" s="697"/>
      <c r="H36" s="697"/>
      <c r="I36" s="697"/>
      <c r="J36" s="697"/>
      <c r="K36" s="697"/>
      <c r="L36" s="697"/>
      <c r="M36" s="697"/>
      <c r="N36" s="668">
        <f>SUM(B36:M36)</f>
        <v>0</v>
      </c>
      <c r="O36" s="672"/>
    </row>
    <row r="37" spans="1:17">
      <c r="A37" s="674" t="s">
        <v>4323</v>
      </c>
      <c r="B37" s="699">
        <v>107</v>
      </c>
      <c r="C37" s="705"/>
      <c r="D37" s="705"/>
      <c r="E37" s="706"/>
      <c r="F37" s="705"/>
      <c r="G37" s="705"/>
      <c r="H37" s="705"/>
      <c r="I37" s="705"/>
      <c r="J37" s="705"/>
      <c r="K37" s="705"/>
      <c r="L37" s="705"/>
      <c r="M37" s="705"/>
      <c r="N37" s="668"/>
      <c r="O37" s="672"/>
    </row>
    <row r="38" spans="1:17">
      <c r="A38" s="674" t="s">
        <v>4433</v>
      </c>
      <c r="B38" s="700"/>
      <c r="C38" s="705"/>
      <c r="D38" s="705"/>
      <c r="E38" s="705"/>
      <c r="F38" s="705"/>
      <c r="G38" s="705"/>
      <c r="H38" s="705"/>
      <c r="I38" s="705"/>
      <c r="J38" s="705"/>
      <c r="K38" s="705"/>
      <c r="L38" s="705"/>
      <c r="M38" s="705">
        <f>72.06+23.24</f>
        <v>95.3</v>
      </c>
      <c r="N38" s="668"/>
      <c r="O38" s="672"/>
      <c r="P38" s="707">
        <f>SUM(N28:N36)</f>
        <v>299</v>
      </c>
    </row>
    <row r="39" spans="1:17">
      <c r="A39" s="674" t="s">
        <v>4434</v>
      </c>
      <c r="B39" s="701">
        <v>-35</v>
      </c>
      <c r="C39" s="685">
        <v>-35</v>
      </c>
      <c r="D39" s="685">
        <v>-35</v>
      </c>
      <c r="E39" s="708">
        <v>-35</v>
      </c>
      <c r="F39" s="708">
        <v>-35</v>
      </c>
      <c r="G39" s="708">
        <v>-35</v>
      </c>
      <c r="H39" s="708">
        <v>-35</v>
      </c>
      <c r="I39" s="708">
        <v>-35</v>
      </c>
      <c r="J39" s="708">
        <v>-35</v>
      </c>
      <c r="K39" s="708">
        <v>-35</v>
      </c>
      <c r="L39" s="708">
        <v>-35</v>
      </c>
      <c r="M39" s="708">
        <v>-35</v>
      </c>
      <c r="N39" s="668">
        <f>SUM(B39:M39)</f>
        <v>-420</v>
      </c>
      <c r="O39" s="672"/>
    </row>
    <row r="40" spans="1:17">
      <c r="A40" s="677" t="s">
        <v>4435</v>
      </c>
      <c r="B40" s="677">
        <f t="shared" ref="B40:N40" si="5">SUM(B28:B39)</f>
        <v>506</v>
      </c>
      <c r="C40" s="677">
        <f t="shared" si="5"/>
        <v>-35</v>
      </c>
      <c r="D40" s="677">
        <f t="shared" si="5"/>
        <v>-35</v>
      </c>
      <c r="E40" s="677">
        <f t="shared" si="5"/>
        <v>-35</v>
      </c>
      <c r="F40" s="677">
        <f t="shared" si="5"/>
        <v>-35</v>
      </c>
      <c r="G40" s="677">
        <f t="shared" si="5"/>
        <v>-35</v>
      </c>
      <c r="H40" s="677">
        <f t="shared" si="5"/>
        <v>-35</v>
      </c>
      <c r="I40" s="677">
        <f t="shared" si="5"/>
        <v>-35</v>
      </c>
      <c r="J40" s="677">
        <f t="shared" si="5"/>
        <v>-35</v>
      </c>
      <c r="K40" s="677">
        <f t="shared" si="5"/>
        <v>-35</v>
      </c>
      <c r="L40" s="677">
        <f t="shared" si="5"/>
        <v>-35</v>
      </c>
      <c r="M40" s="677">
        <f t="shared" si="5"/>
        <v>60.3</v>
      </c>
      <c r="N40" s="677">
        <f t="shared" si="5"/>
        <v>-121</v>
      </c>
      <c r="O40" s="691"/>
    </row>
    <row r="41" spans="1:17">
      <c r="A41" s="709" t="s">
        <v>135</v>
      </c>
      <c r="B41" s="709"/>
      <c r="C41" s="709"/>
      <c r="D41" s="709"/>
      <c r="E41" s="709"/>
      <c r="F41" s="709"/>
      <c r="G41" s="709"/>
      <c r="H41" s="709"/>
      <c r="I41" s="709"/>
      <c r="J41" s="709"/>
      <c r="K41" s="709"/>
      <c r="L41" s="709"/>
      <c r="M41" s="709"/>
      <c r="N41" s="709"/>
      <c r="O41" s="710"/>
    </row>
    <row r="42" spans="1:17">
      <c r="A42" s="578"/>
      <c r="B42" s="578"/>
      <c r="C42" s="578"/>
      <c r="D42" s="578"/>
      <c r="E42" s="578"/>
      <c r="F42" s="578"/>
      <c r="G42" s="578"/>
      <c r="H42" s="578"/>
      <c r="I42" s="578"/>
      <c r="J42" s="578"/>
      <c r="K42" s="578"/>
      <c r="L42" s="2129" t="s">
        <v>4436</v>
      </c>
      <c r="M42" s="2087"/>
      <c r="N42" s="711">
        <f>800/12</f>
        <v>66.666666666666671</v>
      </c>
      <c r="O42" s="712"/>
    </row>
    <row r="43" spans="1:17">
      <c r="A43" s="660" t="s">
        <v>1124</v>
      </c>
      <c r="B43" s="713">
        <f>SUM(B28:B38)</f>
        <v>541</v>
      </c>
      <c r="C43" s="660"/>
      <c r="D43" s="660"/>
      <c r="E43" s="660"/>
      <c r="F43" s="660"/>
      <c r="G43" s="660"/>
      <c r="H43" s="660"/>
      <c r="I43" s="660"/>
      <c r="J43" s="660"/>
      <c r="K43" s="660"/>
      <c r="L43" s="660"/>
      <c r="M43" s="660"/>
      <c r="N43" s="660"/>
      <c r="O43" s="660"/>
    </row>
    <row r="44" spans="1:17">
      <c r="A44" s="660"/>
      <c r="B44" s="660"/>
      <c r="C44" s="660"/>
      <c r="D44" s="660"/>
      <c r="E44" s="660"/>
      <c r="F44" s="660"/>
      <c r="G44" s="660"/>
      <c r="H44" s="660"/>
      <c r="I44" s="660"/>
      <c r="J44" s="660"/>
      <c r="K44" s="660"/>
      <c r="L44" s="660"/>
      <c r="M44" s="660"/>
      <c r="N44" s="660"/>
      <c r="O44" s="660"/>
    </row>
    <row r="47" spans="1:17">
      <c r="A47" s="2130"/>
      <c r="B47" s="2087"/>
      <c r="C47" s="2087"/>
      <c r="D47" s="2087"/>
      <c r="E47" s="2087"/>
      <c r="F47" s="2087"/>
      <c r="G47" s="2087"/>
      <c r="H47" s="2087"/>
      <c r="I47" s="2087"/>
      <c r="J47" s="2087"/>
      <c r="K47" s="2087"/>
      <c r="L47" s="2087"/>
      <c r="M47" s="2087"/>
      <c r="O47" s="712"/>
    </row>
    <row r="48" spans="1:17" ht="12.75" customHeight="1">
      <c r="A48" s="2087"/>
      <c r="B48" s="2087"/>
      <c r="C48" s="2087"/>
      <c r="D48" s="2087"/>
      <c r="E48" s="2087"/>
    </row>
    <row r="49" spans="1:15">
      <c r="A49" s="660"/>
      <c r="B49" s="660"/>
      <c r="C49" s="660"/>
      <c r="D49" s="660"/>
      <c r="E49" s="660"/>
      <c r="F49" s="660"/>
      <c r="G49" s="660"/>
      <c r="H49" s="660"/>
      <c r="I49" s="660"/>
      <c r="J49" s="660"/>
      <c r="K49" s="660"/>
      <c r="L49" s="660"/>
      <c r="M49" s="660"/>
      <c r="N49" s="660"/>
      <c r="O49" s="660"/>
    </row>
  </sheetData>
  <mergeCells count="6">
    <mergeCell ref="A48:E48"/>
    <mergeCell ref="A3:N3"/>
    <mergeCell ref="A25:N25"/>
    <mergeCell ref="P33:Q33"/>
    <mergeCell ref="L42:M42"/>
    <mergeCell ref="A47:M47"/>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59</vt:i4>
      </vt:variant>
    </vt:vector>
  </HeadingPairs>
  <TitlesOfParts>
    <vt:vector size="59" baseType="lpstr">
      <vt:lpstr>STOCKs21</vt:lpstr>
      <vt:lpstr>Delivery</vt:lpstr>
      <vt:lpstr>ST mail List</vt:lpstr>
      <vt:lpstr>NetSpendDown</vt:lpstr>
      <vt:lpstr>BookSales</vt:lpstr>
      <vt:lpstr>Family</vt:lpstr>
      <vt:lpstr>BirthdaysAz</vt:lpstr>
      <vt:lpstr>P20</vt:lpstr>
      <vt:lpstr>Accounts25</vt:lpstr>
      <vt:lpstr>Accounts24</vt:lpstr>
      <vt:lpstr>Insurance</vt:lpstr>
      <vt:lpstr>Sheet62</vt:lpstr>
      <vt:lpstr>Accounts23</vt:lpstr>
      <vt:lpstr>Paypal</vt:lpstr>
      <vt:lpstr>Countries</vt:lpstr>
      <vt:lpstr>Canal</vt:lpstr>
      <vt:lpstr>Accounts22</vt:lpstr>
      <vt:lpstr>Books</vt:lpstr>
      <vt:lpstr>DivHistory</vt:lpstr>
      <vt:lpstr>Profitzloss</vt:lpstr>
      <vt:lpstr>Books 2</vt:lpstr>
      <vt:lpstr>Dates</vt:lpstr>
      <vt:lpstr>Accounts21</vt:lpstr>
      <vt:lpstr>Accounts 22</vt:lpstr>
      <vt:lpstr>WorldCruise</vt:lpstr>
      <vt:lpstr>Bahamas</vt:lpstr>
      <vt:lpstr>social Security</vt:lpstr>
      <vt:lpstr>Acounts20</vt:lpstr>
      <vt:lpstr>Breakers</vt:lpstr>
      <vt:lpstr>Budget</vt:lpstr>
      <vt:lpstr>Rotary</vt:lpstr>
      <vt:lpstr>CitiesCountries</vt:lpstr>
      <vt:lpstr>Accounts19</vt:lpstr>
      <vt:lpstr>P19</vt:lpstr>
      <vt:lpstr>eSales</vt:lpstr>
      <vt:lpstr>Accounts18</vt:lpstr>
      <vt:lpstr>tripcal2019</vt:lpstr>
      <vt:lpstr>Taxes18</vt:lpstr>
      <vt:lpstr>Accounts17</vt:lpstr>
      <vt:lpstr>Taxes17</vt:lpstr>
      <vt:lpstr>Accounts 16</vt:lpstr>
      <vt:lpstr>CreditCardTracking</vt:lpstr>
      <vt:lpstr>DrillSizes</vt:lpstr>
      <vt:lpstr>RodSkills</vt:lpstr>
      <vt:lpstr>P15</vt:lpstr>
      <vt:lpstr>Taxes16</vt:lpstr>
      <vt:lpstr>Taxes15</vt:lpstr>
      <vt:lpstr>Accounts 15</vt:lpstr>
      <vt:lpstr>Taxes13</vt:lpstr>
      <vt:lpstr>Taxes14</vt:lpstr>
      <vt:lpstr>Accounts14</vt:lpstr>
      <vt:lpstr>Accounts13</vt:lpstr>
      <vt:lpstr>Accounts12</vt:lpstr>
      <vt:lpstr>P</vt:lpstr>
      <vt:lpstr>Tools</vt:lpstr>
      <vt:lpstr>Lakewood Accounts</vt:lpstr>
      <vt:lpstr>Prop Calc</vt:lpstr>
      <vt:lpstr>SchedC</vt:lpstr>
      <vt:lpstr>Neighbors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Rod Lloyd</cp:lastModifiedBy>
  <dcterms:created xsi:type="dcterms:W3CDTF">2024-10-10T19:57:55Z</dcterms:created>
  <dcterms:modified xsi:type="dcterms:W3CDTF">2025-01-25T02:47:28Z</dcterms:modified>
</cp:coreProperties>
</file>